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Merkle data" sheetId="2" r:id="rId5"/>
  </sheets>
  <definedNames/>
  <calcPr/>
</workbook>
</file>

<file path=xl/sharedStrings.xml><?xml version="1.0" encoding="utf-8"?>
<sst xmlns="http://schemas.openxmlformats.org/spreadsheetml/2006/main" count="14195" uniqueCount="3311">
  <si>
    <t>Amount</t>
  </si>
  <si>
    <t>user</t>
  </si>
  <si>
    <t>Unique addresses</t>
  </si>
  <si>
    <t>cumulative BUSD</t>
  </si>
  <si>
    <t>Token dp</t>
  </si>
  <si>
    <t>0x0053a843631a38569d6d1cd0bae59b891f2bbc2e</t>
  </si>
  <si>
    <t>Total tokens owed</t>
  </si>
  <si>
    <t>0x00b11f62588082562e5093b1c42b7162d2160aba</t>
  </si>
  <si>
    <t>0x00b43a92d45ccdfeef6ea98d56f775586fe9e39e</t>
  </si>
  <si>
    <t>token price</t>
  </si>
  <si>
    <t>0x00c2a435274df296024ab94a070673f5aeb49204</t>
  </si>
  <si>
    <t>Total funders</t>
  </si>
  <si>
    <t>0x00d290ed1fa904ec2e5e5ad3443961ed1a52ce23</t>
  </si>
  <si>
    <t>0x00ded78779eb584d0505576203376536d5939d98</t>
  </si>
  <si>
    <t>Amount to distribute (1 = 100%)</t>
  </si>
  <si>
    <t>0x00f9d3006853d08d6a161bfac109a02493aae8d6</t>
  </si>
  <si>
    <t>Total raised</t>
  </si>
  <si>
    <t>0x010dd4878c0850e24ec03473dc7bcaa0aaacfa9c</t>
  </si>
  <si>
    <t>0x01368f7aa6f1ad5d0ce99b0f37e994e874f630b4</t>
  </si>
  <si>
    <t>0x015094bcecbe525ccb82f1ead2dcf3e6dc1b6044</t>
  </si>
  <si>
    <t>Total transactions</t>
  </si>
  <si>
    <t>0x016c3e93ce95b88fd33c1eecac7eeaf5a6ced82e</t>
  </si>
  <si>
    <t>0x0176c565b702b77a98fa1e2d72039158ec39c82a</t>
  </si>
  <si>
    <t>0x01774e1a8a04c739fc87ea24640036c8908a7f45</t>
  </si>
  <si>
    <t>0x0192e77f6da00adf0ad90dd5ffbe0362a48bed59</t>
  </si>
  <si>
    <t>0x01a0b2bd403653f481f961ce9e3c77f3c2404b00</t>
  </si>
  <si>
    <t>0x01a11cde91668128c5270ed1365bae1a1d5a0301</t>
  </si>
  <si>
    <t>0x01b3eb1f66795de09f0592ccfaf94354c78ed0ed</t>
  </si>
  <si>
    <t>0x01cecf833d035ca7900eeeaf797c61f13244fa9a</t>
  </si>
  <si>
    <t>0x01d521ebbcc92301e884e429b895abf545fb1c7a</t>
  </si>
  <si>
    <t>0x01ff74aaf949af005cb4013a9fb33e2b52f4c386</t>
  </si>
  <si>
    <t>0x020891d1e23ab9a8a5cdc6def299761c5aee0b22</t>
  </si>
  <si>
    <t>0x021e66e476691ad1e892194e76c14773c49fa4bf</t>
  </si>
  <si>
    <t>0x022a625e05621b3acf63f298681cce74e6ee3243</t>
  </si>
  <si>
    <t>0x02462e36bd906529bd386049890c77e16b7da96a</t>
  </si>
  <si>
    <t>0x024686df01da3c9b3519dfec19fd547539a434b1</t>
  </si>
  <si>
    <t>0x02476613ab50e6407b9d2c5aa73e99a601cfabdf</t>
  </si>
  <si>
    <t>0x0267940d1897b150ac9601ef00d0e38a5fda3011</t>
  </si>
  <si>
    <t>0x026f9dc7e542ca8be6e7f23a9ed38572bd0f4bb2</t>
  </si>
  <si>
    <t>0x029f8620523ead9122c59f9abb42147997523095</t>
  </si>
  <si>
    <t>0x02cec612c860c15f50bb77ec064fa33845828604</t>
  </si>
  <si>
    <t>0x02f06de92c9bff6949ada6f67cafd84f80da1be3</t>
  </si>
  <si>
    <t>0x02f9fcd9a7ae99f02a7c0db1cbb74096e70c21ff</t>
  </si>
  <si>
    <t>0x02fad2e05bbad2339e91d298edaca891333a931a</t>
  </si>
  <si>
    <t>0x0306c9febd2191cfbc4dfd3bb807dcbb0fae7dee</t>
  </si>
  <si>
    <t>0x0308b731f7d0120fa982b6e9c5e35a11333f7b27</t>
  </si>
  <si>
    <t>0x030b7869c737c9cb2ad43d8789fd32b2e2789319</t>
  </si>
  <si>
    <t>0x03340ee1379293438839727ddcf8176567816d71</t>
  </si>
  <si>
    <t>0x034ce34838e98b5629a55b797a68d7a64642357d</t>
  </si>
  <si>
    <t>0x035c2e014257d40692fd3a65c74915096162432c</t>
  </si>
  <si>
    <t>0x035df91bfb4db748b50e29c86ceefb97e2b8fd63</t>
  </si>
  <si>
    <t>0x0365ab92eb0a345b9faa8d3ac8dbee5e045329b6</t>
  </si>
  <si>
    <t>0x039519e6b47a81276d7a4e318de4f0d60eac4ecc</t>
  </si>
  <si>
    <t>0x03a5c4b2af29f4ff2de5c74c1a84ba2e28021194</t>
  </si>
  <si>
    <t>0x03bc977ff731f4ca7eb515af33f6f0cf39ec76e2</t>
  </si>
  <si>
    <t>0x03cd7fdbea1b2252bd09363a23573e57e79ea377</t>
  </si>
  <si>
    <t>0x03d051b8704987d5474334be63336996af4ed2be</t>
  </si>
  <si>
    <t>0x03df831a616be8421144b15d34f324453f251541</t>
  </si>
  <si>
    <t>0x040188e8407edf8a9925d4d34ba96f86b9e30e9f</t>
  </si>
  <si>
    <t>0x040ad4ff1cb4359175a127f53d854d74d86f7990</t>
  </si>
  <si>
    <t>0x040b67eb7d365636496bfb78521d89cd81253838</t>
  </si>
  <si>
    <t>0x041335a9ce3ace987281b1c70b7b53035965863a</t>
  </si>
  <si>
    <t>0x0419c0a91ba6cf14924053931f7504d0f9ebe674</t>
  </si>
  <si>
    <t>0x04218d7d31e90afc4ef9cd6e895c3c2617ab9c66</t>
  </si>
  <si>
    <t>0x0424e057c2d0bc7e58c75975aaf38bf1e598cd49</t>
  </si>
  <si>
    <t>0x0433bd38991e1dd3a07641532e9c66bc19babe2d</t>
  </si>
  <si>
    <t>0x045b1ba26ede7b5581319fda46e179886401f505</t>
  </si>
  <si>
    <t>0x046a020ab8e7e0b33fba87f38bd3b91a5e0f43bc</t>
  </si>
  <si>
    <t>0x0484fe17519f1e0a9f6421a38a760ad031c16c86</t>
  </si>
  <si>
    <t>0x04b1a5d86af3bcd57c8ae0fc7b1a9b1497f368df</t>
  </si>
  <si>
    <t>0x04f4eacc7414361e7c6ec2f738a256dbe0f4dcec</t>
  </si>
  <si>
    <t>0x04fc0d444566e45539c8e78321cd3fccef614a19</t>
  </si>
  <si>
    <t>0x04fde4367cd50b37698349d12f7213197bc42c26</t>
  </si>
  <si>
    <t>0x053f3c7e7c83db64de316b87aa49316b9bd0644d</t>
  </si>
  <si>
    <t>0x05597a487d2b3cb16e29c9d69fe0c8e185694f12</t>
  </si>
  <si>
    <t>0x055affa6bdc01d0cfa8a738b068ece76e56dad51</t>
  </si>
  <si>
    <t>0x0563ab7bb8e5ea5fff8c959cfd2e0c8f09d75232</t>
  </si>
  <si>
    <t>0x056e097c8dfd6c9ba66b9b72522fe100c596cea0</t>
  </si>
  <si>
    <t>0x0583f167360c7d6a3f534b9eb52cc9dc3bced93e</t>
  </si>
  <si>
    <t>0x05935c01c0bdceac0c14343bfd9ce0bec3db8010</t>
  </si>
  <si>
    <t>0x05a3be8e34e053cd4971f4838bc2d2d6f186c3b0</t>
  </si>
  <si>
    <t>0x05bf88692f7c3d865f693f8fcd8c3deca70137c8</t>
  </si>
  <si>
    <t>0x05e5d6c658d40bbe0857f5826081a5799b08de32</t>
  </si>
  <si>
    <t>0x05e8fb9d2d967e09d138b48148fa75a24dde822a</t>
  </si>
  <si>
    <t>0x0622d7104c729b8e7e7ca52afe6a9ac9321aeb8c</t>
  </si>
  <si>
    <t>0x0650168f027fe1ae4cb9da3cba796efb1b39c3bc</t>
  </si>
  <si>
    <t>0x065c84641ee62d032ea5f20c49d59817c87a2747</t>
  </si>
  <si>
    <t>0x06699ba67231abaf0dd26b99e9d62b84c781745e</t>
  </si>
  <si>
    <t>0x06863e32fb7f5c3d0515fca55d6f8f2db6c0341f</t>
  </si>
  <si>
    <t>0x0689f7e0a33dd8c0a922105483eda5df5609a525</t>
  </si>
  <si>
    <t>0x068eb3340a84179c2bffac9a486f1ebc84c33894</t>
  </si>
  <si>
    <t>0x068f4e7418d7dce3cfac1e01a25e0fa6d6ef870f</t>
  </si>
  <si>
    <t>0x06936a04de401421b44e01b753b2de549a9d54ac</t>
  </si>
  <si>
    <t>0x069e7d2a85da75f4b4b19f5bf7fc034c3596743e</t>
  </si>
  <si>
    <t>0x06b75101418151a6adae4154251eb4aa2a7b7943</t>
  </si>
  <si>
    <t>0x06bbb894603ab22ccd2383bf78bbf78e897384ab</t>
  </si>
  <si>
    <t>0x06dc0cbf44eed256c5975210095be703504a4541</t>
  </si>
  <si>
    <t>0x06dda675c75987772d2e9b587ae80d08c5bfb1f4</t>
  </si>
  <si>
    <t>0x06e7fab56a7376f271a9c391d854e3707063dfa2</t>
  </si>
  <si>
    <t>0x070c8eba534900e54d74b215d1dc54d8b05514be</t>
  </si>
  <si>
    <t>0x071a9541f0c0bc7004e69364cb1bfb16cb3f1a06</t>
  </si>
  <si>
    <t>0x07266611a9000c0225cf1501020ff0b058f0e6cb</t>
  </si>
  <si>
    <t>0x073301be5ddda59b41d4be02c957dbd5723fdc67</t>
  </si>
  <si>
    <t>0x0735a9bcafd97e03e772c4f1bc4934eb60fe4436</t>
  </si>
  <si>
    <t>0x07635410cd191e91395ef54c28ab776848fd8de3</t>
  </si>
  <si>
    <t>0x076442414a1dcbb4984a8388a3fcb28b84f34028</t>
  </si>
  <si>
    <t>0x0788b0bb180b8308b0485d7c7876bfdaf0cfbb24</t>
  </si>
  <si>
    <t>0x07c860bef41edb0cb31034637b97548d26017407</t>
  </si>
  <si>
    <t>0x07d610cd49facac8f04ca1ee38027b5a485d07d5</t>
  </si>
  <si>
    <t>0x07da257ad1592b757a50e17ba8d267fe0e93aee1</t>
  </si>
  <si>
    <t>0x07dfdf8c15cd738d0d85830127646fb6b2e4cadd</t>
  </si>
  <si>
    <t>0x07ef39ca542927137c7e5940a10330ec6b6a624a</t>
  </si>
  <si>
    <t>0x080182970f8cf8ebfd7db1d359fb81d32680208b</t>
  </si>
  <si>
    <t>0x0824e8d48f0d04b2261871e995dcc72ad0e0aaf2</t>
  </si>
  <si>
    <t>0x08485068e009c4678face9afab5077ecf24ce9a4</t>
  </si>
  <si>
    <t>0x08511ddfc2dde31a48d5267b2269b440080e55a5</t>
  </si>
  <si>
    <t>0x08608176e1d6ac5be11de8403805d4b339899a1b</t>
  </si>
  <si>
    <t>0x08680d4d720017d9b18b3b267be9b146d2a3eb2c</t>
  </si>
  <si>
    <t>0x088af1da6d021ddc79e4fe826f0fdcd05ea0127f</t>
  </si>
  <si>
    <t>0x089eed95168b007f19cf8a752c13f6db57c030d4</t>
  </si>
  <si>
    <t>0x08e309a2e47e1dbbc322c4202e7df05392208d4c</t>
  </si>
  <si>
    <t>0x08e33ba154022429e735edf04fe9cd5544103728</t>
  </si>
  <si>
    <t>0x08fc05b03cd14b13b202cec6f9b3311ea017e54c</t>
  </si>
  <si>
    <t>0x090c2fb169168adaf3c86dc79234dd8bc66f542f</t>
  </si>
  <si>
    <t>0x092cda2230d41979999fdd210af1b73a7da46ce4</t>
  </si>
  <si>
    <t>0x094e50b0f5793fd9798416b3561923ffbbd657d7</t>
  </si>
  <si>
    <t>0x097863cd1408eef051541d003a62891471783427</t>
  </si>
  <si>
    <t>0x09798de45fa77467387df7b5047f572aaf1dc5aa</t>
  </si>
  <si>
    <t>0x09c624d5271a1f7e6a2588e778a4d48bb90a6952</t>
  </si>
  <si>
    <t>0x09d8015bfce6fe58d21503b2478c9685383acbdb</t>
  </si>
  <si>
    <t>0x0a0a7bbbf1b785601c0702b54a0cd8ec1697eab6</t>
  </si>
  <si>
    <t>0x0a0b8003d587910d53a918f0ee12349206d5cb9f</t>
  </si>
  <si>
    <t>0x0a1bdaee6e05f5f02f3885f3e25927256f5e46a7</t>
  </si>
  <si>
    <t>0x0a26e8933cbf4015061018df5ecfeaa8245bd786</t>
  </si>
  <si>
    <t>0x0a4d01d364136395254ac6a55890c2723f866a8b</t>
  </si>
  <si>
    <t>0x0a50229e6a256e43b6717706c0783b9419c82455</t>
  </si>
  <si>
    <t>0x0a5d300f2aaebb0dd0527696aa67cf8d648a7d7f</t>
  </si>
  <si>
    <t>0x0a8788d7f978d9f3c301889811da22522679b2cb</t>
  </si>
  <si>
    <t>0x0ab4b2f1a5cf3d72206cc1415b8e88ef9c698423</t>
  </si>
  <si>
    <t>0x0ad610169ee1410c37e055b91bdc6127e7656a45</t>
  </si>
  <si>
    <t>0x0af574d358ec6c50264defcefa06f12b33737eca</t>
  </si>
  <si>
    <t>0x0afeda0633bb64c28efd05dd51ed270f08585481</t>
  </si>
  <si>
    <t>0x0b2677f1db50a327a72e8dc7c748886ecd90870f</t>
  </si>
  <si>
    <t>0x0b402b3e1336d8e0f84d7333622e87617b254f11</t>
  </si>
  <si>
    <t>0x0b4fe6bab6ecbe7e120ea256cfc2ceec99075be1</t>
  </si>
  <si>
    <t>0x0b5c33102af77b557f37efc7bfcfa56ee075aafa</t>
  </si>
  <si>
    <t>0x0b644233f7e04849f6b19cb2efe1c986148ea9d2</t>
  </si>
  <si>
    <t>0x0b6eefc92a0c5ae35beca92df541b363035c9a32</t>
  </si>
  <si>
    <t>0x0b72e905ed48beb207ec29bfac83b2b0bc6f56f2</t>
  </si>
  <si>
    <t>0x0b7523e694faeebc3b79c0f039c711595ad8d382</t>
  </si>
  <si>
    <t>0x0b762e494daba875b6722bab12736d5308449aed</t>
  </si>
  <si>
    <t>0x0b8051d4e3ae51bd255f702c9c262a4ee16d910f</t>
  </si>
  <si>
    <t>0x0b83821bb8b9d19582af26122556be7408313140</t>
  </si>
  <si>
    <t>0x0bb50ed8033e7a09666bed9b99b48fc70ffc1f5c</t>
  </si>
  <si>
    <t>0x0bc4bef6c59be91ca9299679899fabd10ad33fa1</t>
  </si>
  <si>
    <t>0x0bc9d3f78636f6d73c32fecb53946e8d3d16b9a9</t>
  </si>
  <si>
    <t>0x0c15523eb36aa15cb97f689b1e03fa77f66951f9</t>
  </si>
  <si>
    <t>0x0c1bcd135d409c7935f46b728f7e74c0a4f2b1d1</t>
  </si>
  <si>
    <t>0x0c1c53293c4da6bcb51fada2ffd272dbcf94136e</t>
  </si>
  <si>
    <t>0x0c285904db116616da9d1251ccb6e437b25eea30</t>
  </si>
  <si>
    <t>0x0c39aa73ef30397cafd65b2559a57f08aee758c2</t>
  </si>
  <si>
    <t>0x0c465d95a4775b247c564e8c7c4a1298b22058df</t>
  </si>
  <si>
    <t>0x0c5f1891581c2ab02c2caf8f7b9852e7e631992e</t>
  </si>
  <si>
    <t>0x0c6896e7632949969dc980272726eee779a62572</t>
  </si>
  <si>
    <t>0x0c7b2ba42797804779ae564646e34d02dbd23978</t>
  </si>
  <si>
    <t>0x0c7cda6e04437e5f701c039e3362fbd488889590</t>
  </si>
  <si>
    <t>0x0c9dc7f9d4f1daa7b05ddf7add0f6baffdd7725d</t>
  </si>
  <si>
    <t>0x0cb9cf0883de211442dd22423394724ac88c68f7</t>
  </si>
  <si>
    <t>0x0ccaa8cd49c292132700e718517360c3c35fd0a6</t>
  </si>
  <si>
    <t>0x0ce060a971e8719edc885f4ea336f0b048277d75</t>
  </si>
  <si>
    <t>0x0ce0f3f5a7f764732b7e9db621abb59728b61847</t>
  </si>
  <si>
    <t>0x0d05cb1486d71713e1cc111da0d4041f7b9c7fdf</t>
  </si>
  <si>
    <t>0x0d0878ce76fd6ddc135e811eedd03f82603cf203</t>
  </si>
  <si>
    <t>0x0d27c91c0abeb875eefe0401fa7f6afe6aeb43e5</t>
  </si>
  <si>
    <t>0x0d281edc38079a4ecb0abcb81c6243f4c1c9f262</t>
  </si>
  <si>
    <t>0x0d32bbb8bb3efe9fb0d5176f76eef0a2845a0bc1</t>
  </si>
  <si>
    <t>0x0d4a3b2ad6efe49702294ef354c0d7874f4fb9c2</t>
  </si>
  <si>
    <t>0x0d4e4a6f1e61885b2b5f8580e533d776b27f6c3c</t>
  </si>
  <si>
    <t>0x0d4ff3159ee64d78bd15cf7a3509162652d809be</t>
  </si>
  <si>
    <t>0x0d6e94d085a597f316be1833649e05a45103e873</t>
  </si>
  <si>
    <t>0x0d78be9279b0bc6e2dc86dce29140eeb6ac95f52</t>
  </si>
  <si>
    <t>0x0d88ac648f1326187ad69f13178285bd4af720e1</t>
  </si>
  <si>
    <t>0x0d8fbfce9018950e97ea5b10f4dce118f02fda81</t>
  </si>
  <si>
    <t>0x0daa7516840c83d31bbd3f02e2ca8bfec8986640</t>
  </si>
  <si>
    <t>0x0dbdc315a01b844aaeda14a266737e93cec545ed</t>
  </si>
  <si>
    <t>0x0dcc8011dbc2c704d308b324bc8b2c74c1e0e4ea</t>
  </si>
  <si>
    <t>0x0dd74fd5a1fdca585c15d211e7ab19f204a77630</t>
  </si>
  <si>
    <t>0x0de7f3001a2e3874ab450910c1829a125a2be4f1</t>
  </si>
  <si>
    <t>0x0df2763078b4b5c714e0edf86fa33bc71127180f</t>
  </si>
  <si>
    <t>0x0dfdcf4921fa48bfef61104c698a3731e8bfbd35</t>
  </si>
  <si>
    <t>0x0e1b65a6fe879384e308c07e5ee39174aad63297</t>
  </si>
  <si>
    <t>0x0e1c9d4128a6a9b430d91b92a7ec64f7d3b9ee5f</t>
  </si>
  <si>
    <t>0x0e2130d21f9f1b620207750a59d700f5087ce8ba</t>
  </si>
  <si>
    <t>0x0e297a8e975e4daa101e79bd40824590dcb00955</t>
  </si>
  <si>
    <t>0x0e63fe75979e514e1d49632e325c579721e30d4a</t>
  </si>
  <si>
    <t>0x0e88291da74461a7a236a53d6c510de06203983f</t>
  </si>
  <si>
    <t>0x0e93cf5ed2965b31d62533aea091252832eb3727</t>
  </si>
  <si>
    <t>0x0eae1cf7557115423723ab8c275ed3ba00b9f14b</t>
  </si>
  <si>
    <t>0x0eb8745407a211a718d6921691ceb99fb5ac9f48</t>
  </si>
  <si>
    <t>0x0ec9f7efa2f2c7f0e540a671eb483f32a5f6f222</t>
  </si>
  <si>
    <t>0x0ed99de5a12b11fa8ae80f91447878a5787800cd</t>
  </si>
  <si>
    <t>0x0eeff183cb92013c646999d2147b8aaf9c68a041</t>
  </si>
  <si>
    <t>0x0ef7d34e72e7f227b1ea78d445b864bde5784a0a</t>
  </si>
  <si>
    <t>0x0f01a44809da373696b5d9e2d2a938db5353511c</t>
  </si>
  <si>
    <t>0x0f2453deedf6ee67127babbc6a99e77d5fc21354</t>
  </si>
  <si>
    <t>0x0f617287abe5381541ee352fe5ddeffe92712849</t>
  </si>
  <si>
    <t>0x0f693376f387f516cfdc64241a034f323c30210a</t>
  </si>
  <si>
    <t>0x0f7ce0a0ed53ba9d78bb2a45400292d59e38a287</t>
  </si>
  <si>
    <t>0x0f81b7a1bdad9963f9d6bf0fbb570cdd028ed084</t>
  </si>
  <si>
    <t>0x0fa341230d690b53ed6a55acd2f66f221eef9b08</t>
  </si>
  <si>
    <t>0x0fcfbb3da19b6ac3448ef32c1f38c722135ebd32</t>
  </si>
  <si>
    <t>0x0fcfd2c03dfb5d0a255f5a027c68824738f94a76</t>
  </si>
  <si>
    <t>0x0fcfedc4edd3cee8dbd003efe2d07c9a80a4b392</t>
  </si>
  <si>
    <t>0x0fd28aedb6bd2336ac17e19b4e6cb4daa1dc58ce</t>
  </si>
  <si>
    <t>0x0fdd351acb5c0708f8657ed10e2b94d54c7d9850</t>
  </si>
  <si>
    <t>0x0ff7c69308d0c4f6f326e6b092767a45e8d6611c</t>
  </si>
  <si>
    <t>0x100b4a6a63a2ccd32b87f1f7019814b19875c842</t>
  </si>
  <si>
    <t>0x101cb80a231f5192a52b8ff61a8fb98693875172</t>
  </si>
  <si>
    <t>0x10329757b406111c0b2e2b7645e85dd06ec59bc3</t>
  </si>
  <si>
    <t>0x104b62f68ac2482353f66afb9f8d4fddc34cfbc2</t>
  </si>
  <si>
    <t>0x1053f4b74a78342ed5708dc96482f37bcab5a8b2</t>
  </si>
  <si>
    <t>0x106b0e52888e39063f2ef121f32144046752dcb3</t>
  </si>
  <si>
    <t>0x1076c2cfb8d1f3aa5bf050d8c0d6d128175bfeee</t>
  </si>
  <si>
    <t>0x107a4dc0351bba0ed34b5eaf25815f71b346bddd</t>
  </si>
  <si>
    <t>0x108ba4ba6f68f736b05a4256400ca7fe7cd8b0b6</t>
  </si>
  <si>
    <t>0x109107ef557811122926ef0f561a4cf9b0d3889e</t>
  </si>
  <si>
    <t>0x10b3fbf4059f3fa209cdb648e8b13aa0239864d0</t>
  </si>
  <si>
    <t>0x10b97330dcbc75b25768600323184d7b2b1499f5</t>
  </si>
  <si>
    <t>0x10ba3300c1e673a59070927b85dd49f030aa9bcc</t>
  </si>
  <si>
    <t>0x10bb8ab9aed0a46b788fc50a6066d28c39f214fe</t>
  </si>
  <si>
    <t>0x10bdabe608156001b58b10df67647482283a0918</t>
  </si>
  <si>
    <t>0x11122be660fb9796e06d2a907df271f787f2a6de</t>
  </si>
  <si>
    <t>0x11178a0e6f92b6c0a7009ec46a1b65641dcc9725</t>
  </si>
  <si>
    <t>0x113820627a5234c8511473cae1d9d52f2fe6b5f4</t>
  </si>
  <si>
    <t>0x1141740f9a8a1d3ff192a98ca16a6007bc359d2e</t>
  </si>
  <si>
    <t>0x1147db22bbd38b6cef614bb2c843c717d3ff4cf2</t>
  </si>
  <si>
    <t>0x11742bfcbc0fed892a0dd7e0a6ca04efdcc363b9</t>
  </si>
  <si>
    <t>0x11bbc8a3a6478f8f32014cabccfdf574507972c6</t>
  </si>
  <si>
    <t>0x11cd1d44968c69ad8fd3712edfd9683093932a95</t>
  </si>
  <si>
    <t>0x11ce9217670b1e47d54c5079e5fc120140f3bb00</t>
  </si>
  <si>
    <t>0x11f7c8f8354b0e26ae730014ccccaa95e16d77e4</t>
  </si>
  <si>
    <t>0x12325ca1c008a9458bf95d0219ecb7167c819b64</t>
  </si>
  <si>
    <t>0x1233dd90d5334c8d7d0a7e14fd0b9638235402cb</t>
  </si>
  <si>
    <t>0x12398851149137dc6cb8d4960a6d41961b0cf660</t>
  </si>
  <si>
    <t>0x125704406818124eb8a940a5443dc14d0f6fc9c5</t>
  </si>
  <si>
    <t>0x1264c94c2dddfe9586b466c47478bcec34321a72</t>
  </si>
  <si>
    <t>0x127d85c7b883d80428c0bbb4019d55ef9bbde57e</t>
  </si>
  <si>
    <t>0x12d854a831c9511a9452d8b6fe76f950dbec3aa6</t>
  </si>
  <si>
    <t>0x12fbe87ca2674036a9d5d6cf2593043efbee1a6c</t>
  </si>
  <si>
    <t>0x132eba8e3ffdd419a9550e4c061185f3bcbce473</t>
  </si>
  <si>
    <t>0x13372eb9b8d373caa90dd619c9d1654d186351c9</t>
  </si>
  <si>
    <t>0x134d0698e39839fceb54d3a66f1f177c85ebc683</t>
  </si>
  <si>
    <t>0x134fc9c075cd7567e4844f21660316cae8dcbd73</t>
  </si>
  <si>
    <t>0x135178f9ef74b1d45bef923d43e06c222b5552c9</t>
  </si>
  <si>
    <t>0x135c717655f544f1b4c3e26ed960d611b0e2dc15</t>
  </si>
  <si>
    <t>0x136b0df2574bbe0af50c1c590d90a5346fcab2b3</t>
  </si>
  <si>
    <t>0x136e409d3c13dbf044d8eca5e6c22cb0a7915500</t>
  </si>
  <si>
    <t>0x13a881d54b975409ff64fdb48eca99f1d9063559</t>
  </si>
  <si>
    <t>0x13a90511e855afd3d36b1018a7e18a4be39368ef</t>
  </si>
  <si>
    <t>0x13cb4224483b95a5b12abf65b3614f0173fb2384</t>
  </si>
  <si>
    <t>0x13e2b15a146a2000bdffe847185e6a0d527b2c6d</t>
  </si>
  <si>
    <t>0x13fefdd563a930f07b1ac8a2227acc27c3c12946</t>
  </si>
  <si>
    <t>0x143e0ba79f6a1f3fa40fbfa5204e5d867996e6b6</t>
  </si>
  <si>
    <t>0x145109949f6af5e9068714aa8376a862e6e26bfe</t>
  </si>
  <si>
    <t>0x145b169a658722b78eebeb1a6a4e26ab64ac43cd</t>
  </si>
  <si>
    <t>0x1481589fe956da324063917cd08f94118b4b4216</t>
  </si>
  <si>
    <t>0x148ecefc6f1f06af2eb4d7540768f25e6b203410</t>
  </si>
  <si>
    <t>0x1498937708d5460d6fc84906aeb9b587acb20688</t>
  </si>
  <si>
    <t>0x14b2d521af631f89c6e846aebebe98ee1af7b7af</t>
  </si>
  <si>
    <t>0x14cc3d26251c0bb4f4545984210f68c2b59bc00d</t>
  </si>
  <si>
    <t>0x14d2da59e2f9069d2f8b1179985e08ba3f10ff15</t>
  </si>
  <si>
    <t>0x14d316262d575e7074491a5e95e69c1fee3e65c2</t>
  </si>
  <si>
    <t>0x14d7b36c220dce6a8aad540a78adf9d96a30d331</t>
  </si>
  <si>
    <t>0x14ea492a75b5f9308d00fdb5da4117ad78ad7176</t>
  </si>
  <si>
    <t>0x14ec817cc7854b5b799fa420f04904abd54de6af</t>
  </si>
  <si>
    <t>0x14f103eeff1c6be60fcf9fd5f1fd2bd311fa9d6a</t>
  </si>
  <si>
    <t>0x14f14df95de3e7662e408da7ec87ad8ebd11b0bb</t>
  </si>
  <si>
    <t>0x15123bfed2a6d5cf84a329424deb33b5332068d9</t>
  </si>
  <si>
    <t>0x151345e613dec1967b9e8d6666a94a0f17793c6b</t>
  </si>
  <si>
    <t>0x152850ad51ce417eafe684d23e035cab8b28f1f2</t>
  </si>
  <si>
    <t>0x1533e20c4a9acd54ba03f027f2ab7b28ceba7b97</t>
  </si>
  <si>
    <t>0x153f640c5c5280c647c91569dfb654e9a52e56cc</t>
  </si>
  <si>
    <t>0x154fe8e2b1e309c5c7cff33d192f3e75612d0560</t>
  </si>
  <si>
    <t>0x15551b1de6f723511883231148868df7e4c1abb4</t>
  </si>
  <si>
    <t>0x156601031ab627685ba9a8fae96e7a2fae632cc7</t>
  </si>
  <si>
    <t>0x156e933c4a55375b9b72753dac0d493e4e42f609</t>
  </si>
  <si>
    <t>0x15936f3e0a5d962959a1dcf1a76b046ca8af4095</t>
  </si>
  <si>
    <t>0x1594a405a5d2d746c1bd11f4397c8bcaeb142026</t>
  </si>
  <si>
    <t>0x15b87edfb7f3f557c2f0ab6f6f1b8e93fec06938</t>
  </si>
  <si>
    <t>0x15c2438d7224187f90f921cd90bd551734b537af</t>
  </si>
  <si>
    <t>0x15cc8e62b1df370d9dccc885866d741c22b0baaf</t>
  </si>
  <si>
    <t>0x15f0742df7fabf142a8125f922221c935d06cc9f</t>
  </si>
  <si>
    <t>0x15f41bbf265551494dc4a113088dff40c78a6b53</t>
  </si>
  <si>
    <t>0x1609bc551b38eefe1738bce85ecd46797082709a</t>
  </si>
  <si>
    <t>0x160c316c3354db9d497ee958b2da5b72b5803a94</t>
  </si>
  <si>
    <t>0x161182660cf5a11453babe220814b6fb4add82b9</t>
  </si>
  <si>
    <t>0x1618d5b89cee5c3e9609aeb5648fb90ad33a4e06</t>
  </si>
  <si>
    <t>0x16678140d90aaa62d79ea50773f362a7690ea1e0</t>
  </si>
  <si>
    <t>0x1671b592610fb7427ed788b66fa3e9217ff41047</t>
  </si>
  <si>
    <t>0x1674eb292c029e006295ef76e55f38867c94be55</t>
  </si>
  <si>
    <t>0x168b761193ad0989ac5fe22b6765a516796aff58</t>
  </si>
  <si>
    <t>0x168d8c69c568d6446de4a50f5c0cecec0d9b5d5e</t>
  </si>
  <si>
    <t>0x168e1a7374e73ad1790eebe0256635ef871bd330</t>
  </si>
  <si>
    <t>0x16a3ff34c0224a819241f184affb20e16de161ae</t>
  </si>
  <si>
    <t>0x16aea9952f9d308b1a1def3684b0f18111a0aabf</t>
  </si>
  <si>
    <t>0x16bbd9e4494fa214047b52c3183e371a033252db</t>
  </si>
  <si>
    <t>0x16c4e68b5ea69af57085b5152065100ba24ad71f</t>
  </si>
  <si>
    <t>0x16c915232ac95a978e2dacca07124608c5c4d1f3</t>
  </si>
  <si>
    <t>0x16cac53073ea81ec1d23fbcb471dbee4e5d918e2</t>
  </si>
  <si>
    <t>0x16cf641c5f4501e688ea3b149d61c5e3dc8c7392</t>
  </si>
  <si>
    <t>0x16e7161b1fc631da6609ad010012c901e7db8af4</t>
  </si>
  <si>
    <t>0x16f4f4f26ad3bb48557d9a044128169a950598a3</t>
  </si>
  <si>
    <t>0x1702556622bd5a18761397020d48064d9a6b3ab3</t>
  </si>
  <si>
    <t>0x17186b7f453b46e14ac121496007cc533feae4c0</t>
  </si>
  <si>
    <t>0x1731cff4a67db8a588b49487f0568a93f08558b8</t>
  </si>
  <si>
    <t>0x1737e9c51ea9bed7f2a0def27bcf51770eefd7c4</t>
  </si>
  <si>
    <t>0x1740735d7ff5790024d6bcaa69589b14b2c394e9</t>
  </si>
  <si>
    <t>0x1767d68e82c9a641ce3df93995811cf479b8d499</t>
  </si>
  <si>
    <t>0x1769155d575a1f918e3a45b32f9f8858329b3315</t>
  </si>
  <si>
    <t>0x1777281a2b6610d40ff726c3e03bbdc3b93d31ad</t>
  </si>
  <si>
    <t>0x177e1cc973e5605bd4eff27c490f007c95d6ef8e</t>
  </si>
  <si>
    <t>0x1789b8025adcad14a55538ef6d07d699b3bbe7b4</t>
  </si>
  <si>
    <t>0x17a611b844ff9dcd6331f058a118ba2561b0d8ba</t>
  </si>
  <si>
    <t>0x17b836a24e5688b27a85b4f19ebd44f526333d64</t>
  </si>
  <si>
    <t>0x17c33876f9282f96dc8472ce8c5f94b6dbb4105d</t>
  </si>
  <si>
    <t>0x17c8b56c4c4bce284b8ce67b62fc1dd79212af5b</t>
  </si>
  <si>
    <t>0x17e251e75cb20c9ae1a8bc7f84680a28b086f120</t>
  </si>
  <si>
    <t>0x17e50acb4125d1a3af86c8180c9218e1d708a5bd</t>
  </si>
  <si>
    <t>0x17eaa219ea91d78549d85c48c7291793ebf08565</t>
  </si>
  <si>
    <t>0x17ef28a3319c4ef5fbc80b59c69a60016de156a4</t>
  </si>
  <si>
    <t>0x17f179daaa349789dd26ba2efac053f10848c0c6</t>
  </si>
  <si>
    <t>0x17f41c0df99cba57ac7122d118c49a95afe63799</t>
  </si>
  <si>
    <t>0x181271a84d444b2c16f1def234f349abefd41ef1</t>
  </si>
  <si>
    <t>0x181b04d293b5f087b27d5a461f77771a514e45de</t>
  </si>
  <si>
    <t>0x185df3839a57dbdd02f66dd10b54dbdd66c4ce84</t>
  </si>
  <si>
    <t>0x18701c88a959212b5a93aaa0a06acede9be273fa</t>
  </si>
  <si>
    <t>0x18708ae8b14b2fdf4bd1c097138064b468c5d82c</t>
  </si>
  <si>
    <t>0x187e4a878480dfceee8fc5e2bbdc2f23d54c89ee</t>
  </si>
  <si>
    <t>0x18908564c6872d1611836d806c980ee9ebb3892b</t>
  </si>
  <si>
    <t>0x189de9b7e7e3cc561943fb7f860bc5607b3ad4f9</t>
  </si>
  <si>
    <t>0x18b9322bac9fc359117b2c3badc175b34ea83888</t>
  </si>
  <si>
    <t>0x18cadf275fe04cf1821e215b00695274d7ef364a</t>
  </si>
  <si>
    <t>0x18d17e24873fb5280c36edfebbf974067dbb85e6</t>
  </si>
  <si>
    <t>0x18d8032f7c11663068d36ca79954b9e28d653ca3</t>
  </si>
  <si>
    <t>0x18da151be0e039e784255889760ce19d2ec58a92</t>
  </si>
  <si>
    <t>0x18dd27942fa67e6a997f71547655e80e7dfac29f</t>
  </si>
  <si>
    <t>0x18fdd3197f863e30c0b7654134e681f96e2a7343</t>
  </si>
  <si>
    <t>0x190af7691ce2ce6ba08280b80f43967014259ed9</t>
  </si>
  <si>
    <t>0x1954412daf4759936f4f0d42e1d2d4449a1a22c1</t>
  </si>
  <si>
    <t>0x196a37946c3d93e9a5309f539ae28b774a32411f</t>
  </si>
  <si>
    <t>0x19775e1817bc7a1e41060f80e0d00eabae2959a7</t>
  </si>
  <si>
    <t>0x199bb8264496bbf4c52126b593c8947de39bd680</t>
  </si>
  <si>
    <t>0x19a23443e17d1bbfe9726202478ad891cc4f0776</t>
  </si>
  <si>
    <t>0x19b2498465b853ee7fdff06b68f776669e7fce3e</t>
  </si>
  <si>
    <t>0x19e88c8b498e6a20e3af3f7caf0d78278cc98c7d</t>
  </si>
  <si>
    <t>0x1a1947318d09199c6c198892072b1d0f2f306f87</t>
  </si>
  <si>
    <t>0x1a19c0475ec0c7adcf67036a887864dfe6067e7d</t>
  </si>
  <si>
    <t>0x1a1d8a4da8d4c67e13c7ab22ea403ba747943cd4</t>
  </si>
  <si>
    <t>0x1a260eb4e507c5e77bd69b8bd81cd05258a5a527</t>
  </si>
  <si>
    <t>0x1a2a24e8ac0bd22c4f9b4fdf34bfcd30820246bc</t>
  </si>
  <si>
    <t>0x1a2a6d75bc47eb09b77d49ad71d96aedfd5f2d52</t>
  </si>
  <si>
    <t>0x1a2cf16941505fed6a60ebbb339096cf4cac8b92</t>
  </si>
  <si>
    <t>0x1a2d54a0050278a4a2eedb5ac014e8615c61b743</t>
  </si>
  <si>
    <t>0x1a38ddd62d0361d5856bae9ff435a8cff34648c6</t>
  </si>
  <si>
    <t>0x1a4013cca60c9d742595cc12f9ccdfb793d23750</t>
  </si>
  <si>
    <t>0x1a56c628b786f8310b1cf5d3ba37f8732b16983b</t>
  </si>
  <si>
    <t>0x1a669bfc13fdaa895c1d917969bcf541081c9e4a</t>
  </si>
  <si>
    <t>0x1a842ed15fdbb62be89eaa16e268df33a0a2b4ac</t>
  </si>
  <si>
    <t>0x1a97a59674dff69d3202970762ce3562f885b944</t>
  </si>
  <si>
    <t>0x1b021d0288fa79ed6004752a552b84dfaac99078</t>
  </si>
  <si>
    <t>0x1b142937cfcfd6998a67d864b352f6986aab2a73</t>
  </si>
  <si>
    <t>0x1b3322a993b2d63be6e59cf8cb9a9384d953d8e9</t>
  </si>
  <si>
    <t>0x1b4b60daff677bee93772c43eae5afaa6b20b046</t>
  </si>
  <si>
    <t>0x1b58ed2c1bb18ca1120f85479f651454f2375cd0</t>
  </si>
  <si>
    <t>0x1b62825f9d4f218155bf301a066316f8e1039779</t>
  </si>
  <si>
    <t>0x1bb26a07ddb835ff3a23ed584c68af2629d8f2ae</t>
  </si>
  <si>
    <t>0x1bd2e9ca1f7e355fb4ecebe0348a130c3e0351bd</t>
  </si>
  <si>
    <t>0x1bd55b20bb2795fb77d6e07b32e819b97714970b</t>
  </si>
  <si>
    <t>0x1beb92f16d586d3ecedc6bd0c2d13b316abdb8e3</t>
  </si>
  <si>
    <t>0x1c07afc826de3fd733b2128988bbcf0a794a9f62</t>
  </si>
  <si>
    <t>0x1c4093a2153ad497e8a85174488083a49b4bbf93</t>
  </si>
  <si>
    <t>0x1c44b867c4e2b0659963f5910838df2f1cd1f11a</t>
  </si>
  <si>
    <t>0x1c46718463877607b620aa26d10e75bc771ba24e</t>
  </si>
  <si>
    <t>0x1c4fad978f144cebbb7f7aa4fadb05ab90a75311</t>
  </si>
  <si>
    <t>0x1c584c4b2285b88794e6d57927dcb78ceef1d102</t>
  </si>
  <si>
    <t>0x1c61cc926334dd106733d4b02b7b3a9571529404</t>
  </si>
  <si>
    <t>0x1c71dcc97487fc5b2b17085a90dc6c0e8d225641</t>
  </si>
  <si>
    <t>0x1c7d53b09f3010ef20a9b49e7cae409d9e32151f</t>
  </si>
  <si>
    <t>0x1c93273e4c684f9a21c17b58f20540719dec77b7</t>
  </si>
  <si>
    <t>0x1c93366672dede29daddb3ab9d888d4d86407eaf</t>
  </si>
  <si>
    <t>0x1cbde09e65706c95ef8b2e153ffedc981078f5f2</t>
  </si>
  <si>
    <t>0x1cc6c272b28e91e5cd6f9d2629b20bbd3279a84d</t>
  </si>
  <si>
    <t>0x1ce4e4ea21cf83d9606bd13eee5febc3aa910cb3</t>
  </si>
  <si>
    <t>0x1cf32ba1ac097ef71164cfa9f6d821343771f6da</t>
  </si>
  <si>
    <t>0x1cf673e8e5d30c0aaf34ab875c35a013c0fe105a</t>
  </si>
  <si>
    <t>0x1d0d8e2d2e9ff5db613ed894e13064e99adbc92c</t>
  </si>
  <si>
    <t>0x1d13e810a2dce5de0741a9129914dcf22b7a21af</t>
  </si>
  <si>
    <t>0x1d2734c5f375a2956a79ef71cc466c07caf256d6</t>
  </si>
  <si>
    <t>0x1d341740703583ec5208b03376455bcb3f8964cd</t>
  </si>
  <si>
    <t>0x1d39a8d4ca5f5663ec3f5960cdd174ba6849a621</t>
  </si>
  <si>
    <t>0x1d41cb6b809d25bc3ddd7f51635facfa4a8a3a98</t>
  </si>
  <si>
    <t>0x1d47143347ed3d4e494fa8bb3bf7aa5688a58e7d</t>
  </si>
  <si>
    <t>0x1d4861744eaef76d4cd1c416541977d290c302a8</t>
  </si>
  <si>
    <t>0x1d555ed2aa94b75bd33041b6eb8c08f2c74d2721</t>
  </si>
  <si>
    <t>0x1d8217cb1779a0cefe820d4087fbaa5d44a7c355</t>
  </si>
  <si>
    <t>0x1d85ddeb7f73c33802d4e2545ee65a579781e0b6</t>
  </si>
  <si>
    <t>0x1d90658927c7a6db66c9cddcb07b44e0bfcd4e0b</t>
  </si>
  <si>
    <t>0x1da4a17e38372a26668ba87108df97069be66629</t>
  </si>
  <si>
    <t>0x1dd68356b7b7d0d8c42d6076e57e5184955cb910</t>
  </si>
  <si>
    <t>0x1df56fae28cddd2a7db28b00d3a13f4defe40373</t>
  </si>
  <si>
    <t>0x1e02b656c2d8a85c16bafe97ef5a2e496e57d370</t>
  </si>
  <si>
    <t>0x1e1bd10bc1a59c647a1a6377ff063148b6f9aaaf</t>
  </si>
  <si>
    <t>0x1e7f998ec49840e4f851b95a28689634d4344e8c</t>
  </si>
  <si>
    <t>0x1e8b708815e7c7282668d6f59bbd6bb1b10faea7</t>
  </si>
  <si>
    <t>0x1eb05b19369109d7c8df573adf20ed659119196f</t>
  </si>
  <si>
    <t>0x1eff5a18d20e74c5cc2fc289ddd4bab953b53732</t>
  </si>
  <si>
    <t>0x1f05d6453d671f744154f80dcccb6e7f1613d0dd</t>
  </si>
  <si>
    <t>0x1f167d79c3773de066abbca3133a86eea65edbd4</t>
  </si>
  <si>
    <t>0x1f34fcf71e88827df9e5bfd49d3caa989b3cf9ba</t>
  </si>
  <si>
    <t>0x1fa30bdebaf2ad9f63ec65038d021651c0823d78</t>
  </si>
  <si>
    <t>0x1fba21c3aa6456ec6af68baa905f0f9021c66bd6</t>
  </si>
  <si>
    <t>0x1fbe7279da134c53fa521f5ee65891948e775e17</t>
  </si>
  <si>
    <t>0x1fd5de9575eacb1f08581ae2bef075fa5444db89</t>
  </si>
  <si>
    <t>0x2012df147d069eb12dd088c5318d148471f2c9ee</t>
  </si>
  <si>
    <t>0x2025153da87998b0886e0247ef60d8c1ea1d1956</t>
  </si>
  <si>
    <t>0x2029192a80947fdf2d78bb674e31d9ddb6808bf2</t>
  </si>
  <si>
    <t>0x20530644c5fef0ca965f3a36678df7988713efc3</t>
  </si>
  <si>
    <t>0x207230e06e14d1fa94e703f4784f819667472247</t>
  </si>
  <si>
    <t>0x20751093031f6c493dcc65166cda90616fa231b4</t>
  </si>
  <si>
    <t>0x20769d03e13365d0638c826e36d9cd3f13cb889a</t>
  </si>
  <si>
    <t>0x20870ecec578499b32a6cbd5efa7c3ecc23a54c0</t>
  </si>
  <si>
    <t>0x2094e9d573c7de072f1c33186b4ef018a12ac6e7</t>
  </si>
  <si>
    <t>0x20aea88cbe386117df11eaf1e5d4d85689ab4b2f</t>
  </si>
  <si>
    <t>0x20c5b7ac6f7ff39d0b07723a415240531eede748</t>
  </si>
  <si>
    <t>0x20cd8fdbd87a2675878aa0ae4f2573118b39d74d</t>
  </si>
  <si>
    <t>0x210175a3d143cf8419c8a1d364d3cc048dfda6eb</t>
  </si>
  <si>
    <t>0x2107d9b498635001c6178e8ec508864d348a7411</t>
  </si>
  <si>
    <t>0x211c4e604dfb2c6b3f69d6632fa9cbf30ad5e3ab</t>
  </si>
  <si>
    <t>0x211e6fb9bff54e10e3ebc09876027fe349bb106e</t>
  </si>
  <si>
    <t>0x213adb059e4b51876107eb198a758a53933e91b6</t>
  </si>
  <si>
    <t>0x215f9942a21eb2cd08074395c896cb4b36189553</t>
  </si>
  <si>
    <t>0x21706465576de87c29da6ec2f5380a194afe7c7d</t>
  </si>
  <si>
    <t>0x21b87c773e4aeca81428ff8036880601ec62d148</t>
  </si>
  <si>
    <t>0x21ba29cce1b4a9c8cabc2ecb71070d4cfc6ee263</t>
  </si>
  <si>
    <t>0x221a8a5351df3236a8f2b0f8ac65fc33edc304a8</t>
  </si>
  <si>
    <t>0x22206b102f5605aa439b64e5fb6284f8b32c527e</t>
  </si>
  <si>
    <t>0x2239b198353d8be47f36a2d2c0363f89df793b89</t>
  </si>
  <si>
    <t>0x22441101146f9a1faa389845a5008e6bd16549df</t>
  </si>
  <si>
    <t>0x2278a28b35565143902f2ab2d6bcb209891b901a</t>
  </si>
  <si>
    <t>0x227ae1d320b68ef0228f67178c9ec6a6b263bf57</t>
  </si>
  <si>
    <t>0x22801922544fefc518e1c80fba92f633fe58161b</t>
  </si>
  <si>
    <t>0x22b60248c77fb0cdf3f442b328dd5dedf3cbc70c</t>
  </si>
  <si>
    <t>0x22ff41947f54abc453e3c811c6f679c66a73e4e6</t>
  </si>
  <si>
    <t>0x2307d9ecba596ce9569e779f1e6af80a1abe1b73</t>
  </si>
  <si>
    <t>0x23097642e7facb0bc32205ff3ceca5b967f66559</t>
  </si>
  <si>
    <t>0x232b8b3f94042d7495a6de2affb25a29a868615b</t>
  </si>
  <si>
    <t>0x23447abbe6027c3848448a8ff28d1ecb8c0dc9d5</t>
  </si>
  <si>
    <t>0x237e65879a87a5fbadbbaf20cb5020da0443fb22</t>
  </si>
  <si>
    <t>0x2382d652609b3c36b468d8b420feb86a546469c5</t>
  </si>
  <si>
    <t>0x23b4c21e96bb213c1563f6f189131a570ba94718</t>
  </si>
  <si>
    <t>0x23cdf576595ea22461044f6317bb0d4a64c60d01</t>
  </si>
  <si>
    <t>0x23d326bfafbf877d9bede74d3900ba56235cf523</t>
  </si>
  <si>
    <t>0x23dd413e550d84ffe5456e0a95292b2c6b35064c</t>
  </si>
  <si>
    <t>0x23e9cb31580c55a18fcfe0f97d01fe4e563dfda7</t>
  </si>
  <si>
    <t>0x23f39770810a68283581acc62b0f0f5c089a8e8c</t>
  </si>
  <si>
    <t>0x2450b3152d9b613df2040ff9a6feda97f3d7ab3c</t>
  </si>
  <si>
    <t>0x24656b0065642041ed6f0a173eb6bfd8269957fd</t>
  </si>
  <si>
    <t>0x247cc82258d1df00a7afca507437e043c6998567</t>
  </si>
  <si>
    <t>0x2499d01ed49350e6fbe464502f112d64d5303a9a</t>
  </si>
  <si>
    <t>0x24ba98d7bc70b43598fdcdfd68d21332192058c2</t>
  </si>
  <si>
    <t>0x24bbff32367f805289f43c9b33a94c7eb7098653</t>
  </si>
  <si>
    <t>0x24d85cca75c5bfb55aaa5c5458e1202d9234f446</t>
  </si>
  <si>
    <t>0x24e39e7cd8a9c0f0e325a7b1dbd99b71352a77ad</t>
  </si>
  <si>
    <t>0x24e5195c726c7fcebf97f486c841b1f3e235f966</t>
  </si>
  <si>
    <t>0x24e98a21aeae5f977ea8f59611e63df8c6af49b0</t>
  </si>
  <si>
    <t>0x24faa0f8d568b0c6497c47fd13cbf67083451913</t>
  </si>
  <si>
    <t>0x24fbb3ccee91409bd6ec559c50660215aa35e04c</t>
  </si>
  <si>
    <t>0x2533aa210319896799afdc5c111b3a737848a83a</t>
  </si>
  <si>
    <t>0x25681b4ed236fbb1b28731902d40536cc4b08ef1</t>
  </si>
  <si>
    <t>0x25904c20f1cd3c74befefed3d2ab6566d845c8b5</t>
  </si>
  <si>
    <t>0x25935dd64142509b70e2e70c8bf112529f3f8af1</t>
  </si>
  <si>
    <t>0x259573080654871f261c3e639c09bc03a7146558</t>
  </si>
  <si>
    <t>0x259d90836030e4d672b4264389adcfed713f7629</t>
  </si>
  <si>
    <t>0x25c8196dbdf8eeb6fb7e0ceddd891f709bb26c3b</t>
  </si>
  <si>
    <t>0x25c9af57507c67966edd16e54b5784b7845fc889</t>
  </si>
  <si>
    <t>0x25d0423d8b4b57c7d39462d2ae3990ac6266397c</t>
  </si>
  <si>
    <t>0x25eae14113d4fa2ef209358019f6c2e78f0f2aba</t>
  </si>
  <si>
    <t>0x261da2ed0bae15cae458c39fbb0687a3ecaea813</t>
  </si>
  <si>
    <t>0x26331fdb8e6cd9e99f81c4dc4412045295048152</t>
  </si>
  <si>
    <t>0x2635547f04c9811705e69fd46a0aa8df044071b1</t>
  </si>
  <si>
    <t>0x263ad805f71ce011a00c241799f93cc9a7ba52f8</t>
  </si>
  <si>
    <t>0x265f0e32b8730d42dc3dfb862cce6404198ae36f</t>
  </si>
  <si>
    <t>0x2697ed814eac3dfb51ec7529154d601b3cc8c2d7</t>
  </si>
  <si>
    <t>0x26b19ad87d76cf2f78fd83b35a1e5b71c55d220d</t>
  </si>
  <si>
    <t>0x26b7b6ef9b17411920c02efcbbfbae32c305fac3</t>
  </si>
  <si>
    <t>0x26c530c226b32068a7c8863a8134bd3eb410c648</t>
  </si>
  <si>
    <t>0x26cbe27c2e3d3f73ef9f83c01e1adf8d006b488c</t>
  </si>
  <si>
    <t>0x27169dab45dcce0ae89b890eb507cb7c99fd192e</t>
  </si>
  <si>
    <t>0x27226b6a0e3cd2e8b38eb84a6a6acdf409516b2f</t>
  </si>
  <si>
    <t>0x2725a80f72c5090bbf4999ba2ea3ca408f7100ab</t>
  </si>
  <si>
    <t>0x275108c2f501aeb491a131e3445e2d0b16eaf2a5</t>
  </si>
  <si>
    <t>0x27575ee2781c8a85cb4470411e28100d1501780a</t>
  </si>
  <si>
    <t>0x2757af367e344010b14362e59b4d9f5ddbb0ae1a</t>
  </si>
  <si>
    <t>0x27ae4fa8f8a51cb76930623879bd531f18e4817e</t>
  </si>
  <si>
    <t>0x27b6bf1ede4c887e4795a78335730a08dcf314a4</t>
  </si>
  <si>
    <t>0x27b747d72588493fb5397813b368581e7b13a7d0</t>
  </si>
  <si>
    <t>0x282bb01bda10456f022af337a6e00195a41c2782</t>
  </si>
  <si>
    <t>0x2841b0731d0946934002c1a37379b9243eae64df</t>
  </si>
  <si>
    <t>0x2845da05fdc16cdd4778005d6b144b429098beed</t>
  </si>
  <si>
    <t>0x287ce9f5893a9a157eebe3054d73694f53e282f4</t>
  </si>
  <si>
    <t>0x28da154e7b2d9e3daeec7d36e8e9677f53834e6a</t>
  </si>
  <si>
    <t>0x28e68b92dd41d3aa2a469cb385a7bc04e85647e4</t>
  </si>
  <si>
    <t>0x28ecb8cc08fd3ad7041173e63fe15cc93fb9fa83</t>
  </si>
  <si>
    <t>0x28efa493ae326a0b27f08149347636e909b14cbe</t>
  </si>
  <si>
    <t>0x29022acb1c0e306b7a18fc3572b40244671ed9a6</t>
  </si>
  <si>
    <t>0x2947e2ac5dcf9f1410051ca7bebeab9362e44e25</t>
  </si>
  <si>
    <t>0x294a41635000977404c6a9a51b388bbe7722fbc1</t>
  </si>
  <si>
    <t>0x2962f0fff2302291c4d202f1c3e35df980c5baca</t>
  </si>
  <si>
    <t>0x2967ca89c96792e938d8475d81fc66c8180490e0</t>
  </si>
  <si>
    <t>0x29d6d6d84c9662486198667b5a9fbda3e698b23f</t>
  </si>
  <si>
    <t>0x29dcdfaf425f546b9885469df01313ccc2786db8</t>
  </si>
  <si>
    <t>0x29e433a7da5ed6cdb2678bb0b4bda234ea2703fa</t>
  </si>
  <si>
    <t>0x29f15a56cea8877a6a68e03f4ba3bc154ba2cd45</t>
  </si>
  <si>
    <t>0x2a01080ca422d64b226dd0874650b45336da5dbf</t>
  </si>
  <si>
    <t>0x2a05187a88527934bf8cbbeb2da0b034a7ffceca</t>
  </si>
  <si>
    <t>0x2a39fd94e139952c3958e69172ba918d8f533571</t>
  </si>
  <si>
    <t>0x2a5e72f7dc1b03624a0644279731f2deb760887d</t>
  </si>
  <si>
    <t>0x2a7b3760651334bdc5020394a5a9536b5e904da8</t>
  </si>
  <si>
    <t>0x2a800cc466e71c9529d0742f8945c4beb1e99e5a</t>
  </si>
  <si>
    <t>0x2ab831fcefff1cfbd897047d88ccc9481ddaf728</t>
  </si>
  <si>
    <t>0x2ad3fc16a77205def19eee18ccd92dac5ee71ebb</t>
  </si>
  <si>
    <t>0x2ad550f8d6de71a8acaa69319458d66d5acb8dc6</t>
  </si>
  <si>
    <t>0x2ae42274c4e0a45b39c3934cfcc83a66776afc0b</t>
  </si>
  <si>
    <t>0x2aff04392c35df7d4e4ebbe6560d4092f5933c65</t>
  </si>
  <si>
    <t>0x2b5b05eca777a2c4440bc8ee3cdcd1e55f1fd2f7</t>
  </si>
  <si>
    <t>0x2b78772b7e54a05015bf0faaac98f0449a44511e</t>
  </si>
  <si>
    <t>0x2b79a0356c5947080af926dfdccd8524e899d51c</t>
  </si>
  <si>
    <t>0x2b9cc8553a0530e4d5bc21196e56b9e0e1f3792d</t>
  </si>
  <si>
    <t>0x2bbc8b952f8c55a8d5a535a648f6346fef3abe50</t>
  </si>
  <si>
    <t>0x2bfc1a3af4dffd6362b185bda271efb9c603652e</t>
  </si>
  <si>
    <t>0x2c02f4e22b9737c93ab83b4e479893d53b492fd0</t>
  </si>
  <si>
    <t>0x2c1fcbc10f6d84ec856ac619a0badcf68be9ee96</t>
  </si>
  <si>
    <t>0x2c5acd0d7ed19a54d27787600ba6aa3797e10201</t>
  </si>
  <si>
    <t>0x2c6e587277f2b1f4dd7f325b7905580554da3bc2</t>
  </si>
  <si>
    <t>0x2c963589fb5127a72a7319fa9112dae397d4cd2c</t>
  </si>
  <si>
    <t>0x2c96d1b1fdc07fa23b9274150b9022f1b7945dcd</t>
  </si>
  <si>
    <t>0x2c994a5d895a25f0d48d31155a39facc31c6cea3</t>
  </si>
  <si>
    <t>0x2ca01e0b8c77dc90f2d99cc6aad5989bda6f78c7</t>
  </si>
  <si>
    <t>0x2ca580eb6c276f3292903f986f2268d27491d5c3</t>
  </si>
  <si>
    <t>0x2ca6cbca20034eb5b871ec0e8bbe1993c82a6024</t>
  </si>
  <si>
    <t>0x2ca9cd8c977aa3eceb277fe0fd686dbc3b63eb5a</t>
  </si>
  <si>
    <t>0x2ce1e46ccf824d1b09a24b7964be3f99101b01ac</t>
  </si>
  <si>
    <t>0x2ceb2fa25524529150ad0e32419629288cff65ef</t>
  </si>
  <si>
    <t>0x2cfa322f54402c8e0a1cf05e8ad7a2a5ee9b0ec6</t>
  </si>
  <si>
    <t>0x2cfe001ab3a17ddf4bb8572836e37d3ca71024b9</t>
  </si>
  <si>
    <t>0x2d39c7c5c8ed46f374b6dd8b13d80d39debf32f9</t>
  </si>
  <si>
    <t>0x2d631b3043cb87fee23d9dc25c0b6aa4610ce018</t>
  </si>
  <si>
    <t>0x2d7b356cc7ae278c50918ee0cb95abe3ec56452e</t>
  </si>
  <si>
    <t>0x2d8d44a96c75c3561be46984a90eca3d9475448d</t>
  </si>
  <si>
    <t>0x2dae2613a5f99984e87a2d8adce9cd679230ca0e</t>
  </si>
  <si>
    <t>0x2dd24caff87f2d4ee625d4b9fcbf83e46246cdd0</t>
  </si>
  <si>
    <t>0x2dd3de1c1c57ba08ff5dafc06b1c92ebc58bce7f</t>
  </si>
  <si>
    <t>0x2dd437ed80a0528bbc2e7c316faf347c72135204</t>
  </si>
  <si>
    <t>0x2de1ca87dbb4abe06df995c3ad185aedd7c6ef73</t>
  </si>
  <si>
    <t>0x2dfbf075bbf541744f946ed97be710f5f12747b8</t>
  </si>
  <si>
    <t>0x2dfd904cf2d0823fd0f503c3271c444cac2132ab</t>
  </si>
  <si>
    <t>0x2e1a3e79c5fbfa72d5bf42ebdd4cbca7b3da5cb1</t>
  </si>
  <si>
    <t>0x2e210253fb6382366bd29d885201e9c08531a5e3</t>
  </si>
  <si>
    <t>0x2e354d027924b000ba3dcdbdb458104cc2cc0fae</t>
  </si>
  <si>
    <t>0x2e45597368f090bd88b154a88d03a65b014bb6da</t>
  </si>
  <si>
    <t>0x2e4d4a45640a9c76540555e441e70066e72cd55d</t>
  </si>
  <si>
    <t>0x2e771628e765c04a06252801177332d078a19a21</t>
  </si>
  <si>
    <t>0x2e7bfe7b1689070b282bf96f79ae7fd2db7f790f</t>
  </si>
  <si>
    <t>0x2e9303c2787d04ffcc1e504327eeb2280a3e0513</t>
  </si>
  <si>
    <t>0x2ec48f301c6d99217ccfa3209beb7e192533d504</t>
  </si>
  <si>
    <t>0x2ee8332e3fb1f300ce46d8d92b874a48d00e99bf</t>
  </si>
  <si>
    <t>0x2efe273a26021ebad0bd1f74ff5fd12128460077</t>
  </si>
  <si>
    <t>0x2f35ebc7a51413677cb52194138c222eea6404f0</t>
  </si>
  <si>
    <t>0x2f380ab9deeba3b7b7649833406f82bce122b2e9</t>
  </si>
  <si>
    <t>0x2f595c056e785e13579128df27cad2968d034ba4</t>
  </si>
  <si>
    <t>0x2f5b3356123d3f620013c1dbf4cebd1b5f65f36f</t>
  </si>
  <si>
    <t>0x2f657a6221f6ef146d11da02bd29388888ff4491</t>
  </si>
  <si>
    <t>0x2f866300cdbe379df062cf499b3d6ba6644d7d25</t>
  </si>
  <si>
    <t>0x2f8b7c1691fc37de234f5f5da6000e13fdcd361d</t>
  </si>
  <si>
    <t>0x2f9652c7a88eef7927d5314dcfe5478c56a1b0ec</t>
  </si>
  <si>
    <t>0x2fa2e0f5b613999e00513ffde9aa1ff80ecc86fc</t>
  </si>
  <si>
    <t>0x2fbf15c83b0b714dd8a0ec3a2616a74376a4246e</t>
  </si>
  <si>
    <t>0x2fc34e7091cac94903ebfab2f4cddb5183fa567a</t>
  </si>
  <si>
    <t>0x2fdae8f8c93c00a010d2ef401ab9a17889c293af</t>
  </si>
  <si>
    <t>0x2fe16a67a1bee772091de87504571ead62461b5b</t>
  </si>
  <si>
    <t>0x3021f88ed12051f74798d0a115ff2b9becd1a687</t>
  </si>
  <si>
    <t>0x3024ed33d6be2cc4f5173e3f8384e17de279336f</t>
  </si>
  <si>
    <t>0x30352bbce30379e46f28205826ec672622b3572b</t>
  </si>
  <si>
    <t>0x303be27a459b6855197052e4526994116ce3c3b1</t>
  </si>
  <si>
    <t>0x3048ec9806174f8ca951248c0d12ded9cda58cda</t>
  </si>
  <si>
    <t>0x3073a49de168ed966d7672733debaaee9f44e0bc</t>
  </si>
  <si>
    <t>0x309156fcb6d32e6a117e578553df76b326b62e28</t>
  </si>
  <si>
    <t>0x30a6a0931195ec35aeea531e74015a959ca73f9e</t>
  </si>
  <si>
    <t>0x30b0c1f43dcf5783f21ec888be8709d98509b0d3</t>
  </si>
  <si>
    <t>0x30d835d1abe9a88fbd4ff7ef2e221a372688258e</t>
  </si>
  <si>
    <t>0x30e996409627d6b820a5f7c9ff413680aad694cd</t>
  </si>
  <si>
    <t>0x30f0a1c19b1b0103cf23603951edd18788ea2a7e</t>
  </si>
  <si>
    <t>0x30f0e0eb6f2888562974740c343bca1a2f1961fe</t>
  </si>
  <si>
    <t>0x30f967d437538a2b589f76c10abb43e035444065</t>
  </si>
  <si>
    <t>0x30fe0d8d2d81ea568ff60b6e28ab74eb7e548cb0</t>
  </si>
  <si>
    <t>0x311e49cff57111a7fe2e6d7bdd03874dafa2efac</t>
  </si>
  <si>
    <t>0x3136bf1ebc4f6225d2b7aa2965a7498948596bb5</t>
  </si>
  <si>
    <t>0x313a0b647c5e05347e25d92c17866a8bb486332f</t>
  </si>
  <si>
    <t>0x31713c913399dc88808b64e86429a0c748a060c7</t>
  </si>
  <si>
    <t>0x3180c70a403ec1e65de4eeb1a7ca23a5c11c4171</t>
  </si>
  <si>
    <t>0x31973ce340bba4b5711e637e658696472e4384e7</t>
  </si>
  <si>
    <t>0x31c919723c29f5efe10cee0c28789f85946ac6b9</t>
  </si>
  <si>
    <t>0x31d106ae61c02c937386d8110f9dd497d623a049</t>
  </si>
  <si>
    <t>0x31dd3bceb6f8fd6d944c851c963ddc7145046f16</t>
  </si>
  <si>
    <t>0x31f0e0142067f74dde6166ce03d6b007f29a2da5</t>
  </si>
  <si>
    <t>0x3202b6139dc9c991cdb8a3acea318872b92af1b6</t>
  </si>
  <si>
    <t>0x321dcbb52282dfb4304d12e431c095095e1d8807</t>
  </si>
  <si>
    <t>0x3249c72d2dabf00f8d2083de9852f0900da5b3d4</t>
  </si>
  <si>
    <t>0x32527ca6ec2b85abaca0fb2dd3878e5b7bb5b370</t>
  </si>
  <si>
    <t>0x325409632bccffac706d378a2eca57cafa21ab11</t>
  </si>
  <si>
    <t>0x3273b47cd24f798735e9d6e4a0fb853055873ecb</t>
  </si>
  <si>
    <t>0x327df7dc9cd89ac4928217d715ee7a074be13c64</t>
  </si>
  <si>
    <t>0x32bb6d2fdf96b7dafd506bb06d2dcb64cf75b3a7</t>
  </si>
  <si>
    <t>0x32c51b4497fb063bdc899f24efd376bf9390f9f8</t>
  </si>
  <si>
    <t>0x32de0d22b267c84655c1cb103d25a7d076491ea5</t>
  </si>
  <si>
    <t>0x32ebe13827da21d1b3e0ed39d5ac19877ba8c03d</t>
  </si>
  <si>
    <t>0x32f15512417160a2bcf2b188bc52759e710bb701</t>
  </si>
  <si>
    <t>0x32fa4c9ec4c70ef1287474d4332e24c35a6dae30</t>
  </si>
  <si>
    <t>0x331ce0086f3f27e328ea7c236fc5ff22cb777433</t>
  </si>
  <si>
    <t>0x33246dc26eededa2aa9f6ffe7f1425b7ce4a0b5a</t>
  </si>
  <si>
    <t>0x33606a65801be4cdd0c40c1e6b59f13165352e50</t>
  </si>
  <si>
    <t>0x33612de43472ba67bb8d25675cf0d9fcf7cc64a6</t>
  </si>
  <si>
    <t>0x337b9a57187d7c80a7ba8f773512403a0edcc14b</t>
  </si>
  <si>
    <t>0x33822df32268e7befb00775cb808278e53eb4341</t>
  </si>
  <si>
    <t>0x33bf568ef0f436b009a81520f9bccf8e2124d18d</t>
  </si>
  <si>
    <t>0x33c08a350b61e200e9838bb20a216ca9cdff8852</t>
  </si>
  <si>
    <t>0x33c605544d15d8530a85509cf343ca50d8850439</t>
  </si>
  <si>
    <t>0x3403911edcfb7cab9269b7f20ccb489f9e309d38</t>
  </si>
  <si>
    <t>0x3410d98a5a36684f588aaab92d2babd1b6a544fe</t>
  </si>
  <si>
    <t>0x34307ab8a2503663fe882433f2ebd07d6fd52685</t>
  </si>
  <si>
    <t>0x345fa4f148bfdca72ad3590f7986c537e8067ea3</t>
  </si>
  <si>
    <t>0x347545b9406a0732f570a82e0de918ea36a1508c</t>
  </si>
  <si>
    <t>0x34beda774efa7c62db9f5ef6154995ab02975e42</t>
  </si>
  <si>
    <t>0x34dc8eebb875219b7f1971d3d4039300e93ce5de</t>
  </si>
  <si>
    <t>0x35228063121561186590b07c3dd15722f7b14833</t>
  </si>
  <si>
    <t>0x352689065c1c31e1af5a005be49fdb25ebaa06e4</t>
  </si>
  <si>
    <t>0x353651a9e88ac04dc0aaffbc24c7770e85adf36d</t>
  </si>
  <si>
    <t>0x35706dfbe28425dc831af3517b41b176e009cd0d</t>
  </si>
  <si>
    <t>0x357a403636a6a95bb31b4be3a798a49a87502a8f</t>
  </si>
  <si>
    <t>0x358a9b19154586a4475966ef33b088f68df6ea7e</t>
  </si>
  <si>
    <t>0x358c64ccba390b01c06324c8140e928ddfc824ff</t>
  </si>
  <si>
    <t>0x35a53dec7c72eae9dece3250d13a8dbfdba51919</t>
  </si>
  <si>
    <t>0x35b6f51bf7891088d67e7d82d3474bb2a928b2d5</t>
  </si>
  <si>
    <t>0x35da32b2539ea48388a2824c16355ad13f5d25f7</t>
  </si>
  <si>
    <t>0x35dcc3066117ff6b93855caec5fcfea5efa9acb0</t>
  </si>
  <si>
    <t>0x35e721cea643f8b26ade40770801408120b4ab68</t>
  </si>
  <si>
    <t>0x3607d9c44ecace1f2fbfd7360cc1112bed30f4e2</t>
  </si>
  <si>
    <t>0x36488ef176ce7cd3bce35ab0f3461a15d7aab593</t>
  </si>
  <si>
    <t>0x3673348670de83fb61f65bf4eda6270e92c41c60</t>
  </si>
  <si>
    <t>0x3673cf19b6efb296e29d9b07666e9625ed63cfe1</t>
  </si>
  <si>
    <t>0x36764dc553427b6b4832911c31fe78df19bf0b4e</t>
  </si>
  <si>
    <t>0x369905fd5b412050943484d268a682b2893025f1</t>
  </si>
  <si>
    <t>0x36ba12ed18d97c8897243f85693459b5d00c3246</t>
  </si>
  <si>
    <t>0x36cc35145dbea5a020ddde8c37818996c0f3480c</t>
  </si>
  <si>
    <t>0x36eb310613f00539fe8ffe6f9b54edeee36fb69d</t>
  </si>
  <si>
    <t>0x36f9b4dbd230350181fce5ddf63a7bdd293d1dc0</t>
  </si>
  <si>
    <t>0x37035e0720d7d230eb763dac8226debdcf22cedd</t>
  </si>
  <si>
    <t>0x3706e52e54904265f9fb1dda9918c143d619dce4</t>
  </si>
  <si>
    <t>0x3721c97e0282a1fba7dab91fd570813fb4e9df2a</t>
  </si>
  <si>
    <t>0x372a16e8c538666e333d33a6d5cdaa0d76a4057e</t>
  </si>
  <si>
    <t>0x372a78286ce48462102976f81b28529aaca45c7e</t>
  </si>
  <si>
    <t>0x3731696c9b5098beacf8dd03ac00c30bba979806</t>
  </si>
  <si>
    <t>0x37378245d4c1167e05c9e3755864350a07005a43</t>
  </si>
  <si>
    <t>0x374e0a3b92c09466268e8070a47d34a1277e4207</t>
  </si>
  <si>
    <t>0x3796b96c3807d0469db00638e405f8d469d0b76d</t>
  </si>
  <si>
    <t>0x37b7116cf75cdd38a8673e6e8db02920fe7faa1c</t>
  </si>
  <si>
    <t>0x37fa2d0167b3bcb5327ea54449da1734c1436454</t>
  </si>
  <si>
    <t>0x381dcd13738d9347b84bc5fd67acab6edfde341f</t>
  </si>
  <si>
    <t>0x384594b5542636194ae9b775d36a4609523daee1</t>
  </si>
  <si>
    <t>0x38850b7e965f2ae3bf3cc6429f041267bb753a0b</t>
  </si>
  <si>
    <t>0x389b8bd4fac72ff9aa5fd888a4b3283ac4c14b28</t>
  </si>
  <si>
    <t>0x38a1744b93a7c5737324eb64990c1b2ffc133954</t>
  </si>
  <si>
    <t>0x38b3782990c30c47a2db8622c06f1924eeaef825</t>
  </si>
  <si>
    <t>0x38b41dd55280b70a517e5a0c62645631252014b1</t>
  </si>
  <si>
    <t>0x38c1649b72fd245e434b9db29f6148a90aa7ca12</t>
  </si>
  <si>
    <t>0x38d24dc0a7d2e703bfce8b42ff736b8d9f2a15a9</t>
  </si>
  <si>
    <t>0x38e1b51903bab685e36db62a09195c78bb432fd1</t>
  </si>
  <si>
    <t>0x38fa477204ee95af2c944ee54b48195eb3eb2ca0</t>
  </si>
  <si>
    <t>0x38fe68f5bd22ed1fe79f3c66705530d4fccd1a2e</t>
  </si>
  <si>
    <t>0x3917f177e33cf15341e2b5d993bece88086497f8</t>
  </si>
  <si>
    <t>0x391fed3582e2cbb40a3c6eb45a8cd34e3b01c360</t>
  </si>
  <si>
    <t>0x3951e4b34abcc8d39882f396cd9334109e8b3cba</t>
  </si>
  <si>
    <t>0x39592f004b111a777e7634f033afb350f0565812</t>
  </si>
  <si>
    <t>0x396f7fc0888ed32fa32a2c359227ba609c69c369</t>
  </si>
  <si>
    <t>0x397dc37a7871a32552bc27668a3333750139f3bf</t>
  </si>
  <si>
    <t>0x39983c280c4bc6c3801d3317f817bb4cbb562927</t>
  </si>
  <si>
    <t>0x39a0720326a58e5353d008e15d317a834f8ab2a4</t>
  </si>
  <si>
    <t>0x39bbb8c321fdf88804c4f82487cb91115f1ec780</t>
  </si>
  <si>
    <t>0x39c68804479053acc2f410113ee7dfa0c85b16ba</t>
  </si>
  <si>
    <t>0x39ebba0b14518e53bdf8d36fd71e2cb1c54640e3</t>
  </si>
  <si>
    <t>0x39f58878f8d09d417547fec123f76bf7c800d055</t>
  </si>
  <si>
    <t>0x3a056727016942d5a74979cafdef96b87cb69ed3</t>
  </si>
  <si>
    <t>0x3a1361363559a8d968b2540cc9046eead5193823</t>
  </si>
  <si>
    <t>0x3a13de9db34b6f333504fc669b12c63cfdf48d1a</t>
  </si>
  <si>
    <t>0x3a1711bce829e721c83a20dd05dee70b8a4bb644</t>
  </si>
  <si>
    <t>0x3a22e50f41f0d14be1793adcd37c300d4172b1f3</t>
  </si>
  <si>
    <t>0x3a3421f7d6c7a6c51f514db6afa497421f585bf6</t>
  </si>
  <si>
    <t>0x3a7d9c281bae8b67c951a28fb443c04d99cd03ef</t>
  </si>
  <si>
    <t>0x3a933dd7a1f6de612ff51482685725401eab5c22</t>
  </si>
  <si>
    <t>0x3aa15fccb853bd7fd2ecfcaed576e42e36baea12</t>
  </si>
  <si>
    <t>0x3ab2ef1c5ed8d5479d38a32b36e7609a3bc48893</t>
  </si>
  <si>
    <t>0x3abfb638d0e33e053034e32701c7f8576f53119f</t>
  </si>
  <si>
    <t>0x3acc67ec260be0ec8d5c0d327f6eb5d5e8dd9553</t>
  </si>
  <si>
    <t>0x3ad2f5c9e75fc49c7c894190560af4e706ba9abb</t>
  </si>
  <si>
    <t>0x3adbab7cd849abad03e3d27feb514adcab6cd5e3</t>
  </si>
  <si>
    <t>0x3ae000d762c5ae37f518b6cb45b9ea0d919bbb68</t>
  </si>
  <si>
    <t>0x3afab880ef505402ce08125ecbf886f3a7480a55</t>
  </si>
  <si>
    <t>0x3afba67d4cc53d9b401bd202d7ceeb20c5c46215</t>
  </si>
  <si>
    <t>0x3b0377a4a8d7d3dc4c283d0fcfa297e98bb30f9a</t>
  </si>
  <si>
    <t>0x3b06e12c22462e978d6018921f3f4a6457816842</t>
  </si>
  <si>
    <t>0x3b0dd9d44d85614995fb30b0a5ff5b40d414d456</t>
  </si>
  <si>
    <t>0x3b4979f93bc513c64c85877b62262c2a4bb91847</t>
  </si>
  <si>
    <t>0x3b4eaa66d0b49298052a9c875adc671be39d38c4</t>
  </si>
  <si>
    <t>0x3b6a7981738c0634002b3a8790b313d96ac6c33b</t>
  </si>
  <si>
    <t>0x3b85a5e3f0d41559298e3fb9604e6877c5652bd5</t>
  </si>
  <si>
    <t>0x3b865a84b35402b0f7fbaf9c06e6acdf9d08b134</t>
  </si>
  <si>
    <t>0x3b8ebf0f799d3ae4b3fa3408f5f549a9c8e3f9e6</t>
  </si>
  <si>
    <t>0x3bd601e09450aaf250b68f43910013f5ee62c596</t>
  </si>
  <si>
    <t>0x3c378dc6133aa69dcba2d98e896c52b8032d688f</t>
  </si>
  <si>
    <t>0x3cd95bae6654e0b17409c5d019231d3c0a34d084</t>
  </si>
  <si>
    <t>0x3cdc97725ab4aa56f0f25dd26c9e07a40d58556c</t>
  </si>
  <si>
    <t>0x3cea62add13c034cccee6ff6bfa4f0fd6d6727f0</t>
  </si>
  <si>
    <t>0x3cfad5d67249de057bc1c9b47eb8a0cf7b4f6cf5</t>
  </si>
  <si>
    <t>0x3d18ca9f28bf557290bbb4d40d35fa4bb3d67cbc</t>
  </si>
  <si>
    <t>0x3d42c725d9cbf782d1476cc704e7500f0cf58d8d</t>
  </si>
  <si>
    <t>0x3d43db5f41667dd319b05e6a701d55b6ef96ae80</t>
  </si>
  <si>
    <t>0x3d76d0c0b9fd5a9854a99eec256c8f7da2264720</t>
  </si>
  <si>
    <t>0x3d7a308de602c969d629d7f16ae3b3433191dcff</t>
  </si>
  <si>
    <t>0x3d7e2b8164541ab06175de7ddff0eaa5cd6396b3</t>
  </si>
  <si>
    <t>0x3d82bd8155005dd721dfdc311534cfde980cd11c</t>
  </si>
  <si>
    <t>0x3db6031a07995e4796b252e0bb1507f91860ccf7</t>
  </si>
  <si>
    <t>0x3dd64531bc2a5f8f452003794b129f84b977718a</t>
  </si>
  <si>
    <t>0x3e1bae525e81a6b413a136c2b3d246fad65605b1</t>
  </si>
  <si>
    <t>0x3e376cb42215e1dfb04af1f2e4685f175f33a2f8</t>
  </si>
  <si>
    <t>0x3e379f4304319a302a49d5aed685159c81ad8ebc</t>
  </si>
  <si>
    <t>0x3e8a0dfe0afaac4818100f03f3872c0b978620a7</t>
  </si>
  <si>
    <t>0x3edcc477e0db38456b6b19dcf17ad9a0efd53cd1</t>
  </si>
  <si>
    <t>0x3eff13ee2aab07ddad66bdcf017c48e8a7768a66</t>
  </si>
  <si>
    <t>0x3f312f24a1e9043735284d93dc7f9d45501bcc2f</t>
  </si>
  <si>
    <t>0x3f4bc2b26afb83fce73c02305c8e142df72a09ee</t>
  </si>
  <si>
    <t>0x3f4e56e627950982ded80fe41d6ad871c79e80a7</t>
  </si>
  <si>
    <t>0x3f528b81fcff07f56128a431fdc64d94d3403afe</t>
  </si>
  <si>
    <t>0x3f6aab3bd4a024ae0900a4aca0f8ce7db65dec8b</t>
  </si>
  <si>
    <t>0x3f73561dbed168d1760920e6191fa2aa2b563269</t>
  </si>
  <si>
    <t>0x3f9517ac3ccc311c84826fb000bc8df1e45c4b72</t>
  </si>
  <si>
    <t>0x3fba3d18218d79297e71dcefb8af18b83ce5d1b4</t>
  </si>
  <si>
    <t>0x3fc87b02b54985e4467a091204e7aa745b46478b</t>
  </si>
  <si>
    <t>0x3ff46e25ab4b729b94d2a5df1ac7dcba3b1a73d2</t>
  </si>
  <si>
    <t>0x400032c4574e1c753da750ea5594d773c3937264</t>
  </si>
  <si>
    <t>0x4001a40af106b22484ef923417f06d333b3e9575</t>
  </si>
  <si>
    <t>0x400969f35416cafb4905bb81663d22aba253b2a7</t>
  </si>
  <si>
    <t>0x400d85e08ab9fe960d781080a73223a7f271f58c</t>
  </si>
  <si>
    <t>0x4012d4b3dbd8272a96b7f45a3fb47e807f52e187</t>
  </si>
  <si>
    <t>0x4018008537d2acc4be1de2ffd22791043c2c7ab4</t>
  </si>
  <si>
    <t>0x40409954cb878a6384ec099e65106ad17b80fced</t>
  </si>
  <si>
    <t>0x404ea42b950982a9bdb6ba037bc1b3c9279a300d</t>
  </si>
  <si>
    <t>0x40636bf5b9c6a8c212cfb9f283f14c293db87a72</t>
  </si>
  <si>
    <t>0x4067edc2deaad4f837131c9d0ec5201bd296f058</t>
  </si>
  <si>
    <t>0x4075079befd93702710d55e32dba07260845d02c</t>
  </si>
  <si>
    <t>0x408c4e054a7ba972227c06477ab10f0d80f4be75</t>
  </si>
  <si>
    <t>0x40932dc5858a4ce40ff726f6d4472c338ac7e083</t>
  </si>
  <si>
    <t>0x40a644428b17aea6339ef08de753e240f04e71b6</t>
  </si>
  <si>
    <t>0x41104d00ed6076e26830512476d1f1e06378438c</t>
  </si>
  <si>
    <t>0x411150bf77260f446e6ac5c182981b949ab9502e</t>
  </si>
  <si>
    <t>0x4115bbd5df38f4103eb7648c6a25c1360b63fb2d</t>
  </si>
  <si>
    <t>0x412c31cf4b15dd2a4b320c3c476374d03419c9de</t>
  </si>
  <si>
    <t>0x412d2f2723daf4c6952e6b402827220bbbb8b9b1</t>
  </si>
  <si>
    <t>0x4152582f0110ff320dbcf86d344147784364112d</t>
  </si>
  <si>
    <t>0x4164a39dabcb13c555bd795a64c59a2b31febc9e</t>
  </si>
  <si>
    <t>0x4167c5825332c87ee73d035b97c43105a83f6880</t>
  </si>
  <si>
    <t>0x417f07daabcb952b982261670e1a401800ee3c4b</t>
  </si>
  <si>
    <t>0x41829bf198e70326c6685249400dd411b2c8e08d</t>
  </si>
  <si>
    <t>0x418664714a32aaeae9113183909eb8cfbd7cf868</t>
  </si>
  <si>
    <t>0x41951a191ec0c833db8c50c713a07b376d083cc1</t>
  </si>
  <si>
    <t>0x4197985d6c34b5f189982db500af56597ac21430</t>
  </si>
  <si>
    <t>0x41c5cf425ea8a9ba6a5fa6aba8f318e10ced9c97</t>
  </si>
  <si>
    <t>0x41ca37052d6f6c5ff804cc037551f1533a6fdc52</t>
  </si>
  <si>
    <t>0x41d43ea3416d23fca245407b5b474423ea2fdd69</t>
  </si>
  <si>
    <t>0x41e2ec54bd1df5bc50645d85e7564e56a3e74d35</t>
  </si>
  <si>
    <t>0x41ecdb88d85b60935f3dbbdbaa2ad45b50c2e26c</t>
  </si>
  <si>
    <t>0x41ee2014e6995012217416ac86f7251bd24ef53a</t>
  </si>
  <si>
    <t>0x42366746f6e40f64d84e48844fd6219be7ed0cd7</t>
  </si>
  <si>
    <t>0x423c05858a55e5d8d3b4f73581721edf4e3709d8</t>
  </si>
  <si>
    <t>0x424752dbccbbacba1f46be229f50d24dfe024230</t>
  </si>
  <si>
    <t>0x424cd658a2ee5679f3e3f315916a9f70c42fea70</t>
  </si>
  <si>
    <t>0x424d66882f13b620586ea5d7a22da105b0ecb2ec</t>
  </si>
  <si>
    <t>0x428795a32cbd5c431fed3ddcc9ca2afcb31b8b84</t>
  </si>
  <si>
    <t>0x4289fa60e5296de6e4fbce5f7e9b9dc5b7e884b4</t>
  </si>
  <si>
    <t>0x42a058d6c0def36ae3e935576850d0b0b7a72b95</t>
  </si>
  <si>
    <t>0x42c5d633ac3486115db8f5a23f7dbd4b0d259cc4</t>
  </si>
  <si>
    <t>0x42d2ba5d094964b5db944ed7f64e6ed8d6743112</t>
  </si>
  <si>
    <t>0x42d3f3c757d4fbed1ba9c501a8b9ab3dc2b19b3e</t>
  </si>
  <si>
    <t>0x42feec5c7e7d3c725864a2716ca357fa9993ccc0</t>
  </si>
  <si>
    <t>0x430fa7d339daf323a28c2a6f9173bd8d4ca41ea3</t>
  </si>
  <si>
    <t>0x4330e0919e21cb4b51d6e26aed8e888dc3cda686</t>
  </si>
  <si>
    <t>0x43634d29b94268bad0eb63d54e1c92362048d2dc</t>
  </si>
  <si>
    <t>0x436a9b03cba55a887382bf265a7196fd3c1c1f09</t>
  </si>
  <si>
    <t>0x4399fdd9fddeb907a18ef8ba7b28c7a057c3f973</t>
  </si>
  <si>
    <t>0x43f24bb977311a100efb20ac70ffc08960fa3421</t>
  </si>
  <si>
    <t>0x442bee95d7fea5217431a02a0df4d10bb1e85e68</t>
  </si>
  <si>
    <t>0x442e71efefa947cdf426e8cc92e58ad84bbec85e</t>
  </si>
  <si>
    <t>0x443e5fcc9c466612d28b83c8eb6b0fbdd19ac194</t>
  </si>
  <si>
    <t>0x4494adfba0a582e4aeb6a8644174c781f2172e1a</t>
  </si>
  <si>
    <t>0x4495443cfaa981e4e33c376a00c9f9a489b7a30f</t>
  </si>
  <si>
    <t>0x44979372aed83116860fc7b5daf70f012e3a3958</t>
  </si>
  <si>
    <t>0x44a8db6d3c92ee8d02e0992a8141252eaa9f117a</t>
  </si>
  <si>
    <t>0x44b1094e713c198f922d708795be3dd7f1051da9</t>
  </si>
  <si>
    <t>0x44b688ea4702d9d69180b88937d5f30928184117</t>
  </si>
  <si>
    <t>0x44c62e462ef4c0f5ec04eb4ef4542d53b7964def</t>
  </si>
  <si>
    <t>0x44ca02d6e80a44dc3b2be8b09f88309f74c42f9b</t>
  </si>
  <si>
    <t>0x44db4c9fa2878ae3867bce73c5bcfaf456c739fe</t>
  </si>
  <si>
    <t>0x44dc3320ead2bd42a0f8c4abd980c568f1e40417</t>
  </si>
  <si>
    <t>0x44e7c777ac1283555e0b0a1e8fdb80effd8fa393</t>
  </si>
  <si>
    <t>0x44e7e928801fd87abb8458f7804eac9dc05c3b7f</t>
  </si>
  <si>
    <t>0x4503acba98c53e71d76f9130c1862bfe57143c7f</t>
  </si>
  <si>
    <t>0x450ac3b8b17bdb1745dc4ee0724e7f663fabcd76</t>
  </si>
  <si>
    <t>0x451729fafa1103d8c362263896e1497221e8cb8a</t>
  </si>
  <si>
    <t>0x451afe80464d85632c7fbc41cb12869e6d3a96bf</t>
  </si>
  <si>
    <t>0x451fac42767d5843bc10963c64cc477fbdccaa00</t>
  </si>
  <si>
    <t>0x4526dd6607b4a40d74728bfb0e676596c7a02756</t>
  </si>
  <si>
    <t>0x452cdf10be0d78f30cd12302bd9d4e896603d166</t>
  </si>
  <si>
    <t>0x45462d2b13c7791c12f98c13921de695e660b221</t>
  </si>
  <si>
    <t>0x457151b223da0b65c092ee4d06d1f7ccc5f28d6a</t>
  </si>
  <si>
    <t>0x457e0171b69ba56aa74c8cfacc01fce4a16ca20b</t>
  </si>
  <si>
    <t>0x45a1f7fabfd9c69384f75740a8c1cc4aed33d7a9</t>
  </si>
  <si>
    <t>0x45dd68fcd213aeae9b8d2dd28c7bc474c2a56642</t>
  </si>
  <si>
    <t>0x461103cb5ec52fbc0f20c6a7ca3ca5860e11a362</t>
  </si>
  <si>
    <t>0x461462fc0a8c05ffb5b5fe2e82b3a3ab292db23a</t>
  </si>
  <si>
    <t>0x461e76a4fe9f27605d4097a646837c32f1ccc31c</t>
  </si>
  <si>
    <t>0x462f0d99d9556d9a43bc5903437f96a740be91fe</t>
  </si>
  <si>
    <t>0x46683e62d890e8b4e49c7260ecc31eae60b416ec</t>
  </si>
  <si>
    <t>0x4669dfc7e5ad6da49d52b666c3c3a1bc43ea3050</t>
  </si>
  <si>
    <t>0x46832a0a7722cd9bb452806a1851175b6d6bd44d</t>
  </si>
  <si>
    <t>0x46945834e6d9066526d37d9c3f1a9066b76f7663</t>
  </si>
  <si>
    <t>0x469dcce550e0f8d782f98ea04d68efe3a33af514</t>
  </si>
  <si>
    <t>0x46ed68978c6807208651519caa39e7f675cf65b4</t>
  </si>
  <si>
    <t>0x46fc00920e5a33e801b1890741dc2a825398c8a9</t>
  </si>
  <si>
    <t>0x470c2d5606ed6dcfea94096e9dd727b2c5d56ef2</t>
  </si>
  <si>
    <t>0x472a3b2b7fdfe833bb4893f7c967a5dd7032675f</t>
  </si>
  <si>
    <t>0x474ccd5c991c051e69de105c5841ccbe610144e2</t>
  </si>
  <si>
    <t>0x476ce0195351b0d373846dd15a0d292cbc7e26b7</t>
  </si>
  <si>
    <t>0x4788dec13319e96c90440509541989ddda7ed4e7</t>
  </si>
  <si>
    <t>0x478a518e9e132b4529f749956731fb79cfdd1560</t>
  </si>
  <si>
    <t>0x479bf1e45743311035b646d425edaf4ce68846eb</t>
  </si>
  <si>
    <t>0x47add99a2817612b992ac096c37e16412c1b20ff</t>
  </si>
  <si>
    <t>0x47be2d5a6342006ad489e29e71e1cb30abd1a941</t>
  </si>
  <si>
    <t>0x47e9e678452882dd94d2e01b372f2e119dc68fc1</t>
  </si>
  <si>
    <t>0x47ed47bc36bb0ca5bdbcb36e059ee7cf197e2128</t>
  </si>
  <si>
    <t>0x48015246ab0f88e1f9915323d5870168af991c6a</t>
  </si>
  <si>
    <t>0x480170ed50d18104a80307567a2a2f5354f106af</t>
  </si>
  <si>
    <t>0x4802de6e932f46be3d2b0d5e3ca6448cafc4e538</t>
  </si>
  <si>
    <t>0x48131f2ef2c59dcd180609fe5937bc67fe621b60</t>
  </si>
  <si>
    <t>0x482ce8818eec0e0f9b3e6e5f469ee696dc08d116</t>
  </si>
  <si>
    <t>0x483248f07a3a34e340e829b6424288192b3a768b</t>
  </si>
  <si>
    <t>0x483258ae220fa502d047a25d46b51b0751ca0444</t>
  </si>
  <si>
    <t>0x485b2098689ce51c63c8fdfd73b66f78b198d25f</t>
  </si>
  <si>
    <t>0x487f88d4921db7db0fac95a86fffd9cfdfc7c404</t>
  </si>
  <si>
    <t>0x488c4be56b8384bba5b4761f5d9ee4233feb7126</t>
  </si>
  <si>
    <t>0x48a0096b26fe285138b294afe0eb1dd705071dca</t>
  </si>
  <si>
    <t>0x48a9c8571b488bad6716839ea93690afb6175d7c</t>
  </si>
  <si>
    <t>0x48ac4378d62502b3b73e42dd0ad1dd10a066e7b0</t>
  </si>
  <si>
    <t>0x48d716e6801cd09c7cd696e56c8b904fb7589f1d</t>
  </si>
  <si>
    <t>0x48dc2ec7ba244959ea42fa46a454bb4891a36b1d</t>
  </si>
  <si>
    <t>0x48e177bfc10a7346c90d7d4e6c84defa78781341</t>
  </si>
  <si>
    <t>0x48ea6663f3edcbb9c248069fec34161bce6d9b93</t>
  </si>
  <si>
    <t>0x49105046609627d8fc52f89528b51dc894072d35</t>
  </si>
  <si>
    <t>0x491dd4a1b070c22c0b287d675e9f5fd75b55ff56</t>
  </si>
  <si>
    <t>0x49326b375bee80bf3cf3f78dbf47df00e92f13e7</t>
  </si>
  <si>
    <t>0x4941f6f66d9b1d16491d3b0075210e37cd97ee45</t>
  </si>
  <si>
    <t>0x4943484c29775abb54e672503f409bcf8aef8416</t>
  </si>
  <si>
    <t>0x496d4615430539c3e4b7038f7473ef539120b643</t>
  </si>
  <si>
    <t>0x496e50adc8c04587f19f3a0495b9904164b9846c</t>
  </si>
  <si>
    <t>0x4971bcabd6641114ed880124bbdafa509293a0c7</t>
  </si>
  <si>
    <t>0x498c46410522ccd24faad46ae4bf6f367c315af7</t>
  </si>
  <si>
    <t>0x498d0c1c491d7b90fa4cc280a0fd27ff58225bca</t>
  </si>
  <si>
    <t>0x4995d9170046518e3d2a3cc2d27d8b669347fa60</t>
  </si>
  <si>
    <t>0x49966ce3d059f89d1e92389e53a618a13b491e5a</t>
  </si>
  <si>
    <t>0x499b7f009ce415b5e901dc9eaa14aab11e22c891</t>
  </si>
  <si>
    <t>0x49b3db0fd5b98924d42dfad18a11c08f7d7a3e5f</t>
  </si>
  <si>
    <t>0x49cd9cad11ff206e04a5919d131b316610a7ff98</t>
  </si>
  <si>
    <t>0x49d1978dce1a788a0e33ac59c004e5fee4093e95</t>
  </si>
  <si>
    <t>0x49e40aa4887454a2bed38167fbcb5dffcd4d5b26</t>
  </si>
  <si>
    <t>0x49e835a2d7517e6715fd7253b11e5d323e125ff5</t>
  </si>
  <si>
    <t>0x4a11c04918dccc59c3e20c12021badf6fac84be6</t>
  </si>
  <si>
    <t>0x4a4ec124c33860025d2aa3d1720735cc355ce3e7</t>
  </si>
  <si>
    <t>0x4a50cd412570fd0b1740f95b04af7a3e911e6f65</t>
  </si>
  <si>
    <t>0x4a650cd78248ce54eee491e348c9c570a27603f8</t>
  </si>
  <si>
    <t>0x4a66315e01dbd8cad93a8959b0eabe856c8a355b</t>
  </si>
  <si>
    <t>0x4a97ebe5485d8fa5f092758a4a0f61edda57b035</t>
  </si>
  <si>
    <t>0x4ac4ab29f4a87150d89d3fdd5cbc46112606e5e8</t>
  </si>
  <si>
    <t>0x4afc7288331f37b1c8e7d6ba88e8a1daa284d631</t>
  </si>
  <si>
    <t>0x4b09ec2ff5d32a78667a0d00b42126468f3e0c20</t>
  </si>
  <si>
    <t>0x4b245655790b1a7228c9179ed3446a8b4c2cc9e3</t>
  </si>
  <si>
    <t>0x4b29f2154edf70f90d78124282983ccea5c8a942</t>
  </si>
  <si>
    <t>0x4b30ad749be5fd16dbc3bd7502b723eaeccee007</t>
  </si>
  <si>
    <t>0x4b47c3202c517d1d5058758a0e0f87ebd5a7393a</t>
  </si>
  <si>
    <t>0x4b490466ecf8ca747a4fd673d404cfb8c68bbe20</t>
  </si>
  <si>
    <t>0x4b60aebe2951dac8378806be1f6ff4b05a754427</t>
  </si>
  <si>
    <t>0x4b61373033bee8e5889363553bee2837ceeaae2b</t>
  </si>
  <si>
    <t>0x4b69189b1ae6f093d62d0f2f06e0c0625045e0c6</t>
  </si>
  <si>
    <t>0x4b6fae58214766089b24ec379d314daa7c1d5d7b</t>
  </si>
  <si>
    <t>0x4ba80f448797c66210ddaeb6c3ab87cfabacbdcf</t>
  </si>
  <si>
    <t>0x4bc7610cc68c1647a3898273fd5c6fada35231ec</t>
  </si>
  <si>
    <t>0x4bdfd5982ee61a9fdab565fa13ea22fe72f16eab</t>
  </si>
  <si>
    <t>0x4bf5ea109f600fffbff71923d18787bbd7895402</t>
  </si>
  <si>
    <t>0x4c37cc30d6194ce5bfc23e261c2b33c902662874</t>
  </si>
  <si>
    <t>0x4c4b46abe88f996d1b3b4a8fa41876535675ef1e</t>
  </si>
  <si>
    <t>0x4c5b7039fcb05c7e3ec8627b130d304c86784d16</t>
  </si>
  <si>
    <t>0x4ca2d5e4f222a55221521a8a24b642ceb1483ff8</t>
  </si>
  <si>
    <t>0x4cc61eff30778b704cdff3683d31d9d3e1373ff5</t>
  </si>
  <si>
    <t>0x4cd7e0bba776fcc484533c00f1ac120a6dd735d4</t>
  </si>
  <si>
    <t>0x4d17a78a0afb7234722552530cc96af4f088bccf</t>
  </si>
  <si>
    <t>0x4d3711c1effbc584127f03b3c3054f18f0cb3870</t>
  </si>
  <si>
    <t>0x4d3bca323d52a5368e689db6d3ae66fb4e1c2493</t>
  </si>
  <si>
    <t>0x4d440204dd4d407144e306f4d762e7ab1ab73a02</t>
  </si>
  <si>
    <t>0x4d7c11d58cc6d7e204a0cf11fe0496d51f934018</t>
  </si>
  <si>
    <t>0x4dac7a86340dde95d1c38fd0f23b503f50492ec3</t>
  </si>
  <si>
    <t>0x4db8525886ac3d030e993bb9d298de7a3efa3f6c</t>
  </si>
  <si>
    <t>0x4ddcdafeeeee9b064f7eed4d3fd0da32c8533300</t>
  </si>
  <si>
    <t>0x4df21b25e252cb44a701c8519280cce73237d3f8</t>
  </si>
  <si>
    <t>0x4e02004c80ffee6b40239b12bfcd06f234e74a29</t>
  </si>
  <si>
    <t>0x4e1cf0b8e675d8aa54f3fcc24b750111cc01069e</t>
  </si>
  <si>
    <t>0x4e55bdfab39b333666dbedd1c47cf014f951b281</t>
  </si>
  <si>
    <t>0x4e7b1f5d52889144eb73ed4aff7b2dbaa511c6f3</t>
  </si>
  <si>
    <t>0x4e853bd24cc84fe31dc086fe7ded329547b04cc3</t>
  </si>
  <si>
    <t>0x4e8ecfa83ad439f23bd9d98f80f14761c26fbe2e</t>
  </si>
  <si>
    <t>0x4e9ab6bf8ed21a9f316d1b9e720abba1bca3ed83</t>
  </si>
  <si>
    <t>0x4ea4d3a57c408dfca905afb837d23aba9954cc80</t>
  </si>
  <si>
    <t>0x4ead1dd9b3657a8f4eb13e372064c101355cc999</t>
  </si>
  <si>
    <t>0x4eb7b27740442ca20b745adffcbd197a0e95a874</t>
  </si>
  <si>
    <t>0x4ebbb58e28d20eba8745af89328e41b4b022209b</t>
  </si>
  <si>
    <t>0x4ec87da8a9eb1179b90d17bee3ace9fdf05030da</t>
  </si>
  <si>
    <t>0x4f0de403b549f85d0a567a7a3c796f06c83a3059</t>
  </si>
  <si>
    <t>0x4f1e5f4cb3da9cc3581b5ad1ce1142a435d7e822</t>
  </si>
  <si>
    <t>0x4f262395cdead58c12f97daaf1b44b1d0215d1c5</t>
  </si>
  <si>
    <t>0x4f470c4ec279bb10e9ba021ba19bfda126fba770</t>
  </si>
  <si>
    <t>0x4f4da17c7dee123fde36b8a6f762824273a7d494</t>
  </si>
  <si>
    <t>0x4f6f78be71160d69564b3bb0e2dfbfa571674a23</t>
  </si>
  <si>
    <t>0x4f747529331fb78c5d9929a4dfcff9e8f15f7fc4</t>
  </si>
  <si>
    <t>0x4f92261a2b286a7b63aef17bddc4e3af9f75a6bf</t>
  </si>
  <si>
    <t>0x4f941e5da657375e75d6d92852431cc7be3ef7a8</t>
  </si>
  <si>
    <t>0x4fbcd34663df0e8481ea51a10f13ba35545c412a</t>
  </si>
  <si>
    <t>0x4fcbe6c1113311a932bd2f1607eb56ca9a523fbd</t>
  </si>
  <si>
    <t>0x4fd432bf1ec3e4b326001b9a54c1c502a3bdd49d</t>
  </si>
  <si>
    <t>0x4fd9d7092234982ccc1b65bfe5c5067d4a073fb7</t>
  </si>
  <si>
    <t>0x4fe72580f913dd8ff007f9c6b22437d2fec20e84</t>
  </si>
  <si>
    <t>0x4ff97154a7be60ec0fec993ce3b2a7f27cf8342b</t>
  </si>
  <si>
    <t>0x501453641c67af889d1ffa9d76bcd79c70d48f65</t>
  </si>
  <si>
    <t>0x50186ba2efb51dd1a241467492c333514516be22</t>
  </si>
  <si>
    <t>0x505180b5570ef6e607aa42db4b67b5e7a8253c5c</t>
  </si>
  <si>
    <t>0x5079efddd01d888f2d3131758e32a0e4956cc537</t>
  </si>
  <si>
    <t>0x507f997689f9298041ef49ca58743cbb6c10135b</t>
  </si>
  <si>
    <t>0x50a35ee68e41b8f05b1bed12e6b78ed289a4d423</t>
  </si>
  <si>
    <t>0x50a9cac791ac517854f363f75ba91319aedd88f7</t>
  </si>
  <si>
    <t>0x50ad382d3c950be11cfc3b31dd8e45efdeb5332a</t>
  </si>
  <si>
    <t>0x50b7cfaca31b461d8284aab27d4b4a9c3d641be4</t>
  </si>
  <si>
    <t>0x50d23c7a796288854cafa8c3f6793d89fd305761</t>
  </si>
  <si>
    <t>0x50eaeafccc2dcfcb0054c725368005c48fedb859</t>
  </si>
  <si>
    <t>0x510d4e9703130ebd90e7aacb646abb090b984b20</t>
  </si>
  <si>
    <t>0x5115dad03662dd8a60ba91bee2bfb83c5c5163eb</t>
  </si>
  <si>
    <t>0x511652f5f25f613331cd95e580c1a357146f4af1</t>
  </si>
  <si>
    <t>0x511f0cfb3bfd9fa1d58ea3f647a59081f239e299</t>
  </si>
  <si>
    <t>0x514948d3ba30a7fedcdac029f56b629785d23d32</t>
  </si>
  <si>
    <t>0x51529cd14555933ff1ee6ce329154bd9c3f8dac8</t>
  </si>
  <si>
    <t>0x516208ceb33e44942c257873aabd31a261e4ffe0</t>
  </si>
  <si>
    <t>0x516a92fd1a17d22a1c1b17192536a291d36142b3</t>
  </si>
  <si>
    <t>0x517e6d66facc5813f5facf96bdc43b66a8d294de</t>
  </si>
  <si>
    <t>0x519574d10e60e0f7e2f7f9b2bd49cac7fc8e73f6</t>
  </si>
  <si>
    <t>0x519f8d5de49fe2565751f60bdec4dd8497ebaaba</t>
  </si>
  <si>
    <t>0x51ae498e73fb5c6706cc43c579fe481c2e6a290d</t>
  </si>
  <si>
    <t>0x51b78198929a35ae9bcc614f29564722d769cdb5</t>
  </si>
  <si>
    <t>0x51c8a4e54240946862787d278b8d11527e0ed85b</t>
  </si>
  <si>
    <t>0x51f7db334225149c8e59968d3c0b39bd00fcee78</t>
  </si>
  <si>
    <t>0x520d5349e67b4f404f34176ca13198ae45a41eee</t>
  </si>
  <si>
    <t>0x521745bfffd83d06169cc6124a0ce363b633e7fc</t>
  </si>
  <si>
    <t>0x5220c12a5a1ad95753d0785588ea0e6ea4ab4fdb</t>
  </si>
  <si>
    <t>0x52283c3525bf7c77503b1f21c0064e6f2452d869</t>
  </si>
  <si>
    <t>0x524e2ff6d4a4df44ab70198b2e8849777ce6dd82</t>
  </si>
  <si>
    <t>0x5279440f3019ea0730072a3fc1ae1411fbfa463c</t>
  </si>
  <si>
    <t>0x52bbb73343be1548257b1ca3658c50a664929e75</t>
  </si>
  <si>
    <t>0x52d8db4b65d2527b61120ce6f91b28a8a1904158</t>
  </si>
  <si>
    <t>0x52dd6fa622679c5acfd00db6ae465b09dc1dc0fb</t>
  </si>
  <si>
    <t>0x52e0310535955d5992eb3557db15d1f2671c7cea</t>
  </si>
  <si>
    <t>0x52ee34e4f18abb6829ff8c665f06f223c005b64e</t>
  </si>
  <si>
    <t>0x52fb95892b630eb7ceff3ce0c58ec8de352315fb</t>
  </si>
  <si>
    <t>0x5300e0cb26f1236dfcc50e35ebed257794ee664e</t>
  </si>
  <si>
    <t>0x531a81e2ac2e8b3ece67f9a5ed79fbf88a3e99bd</t>
  </si>
  <si>
    <t>0x53253be0489530fc5d6f0e8aca8b1c984a99f6cd</t>
  </si>
  <si>
    <t>0x537cd454a32a69d781d274b462f6a2ea0c7cff3b</t>
  </si>
  <si>
    <t>0x538086893f7e550bd20b0773ef6708ce706b1b36</t>
  </si>
  <si>
    <t>0x5395e1b570d9d6a0636b55ae99d5fa99b2f0c2ef</t>
  </si>
  <si>
    <t>0x53a15a8c187820720b94463f31c57c641a564f13</t>
  </si>
  <si>
    <t>0x53a919755400eb3fca5e41f08fd73fe73762a332</t>
  </si>
  <si>
    <t>0x53b027408374838e42725845d6252688871f2c26</t>
  </si>
  <si>
    <t>0x53bd5851bff3ea8cb43d334716337f350d2e5ef6</t>
  </si>
  <si>
    <t>0x53e594a136cdf414fa2dbc8448720e841b514d4d</t>
  </si>
  <si>
    <t>0x53f32ec6b60db98f42ee1ce05c7975bf9be52c5c</t>
  </si>
  <si>
    <t>0x540704880fda5fb01f8c9df238858420d28cb0a5</t>
  </si>
  <si>
    <t>0x543f3b7233f461935255ba32f71b9d910f91f6a0</t>
  </si>
  <si>
    <t>0x544834a2a9dc7f7299e0a59d48c3e4d0eab44bd6</t>
  </si>
  <si>
    <t>0x5455f1df3587d08f7fe9c58103f3481c4ab1e0d2</t>
  </si>
  <si>
    <t>0x545dbbd0302e5700f46db9240c8d4ee97b53676d</t>
  </si>
  <si>
    <t>0x545e484a27c4e6777bf9baab4c96f9e5e0d65fcd</t>
  </si>
  <si>
    <t>0x5488836649bd66713c03c68a3c55a91fd0344e25</t>
  </si>
  <si>
    <t>0x54d1af358856856f360985af975289cdf4b40863</t>
  </si>
  <si>
    <t>0x54dd4d1c08d410212599ac2a94f2be97468e5488</t>
  </si>
  <si>
    <t>0x54e36eb417b01c3e69e275975b06042481921ac2</t>
  </si>
  <si>
    <t>0x550d19253fb509fdbd67e1eb8b114107058131ef</t>
  </si>
  <si>
    <t>0x552c4b7082f81fc312632f133c11d1edac9fbeee</t>
  </si>
  <si>
    <t>0x5595c66580a6c7c3a4c52c444174679ff3384e9f</t>
  </si>
  <si>
    <t>0x55ab1798a3c717d009671d3118894284d83a8ba9</t>
  </si>
  <si>
    <t>0x55b7abfca760de66b59c4708f48514aa98ea1d1a</t>
  </si>
  <si>
    <t>0x55c21bee01316394d5869f6d63a3658d2adde163</t>
  </si>
  <si>
    <t>0x55dcbfb2ded6829e614171b87368584186f32d65</t>
  </si>
  <si>
    <t>0x55f4b4197a9d6e93c70a32797d6c7f586a66ebb4</t>
  </si>
  <si>
    <t>0x55fb4180d61d42841d931628f081cde805651aef</t>
  </si>
  <si>
    <t>0x56024b0a0076e7bb33816766e7f449eadbe8d96e</t>
  </si>
  <si>
    <t>0x560ae3e314f91f9038d8de0bc9538fee1c1b856a</t>
  </si>
  <si>
    <t>0x562a2145d7cda12187f222127ac0ac390df93afb</t>
  </si>
  <si>
    <t>0x5642c5b06fad677dac1cde9f00f8f1e16508d7fc</t>
  </si>
  <si>
    <t>0x5681ecea0db8b048f165842709524a6080625cd4</t>
  </si>
  <si>
    <t>0x569747b1202ca94cfd1034954fc65a2986326af1</t>
  </si>
  <si>
    <t>0x56eb457fde8a1f0454a887d730663b5c7aa59cb5</t>
  </si>
  <si>
    <t>0x56fa129fadc28387319b0770ffd4022f3d27ebc0</t>
  </si>
  <si>
    <t>0x5704cb1820888d50753c2f9802dd80ee6a7347f9</t>
  </si>
  <si>
    <t>0x5725087983afedd5f91bc5a515c03bf46434273a</t>
  </si>
  <si>
    <t>0x574f7be4b33f7a0f8384592c8740b0e9a91036b6</t>
  </si>
  <si>
    <t>0x575fa7ac7e4fcfdd66ed62602ff28b0fcec47ad7</t>
  </si>
  <si>
    <t>0x5786b05e3b7ee260c766d4110a76d93598b6af16</t>
  </si>
  <si>
    <t>0x578fed7024fe2049952e60a36df0795fc4286c0f</t>
  </si>
  <si>
    <t>0x5799dd2b9f02c52c28c0cb78929a7a624f2bdd0e</t>
  </si>
  <si>
    <t>0x57a13c73d9673ea8da75757751cc808464ac7cfc</t>
  </si>
  <si>
    <t>0x57a36e40a540fb1744cc30d47d2c7e5888110c5d</t>
  </si>
  <si>
    <t>0x57dfee5388a47bf4d5b0cb8f49b96845288c24cc</t>
  </si>
  <si>
    <t>0x57e322e7fdb7da1aab19e7acf3f50b56a9e724e3</t>
  </si>
  <si>
    <t>0x57e350cdcfea3ab5ed826dbe5839e63bec55b27a</t>
  </si>
  <si>
    <t>0x57f49d0d8807552417bcb4b4e478bf837ecc6794</t>
  </si>
  <si>
    <t>0x57fd7f139d1606e83a2d1a4e17b869bd713cce11</t>
  </si>
  <si>
    <t>0x58038bccdc3773f52a4571d009b0637abc435d99</t>
  </si>
  <si>
    <t>0x580eaaf1dd109c187f37b391519c05ef6c025650</t>
  </si>
  <si>
    <t>0x5817d799d056bc6f2908bb413dca1ddf993b9281</t>
  </si>
  <si>
    <t>0x5843f052d04ed2b605a6f4077a5b8135576bb0aa</t>
  </si>
  <si>
    <t>0x58465b612f038f76b4ba88d1681dceb3cf32899c</t>
  </si>
  <si>
    <t>0x58515bbb177b14fcabd2134a494c67f38534f9c6</t>
  </si>
  <si>
    <t>0x586050ed1bc3360b2d31792c041c3b099f413dbc</t>
  </si>
  <si>
    <t>0x5862a5cbab3c17a5e1d8171a5a72638b5cd75cd4</t>
  </si>
  <si>
    <t>0x5870e7348cbbf87b0134e926290dd7895921df28</t>
  </si>
  <si>
    <t>0x587602d631a8dd8e7e8eb2118cecd66477931fb9</t>
  </si>
  <si>
    <t>0x58a0fa85068844d5571dab5bf12a8e0f7f344c5c</t>
  </si>
  <si>
    <t>0x58ca9f03320f9a5972f12e34e5c9fc6a83a07da2</t>
  </si>
  <si>
    <t>0x58d06e480d7376d0a30158854496aac358b8132d</t>
  </si>
  <si>
    <t>0x58eb8ff37349b42547e9c63b70f5a576ed2a810e</t>
  </si>
  <si>
    <t>0x58f49b58368dca7655a24e559a7a600a1f6155fb</t>
  </si>
  <si>
    <t>0x58ffe3b9b628a55e9d95330e6c69b3729d5706c3</t>
  </si>
  <si>
    <t>0x5903f52c69c3c93c2340d8e9abb40f1b3d34fdb2</t>
  </si>
  <si>
    <t>0x5907c03b1ccf99dfeedd5ac510b2b6e58161a4f5</t>
  </si>
  <si>
    <t>0x591c0cc6bf7862d6baac195d79003d9457946973</t>
  </si>
  <si>
    <t>0x591d4ce3d61bdc5ede0944c47dbc38eb9c3907d9</t>
  </si>
  <si>
    <t>0x59345166341bf644ab3b10e0a5c5d1763e9edfc0</t>
  </si>
  <si>
    <t>0x593cb13b5bbcb2ba8456aa15cda4c96418373faa</t>
  </si>
  <si>
    <t>0x59441d19cb9cea4b6a447a8f0038e7d0ad7f1969</t>
  </si>
  <si>
    <t>0x59b35bace4a7a5692db4c649c252660487e3af35</t>
  </si>
  <si>
    <t>0x59bc3be5ed155aa9524b17b3985d585fb133d584</t>
  </si>
  <si>
    <t>0x59ca1a978f7e654aa2b1d98faa1a19ae111a16f8</t>
  </si>
  <si>
    <t>0x59d898d5db5364cd83f09a3d7dfdb78f1a5d347e</t>
  </si>
  <si>
    <t>0x5a219654851753d2fcc8583c006e24ae06a89453</t>
  </si>
  <si>
    <t>0x5a22b4c1561920e925052cb205038161a1a6e64e</t>
  </si>
  <si>
    <t>0x5a2ce6edcd82d9a9141bcbde7b9559f8816838ab</t>
  </si>
  <si>
    <t>0x5a397e8b5d2d9327ca79ca7dbd2b1bbd855a3299</t>
  </si>
  <si>
    <t>0x5a3c5b099aaf4d156087eb252aac3df5cf5b4c1c</t>
  </si>
  <si>
    <t>0x5a4d1d93a59dc579d68e3b2802a450d261755a3b</t>
  </si>
  <si>
    <t>0x5a5a48bb136fd25c7cc2cdcb628461592ea234f3</t>
  </si>
  <si>
    <t>0x5a5bc153bc7b915eec2755c2f622a220b93a0dcc</t>
  </si>
  <si>
    <t>0x5aac732068dc23563f144ecb60c786eb48bee353</t>
  </si>
  <si>
    <t>0x5abfd5d8f3d60e36045da00c3aca97d9ef36983b</t>
  </si>
  <si>
    <t>0x5ac055fe029dea0bc59a58e9e930bf000c532ffa</t>
  </si>
  <si>
    <t>0x5ac47131218185bff8c924544627c82d3840727c</t>
  </si>
  <si>
    <t>0x5ad163d663db56fefdc292cefbff704f8d4aa4b6</t>
  </si>
  <si>
    <t>0x5ad4e3102fa7c15b2044af2f1b3a9600e2bd55c9</t>
  </si>
  <si>
    <t>0x5ae36d7acd459302876b2d1c312d5c2b0507b794</t>
  </si>
  <si>
    <t>0x5b0edf4f70d941f27676bdc2c9b45ef556d5f01f</t>
  </si>
  <si>
    <t>0x5b1053748e5ffb0930634a614657745cc445c41c</t>
  </si>
  <si>
    <t>0x5b14a47a6ea6c36ceb8f1043d83b52a687e6e0a5</t>
  </si>
  <si>
    <t>0x5b23918df2d07c924a72142816972e5f877cc267</t>
  </si>
  <si>
    <t>0x5b56d735fe36885b77c6b5292a86bb5e6f13e83f</t>
  </si>
  <si>
    <t>0x5b930809d2f5603a7ff12f923c784abf862ef59e</t>
  </si>
  <si>
    <t>0x5bb12bb27879af37522f25a65fef2c02f5218cc0</t>
  </si>
  <si>
    <t>0x5be5801a66cb2f771482a56424aa142c9e37a070</t>
  </si>
  <si>
    <t>0x5be798bf258ac5319e74428a66e635df491de2b2</t>
  </si>
  <si>
    <t>0x5bef45489a03462d199612c5cd992f114f398ea8</t>
  </si>
  <si>
    <t>0x5bf090197785e0ca4ddf59be7f79b5c806aa85d7</t>
  </si>
  <si>
    <t>0x5bfd3070f077a093af23e00526d4df320bdc563f</t>
  </si>
  <si>
    <t>0x5c183b6b02444977c7db8498bd608a9add62924a</t>
  </si>
  <si>
    <t>0x5c541e78e4b4b0860a4187816b17b7bdc505cf6f</t>
  </si>
  <si>
    <t>0x5c5a5761bdaeb04c986264b08bd50f7666b651be</t>
  </si>
  <si>
    <t>0x5c5c5ff8579c5b1f65bfaba78381061656aa7b90</t>
  </si>
  <si>
    <t>0x5c834c30c65bf65c0f34ce58d0e045e09702a00e</t>
  </si>
  <si>
    <t>0x5cb891d138d7ec09dc87206f86a9e2a7420b1fe2</t>
  </si>
  <si>
    <t>0x5cc5e6dccaf171e6a4053d5aa176ea3d13c3e72b</t>
  </si>
  <si>
    <t>0x5ccf280de6599ddcba223322939b0a7956065492</t>
  </si>
  <si>
    <t>0x5d049bc0947673b6617a7f7e122b4e3deecc88ff</t>
  </si>
  <si>
    <t>0x5d47e5d242a8f66a6286b0a2353868875f5d6068</t>
  </si>
  <si>
    <t>0x5d49ad724b8c5faac7a1916b2e0855f808f6e508</t>
  </si>
  <si>
    <t>0x5d57d741a4026c38c68a04270c4701b2af8f060f</t>
  </si>
  <si>
    <t>0x5d9ae3e7afc36ff8625e35364346a10d34296a92</t>
  </si>
  <si>
    <t>0x5da341242882ee304c9331ff16416aeec2f0aa3e</t>
  </si>
  <si>
    <t>0x5daab3c195d7dac11cc88e99e63210daca4cbcc5</t>
  </si>
  <si>
    <t>0x5db8eff3bd353f7f676f3444d4da359c97f554f5</t>
  </si>
  <si>
    <t>0x5dc000b8060fca14234d8034326b73eb95c88502</t>
  </si>
  <si>
    <t>0x5de8a212dc101a21fa3200ab76847900bdf17f22</t>
  </si>
  <si>
    <t>0x5dfe9244cd319c7852ba6d0dac1abe650b49dced</t>
  </si>
  <si>
    <t>0x5e0b1f370c47cffa0e7a87137e9b8036e79caa2a</t>
  </si>
  <si>
    <t>0x5e2492787a23419663c5fe7459c13e8240449e63</t>
  </si>
  <si>
    <t>0x5e8bf699ae221acc704e10f3cea88cfa8f6d78ec</t>
  </si>
  <si>
    <t>0x5e8dc86d5c1d634922d1e4a110853fe88c48c34c</t>
  </si>
  <si>
    <t>0x5e994d5b8222756ca5934a3add8cfc89f50e2178</t>
  </si>
  <si>
    <t>0x5ed3e0b13d96c532c952cb2cdb7ae055e747f5b9</t>
  </si>
  <si>
    <t>0x5eedb837ed76a9d04a997b1c5ce44ebd284e4d0c</t>
  </si>
  <si>
    <t>0x5ef899410dc39282d19ab82dbc203db1c0037613</t>
  </si>
  <si>
    <t>0x5ef8a08b60b6955bc0b44c3743ede83b65e0e529</t>
  </si>
  <si>
    <t>0x5ef90a74cefc966283197d6be22b4c0f83b2cf51</t>
  </si>
  <si>
    <t>0x5f2b8cab0a94d725da69eb4adfbec262a620c50c</t>
  </si>
  <si>
    <t>0x5f3684cc6cb80abddd782dd335f29957d4e718c8</t>
  </si>
  <si>
    <t>0x5f6321bc224b62733662982d0e3e209d0e559c20</t>
  </si>
  <si>
    <t>0x5f64ad7fb380caa03206158f6bfe32d15715d5ca</t>
  </si>
  <si>
    <t>0x5f7a6c88537967faaeba280a25103b17d1afaa3c</t>
  </si>
  <si>
    <t>0x5f8dde914a27fc368d7a91a6849da5e03e7fe1c7</t>
  </si>
  <si>
    <t>0x5f92949152eda7e3e89f2262fade2e61d1b3b1ea</t>
  </si>
  <si>
    <t>0x5f9e5e87e19f9d86d58a75697c53447616392f62</t>
  </si>
  <si>
    <t>0x5fb0058280611b57e7fd96dc4ba3616bd0d29806</t>
  </si>
  <si>
    <t>0x5fdedc3f3f211f15c8a0c2d8330e2affc49e3157</t>
  </si>
  <si>
    <t>0x5feea6457cccacc612f0915f4dac6687674a644e</t>
  </si>
  <si>
    <t>0x5ff7050c8164e85139d396e259da5d612ed6ff62</t>
  </si>
  <si>
    <t>0x5ffbd158745d3c9cb66638bc00242095ed1ac228</t>
  </si>
  <si>
    <t>0x60218fc75e1232f632dcb4bec447f1a9b61a9876</t>
  </si>
  <si>
    <t>0x602fbda816e9c95b03c4aab11dcc572595ced21e</t>
  </si>
  <si>
    <t>0x6033b5dcd6f4c523b6498dcc7390a3b03e898cbc</t>
  </si>
  <si>
    <t>0x60567172ba6dd95329c18f424e8b664711eda119</t>
  </si>
  <si>
    <t>0x605981cfc1a070f08fcf206e258458836251c429</t>
  </si>
  <si>
    <t>0x606eb644dbdfc222686eecf4d08dfccd230e601f</t>
  </si>
  <si>
    <t>0x607ce91180ec37cd68f0e0aae428478926aa9b11</t>
  </si>
  <si>
    <t>0x60a6321ea71d37102dbf923aae2e08d005c4e403</t>
  </si>
  <si>
    <t>0x60eccc389551d6d971460c62f7da40e7c74fa41a</t>
  </si>
  <si>
    <t>0x60fc26b4246613ada6823524a9dd7036fa4b7d50</t>
  </si>
  <si>
    <t>0x6111cc8b85570acf8d54497908b0c01c58622180</t>
  </si>
  <si>
    <t>0x6112201625f14d89012df7ec2424b24f10db8f62</t>
  </si>
  <si>
    <t>0x6118ca30c70bcdb59a380887dc29ab7039c7ce04</t>
  </si>
  <si>
    <t>0x6146a628269f41c032497ffe9c816ed386df4466</t>
  </si>
  <si>
    <t>0x616dd90f22319e97cba078c81e6b42c87e5dcdc2</t>
  </si>
  <si>
    <t>0x616ddc02e666f1cb8294c3342b21611ebb0d538a</t>
  </si>
  <si>
    <t>0x61709ba988d4af045181ee2b0cf0f79a20f821e1</t>
  </si>
  <si>
    <t>0x61b3dbe98960fe01f361571f35e0f5257c1eecd8</t>
  </si>
  <si>
    <t>0x61c507032da31d57c59ac02a6b044444e9d3b643</t>
  </si>
  <si>
    <t>0x61e5776b24e2e2db07d2ac729a39ed70f96a9b7c</t>
  </si>
  <si>
    <t>0x61f4e0111ca69a2547b56ce9e6a93d38b02175d3</t>
  </si>
  <si>
    <t>0x61fcb864d0ee3892e7dea89107fb5fdaa8dd6605</t>
  </si>
  <si>
    <t>0x620462ab7a62eac171eb3e56c88d35a2a2e86958</t>
  </si>
  <si>
    <t>0x620ded9a1e010500573f6c1d51883c1cc20345af</t>
  </si>
  <si>
    <t>0x624deae333aa3e1eff645cfd258cc1e409f20585</t>
  </si>
  <si>
    <t>0x62a7167a61742f71b1540ac2795ad95417a2b031</t>
  </si>
  <si>
    <t>0x62c989bdaaedc2078f3ed396a26a323cbcf1a57c</t>
  </si>
  <si>
    <t>0x6305b950c99c64786492c52066cc797e9aa2c115</t>
  </si>
  <si>
    <t>0x6315d1bcee8f94276d532420fd09ca9f222cba85</t>
  </si>
  <si>
    <t>0x631b4d15799fe8840c2d68c8d4a57cd774fd9b90</t>
  </si>
  <si>
    <t>0x631e0d8cf69b1f7debdf1728f1ee0b9d20fb7e1f</t>
  </si>
  <si>
    <t>0x632215ff0690084212cbb3d59ca0a6a6713d9e02</t>
  </si>
  <si>
    <t>0x635e7c3e084f8c62ab8e3a3a1ad57be36d2ae8b4</t>
  </si>
  <si>
    <t>0x639f902a99be30fbe5da41ec59b0e680882839ce</t>
  </si>
  <si>
    <t>0x63b9e4e757fc107250790a10db00d6e0b18b2f39</t>
  </si>
  <si>
    <t>0x63bfa80bbb56bd91167ec6d1492ad41969bf1ac4</t>
  </si>
  <si>
    <t>0x63c45da07dce54f58589807c00bd6f0d9be180a8</t>
  </si>
  <si>
    <t>0x63ce6e3af8dfe967edcdca99f9d866454b5fd25d</t>
  </si>
  <si>
    <t>0x63cfd8675c33a2579a319aaaf4b763549edaa796</t>
  </si>
  <si>
    <t>0x6408c67d9da1282f545517b2010e4c918891dbe0</t>
  </si>
  <si>
    <t>0x6417a1bb0a60c249e4830631952be8733f97bc97</t>
  </si>
  <si>
    <t>0x6435937fcbaaa77ca69defe4a6873b539555fdc4</t>
  </si>
  <si>
    <t>0x6458f999e595d3bda5692db9df011ccd4ab13a96</t>
  </si>
  <si>
    <t>0x645a689e1f9e23b1a2a8b98d390e6af2a5068589</t>
  </si>
  <si>
    <t>0x645faca6f73cd783ae1c856b2a70cbb00d345b49</t>
  </si>
  <si>
    <t>0x64753453c29bc397d42d4f59f77cfd41efa162eb</t>
  </si>
  <si>
    <t>0x6494baf946f2928f17e6ee584b9bf6e3cb8be878</t>
  </si>
  <si>
    <t>0x6495f48a4bcbb693a49babe93ca827f9c2e18c69</t>
  </si>
  <si>
    <t>0x64b2fcf9194fde5de1a59d3b1685c56efdb401a9</t>
  </si>
  <si>
    <t>0x64b384e47d67b62d981aee727018e765a8540072</t>
  </si>
  <si>
    <t>0x64bf4f1a47c45facab8bbb084b0b4e8a1ade244a</t>
  </si>
  <si>
    <t>0x64d2fcfac493729d1c50cae847580a59ae831555</t>
  </si>
  <si>
    <t>0x64d5ca788269d8d4c56190f48c0cb4ed8b44c4e0</t>
  </si>
  <si>
    <t>0x64d6f4d5bfb3b19a4c06ee912937680b7a8debb0</t>
  </si>
  <si>
    <t>0x64d9418b1cbf1371e595e9e34a4818348b8c44b4</t>
  </si>
  <si>
    <t>0x64e5ae6f1dd38adc13b4707b6b9fe1b93f42aaad</t>
  </si>
  <si>
    <t>0x650a66ae41e88b3b3007e8c01993ea56c4f2f79e</t>
  </si>
  <si>
    <t>0x650b9c677a024209fc82c8c9f4c2247c371b6b2a</t>
  </si>
  <si>
    <t>0x650dcfa7b29af392a0591d6debe239d907d1e54b</t>
  </si>
  <si>
    <t>0x653b929df60484f5bb9cc324b54b211821fbc3ee</t>
  </si>
  <si>
    <t>0x6545c3f95c0fa51a0e4d9f7fc2f77dae133717e6</t>
  </si>
  <si>
    <t>0x65c1425bf0067d3855b72da10b2040c2e4942675</t>
  </si>
  <si>
    <t>0x65d736c629e8cd47ec7af6eb7181e192c1d97505</t>
  </si>
  <si>
    <t>0x65e59f03b7082e776fc7858c12bc974147e303d5</t>
  </si>
  <si>
    <t>0x660e9f304787f9486838a62b1dcafe328b4ea015</t>
  </si>
  <si>
    <t>0x662778a2af62ffff54b3d71dba8b0a3e2997fdcb</t>
  </si>
  <si>
    <t>0x662deccbc86b30d846e251ccde1a72c1f80483cd</t>
  </si>
  <si>
    <t>0x665969c956b40bab9eb428981448c6b00e467e12</t>
  </si>
  <si>
    <t>0x66648e1009590fc266f79ff100eee8d572b39a69</t>
  </si>
  <si>
    <t>0x668c782b981d497e5810481b57e39fd641cec8d9</t>
  </si>
  <si>
    <t>0x6699c7a0592cccb1d60f5abd52dc824b70baa570</t>
  </si>
  <si>
    <t>0x66ae45eed472d36f4756fdf42efae7610b6f9f7a</t>
  </si>
  <si>
    <t>0x66c088ae7427bcbf07078ea9480749fb4364c2c3</t>
  </si>
  <si>
    <t>0x66c56bb6201e732774c6bf6dd6e03b49d4a5b52f</t>
  </si>
  <si>
    <t>0x66d3df3febaa2384834432ed4935d0682cba14f1</t>
  </si>
  <si>
    <t>0x66d45a4ea62d3f1335632c0c254004d05e9701f6</t>
  </si>
  <si>
    <t>0x6709a89090732f5695aa07ea29fb7318aa08e895</t>
  </si>
  <si>
    <t>0x67484feedb5034f234b4282daad95d51c6041974</t>
  </si>
  <si>
    <t>0x674d679a61f5895ccfe1805548a13ce77d3c1893</t>
  </si>
  <si>
    <t>0x674f357be1c16b6e7e29e1ecf3565fe876d7f5eb</t>
  </si>
  <si>
    <t>0x6766bf4940844a82194245b437d854971bc0a641</t>
  </si>
  <si>
    <t>0x677e7c05275d49ae41f99937558092f0b52c9a9a</t>
  </si>
  <si>
    <t>0x678fc33d60f7bdc0db38b240add9c5fb1886042e</t>
  </si>
  <si>
    <t>0x67975a056d3d96f80dcbbd7de6f03d591bc0e2d7</t>
  </si>
  <si>
    <t>0x679c4cd7de5635de8b61e1169f681ad30ee52ea0</t>
  </si>
  <si>
    <t>0x679db7d89e3c6c5873a6272c58a26f98229b3a38</t>
  </si>
  <si>
    <t>0x67afd790133ea65c16a1ac0734345c5151a2a042</t>
  </si>
  <si>
    <t>0x67d4b45b0e048a0d817ffdac54f0789afa143c2a</t>
  </si>
  <si>
    <t>0x67e145058d70601f6efd2ad575a5ba54bba1b810</t>
  </si>
  <si>
    <t>0x6818b420611e6770040bd8ec96f853510f1f1a84</t>
  </si>
  <si>
    <t>0x681a14d7b08f1de027b84e9f1591a33bdc89f3e5</t>
  </si>
  <si>
    <t>0x681c9617cd40921b804cc0556e0e1855e366b3b4</t>
  </si>
  <si>
    <t>0x6826bb2d6aadb36b22684bd9eeb652f931d5d1af</t>
  </si>
  <si>
    <t>0x684ecf4be1d20cc84c8eacd7b354246cee49c0d1</t>
  </si>
  <si>
    <t>0x68b8f0373bb2de234e3bad1d86a9fbde2d317a9e</t>
  </si>
  <si>
    <t>0x68bc004538a15a93a41c90d9d527845024723510</t>
  </si>
  <si>
    <t>0x68eb4d6a646ed184f3b1d89d26abf1502970ce19</t>
  </si>
  <si>
    <t>0x690089308d22eae319bb00732a8fe0a738cdb1d3</t>
  </si>
  <si>
    <t>0x6905030bab047b4a65b28db078e8d844b83d6fbf</t>
  </si>
  <si>
    <t>0x690524a31ce96bea837f32e43c7492f3031450a8</t>
  </si>
  <si>
    <t>0x690603a54222d3d58ed5e95b13e55dda1bc86452</t>
  </si>
  <si>
    <t>0x6910de965e7910823303ecded5720de3c71cfb4f</t>
  </si>
  <si>
    <t>0x691c61b6a26cd7fff6e6c1604acd31d47804be86</t>
  </si>
  <si>
    <t>0x6937dea4fd5896865ad1d1d07c391597542de9d7</t>
  </si>
  <si>
    <t>0x6939f1af0a0fba6b6cbfc7c92d4d95feff609486</t>
  </si>
  <si>
    <t>0x6952c85c9e263f7686a1a9a35c6bd5653ce9fe08</t>
  </si>
  <si>
    <t>0x696ae40635975450de2e11a83fd8eede156af7f8</t>
  </si>
  <si>
    <t>0x697fe5f62ddeebc15d4001b4477be8684f3354db</t>
  </si>
  <si>
    <t>0x6994e8297f41e4d53fd2496ba47ae347a1f512c9</t>
  </si>
  <si>
    <t>0x699aac4b3311ee327782a7c720f2a5b5c132daa5</t>
  </si>
  <si>
    <t>0x69a3813a3d073d2e0218042679f42495fe4793b5</t>
  </si>
  <si>
    <t>0x69b6f50a18ac3e3c7ebde2335d05ea5a8426e5e1</t>
  </si>
  <si>
    <t>0x69c3541fd1eaa0da10cb8a40c5d45f2c9cb591f4</t>
  </si>
  <si>
    <t>0x69ccba053ef42e77de0058e1bdfbab089c78a471</t>
  </si>
  <si>
    <t>0x69d87bc770540735071a922b7d2faddc6056ab80</t>
  </si>
  <si>
    <t>0x69e6f591bf49329f575bb4c9037ad28fa0312f1e</t>
  </si>
  <si>
    <t>0x6a0b5ecd6c853648349036172c4a07f6f693a048</t>
  </si>
  <si>
    <t>0x6a278e8e329e0d325fe610f6030efbb3a912f6e4</t>
  </si>
  <si>
    <t>0x6a551d451ebb019bf66c94d31f4d5d0fe03d7cf2</t>
  </si>
  <si>
    <t>0x6a7d847bf157b7d2fcb3c6aee1a25ba036c6d017</t>
  </si>
  <si>
    <t>0x6a8d3da1296f4539dae462d748a5a0260baba11b</t>
  </si>
  <si>
    <t>0x6a93dd0795cb13b1f4c97603e6b3243c15383981</t>
  </si>
  <si>
    <t>0x6aac65351fd7f80e6142c3c7a0240416e3b94cc1</t>
  </si>
  <si>
    <t>0x6ab3dccdd7a0b6a8c543fe73af55fa7901c75ade</t>
  </si>
  <si>
    <t>0x6ab75ab3ef9d354032a956158c65812f3cb0ee31</t>
  </si>
  <si>
    <t>0x6adcc16f521f34ca5ce0b98f61823ed73cbd0cb3</t>
  </si>
  <si>
    <t>0x6ae2bbeca3f6fa9e955d1a1005de71b97a56e2f0</t>
  </si>
  <si>
    <t>0x6af87a6f9d62d5e2a34b734aa594d0990e7382ab</t>
  </si>
  <si>
    <t>0x6afb5fc7ae34e7d7294163ff1fce247f7e2bf3ed</t>
  </si>
  <si>
    <t>0x6b1fd0afb323c5899df2746195afc17f64cf143b</t>
  </si>
  <si>
    <t>0x6b76d661278cf1d0fcba72499fde37abaef808ae</t>
  </si>
  <si>
    <t>0x6b7e9f34d9b18d8faf1a69a529f85e594d70a2ee</t>
  </si>
  <si>
    <t>0x6b888b30b242e52f2a1f3243a6bd16a846be2b98</t>
  </si>
  <si>
    <t>0x6b9c04d707a4b3e9fabed5f9db1a2c2e42255bb7</t>
  </si>
  <si>
    <t>0x6bd37908cbb377ac8f14835815ecbbd173a3174f</t>
  </si>
  <si>
    <t>0x6bd42311c53db0a5f66029f1a3d0451ab029c281</t>
  </si>
  <si>
    <t>0x6bdf72fe7e389e89dc1b53a8352a90c8244b1d6a</t>
  </si>
  <si>
    <t>0x6bf23a7642c94cb644b0db9882c57789d3e85960</t>
  </si>
  <si>
    <t>0x6c0afd34effae03e8450138f6c1756208ac05d19</t>
  </si>
  <si>
    <t>0x6c1dadd809435a33ee0aebb1c4e167f25a6ca625</t>
  </si>
  <si>
    <t>0x6c3aee123e944f823fb2c10c12d64527d5651972</t>
  </si>
  <si>
    <t>0x6c4b6224865952638226795ac3ab501072053d10</t>
  </si>
  <si>
    <t>0x6c5b9d3e3f6e8d28b0a27bd8aabe8e160370d521</t>
  </si>
  <si>
    <t>0x6c61bdb4dc3d44c5da61c8868275818ef9ea9c7b</t>
  </si>
  <si>
    <t>0x6c71eecabdd774e5aa8becf31b61cbf6280b108e</t>
  </si>
  <si>
    <t>0x6cab3eea2799bb0c91be9faaec28e4076c763e1d</t>
  </si>
  <si>
    <t>0x6cc86c6eef8ddd9818003120e7e7a46900ed9e32</t>
  </si>
  <si>
    <t>0x6cca55161a068bff9453cb952156335fc408316b</t>
  </si>
  <si>
    <t>0x6cd1a947af6f99767562b297e0907de9408651dc</t>
  </si>
  <si>
    <t>0x6cef300f232ed696bdec38b22d58acea691ce5b9</t>
  </si>
  <si>
    <t>0x6d17b32853d641a0cfbf429cae5e7a99df0b87d6</t>
  </si>
  <si>
    <t>0x6d1d9279b6ce69e30818870d956eee1c0c295917</t>
  </si>
  <si>
    <t>0x6d209c59082b61471883f04263c511ffb72b8279</t>
  </si>
  <si>
    <t>0x6d28dc770c3e9d5acba6db509032bb6f635ece03</t>
  </si>
  <si>
    <t>0x6d377b14ca14f59945b17c18fbc32f2018ee9917</t>
  </si>
  <si>
    <t>0x6d3b65fe59885bca1e690f22d54b3d1d1ee0f1aa</t>
  </si>
  <si>
    <t>0x6d3ed1d6af678f0e16b548531dbe507ebdf2ccc9</t>
  </si>
  <si>
    <t>0x6d45979d28440d84c15644f0e3eaafb7ce73983c</t>
  </si>
  <si>
    <t>0x6d5cbcd69e6083fcf355ffa3db8ed1dd16ee63f2</t>
  </si>
  <si>
    <t>0x6d6d4e2a13397990e445edbe4e2114d68bfc3b2f</t>
  </si>
  <si>
    <t>0x6d7f5b6985bb0c2354da923712826235be9006b1</t>
  </si>
  <si>
    <t>0x6d84216b30f6f1e3e29d970c38ab7f6b640f6cd4</t>
  </si>
  <si>
    <t>0x6da35093d7661418dc24606b5d3478cd1e64124d</t>
  </si>
  <si>
    <t>0x6dcd96c4c1e8b98c99db39d8c0b351a134631d01</t>
  </si>
  <si>
    <t>0x6de00176b1b38864f6761dbdcb083e1aa9a43825</t>
  </si>
  <si>
    <t>0x6debd4db87ea6722d7ed0f16bdb76807d5ee61d7</t>
  </si>
  <si>
    <t>0x6e148350f29951dda162993ab91d8089255b1741</t>
  </si>
  <si>
    <t>0x6e1758eb7ed2aaf7f34a52069f223fec027db7d2</t>
  </si>
  <si>
    <t>0x6e1f27b32d23630be0e9606fd67151ea9ccbb7bd</t>
  </si>
  <si>
    <t>0x6e5b935ac926e11dec812eb0a5425ec5e4c96355</t>
  </si>
  <si>
    <t>0x6e812f8645b13368aaea1b505cf3df98fedfdbf6</t>
  </si>
  <si>
    <t>0x6eb47085637c78cabe826cab252eb1ec6848c652</t>
  </si>
  <si>
    <t>0x6eb51af850c21dc02d996599f3342fff22356ef7</t>
  </si>
  <si>
    <t>0x6eb5eeb10a2e529f340b80496de8ce1313225ed8</t>
  </si>
  <si>
    <t>0x6ecc30b98c86259b4eaeb64c82784a7972fb40b8</t>
  </si>
  <si>
    <t>0x6ecea903ba649dc2b8decf5c88391d2553a0522f</t>
  </si>
  <si>
    <t>0x6eea589b494de0ab2195662d4da5a38de361de8a</t>
  </si>
  <si>
    <t>0x6eeb59abdb4250e5085517259d9adb9a3b396f9b</t>
  </si>
  <si>
    <t>0x6ef825030c919f1382dd5ac1bc65b82ea7dc0574</t>
  </si>
  <si>
    <t>0x6efbd48a79a569fcebda1e428a069f668ec6191c</t>
  </si>
  <si>
    <t>0x6f0a765dde3c28f0950bf09725287bba27254a79</t>
  </si>
  <si>
    <t>0x6f1826a4425d92ddb5d4c4ff90211d34c177aab9</t>
  </si>
  <si>
    <t>0x6f7499ae339f3b03dcf9582debe12b2856829561</t>
  </si>
  <si>
    <t>0x6f755270bb755be07686af68ade9b798f0ec7515</t>
  </si>
  <si>
    <t>0x6fa0f10b6da6507695cc7d9dc3989ba93e8edf02</t>
  </si>
  <si>
    <t>0x6fa36bc5c282c47b0a22ebedceb31f57f5094233</t>
  </si>
  <si>
    <t>0x6fe5a15cd0dfae14c8f18992810875407201eea8</t>
  </si>
  <si>
    <t>0x6febc32b23f5a9f110b2d9e6f4a7d1e6125ee206</t>
  </si>
  <si>
    <t>0x6feccb7781158675b4e6d3de1602a12dd2057e3b</t>
  </si>
  <si>
    <t>0x6ff83f09d701be04fa6a65397fb93c73c761ac5e</t>
  </si>
  <si>
    <t>0x7000ac1fbeb346692878cec9e3823cff0d782b72</t>
  </si>
  <si>
    <t>0x7007a468b10eab21564c98dff036d335b9ff0910</t>
  </si>
  <si>
    <t>0x70241ba067e05db0835b5a7fc2b4eaff239fee32</t>
  </si>
  <si>
    <t>0x702c4a349dd7006861c173bd17368b83db1fa80e</t>
  </si>
  <si>
    <t>0x703cc6c96d6b154c52fdaaeb18adf0504abc2459</t>
  </si>
  <si>
    <t>0x70436e8a9c2ea2131529b4b825b8cbc7adafc920</t>
  </si>
  <si>
    <t>0x7052f42cdbf59eda50bef78890f98542a36bad17</t>
  </si>
  <si>
    <t>0x7056ef68890725e6e2092730ed2e7093b92b8375</t>
  </si>
  <si>
    <t>0x708621fea6a3e127f775886f4fcc5a7edc6cc736</t>
  </si>
  <si>
    <t>0x709003ce518a5c4e7e1c84e1e40a90f032a239f1</t>
  </si>
  <si>
    <t>0x7097d850a9ef60699d6349801427d46a786e9e6d</t>
  </si>
  <si>
    <t>0x70a10fadf2c394a174df6a6de97f7ec97ba3e941</t>
  </si>
  <si>
    <t>0x70b3b0c2764addb8cc2b381d6d7f65d5a001f021</t>
  </si>
  <si>
    <t>0x70f2c11d41e7c72c2cfaa0fd9bb7c41a1de9828f</t>
  </si>
  <si>
    <t>0x710ad656c7375e8a42afdc7484e87f2f50bb389b</t>
  </si>
  <si>
    <t>0x7110694ea37d87eea42b4df5c881d9106d3a80eb</t>
  </si>
  <si>
    <t>0x712f8a9ea6341df8c6fa528419ea767a1bb92f61</t>
  </si>
  <si>
    <t>0x714b2f72042674bbb67ceae67767f2bf9e65514d</t>
  </si>
  <si>
    <t>0x717a9221e3ab144a21c5338907ee76058e508f2b</t>
  </si>
  <si>
    <t>0x71bd52ed250e6cc9d5be05c2572f2ac4b7799657</t>
  </si>
  <si>
    <t>0x71d3aa83e9cecb4430515d4b8274655d1206db45</t>
  </si>
  <si>
    <t>0x71d6c03cf9a9cbe383daa9d921c66698d81fc505</t>
  </si>
  <si>
    <t>0x71e5d30de03720dd8fbe09cc0464792a8ae8aa2b</t>
  </si>
  <si>
    <t>0x7202f666e45cc0340d2af2c325e03832be394e7e</t>
  </si>
  <si>
    <t>0x7205cd0d662488e89845160d69fe81673fb49a9e</t>
  </si>
  <si>
    <t>0x7210e58b3ea624f900cefc4ca1a7b8c99d04caca</t>
  </si>
  <si>
    <t>0x722b1a192753cc45b5890923c18a95a84b6119b2</t>
  </si>
  <si>
    <t>0x72340c8f56249d649c75b92b5302ce85d345a49c</t>
  </si>
  <si>
    <t>0x7236b0d726e741f15e9caf44b012e9aeecf28dc8</t>
  </si>
  <si>
    <t>0x723c121dea46af913be0d357b0659869c3338d1b</t>
  </si>
  <si>
    <t>0x724371396e1239f2534dc3681df33776a1eaa9b5</t>
  </si>
  <si>
    <t>0x7247f7919c64061492ee6868b89597656e3645ed</t>
  </si>
  <si>
    <t>0x724a1cad85569187b2446a362aaada42f16bccc1</t>
  </si>
  <si>
    <t>0x725bcadc2a7d68b6513de68dc92d79d4f4e9c088</t>
  </si>
  <si>
    <t>0x726b7d1e563eef3784fefa3b3f740a56ac4a3565</t>
  </si>
  <si>
    <t>0x72a07660ac7527e44f4a8dd6207c19db9ecfd196</t>
  </si>
  <si>
    <t>0x72ad643bd2ca84fa7c9cf2807441edb0fb47bf48</t>
  </si>
  <si>
    <t>0x72bb3eb15f285f8e2893a29287186d5210590c22</t>
  </si>
  <si>
    <t>0x72d6f7d82cd922aacf690362d717ceb108e4d317</t>
  </si>
  <si>
    <t>0x72fecb76a39536f6851cb53deae03e66cf3a8d4a</t>
  </si>
  <si>
    <t>0x7311202ad30470135a7ba6ad43a12e1c7382498d</t>
  </si>
  <si>
    <t>0x733db7050c16a76eee3d56de7445d293ec6bceea</t>
  </si>
  <si>
    <t>0x73421de1ff15bd2d49d77a374802f5bbf17fc957</t>
  </si>
  <si>
    <t>0x734d5a3597f197dcfff9de6806d7b249a5877ec8</t>
  </si>
  <si>
    <t>0x7362bcb5a29a84bc8400bbf23e22183e1695f794</t>
  </si>
  <si>
    <t>0x737784dd5039bf407c3fc31425303f0860416547</t>
  </si>
  <si>
    <t>0x73779567a13a46143eb23ba5935226d2b2dcd81e</t>
  </si>
  <si>
    <t>0x737afa38651e46a0f2d598156780ccdad7a65fbf</t>
  </si>
  <si>
    <t>0x73888b896e7f4e034141d89d857a3a0d8728b75c</t>
  </si>
  <si>
    <t>0x738b08bc77322f75e8901ebe409f3cc7958bff51</t>
  </si>
  <si>
    <t>0x73aa6bf7fecc75a399aa06be3055102f034f21ed</t>
  </si>
  <si>
    <t>0x73ae5b993038aa91df76866ef71cfb248b2bc75f</t>
  </si>
  <si>
    <t>0x73b88df8b69f7d1b56ab6c4a5aab641f5ca46698</t>
  </si>
  <si>
    <t>0x73cebfe82faa666cc3ec9b646c89ba89b1dc9060</t>
  </si>
  <si>
    <t>0x73d2d9adc1f26f84c16b951c19b298e93d708544</t>
  </si>
  <si>
    <t>0x73fa065c018e5659b25eb6544c4f0bd91cd6181e</t>
  </si>
  <si>
    <t>0x73fad72df5ad5bde9f42ab6d968b64c513a75315</t>
  </si>
  <si>
    <t>0x73fafefb6e97e29d6d5fe7efe409a37873ea3fef</t>
  </si>
  <si>
    <t>0x73ff39ee11ac14be9b215f7e923349dba255437c</t>
  </si>
  <si>
    <t>0x740320f15bf19a2ece2eb13576e69fd6700bb8d4</t>
  </si>
  <si>
    <t>0x7418a8171c526f2307fb1f6c957b9e7465693756</t>
  </si>
  <si>
    <t>0x741a52ce9283d35b2caa623f838abc16778abd5b</t>
  </si>
  <si>
    <t>0x741b150a2d750c304401a569bad735e0cfc363d7</t>
  </si>
  <si>
    <t>0x74404934e906a6cc05f16ddbb880fd15d2508005</t>
  </si>
  <si>
    <t>0x74426a653cb18199998ade61a0b973316d288850</t>
  </si>
  <si>
    <t>0x7465a22ba37d72ed2995be8d5e94ab1a39338f30</t>
  </si>
  <si>
    <t>0x74c57b95f30b9b96b9446f48add2ee622d58dfe8</t>
  </si>
  <si>
    <t>0x74f654626fdab39d92159746bdc31ff826449ffe</t>
  </si>
  <si>
    <t>0x750da89b3f07b252d1078ef22d61a87d1803ecf0</t>
  </si>
  <si>
    <t>0x751830d90224b6b4eedf41886778013a8ccaadc1</t>
  </si>
  <si>
    <t>0x7522682a93738e7da3ab42959d61cd809fe62440</t>
  </si>
  <si>
    <t>0x7537739d4be0ddf39239a37c13d11fcea420ba46</t>
  </si>
  <si>
    <t>0x753b0dd94dda8098b256e3089028dbce9c220470</t>
  </si>
  <si>
    <t>0x7572d1b965ca1291e77075ce4122ce05b61cb23f</t>
  </si>
  <si>
    <t>0x75afa0148a5330c0d54a63a2388fb4aefb36b540</t>
  </si>
  <si>
    <t>0x75d94db4af1519862a0d5e1f9ef818866f1fbc41</t>
  </si>
  <si>
    <t>0x75f73a37049cc0da983a938712412092c229a715</t>
  </si>
  <si>
    <t>0x7607aedb36183deb0474037b8783f31d2026a36f</t>
  </si>
  <si>
    <t>0x76125e86324deaa5286cd56f0b49df6b2d57d827</t>
  </si>
  <si>
    <t>0x76372a94fcb23b190838c493342d1e0d92eb0bf8</t>
  </si>
  <si>
    <t>0x7657e4cdb6d8b00a14040e6c1af23203aac8876b</t>
  </si>
  <si>
    <t>0x767d24f06ec7c4f5ef830b0132c48c1536cb68bd</t>
  </si>
  <si>
    <t>0x7680598270be41895cc6fdb1e7572d73de86c509</t>
  </si>
  <si>
    <t>0x76bc0f1eafc820dd4c56b72d7adfb60dc2867ea3</t>
  </si>
  <si>
    <t>0x76d44a33156971ec900f15345f17c53424248446</t>
  </si>
  <si>
    <t>0x76ef2462d321c054a9ed3d2add9be79d97689514</t>
  </si>
  <si>
    <t>0x76f3d6f298a515ecb765bdcc7abbaa6ef9da0ec8</t>
  </si>
  <si>
    <t>0x76fa5876ecef7cecfbe8f94566a1e7252c20bf39</t>
  </si>
  <si>
    <t>0x7700352e20140e1604c597cda9e5f17b057716c4</t>
  </si>
  <si>
    <t>0x77094aa58741d80aa1b6b6e935e6e8cde9115506</t>
  </si>
  <si>
    <t>0x7717f84f529caafd879386b99972563deef753f7</t>
  </si>
  <si>
    <t>0x771e2dbd34d17d30b5d324b43d4c32968513164c</t>
  </si>
  <si>
    <t>0x7730c1da0c358e4eeb7f2641db77e82a5fdea6a4</t>
  </si>
  <si>
    <t>0x773106a0630dda384ea1b57b37a7ab69308804c4</t>
  </si>
  <si>
    <t>0x7740423061557d3a467f92f86d4222a85a8d20bc</t>
  </si>
  <si>
    <t>0x775560bb89540337d66fa10193403822cc68669f</t>
  </si>
  <si>
    <t>0x7777bd9a0db40450f5afd50022ac064f7b62bde9</t>
  </si>
  <si>
    <t>0x779df50a790d0a74780e689d0e8035e0a524c159</t>
  </si>
  <si>
    <t>0x77a171b18e19e4e7fa4fb08670c2319e6c055035</t>
  </si>
  <si>
    <t>0x77a50d6457541d41fe2e67057b08cdeb120f6cbb</t>
  </si>
  <si>
    <t>0x77b6196f5e800cd8cff9955a43694e358e115d85</t>
  </si>
  <si>
    <t>0x77bb994a32abbd5fd8bf8007b1d152eb6c9f72eb</t>
  </si>
  <si>
    <t>0x77f8d21e739dd90083122a97f2cd9987e791e605</t>
  </si>
  <si>
    <t>0x783f5c16094b30d610cb5d2f2eb12a91a452eff0</t>
  </si>
  <si>
    <t>0x785c73db0baeff4b96701fdfd36f79b75453f741</t>
  </si>
  <si>
    <t>0x7863fa4c0c67f6b2121920aeff3a55731fff2507</t>
  </si>
  <si>
    <t>0x788d24a6839cdef858bc1ccb292dbdb190d5c2c9</t>
  </si>
  <si>
    <t>0x7898807ee44e0112f93cd39b0a6a10b4dd2f26ec</t>
  </si>
  <si>
    <t>0x78a694ec1e462012fa16ea1d3e6608ceeae06074</t>
  </si>
  <si>
    <t>0x78f48b160cc01001f01d317aa4b7c09f9fea7b8b</t>
  </si>
  <si>
    <t>0x78f64a5c3ea827c8a41fd76a2c59cac11ca17152</t>
  </si>
  <si>
    <t>0x790de6f4edcc1ecc49cfd1ecbddd320d851c4f15</t>
  </si>
  <si>
    <t>0x79163d478e6c608bede549bdd9b17adcfe362b6d</t>
  </si>
  <si>
    <t>0x7921780c2056488ba01ba469c1bb40151622bdac</t>
  </si>
  <si>
    <t>0x792ff39e292d988efc05a850684b26908956a366</t>
  </si>
  <si>
    <t>0x7956180b8f62d9744765d68d400040d0ff16173c</t>
  </si>
  <si>
    <t>0x7959f5ef5a0d293dd6af82d8547d21390d75194e</t>
  </si>
  <si>
    <t>0x79660566763ee508f02e6067a702e71673440c46</t>
  </si>
  <si>
    <t>0x796d36fcee30f16e247a879ae70622124e6d43ed</t>
  </si>
  <si>
    <t>0x7977a061378927bac23a93092adf5fdde8103924</t>
  </si>
  <si>
    <t>0x79aab68ea04b5e0886d8e33748938ed4a8915e5d</t>
  </si>
  <si>
    <t>0x79ab4091336d65fe868e99f2cc8a32e7f059ce62</t>
  </si>
  <si>
    <t>0x7a146ab6a1eb2769c908a1daa164bcc33136f5c8</t>
  </si>
  <si>
    <t>0x7a2dcf8be9e1ba85ba3e390d2c9bb14fc98b606e</t>
  </si>
  <si>
    <t>0x7a5bc6b106c8f7f92a2c28a7e3b6bf0c9b7ed57e</t>
  </si>
  <si>
    <t>0x7a6588392d843eaa69373d85b3314d3ecb3fe9f3</t>
  </si>
  <si>
    <t>0x7a6fc813508f9d4bf4459e2cd9abe3e4127991cb</t>
  </si>
  <si>
    <t>0x7a9e2a02d8b060a0f614afec961feacb9dc24384</t>
  </si>
  <si>
    <t>0x7ab8ce296f460ee6565e37cf46b4598161b4a539</t>
  </si>
  <si>
    <t>0x7abf0455aad4fcca29d4ceab525ba06e2431a544</t>
  </si>
  <si>
    <t>0x7ad66087430103caccc64eaaba8b1dbf4fe1c9fe</t>
  </si>
  <si>
    <t>0x7adee7a7b545c3af2a15370d8c70ef5bf942258b</t>
  </si>
  <si>
    <t>0x7afab1ab061627186568eddc5e963e61edebb87d</t>
  </si>
  <si>
    <t>0x7b01289f65f037a0b2d68ea2de99bbdd6897d53a</t>
  </si>
  <si>
    <t>0x7b200c3e7fb825b17c3d7da1e7d29379036cfbed</t>
  </si>
  <si>
    <t>0x7b28912e5b1e062a5316b4a0ffa76e7eaf1a4f8a</t>
  </si>
  <si>
    <t>0x7b3c4f16639ee908e895cf3855afc14e1a95c10e</t>
  </si>
  <si>
    <t>0x7b60440260b91a98f7b760c17795c5ff2dba094d</t>
  </si>
  <si>
    <t>0x7b81c0ec2aaac6a79231e5a4df89a8f6db01d20f</t>
  </si>
  <si>
    <t>0x7b9cfdabaaf2cd7f0e659dca8cef5fafc6e4f081</t>
  </si>
  <si>
    <t>0x7ba77e50a2c06b94e526b867fdddcf29140aba2f</t>
  </si>
  <si>
    <t>0x7baf8687b6ee39214978058cc23a79765684fc5e</t>
  </si>
  <si>
    <t>0x7bb6af3976357955f57c7e99c4527d255e8ee58c</t>
  </si>
  <si>
    <t>0x7bca4afd65fbb3812047b700479fb3809daa872a</t>
  </si>
  <si>
    <t>0x7c48a8bcadc6a591e7a72b6a41da6677ca46177e</t>
  </si>
  <si>
    <t>0x7c608b36f8a0aa5dcd610fbf188c189fd27a1fdc</t>
  </si>
  <si>
    <t>0x7c614c9da4a195f209ef9e63e5c6f5801db86fab</t>
  </si>
  <si>
    <t>0x7c74915377474f705d218c9a35f46ba2b5046e8c</t>
  </si>
  <si>
    <t>0x7c7f139e15bc34989f0ec562bf34b03e33204a73</t>
  </si>
  <si>
    <t>0x7cc043fc64a839484427169b856e1d4931c09bd4</t>
  </si>
  <si>
    <t>0x7cd462ae5181f9c55559d158e3efd79afd93f932</t>
  </si>
  <si>
    <t>0x7cdd3c5fa933194697c9bd12002b9dae5b4a4497</t>
  </si>
  <si>
    <t>0x7ce7f7f57037a8990b96d6501f0ef809876a50c7</t>
  </si>
  <si>
    <t>0x7d07cf3cf1da0dff9dd0ee5766b517df69253948</t>
  </si>
  <si>
    <t>0x7d09d3a39afcba3663b675dc74e638fc8ee8c08a</t>
  </si>
  <si>
    <t>0x7d0d0e6c6b57a116429ab14d08303e8f71b452f4</t>
  </si>
  <si>
    <t>0x7d16d0e6768eabd9d5e8cda441e83f301d99ab5f</t>
  </si>
  <si>
    <t>0x7d43106d1bab0ded316be5111c8db8d66898996d</t>
  </si>
  <si>
    <t>0x7d4ae1aae068aea2b017440c52d1b69f3cd81d47</t>
  </si>
  <si>
    <t>0x7d687319b77afd41a5d087cd52e2d0cefed55d83</t>
  </si>
  <si>
    <t>0x7d8b2b1556ad6ee6687236e75ab2fbb2a70f100d</t>
  </si>
  <si>
    <t>0x7da10ce8d5bd7abf0ee57433366bf1c2abbef02e</t>
  </si>
  <si>
    <t>0x7da2be1a4232a5c7ddefdba1e78f95da9def8bdb</t>
  </si>
  <si>
    <t>0x7da7cead3bdf8bb374c9c210b16c43dd9ad80c46</t>
  </si>
  <si>
    <t>0x7dba056ef0fe2ae7c329fa12d70144ff61089e2c</t>
  </si>
  <si>
    <t>0x7de427b9340b89e41e791b8ed67aca5e942bc90f</t>
  </si>
  <si>
    <t>0x7e05382a7463bffd77fd09b44ed261dd72d74aa1</t>
  </si>
  <si>
    <t>0x7e0eb3f176bcd1215f9d9ab8984e544f37538e88</t>
  </si>
  <si>
    <t>0x7e14020d4ccc7e490b34f7e3e8ff3799ef5b5c6f</t>
  </si>
  <si>
    <t>0x7e6e004f6e22e310fdae7d16e2855bcf6ef69daa</t>
  </si>
  <si>
    <t>0x7e95da20083bcb74fecec9c77966c7d376b5a0d0</t>
  </si>
  <si>
    <t>0x7e9d5da81c3826465d6958a3ff804d1f48dbece1</t>
  </si>
  <si>
    <t>0x7ec682575e42024cbde4fdfbf3ebe7882a09ba07</t>
  </si>
  <si>
    <t>0x7ed7380023e63b1f59d546fd9b8e982f2a31ca73</t>
  </si>
  <si>
    <t>0x7eec1992852d626b843a256ee692015af346fd6d</t>
  </si>
  <si>
    <t>0x7f1095afdfa5eafd35f2397926d953d097bed2fd</t>
  </si>
  <si>
    <t>0x7f1499444eb8f141296951b579454ddf7abea8d6</t>
  </si>
  <si>
    <t>0x7f1e7f6253dd2c64b6818fb2376f0e38e46f9ccd</t>
  </si>
  <si>
    <t>0x7f27dc8a4c176be5536a186b7e6b784cf3a62ac0</t>
  </si>
  <si>
    <t>0x7f37712d5ec67a363100bd8f19cbb36871de0d39</t>
  </si>
  <si>
    <t>0x7f41f4e27194d83d04b6e7312f6207c157c54581</t>
  </si>
  <si>
    <t>0x7f950844fbce3e5c70ba16b012706605f353e0d0</t>
  </si>
  <si>
    <t>0x7fa70b57cf4600db894128a2eab39b9af06756b9</t>
  </si>
  <si>
    <t>0x7fa7d339d474d0f4c8caf4afd002b589f8b1a4b9</t>
  </si>
  <si>
    <t>0x80099a284ec437108ec7e37b0e2cce53093d70ae</t>
  </si>
  <si>
    <t>0x800ded7fcd76b351cf3747f4a72861f921dcc10b</t>
  </si>
  <si>
    <t>0x8023159ccb0a6096cc59d3405f9c9efa0b270790</t>
  </si>
  <si>
    <t>0x8025c13878031c3a051773e617d0c581a1050a2e</t>
  </si>
  <si>
    <t>0x805d08ca6067f667a92d997435c1bdcc90ece4af</t>
  </si>
  <si>
    <t>0x8066f69802bd531a31a60ace16b2e5f68a8a9fdf</t>
  </si>
  <si>
    <t>0x806be29fd63609604738e5b3cd82c7bcc6220ba3</t>
  </si>
  <si>
    <t>0x807216ad4b005357a60e224a8fad7fa512430511</t>
  </si>
  <si>
    <t>0x80820f9cd3687ea10a0f14c875b2b7edfdc18ce5</t>
  </si>
  <si>
    <t>0x8087fee86e8967dbf76261f440e5f41b260ae224</t>
  </si>
  <si>
    <t>0x80a0b406a94fd1c2e90400be79b426c180b6b0ff</t>
  </si>
  <si>
    <t>0x80b506102d7874685ebd3d5f3e34a8011fab7d2b</t>
  </si>
  <si>
    <t>0x80c1adfb1192d781a03cae1ac84faecac5c91a8a</t>
  </si>
  <si>
    <t>0x80d082852bb1e1fdca41130afcb0469b6b8a66b3</t>
  </si>
  <si>
    <t>0x80d1060d9cff5e935b815f8cd125efd3f03640e0</t>
  </si>
  <si>
    <t>0x80d36bebb754c3be49d26caec7ec1c3c4d0c9adc</t>
  </si>
  <si>
    <t>0x81025ad7ef745169186889effcdf7be125b74655</t>
  </si>
  <si>
    <t>0x81199a75141bf9b0ac662cd3cd71b8b403d4339f</t>
  </si>
  <si>
    <t>0x81252eb6e884bfc452def81b3288e020cf9dd71f</t>
  </si>
  <si>
    <t>0x81389bf2b1fcda287b090119ea3cc706a16b6c36</t>
  </si>
  <si>
    <t>0x815400bf42a37af49f0229b502a15c880ad14ad2</t>
  </si>
  <si>
    <t>0x815e116c9cc4604d3ea481ab55abe829ee885a88</t>
  </si>
  <si>
    <t>0x8166e6476afe22d9b316a48b1a4d39dd51d08643</t>
  </si>
  <si>
    <t>0x816c98d83e0d6c1bee19d8ec3b059ecacb764132</t>
  </si>
  <si>
    <t>0x817d3bd22c9d38253f931a5efaeb41d401e1dc69</t>
  </si>
  <si>
    <t>0x818418eb4b2d93d8daebed1159c8fadc7a079c5d</t>
  </si>
  <si>
    <t>0x81a72aa945f90142370fc7e3addf039ebbe2ef19</t>
  </si>
  <si>
    <t>0x81e34639ded2fc0ce0b46609ea41c5897f8143c2</t>
  </si>
  <si>
    <t>0x821b3ccb295debce08212ee06193cf404ab825a3</t>
  </si>
  <si>
    <t>0x821ebc8d481c2440c6581534acc6cc0d0bff7c73</t>
  </si>
  <si>
    <t>0x827e71b1fec3a37114b7c62db6401d962247b876</t>
  </si>
  <si>
    <t>0x82999ef66ded3b44380d49cbefc23894c4c3e61d</t>
  </si>
  <si>
    <t>0x82a2e65dcdb669033424ccc3877163582f8a143c</t>
  </si>
  <si>
    <t>0x82ddeedc3fed36b418a4a49e1f1f7cb87429269b</t>
  </si>
  <si>
    <t>0x82e75d92e557db4e4576f13b45aafd07a18c1253</t>
  </si>
  <si>
    <t>0x83484257af94d2740edcb2f9b034d5b5fa61d2ba</t>
  </si>
  <si>
    <t>0x83492c4c9f74e0df5838250f1629cae2506d43b7</t>
  </si>
  <si>
    <t>0x83540929300f6e3b3ecd8914ddcea93f482609b1</t>
  </si>
  <si>
    <t>0x835649a4ad9c806405b03e39bfcd02d6e81b408f</t>
  </si>
  <si>
    <t>0x836a4f927565ebd84ab8dac785be4dd20c6d4d4c</t>
  </si>
  <si>
    <t>0x83a3e524f0b4cd2eb0cfbd91e7c9ee86e6c8a083</t>
  </si>
  <si>
    <t>0x83e28fcf86a7a0ba511ac79e65df19646d27b2b8</t>
  </si>
  <si>
    <t>0x83faad862fb2cd3aa828f7a795f3f559df0badd4</t>
  </si>
  <si>
    <t>0x83fd531ade3e2e34a7c94e878e0ad3263bf28cdf</t>
  </si>
  <si>
    <t>0x8424e1b9d7ca7f3d8738d27d81bd51df58262696</t>
  </si>
  <si>
    <t>0x84287bdefa1fd19f9c81b00c5293ba5d828eb296</t>
  </si>
  <si>
    <t>0x843366297e040cf1d88692d436e642d48053cd84</t>
  </si>
  <si>
    <t>0x8439a3b6ed9cf3771ba4b91c2812316a209ec194</t>
  </si>
  <si>
    <t>0x845040a6ea5f281e1175ae586215f4a1d03f17b8</t>
  </si>
  <si>
    <t>0x8458e27cf77a7e6a7db887423b4d8530e50004fa</t>
  </si>
  <si>
    <t>0x84bdbcfb4bb7cc94ecac9a76a4a04cbe0d152caf</t>
  </si>
  <si>
    <t>0x84e2348a2f02c91df86104e67a8b2741ce4d0cc1</t>
  </si>
  <si>
    <t>0x850d0120c6475092c0ec94236a22c998a35b47ef</t>
  </si>
  <si>
    <t>0x851e469af93bf31db74971ff1c0567c262c8f03b</t>
  </si>
  <si>
    <t>0x8522428d9dae21a73962bd4408d025363ba58e41</t>
  </si>
  <si>
    <t>0x852df9d3caa6f14477b30971d84a079606d36285</t>
  </si>
  <si>
    <t>0x854b89571aafd8919140c2a29a153304747e430d</t>
  </si>
  <si>
    <t>0x85606c8ad9d0d8c6fac57717484ac00e13ce716f</t>
  </si>
  <si>
    <t>0x85684fe4b513a069d89e2c1cae3668fab14744dd</t>
  </si>
  <si>
    <t>0x859dff8ff2a234df802370e59712de22e8d6d908</t>
  </si>
  <si>
    <t>0x859fa5c1ad6d6add1e77fc0ef38ec58421a06e4c</t>
  </si>
  <si>
    <t>0x85b43e44916b647c008df984bd5ca1e0c18a4b72</t>
  </si>
  <si>
    <t>0x85b8fb91eac0ec152f1f98eb22e91e596e0d5be4</t>
  </si>
  <si>
    <t>0x85fcc8db2344aaf3be3a898368afb803242046bd</t>
  </si>
  <si>
    <t>0x860630d13453a74d27af4f0f89641f09f395bafe</t>
  </si>
  <si>
    <t>0x8610d989f22d29330cb13e527b173eba99af3fc2</t>
  </si>
  <si>
    <t>0x8621d832e2e8f66fb2447620f352d2e64f7ad3f5</t>
  </si>
  <si>
    <t>0x862913627332799c632593382fde83f30a055b58</t>
  </si>
  <si>
    <t>0x862fef6dabd0dba60dc775a2536a3dc9485fa881</t>
  </si>
  <si>
    <t>0x86454b6066f29ae228a0571c7ee07d1de8255737</t>
  </si>
  <si>
    <t>0x8660e15af11e4c5706c70424254379ec2faddae1</t>
  </si>
  <si>
    <t>0x86670b06281c0cded84c3eca9cc0ab6340b930eb</t>
  </si>
  <si>
    <t>0x867dee96191c8ee39aa46b6b8e010a724f92254e</t>
  </si>
  <si>
    <t>0x86a5f76a0a16b8e38e46fbf0754c954a9c9becff</t>
  </si>
  <si>
    <t>0x86b408d91623a216ed344aca7f8a5d9cf274c729</t>
  </si>
  <si>
    <t>0x86b948d4ae188424f451cdf285443ca169ff8fb4</t>
  </si>
  <si>
    <t>0x86fcadc4ab4ffc4943b9085119cbeabe883624c1</t>
  </si>
  <si>
    <t>0x875b025f857fee359388788b1513ff34d8dc8645</t>
  </si>
  <si>
    <t>0x875b9932eeab29b5848f873b2044e1801773ce8e</t>
  </si>
  <si>
    <t>0x876b5e4366fee13affbe8df614e5d7e28989d9f0</t>
  </si>
  <si>
    <t>0x876ffd65557461d5cf89d7e38688e2943d7cb794</t>
  </si>
  <si>
    <t>0x87818685fce74b40a28ced9df234293c14f217ec</t>
  </si>
  <si>
    <t>0x87985f001d8cdeeb39d83ad453a80117ce2578cb</t>
  </si>
  <si>
    <t>0x87a1acbe2b1c077fc2a03d86e969cd511b142fb6</t>
  </si>
  <si>
    <t>0x87dd55828b2a4f4b750afd504a5d9d2561542564</t>
  </si>
  <si>
    <t>0x88179aeeef2b628336f4ad74101d4dfe0743f706</t>
  </si>
  <si>
    <t>0x88370ae069b0fc8e0bca44305bf3a0d6ab56919f</t>
  </si>
  <si>
    <t>0x884e10ec38c52a631e45adba5bc898985c204c70</t>
  </si>
  <si>
    <t>0x8851eae1d2a2e23cd8bb3b969d8c4bf28b49b0e1</t>
  </si>
  <si>
    <t>0x8852ae619237638b71cc4c09f8fa6b0c5b5644ad</t>
  </si>
  <si>
    <t>0x88631b13f92e596ba8f535fc4388669895f55710</t>
  </si>
  <si>
    <t>0x8864668a5c41a69db87c11e22bb299e5db7205e6</t>
  </si>
  <si>
    <t>0x886bcb23c6cead5c806a62d7d3bb33d183740b34</t>
  </si>
  <si>
    <t>0x88920273afadc7bb1051ca5e8089969129d31bd5</t>
  </si>
  <si>
    <t>0x88abea2fed1be45e288240cc1a8e7a79cbf9cb6a</t>
  </si>
  <si>
    <t>0x88ef17369c25aeaf30f8c45368e5405c3826799d</t>
  </si>
  <si>
    <t>0x88f96d40856deffd10aac6423d06de3f9256555d</t>
  </si>
  <si>
    <t>0x8909fbbe48abfb1d09cea4087f6fd79c305730be</t>
  </si>
  <si>
    <t>0x89120607c9f3934c8a4a478166ea7be2abfc8f27</t>
  </si>
  <si>
    <t>0x891d7aad1d524434335695fd3784e466b0400a9f</t>
  </si>
  <si>
    <t>0x8962e65339ec9c7350395f8b538280abcf9e0d50</t>
  </si>
  <si>
    <t>0x89743a7c66acb96b81a599a124517f089abb5c3d</t>
  </si>
  <si>
    <t>0x897853510d7fb160045122934110a3197e0df2df</t>
  </si>
  <si>
    <t>0x898a78b28ed0905f6e2d7b155eef0478b50576a9</t>
  </si>
  <si>
    <t>0x89a3ee25815ef7601a2ee1ec0e0e02749f119c30</t>
  </si>
  <si>
    <t>0x89b3ca95b293331249140e6697145d5806b3976d</t>
  </si>
  <si>
    <t>0x89dcad37cba7f8aeaf07a5d3cb708b4cc920e576</t>
  </si>
  <si>
    <t>0x89fb10ac2f1afcc85b0f77b264e7943e126a895c</t>
  </si>
  <si>
    <t>0x89fe9f14824d058841ffe8b3c85b0da6e18b202b</t>
  </si>
  <si>
    <t>0x8a1a941eafee8da07096862e7c17caf24e485592</t>
  </si>
  <si>
    <t>0x8a2444a4d2c7f4279ddfb2b2b93fcac00f51e342</t>
  </si>
  <si>
    <t>0x8a47686b6f932286531d0b281f646f6a999276c1</t>
  </si>
  <si>
    <t>0x8a4cc5b5ebb97397327f672040fae03510e35665</t>
  </si>
  <si>
    <t>0x8a64fb28e06df7d47b041695c174654e7ad9f68f</t>
  </si>
  <si>
    <t>0x8a6575879031fa738c374cd3e119176cf6124ea0</t>
  </si>
  <si>
    <t>0x8a6e0fbd9e1c6021f4a54fbfeeb626dd873b2583</t>
  </si>
  <si>
    <t>0x8a7d56d2290c2ce24d4e3b85c57cdb2b02d065a5</t>
  </si>
  <si>
    <t>0x8a830f105a42e705cfe3a0295dfcfd7259ed4570</t>
  </si>
  <si>
    <t>0x8a9a88863d1dca8c51d66fbad401e8e692ce352c</t>
  </si>
  <si>
    <t>0x8ada253a2fc16e24d0f161e908e53379a36a5199</t>
  </si>
  <si>
    <t>0x8af40c045a6f36094b5c051a5bf040a87bc253fd</t>
  </si>
  <si>
    <t>0x8b18dbf711d0e93817fc36a62dc6be54700a2142</t>
  </si>
  <si>
    <t>0x8b3d56203fa0a3dc96d98bbc33c1dc27a5e08a9e</t>
  </si>
  <si>
    <t>0x8b40b722aa17808069a22381c74fd61d0e026b48</t>
  </si>
  <si>
    <t>0x8b791a9934f27297eb8a9b7aa9afaef4a85084bb</t>
  </si>
  <si>
    <t>0x8bbb8124533ff5f82fc2dbc542f5bd7bf447fb67</t>
  </si>
  <si>
    <t>0x8bc0fc5b31fa30266a3dd81753be66ee4b62a7f9</t>
  </si>
  <si>
    <t>0x8bd7ea8b18d73ac45fb38f1d8d40d8407f05257f</t>
  </si>
  <si>
    <t>0x8bf551829be2fc9a7643a7a9a07c91f69e3c192d</t>
  </si>
  <si>
    <t>0x8c1360289a684eaebfe5e8d2856f1d063e024e82</t>
  </si>
  <si>
    <t>0x8c1fa414d6daa33cac1c455505c15c0a251aa895</t>
  </si>
  <si>
    <t>0x8c23869c5be0302b37013320f0cf7ea54a58db6c</t>
  </si>
  <si>
    <t>0x8c4e94c9d23c733dc21c20b96d22faaa0edc04df</t>
  </si>
  <si>
    <t>0x8c5771a331d084a2a4497548759494b72ed5468d</t>
  </si>
  <si>
    <t>0x8c738633559e1c5ea7743e4d005fd37f78899462</t>
  </si>
  <si>
    <t>0x8c824ada4e8c771f7a6245d963ef28c60c98096f</t>
  </si>
  <si>
    <t>0x8c8a90b30fc5296854ab165ee24e682d6f21a69f</t>
  </si>
  <si>
    <t>0x8cb2b8e4ce00bac2bd95e4ad66c86935281a65df</t>
  </si>
  <si>
    <t>0x8cc295c9706c25f68a5bd0ccd0001066f1c1bf86</t>
  </si>
  <si>
    <t>0x8cd6f7c68d4a6b9f387f9254be971ae7417e49ea</t>
  </si>
  <si>
    <t>0x8cdbc154409ef1da00d328f947ccd01e0eec2836</t>
  </si>
  <si>
    <t>0x8cdd627696685510077da7e376a5a4d3a80e0923</t>
  </si>
  <si>
    <t>0x8cdedaaebaa53c31562bcac4fbe1d75d517e49f8</t>
  </si>
  <si>
    <t>0x8cee08ef784c3d6d2b2b4ca7e81b841d8af0aad6</t>
  </si>
  <si>
    <t>0x8cfa92c609f96921faf1e5eee64f64946f77113e</t>
  </si>
  <si>
    <t>0x8cffad5e02a7d55725e3e62c259f7ed2c8682c67</t>
  </si>
  <si>
    <t>0x8d1774d8e34834b017e8cfe280b3638445dfbb84</t>
  </si>
  <si>
    <t>0x8d17a220f9ebe8bee396e601af4fc47743c409d0</t>
  </si>
  <si>
    <t>0x8d705f2a987f59fde46fb6d4054b25927624720c</t>
  </si>
  <si>
    <t>0x8d88c4e9b2e01b4f2583258096941a52b3253283</t>
  </si>
  <si>
    <t>0x8d8b800a80ea0d6dcda447595e65224d8e2f939a</t>
  </si>
  <si>
    <t>0x8da1a4d25691d9ffa62b07c5675d4839356cbeb0</t>
  </si>
  <si>
    <t>0x8dd217a8b972ec71136933ae7d056da7e9c544f6</t>
  </si>
  <si>
    <t>0x8dd465ba1cd2ad7f6e6dfd929be748be361429ca</t>
  </si>
  <si>
    <t>0x8dd780a898f4b2a01ff121ac07c2d6b47a3e037b</t>
  </si>
  <si>
    <t>0x8df9270632776ecb55b9e7ba65e123c5b4785da3</t>
  </si>
  <si>
    <t>0x8e0fd6ab040360dd674dff0f0c24308b3b056499</t>
  </si>
  <si>
    <t>0x8e11972e2d76b8fae1e6c4198dc36c668db75bb1</t>
  </si>
  <si>
    <t>0x8e19948a2a7a7a030ff1bce3ca242dffb3abe353</t>
  </si>
  <si>
    <t>0x8e39d69c490c3130cef52c654d41e04ad75bc949</t>
  </si>
  <si>
    <t>0x8e482202c57cf6b630b128d37d47c326e169c599</t>
  </si>
  <si>
    <t>0x8e70a5ffd963fabe34613b887dc5c6c7c9edb28a</t>
  </si>
  <si>
    <t>0x8e7b7ee295743ee5b1ee85be41dc857b840d3779</t>
  </si>
  <si>
    <t>0x8e99ef09f2d5b709f302edc3e5a9773a78667d48</t>
  </si>
  <si>
    <t>0x8ea6b45f48caa1b9718107e656d304632084702c</t>
  </si>
  <si>
    <t>0x8eb1ea97f9e8ea5c5622b83c0c84a010022f34fb</t>
  </si>
  <si>
    <t>0x8ee8bec88c2e2b6d1c464f856f90ea9ea5dba947</t>
  </si>
  <si>
    <t>0x8ef15cd905919709b8c5d6b98e690ee8097db06c</t>
  </si>
  <si>
    <t>0x8ef517e81f2b5816b39dbee32336d7c17d27677e</t>
  </si>
  <si>
    <t>0x8f1e222c6fa0a48eae269a2d893cb2ebd8c49846</t>
  </si>
  <si>
    <t>0x8f3223a7abd0bc70da006ed7761b3a3048486449</t>
  </si>
  <si>
    <t>0x8f35a8f341724a9bcddb8334f880b45e51df0914</t>
  </si>
  <si>
    <t>0x8f428c9b375f6978b4dec51055b4be05bd58d4e3</t>
  </si>
  <si>
    <t>0x8f5e10dfeaa41479b0081dc14b42594373041dba</t>
  </si>
  <si>
    <t>0x8f6304e498fc444cafc356fb5e792c01626c2e4f</t>
  </si>
  <si>
    <t>0x8f89b92ead4dd58c0c5d7ac3e69afb6c289a9811</t>
  </si>
  <si>
    <t>0x8fa1ac564a1eab8ece86924930f89c254cea0aec</t>
  </si>
  <si>
    <t>0x8facb83aec9d41bda3c893a25fe7590237fd5dd8</t>
  </si>
  <si>
    <t>0x8fbfd7a58e4fb05b5c949fe477e07e2ee5901b9f</t>
  </si>
  <si>
    <t>0x8fc44fec6d78a474bda0d74ab3c31b4498761c8c</t>
  </si>
  <si>
    <t>0x8fc7a03cef0abf03c415ddc2c266fc3fa73003c0</t>
  </si>
  <si>
    <t>0x8fd6980bdee15c3fad7e6dfcfaa9d625ced6013f</t>
  </si>
  <si>
    <t>0x901956b83e94974079b17c658285c89367c58ea5</t>
  </si>
  <si>
    <t>0x9026c23a55de22552d47a7cfe95a8825f8a01aea</t>
  </si>
  <si>
    <t>0x9032ceeef231fe3bdcda63805bdf80b496ceb209</t>
  </si>
  <si>
    <t>0x903435bb40a3955aba055488321d0016525f1c2b</t>
  </si>
  <si>
    <t>0x9054daa9bdfddfa5cfbb1dc5c4d5fa14a0f9d623</t>
  </si>
  <si>
    <t>0x907b9c10ce7604ac5a40f7c8e71d6538b1fd76d4</t>
  </si>
  <si>
    <t>0x907d8bcb57deecc4fcd560ebad9fb03185d071f2</t>
  </si>
  <si>
    <t>0x9088caa14e58b08140d711ad3276db80596bf95c</t>
  </si>
  <si>
    <t>0x908ae90f3d30175eebc39ccb2fa19a61a212c5c5</t>
  </si>
  <si>
    <t>0x90a4a1d90cbb3044ea2716265f001cddf768eb2f</t>
  </si>
  <si>
    <t>0x90ab58258b58ff184c5de55b1c25bcfa37c33864</t>
  </si>
  <si>
    <t>0x9101b74ceae7bfd327f0c355823bf3fd95e06aa1</t>
  </si>
  <si>
    <t>0x91037e348918b93264fc83137157f1d97170c174</t>
  </si>
  <si>
    <t>0x911f38174ce34b42f02a0dc477531d7dc57409ef</t>
  </si>
  <si>
    <t>0x912989437d9c15ffccb94c0290e286499c06d351</t>
  </si>
  <si>
    <t>0x912bbe47436edcb255334a4dd92ec2de875b2f1b</t>
  </si>
  <si>
    <t>0x9144dcfd6336a185237d2acf8a109c6af5c2036f</t>
  </si>
  <si>
    <t>0x916aecfacc4ffb90f2b07115930df03c6ea7d1ca</t>
  </si>
  <si>
    <t>0x9184df5c5c4346fd205dfc87960d13665446b2c0</t>
  </si>
  <si>
    <t>0x91a502bae962c2c5da1fec8c4ec69f2a2a84a283</t>
  </si>
  <si>
    <t>0x91a9521200ebd57b45123c7a469e49cdca693bcf</t>
  </si>
  <si>
    <t>0x91bc950d3b1b90a61f46a7f2c47e4476dfc94b8c</t>
  </si>
  <si>
    <t>0x91c1b93b639ad1e5de17c68f6533d8f600b16670</t>
  </si>
  <si>
    <t>0x91c2893da0e58e8f80f41eb5f5be9e69a744cc78</t>
  </si>
  <si>
    <t>0x91cd39a1657e24aa6c3260bc5041537f24ce5d60</t>
  </si>
  <si>
    <t>0x91ce2eaaa0ae31b8b109e4a2038fa7ac3e83034f</t>
  </si>
  <si>
    <t>0x91f3245edb3ebddc0f7544d70f9874e6da7dc13c</t>
  </si>
  <si>
    <t>0x91f8f839f8705c4f4bba61833625b1e735f864ad</t>
  </si>
  <si>
    <t>0x920961a4a7a15385c4f3328e50f76f781c71d859</t>
  </si>
  <si>
    <t>0x923c0bc1a01f64a8917164560815d0b48ba0f1d7</t>
  </si>
  <si>
    <t>0x9276234661f254c2ea6e251fb1d3c4807879995b</t>
  </si>
  <si>
    <t>0x92790280683bf5703de2a5bae19bb79b97cbf446</t>
  </si>
  <si>
    <t>0x92a030cdb61efa7f84174762a9584cdaf3f4d1da</t>
  </si>
  <si>
    <t>0x92aa38a9fc751e3686e69f5959877f388642ba74</t>
  </si>
  <si>
    <t>0x92ab1dca8037335d67eaae95c221b4ac19388a7f</t>
  </si>
  <si>
    <t>0x92ac2a779a636d48047a3a081496a0d6780c1134</t>
  </si>
  <si>
    <t>0x92c8a826fbf006d8a644112cad8359f58ffb0428</t>
  </si>
  <si>
    <t>0x930664d8da5adc6211349b1f28e67c114018a1a9</t>
  </si>
  <si>
    <t>0x9368b2fa9399676619f8fc93cd102f467d8e9753</t>
  </si>
  <si>
    <t>0x93a56ffa78624c0ecdace6bc9a7c63f92f398d68</t>
  </si>
  <si>
    <t>0x93a59a53943b1b6e109055bcb0f3428f302dca11</t>
  </si>
  <si>
    <t>0x93cd5cd289a01e27e0d25ccde1525a886ac07171</t>
  </si>
  <si>
    <t>0x93cfab908f96bc61dac54dacff9d46511aadc4da</t>
  </si>
  <si>
    <t>0x93d3b98e20b8a5c414204109510050e947eb4911</t>
  </si>
  <si>
    <t>0x93e4f1cda4849121e9527d7d377190a596fbe777</t>
  </si>
  <si>
    <t>0x93e78fce875ea05b3164f7a92dd27d3ba341bc0d</t>
  </si>
  <si>
    <t>0x93ed32454c5c47cf954620a01011113d217fbddd</t>
  </si>
  <si>
    <t>0x93ee12f86d778f8c5c5429bbc4fe91b0daee9415</t>
  </si>
  <si>
    <t>0x940f5293be23c4d06f9f561f2df79457d3782e1e</t>
  </si>
  <si>
    <t>0x941e710a60a07307c575631a0fbe32c25def4956</t>
  </si>
  <si>
    <t>0x9426edf7ec765c9500c4a3b82fff34dacd73c8ec</t>
  </si>
  <si>
    <t>0x9446eecced65cfe6cf1aac0de7ec00126ba9bb61</t>
  </si>
  <si>
    <t>0x94554c5615155378cbb49918cedddbdfcc9a1755</t>
  </si>
  <si>
    <t>0x94695cb00c46104c1918c1c465229c312a8df226</t>
  </si>
  <si>
    <t>0x9489f9fd88c7621721341511011c8e2e86b527b4</t>
  </si>
  <si>
    <t>0x9499723c9c4a6b06a2b34c7312f13ac48295a4b5</t>
  </si>
  <si>
    <t>0x949efdbadfd5117c7b9b1776c2c4509efa98425e</t>
  </si>
  <si>
    <t>0x949f79417ee0de6e12d425540ad01a81a1f864ef</t>
  </si>
  <si>
    <t>0x94a8d388de11058d7890f71c54237820bfc9373e</t>
  </si>
  <si>
    <t>0x94a980a415aa2205e1e9f77f6706651611fe22dd</t>
  </si>
  <si>
    <t>0x94b071242a754c62abe546c94c783c1bd736720b</t>
  </si>
  <si>
    <t>0x94e1b677bd7f6996aa5e2ff2194d8a679184b7b5</t>
  </si>
  <si>
    <t>0x95274f50d6e214b3359c9cad15f001667fb275f8</t>
  </si>
  <si>
    <t>0x955485d91ec0d8b46c8f6f7832d706d2a34d0dc6</t>
  </si>
  <si>
    <t>0x957d48f0f48465820e83e7f0c53e6ae39067d88e</t>
  </si>
  <si>
    <t>0x9587f5eb855e266236830e3b70302369145e203c</t>
  </si>
  <si>
    <t>0x95910efbf5fac0b7715121656c5b62a819540c3a</t>
  </si>
  <si>
    <t>0x95a7a87882d9c0c82afd69fb7b2cd3f419185b37</t>
  </si>
  <si>
    <t>0x95b471e769484e63e0f7704d3e0cd09fdb900f9c</t>
  </si>
  <si>
    <t>0x95b49e38b2a3140f5242d57f6ec34920601ae193</t>
  </si>
  <si>
    <t>0x95d984e859646d42e418df5e9cca6d0a4ae91584</t>
  </si>
  <si>
    <t>0x95f7900744f79836fb2f2352f01c06d24c8e703d</t>
  </si>
  <si>
    <t>0x95fb5a0cec0a1dc50f0d3caa3d1521537d9ee991</t>
  </si>
  <si>
    <t>0x9620e21e1c6cfb63dc9c7c5c53183415c0236d01</t>
  </si>
  <si>
    <t>0x9657de59414f57951e17f12498abf6caced58a62</t>
  </si>
  <si>
    <t>0x9668f8af3ba0e5b370b6280b5ad81b01642fdaae</t>
  </si>
  <si>
    <t>0x967b53d39d24d3f047e18511edcd7dca4aaf8273</t>
  </si>
  <si>
    <t>0x967cf0c28637b6e7d6fcd7e1c0ca53806b45a2c7</t>
  </si>
  <si>
    <t>0x96906eb4a20c7b7b2d8aaf1c9553959458e68642</t>
  </si>
  <si>
    <t>0x96e6dfd023504c6add0225518e38357d00444610</t>
  </si>
  <si>
    <t>0x96e858f84e0691b48b6215536686d79caf1b8288</t>
  </si>
  <si>
    <t>0x971912e15da506d3f73c5f577efda9ef0d6b15cf</t>
  </si>
  <si>
    <t>0x971cdd31accfcff7f1dcdef7b6c813279e364378</t>
  </si>
  <si>
    <t>0x972d6276c6f5e3d9de8ea2a307775ecb061b2ef2</t>
  </si>
  <si>
    <t>0x9733d6fde8f3a97fe46b08d7200669fb44f5fb38</t>
  </si>
  <si>
    <t>0x973ccebf8452fbd0c0d9cee99b46f4708aa28178</t>
  </si>
  <si>
    <t>0x9743a924b33c0102bb27e2cd946f915e6ade8315</t>
  </si>
  <si>
    <t>0x9748c887809da7e89c7afa0fb62f8fd955486f50</t>
  </si>
  <si>
    <t>0x975ba9c4d7b50617db627d5539bcaa8a19f65dab</t>
  </si>
  <si>
    <t>0x9767d18e0f7596e14788ce97c04288eab692b13c</t>
  </si>
  <si>
    <t>0x977e371dca3a46078504a8caee1b8d1c347c912f</t>
  </si>
  <si>
    <t>0x97d7f357c70f9883e87b68988e53049ba3242da0</t>
  </si>
  <si>
    <t>0x97ef33b171ba020ad097740a9615ecc2a513b96a</t>
  </si>
  <si>
    <t>0x981cc27bd476fc300a28270555c7bebf09efbcff</t>
  </si>
  <si>
    <t>0x984c5d268b220784e87fbe8edbb5c6b9f7ba9fc4</t>
  </si>
  <si>
    <t>0x9852960133f1bfebe62915b8c10d8995f6fa5b36</t>
  </si>
  <si>
    <t>0x9882f7e7e00410000397a9c08326f220558ff0aa</t>
  </si>
  <si>
    <t>0x9896b07c4c8ac407884ae81b8f2c6095f2b02043</t>
  </si>
  <si>
    <t>0x98c045dcc378e578a40d9c9f000aa60a2bd12942</t>
  </si>
  <si>
    <t>0x98d065ad72e733dd7a6eef5daedc066fb6e8417a</t>
  </si>
  <si>
    <t>0x991ed920ad18864ec24c006917827087a18c8e62</t>
  </si>
  <si>
    <t>0x992f1eb0bff384e5497c3ca477b5bed6c7231db0</t>
  </si>
  <si>
    <t>0x99329a9d73f7136ee28e344bd85132eeafae3fdc</t>
  </si>
  <si>
    <t>0x9939629aed5c318e9e92e1a073d56ad0dcd481f2</t>
  </si>
  <si>
    <t>0x994de30dc4a7bf4fb374670fec844a619ad9053b</t>
  </si>
  <si>
    <t>0x9988737a9eb5b430a76c369327009e3cbfd14276</t>
  </si>
  <si>
    <t>0x99a44ebf80eb3dd3a4ef8a43a795d12a196a65b4</t>
  </si>
  <si>
    <t>0x99d23efa57887791b3b8e729fc53d73f80e88a91</t>
  </si>
  <si>
    <t>0x99df0a77697220e2aae27eda2360531719457321</t>
  </si>
  <si>
    <t>0x99e9c853cf442f492078267f9c513ccbec0168d5</t>
  </si>
  <si>
    <t>0x9a0161a9efc2a623bdb372b8b7b6882bc01a27c2</t>
  </si>
  <si>
    <t>0x9a06ded5a7fdbb1cf08f8414b18f73d078038fe2</t>
  </si>
  <si>
    <t>0x9a096dee9cd3fcaf9f0f0806c1feaf176e2d5943</t>
  </si>
  <si>
    <t>0x9a1ce61815c2e7cafd55a8ca2f03af7da34b1b84</t>
  </si>
  <si>
    <t>0x9a23499b6056837e2407e384cb50871e38494e81</t>
  </si>
  <si>
    <t>0x9a24210cb6a7dbb4439bc69c72b49ec6b0ffc182</t>
  </si>
  <si>
    <t>0x9a29967db9bb57bc4d16271b4b4884c2becefced</t>
  </si>
  <si>
    <t>0x9a426af579354f69a281d3fcfcbfd06c80f403a4</t>
  </si>
  <si>
    <t>0x9a5a2518e5105cd989a97299ac52552308a47153</t>
  </si>
  <si>
    <t>0x9a5b518b7a5db05fff65a21e445fc13537d1eb5d</t>
  </si>
  <si>
    <t>0x9a6300b55e07129592390954bbea6d785d060e6c</t>
  </si>
  <si>
    <t>0x9a670560401f8280ee879a04c0bfd3daccb584d5</t>
  </si>
  <si>
    <t>0x9a6ab9fdcb2e3136228c0556336b931d5d5b04bb</t>
  </si>
  <si>
    <t>0x9a99f2d6dd87bf2fb75e1f615402b09c87a8063c</t>
  </si>
  <si>
    <t>0x9ad87c806bdc218dfb596d3d26a8f495f1a084da</t>
  </si>
  <si>
    <t>0x9aeaca0d9fef3da6e95b4949bce53d63d0c9e019</t>
  </si>
  <si>
    <t>0x9aef562bfa82f747a2558c491f79f8ec37ab50e5</t>
  </si>
  <si>
    <t>0x9af28eb4506c4dee5edaaf4d0d9e9f2685a800d3</t>
  </si>
  <si>
    <t>0x9b0cd7ff30f19ef4b3d031f7c84cb22a63080cd3</t>
  </si>
  <si>
    <t>0x9b45f2efb5d26a08fabfa659289dbff093b8a6a7</t>
  </si>
  <si>
    <t>0x9b46a3aaf76f0f8b2ed1fed2c4425887cec1db44</t>
  </si>
  <si>
    <t>0x9b8ecc555143fc33b9809e7f4dc69179161208ae</t>
  </si>
  <si>
    <t>0x9b9ec109f4d01134696a9270ba382e69d383232e</t>
  </si>
  <si>
    <t>0x9ba4ab921cf526abac0277f5eb98ffd0ad10d07f</t>
  </si>
  <si>
    <t>0x9bcc3400a3a8d9db9f601e2a65e43042f6ad8ba5</t>
  </si>
  <si>
    <t>0x9bd99c41c4dcc607b03fee4db6a4c4114d605680</t>
  </si>
  <si>
    <t>0x9be7ad9e686f4736082a5d491c4c84c2f8982e33</t>
  </si>
  <si>
    <t>0x9bf912ead53e84f0c72b1d73aa6fb4503189acbf</t>
  </si>
  <si>
    <t>0x9c1ed1428a5f6375d3505d5e46680d5a1afacb73</t>
  </si>
  <si>
    <t>0x9c2a689e6c67478a6ed305617ee942d5143b658d</t>
  </si>
  <si>
    <t>0x9c2db3cc46f84a43951172b1f89dc3e555b4d5a7</t>
  </si>
  <si>
    <t>0x9c2f3f8391e6f80c45607104b9b9c2c894689c0a</t>
  </si>
  <si>
    <t>0x9c37d8631a39c021dd08469414440187ffd7a983</t>
  </si>
  <si>
    <t>0x9c4cfd0e9863201908892ef5413eaa61e36bab02</t>
  </si>
  <si>
    <t>0x9c4d342437f354c603c7f36a270e9303accdbb15</t>
  </si>
  <si>
    <t>0x9c704df9eb81ef45f1da2699bd114febcb64c29a</t>
  </si>
  <si>
    <t>0x9c8566d0097046e3c0726b85474036b9cda78585</t>
  </si>
  <si>
    <t>0x9ca468da3efe13b408f803da5c2281734ee81b07</t>
  </si>
  <si>
    <t>0x9cb0e2afa1d32a4f077bc94e412d595dba6ebb71</t>
  </si>
  <si>
    <t>0x9ce599fb49c8e5fee16cdc088df8b194cf417b38</t>
  </si>
  <si>
    <t>0x9ced9f02c69dc9df18e38e9f4a3a34acc1022792</t>
  </si>
  <si>
    <t>0x9d226f4e67a0d3019e1e6d075d48c241e52065a4</t>
  </si>
  <si>
    <t>0x9d437a65c3c41302a020bed4402d0087593a147e</t>
  </si>
  <si>
    <t>0x9d539a4bc74c1c8c3ce04c64b88458dfea4f431e</t>
  </si>
  <si>
    <t>0x9d5531a034c125ac14f0780e6e99310739ad0b14</t>
  </si>
  <si>
    <t>0x9d7ba10d81cbd3cb56f35fd5292bf52b9d384fa3</t>
  </si>
  <si>
    <t>0x9d99a85415b3ee8aa210b56e5a76a7085d058399</t>
  </si>
  <si>
    <t>0x9db9a311d97191c1e1d674d6a4d9a9531d1ecc7c</t>
  </si>
  <si>
    <t>0x9dbcc76199de962d35e3db9b133563f28178227f</t>
  </si>
  <si>
    <t>0x9dd561747b6f8b6b12217ed4e680d598f0ff9302</t>
  </si>
  <si>
    <t>0x9dda346797c5b946c2c384553373539e7d370178</t>
  </si>
  <si>
    <t>0x9de736b671f842b2f84bd12f10de1066c765eea5</t>
  </si>
  <si>
    <t>0x9e13f5b45487346b8b01a859aee24db2e57b4abf</t>
  </si>
  <si>
    <t>0x9e4786715a63fb037eb3fc11836ae648441eb739</t>
  </si>
  <si>
    <t>0x9e4d983092cb027f22e96787227983d661d1f6bd</t>
  </si>
  <si>
    <t>0x9e5b9940d19b9d351be516bb493e3b8a2b4303ad</t>
  </si>
  <si>
    <t>0x9e66504a892fa84705c24a4bd41e67b6be581c65</t>
  </si>
  <si>
    <t>0x9e7f237617ef3bdc3a1933440e5ee24e4380805f</t>
  </si>
  <si>
    <t>0x9e822121536292e5a03ec238b78a629f7a204d54</t>
  </si>
  <si>
    <t>0x9e83a125daa1638f2c618208c797cc1728580f99</t>
  </si>
  <si>
    <t>0x9eae41228838fd4a66967fb17e7fe10679dd0cc0</t>
  </si>
  <si>
    <t>0x9eb86e4977b0db3a4967dffc565c51a43b76f58b</t>
  </si>
  <si>
    <t>0x9ebd9a0f17b24b3ab8c9b4995076ae89a8199d8d</t>
  </si>
  <si>
    <t>0x9efe066ea7c0b7f64834e9d7807717cb4a75f13c</t>
  </si>
  <si>
    <t>0x9eff5fc06d7e14dff4e7fae5f5246a954d7205f4</t>
  </si>
  <si>
    <t>0x9f200c031a541d2a3223889a2e26c92d72828061</t>
  </si>
  <si>
    <t>0x9f3680efb2287ac6a7c75b662f20055baa381733</t>
  </si>
  <si>
    <t>0x9f3cbb6fd7d9583db18f41addd6e12e84d10ee00</t>
  </si>
  <si>
    <t>0x9f3f66da80bb8101f6c770f6cf5d9023d7819da4</t>
  </si>
  <si>
    <t>0x9f48505022eb7358bcd0d1343fbc2ead84da0230</t>
  </si>
  <si>
    <t>0x9f5026b8e23a2ac6fcaa79f8791cb3f23f87a66c</t>
  </si>
  <si>
    <t>0x9f5ecf5aa91d62eb017d69c10b2c60d549cf0c28</t>
  </si>
  <si>
    <t>0x9fa7819d13b8e3fe50b1a0765203f94a82a85763</t>
  </si>
  <si>
    <t>0x9fbba8d721945e8930e1d01dbc7ea49280e71669</t>
  </si>
  <si>
    <t>0x9fcf43cd19e7521f5f4d134820c832e2492c2cf4</t>
  </si>
  <si>
    <t>0x9fd34a2fdb75c48caa23572ab12b7c667574cab5</t>
  </si>
  <si>
    <t>0x9fd863218129c3008e743016da05c102b42a5e15</t>
  </si>
  <si>
    <t>0xa0157d435b6337c92ba7dd47bd5068cfe7f17139</t>
  </si>
  <si>
    <t>0xa0505b378a28e286a5771ecec63cba0f84cd7a46</t>
  </si>
  <si>
    <t>0xa05f5aa19dc950a3d98fd2df857c2be7e098e613</t>
  </si>
  <si>
    <t>0xa06eccefddae343b40a08647f2e1bfac6ea919ef</t>
  </si>
  <si>
    <t>0xa0a17f5d92f4b250d463cf5a16549fe6371f6db6</t>
  </si>
  <si>
    <t>0xa0b9eaf37acf6634f04c1f1e7001791cbb7762da</t>
  </si>
  <si>
    <t>0xa0ba9d15defb5e4667fd14d2a65be5b4b191948e</t>
  </si>
  <si>
    <t>0xa0bad0ea344e2e7ea14203fa167ceaf5bec72aa5</t>
  </si>
  <si>
    <t>0xa0c1c1d9eb3246bcd32570b33d0c623b0ea2ba80</t>
  </si>
  <si>
    <t>0xa0c3efe08e592ee77e7a7d3fada523cbd88003c7</t>
  </si>
  <si>
    <t>0xa0cff26e15d4441e5474bf774631de89314c5565</t>
  </si>
  <si>
    <t>0xa0e1eee5ce9881c716ed5d09377f693dfbb65a9a</t>
  </si>
  <si>
    <t>0xa10039abc04d165325c5eaf16cb4dbeff95254f0</t>
  </si>
  <si>
    <t>0xa11b87e6ca877060021d050b435cd6a4bd65d6b7</t>
  </si>
  <si>
    <t>0xa121686d7be526e46f2f2bf861bb786be2956e6f</t>
  </si>
  <si>
    <t>0xa127a57cd41461975cea5a68f344cd8488cea5a5</t>
  </si>
  <si>
    <t>0xa12d205d2b2aef73089ec2b8bd700789489742c4</t>
  </si>
  <si>
    <t>0xa1326b2d260ec56b981c69605104704f5a8a17cd</t>
  </si>
  <si>
    <t>0xa1758eb1a2fcd5422231b9997edb8976b93b6655</t>
  </si>
  <si>
    <t>0xa1762623640f37a4c03297773456f9d8568fc09a</t>
  </si>
  <si>
    <t>0xa17a34916e9d564cd412fdad7310c64b4673734a</t>
  </si>
  <si>
    <t>0xa1816e5b5ddf172d86c4b2e0b6ec9bdb3a9d3f23</t>
  </si>
  <si>
    <t>0xa1adec5cbdd637d87849140aeda218bc30134493</t>
  </si>
  <si>
    <t>0xa1c17f4385d648e9a164a7758b54e529c9e225d8</t>
  </si>
  <si>
    <t>0xa1dd95f4b089e343e3ec9787b8cf41534d323069</t>
  </si>
  <si>
    <t>0xa1fd862b5920c4a550132154309bfc7c29b18d06</t>
  </si>
  <si>
    <t>0xa20039e396d4fd251b53b947e2862fd2262f780d</t>
  </si>
  <si>
    <t>0xa2007830aa1a32a3af4d49e21fcb05cb8848c60d</t>
  </si>
  <si>
    <t>0xa209111b61aef6ab54c731e2c6531665a6cb2370</t>
  </si>
  <si>
    <t>0xa216f567bc4664bacbba88c7e1eded1b4043a18d</t>
  </si>
  <si>
    <t>0xa22b8b110076a99932b6a5f4555b79b94c1bc922</t>
  </si>
  <si>
    <t>0xa261471fb1e9e69885fbedcd85d73139a3ce95f5</t>
  </si>
  <si>
    <t>0xa2830d8e9fba0aa426032ae415e3adbc86f8fd60</t>
  </si>
  <si>
    <t>0xa2961c9edc2b3977edee73b8c7ec4597b1f9d4d2</t>
  </si>
  <si>
    <t>0xa298c1d1e6e70b712ea9e450c0f6c24f339b632e</t>
  </si>
  <si>
    <t>0xa2baa6ba2ac664bf50a4cf42171dd608993d532a</t>
  </si>
  <si>
    <t>0xa2c408956988672d64562a23bb0ed1d247a03b98</t>
  </si>
  <si>
    <t>0xa2dca8dd493ff52d0fc33dff4a17205ef5fff86e</t>
  </si>
  <si>
    <t>0xa2dcb52f5cf34a84a2ebfb7d937f7051ae4c697b</t>
  </si>
  <si>
    <t>0xa2e5c953faae1af81022cc0c49fcb40fe43ce14b</t>
  </si>
  <si>
    <t>0xa2fd2b6b9114d1a83ac077381241bf0f8963c320</t>
  </si>
  <si>
    <t>0xa312d7e180fbc096e5784b8b7977703942ec82af</t>
  </si>
  <si>
    <t>0xa327f1edd6a384f573837e7bbbecf2c2dad14fc5</t>
  </si>
  <si>
    <t>0xa3320f745611cf004bf02b8186d89ab2304a9fa9</t>
  </si>
  <si>
    <t>0xa340286f3ebbc6ea195e28890dc2fc9ce417d20a</t>
  </si>
  <si>
    <t>0xa348953a62188e005fd2d411da2a8bd1c486da07</t>
  </si>
  <si>
    <t>0xa35b0b7cefc0e24ac666e4be94a154d2cdf7e2bf</t>
  </si>
  <si>
    <t>0xa35ed6c81a5bb8f54efa0cdb2045ffa040fbb864</t>
  </si>
  <si>
    <t>0xa3803797a934a71c8d565f9e6c79e22aab591713</t>
  </si>
  <si>
    <t>0xa3c0c7845779f1433aa336337417d7217eb4f480</t>
  </si>
  <si>
    <t>0xa3db5b5bbb7ce2aa96275837bca893c89aac569c</t>
  </si>
  <si>
    <t>0xa40566f0e9f919c64f91d0288e9587f6b30bb0bf</t>
  </si>
  <si>
    <t>0xa43867a72cbba85af92a5d171403a8858d29cefd</t>
  </si>
  <si>
    <t>0xa46460abe381f2d55ed5379893253bc3ea06226a</t>
  </si>
  <si>
    <t>0xa46575474aa947e3d6fd66396ad2aea447d288cc</t>
  </si>
  <si>
    <t>0xa46d5fe1721bbb1a4a548a57a4981b27654afdfe</t>
  </si>
  <si>
    <t>0xa4754b2492aabca31403ed4407ec1166cef65f47</t>
  </si>
  <si>
    <t>0xa480dcdecca7baa02ce62277375cd51e7a4d5025</t>
  </si>
  <si>
    <t>0xa4873895cd3d1ff65586d18198ba6e5f342459b9</t>
  </si>
  <si>
    <t>0xa4aab0c424250b49a51a61d5f80f5d20c7d013d4</t>
  </si>
  <si>
    <t>0xa4f89aa46a70431a6b16e797fa34f8e862a9c07b</t>
  </si>
  <si>
    <t>0xa5205eccba8cbb04db80d81be66be1a0785fdb82</t>
  </si>
  <si>
    <t>0xa5265ab9ffd59c81474ac62d7b8c5cdd47673109</t>
  </si>
  <si>
    <t>0xa568b3ed05b85f3603c40ebc43659d35a7fdbfc6</t>
  </si>
  <si>
    <t>0xa5838a1834dec705e4fe50b5be1566f8838a379f</t>
  </si>
  <si>
    <t>0xa5906352f2e72253ea73989b4a792f7f2a97a76f</t>
  </si>
  <si>
    <t>0xa5b11c56a19ad9b6e13f584fa45b2d3c48472307</t>
  </si>
  <si>
    <t>0xa5b61af6bc5a24991cf54e835bdd2c0c4f41d816</t>
  </si>
  <si>
    <t>0xa5c74774456d431913941eee949d4e470617ed65</t>
  </si>
  <si>
    <t>0xa5ce2fd284c3b31c45861f82558080bb5458c6db</t>
  </si>
  <si>
    <t>0xa5cebac830948a359c14811b8acb1bdb70cb536a</t>
  </si>
  <si>
    <t>0xa5d9fa9a24fd7eaf4df5cc668e5d431e38b0799d</t>
  </si>
  <si>
    <t>0xa5dadd9a9e5e61fef17bd1fa0353e70ee8335cd9</t>
  </si>
  <si>
    <t>0xa618d4b8df66370efc25cf73da0126efff1ee838</t>
  </si>
  <si>
    <t>0xa61c114e38ceac5bde6325956f4e808582690329</t>
  </si>
  <si>
    <t>0xa61d4bd746ffb8913661a983d5455ec835210272</t>
  </si>
  <si>
    <t>0xa634d8b6fbe9a175a5be1b0e5d6798e47d45998a</t>
  </si>
  <si>
    <t>0xa656316cd0613c47a5b1c49125af331189a8e551</t>
  </si>
  <si>
    <t>0xa6586e8b3298bdfb48fe28418468ae3d6ec60141</t>
  </si>
  <si>
    <t>0xa69b127f2eb0327f408236a4bcb970c4122ea30e</t>
  </si>
  <si>
    <t>0xa6b7e0200d28f3cf5dd6e8e078c4826822bb720e</t>
  </si>
  <si>
    <t>0xa6c3997cc5a1dbfe6e72074424c2c0088286c71e</t>
  </si>
  <si>
    <t>0xa6e96dbb6b7d2c12062e70d3dec87c4fe23f961f</t>
  </si>
  <si>
    <t>0xa6ed26749cb54591291b4550a82f15ff64ae98d9</t>
  </si>
  <si>
    <t>0xa6f9ab70da9d6ec0af3155e8926c20e8365aa4c7</t>
  </si>
  <si>
    <t>0xa6fff7304c3cb9ba332539863ba5dfe9f131db61</t>
  </si>
  <si>
    <t>0xa70456336a70657c6433a3f91868aad851ccfb3d</t>
  </si>
  <si>
    <t>0xa7069b4433333c178df886e5c85ead8a6a105de5</t>
  </si>
  <si>
    <t>0xa70e458d902972c789d96590ac71ef901abc5cac</t>
  </si>
  <si>
    <t>0xa73018c8c64d8b58f692da632255c8ac907c8d58</t>
  </si>
  <si>
    <t>0xa73c4a33eece64e31ce81262edea93603a6dc51c</t>
  </si>
  <si>
    <t>0xa761039db0d24890caae54127599701d29ded9b6</t>
  </si>
  <si>
    <t>0xa77d5f01d2f398a8f819483577bbd627dc4d2485</t>
  </si>
  <si>
    <t>0xa782862589e5e353bd450df556354adee13b3388</t>
  </si>
  <si>
    <t>0xa7837018e98f44a279191410c78503ea86d5e203</t>
  </si>
  <si>
    <t>0xa7a95e75062001f286627ae8216ae15746222259</t>
  </si>
  <si>
    <t>0xa7aaf55f538245782d44a2892abcbc7b9b518c53</t>
  </si>
  <si>
    <t>0xa81366d43ca9d191dd6dd3e7fa29c3932505ceb6</t>
  </si>
  <si>
    <t>0xa839793e705670ef0b08d3d931cc48604c569a58</t>
  </si>
  <si>
    <t>0xa83bf7db6abdef5b4f6361af0255392c4d84851b</t>
  </si>
  <si>
    <t>0xa8538b0fa93512780923609a29cb208a202358ea</t>
  </si>
  <si>
    <t>0xa854db6b9bfb0ba9d93ddbd683c52198f3a5fe78</t>
  </si>
  <si>
    <t>0xa872d7457974b5fbd3772e4ddcfbdac82c9dd200</t>
  </si>
  <si>
    <t>0xa895071275dd4af4863d3355213752c28bc7e3ac</t>
  </si>
  <si>
    <t>0xa89851048720f44a83a523809d00e237783c6494</t>
  </si>
  <si>
    <t>0xa8994cf1751840c28894d8afa4ba1f1b9b70ad6d</t>
  </si>
  <si>
    <t>0xa8a566de44f70463633d5505136cfe481ec72dee</t>
  </si>
  <si>
    <t>0xa8b3cc2acd2b8bc077fb0a3a0b1320c7e7b5030b</t>
  </si>
  <si>
    <t>0xa8d25cfd958ad71d9077d9ef6d334f4b7bdbb131</t>
  </si>
  <si>
    <t>0xa8e50cdc20be6693994c67dee892780ce81dbef8</t>
  </si>
  <si>
    <t>0xa8ec2333b3c5f6e7d890306aead3c0e66ceeafd4</t>
  </si>
  <si>
    <t>0xa8edafcfc815888fde79f0448f203180c9215549</t>
  </si>
  <si>
    <t>0xa8f55892bffb93883a39fa015cf172de2c283c6e</t>
  </si>
  <si>
    <t>0xa906ec465ea4f1092746c485a7709a099f3703b0</t>
  </si>
  <si>
    <t>0xa919538ceab5c64608945865835dbc10540feb1d</t>
  </si>
  <si>
    <t>0xa91de71e3411f7a5bdf77717d753edd9a082adcf</t>
  </si>
  <si>
    <t>0xa9289417f2251d366da0e0bbfdc6f6685ef33a12</t>
  </si>
  <si>
    <t>0xa95878ae16923a232445bf7d3290b4a075b8e6a8</t>
  </si>
  <si>
    <t>0xa9647632f8928accdf5f48784d2988550ee344de</t>
  </si>
  <si>
    <t>0xa96d5593dbbfc24933945cd2e00d2d528c4d1071</t>
  </si>
  <si>
    <t>0xa99054e33ccea5a9b7ecb26e1836ee743bf54ae2</t>
  </si>
  <si>
    <t>0xa992df159d9e45c9c149c940471228aed8665eee</t>
  </si>
  <si>
    <t>0xa9a1848aeb76edddeac27a307f9e59e55c0dd4cc</t>
  </si>
  <si>
    <t>0xa9b27aaae3b252387daad21fd323a732b2972f9d</t>
  </si>
  <si>
    <t>0xa9b44fcd364511c9c8955d32be73633a60c1a6ab</t>
  </si>
  <si>
    <t>0xa9dd0c8b8a2ca4352c0f306e92bc7b9cc3fda2e4</t>
  </si>
  <si>
    <t>0xa9e83d186bee23b741591673243782feef1eeceb</t>
  </si>
  <si>
    <t>0xaa051e49767e1e899574e3ebcaaed237f2f67a0a</t>
  </si>
  <si>
    <t>0xaa0f7cbd16e1562938fb220799e8f989eb78289e</t>
  </si>
  <si>
    <t>0xaa266f072072e22d20bbc92523044606eac0211d</t>
  </si>
  <si>
    <t>0xaa2b7d20c0ffcb1bc17ce1b9807aa25093d114d2</t>
  </si>
  <si>
    <t>0xaa61f14c323f16c95213c3b6f86b90358c975b65</t>
  </si>
  <si>
    <t>0xaa638a5426ad0904cc52e161b4a4832168eb9d40</t>
  </si>
  <si>
    <t>0xaa8e03b1ed158bea87a5f774de0b2816ae292520</t>
  </si>
  <si>
    <t>0xaabdf39e2eb0279906328689b45da5c504321105</t>
  </si>
  <si>
    <t>0xaac588b919973aa47b7a780719139b60151933e1</t>
  </si>
  <si>
    <t>0xaadf465695b80d5f8a1079b6646ba0bdbbaa4307</t>
  </si>
  <si>
    <t>0xab063f52b380237579d357f82adcf9f69e3563a6</t>
  </si>
  <si>
    <t>0xab10270ce28848ecb8cadf70a28b9595b662fd49</t>
  </si>
  <si>
    <t>0xab3454f4198940432f89872023ebbd64495293b0</t>
  </si>
  <si>
    <t>0xab4f075792c261382db2df981c95b668f16e30b9</t>
  </si>
  <si>
    <t>0xab4fa35b93156b9e492635ae149886026d315855</t>
  </si>
  <si>
    <t>0xab5e7e96f0f6d515dfc094a7a3d2382212431d26</t>
  </si>
  <si>
    <t>0xabac45a6bc6851b87ad95839af9f463124eb774e</t>
  </si>
  <si>
    <t>0xabc199b697b85ca1c650ff64bc5dc56c2fa84e74</t>
  </si>
  <si>
    <t>0xabdf60f889f243788dd6e6fdf093fcaa91b9a8de</t>
  </si>
  <si>
    <t>0xac1caedce59c216bcede9918a937c76933a38373</t>
  </si>
  <si>
    <t>0xac34457d13cd6bd41be54ef3644e5be9ffe683e4</t>
  </si>
  <si>
    <t>0xac35f3805f8bde5ab390801809030368343725ac</t>
  </si>
  <si>
    <t>0xac4340f99e557bb7bfbf5cd0751ea1cb0a51f0bd</t>
  </si>
  <si>
    <t>0xac457a98a2c722cead70efecae6810fc1a633c2d</t>
  </si>
  <si>
    <t>0xac6a0bc078f2be4dacef5984de5664172dd846de</t>
  </si>
  <si>
    <t>0xac90e824ccd14b800dec9a33f86d8e9a8a307881</t>
  </si>
  <si>
    <t>0xac9f9331fbb6ff54cb138a84e6930f45949204da</t>
  </si>
  <si>
    <t>0xaca0a556cf668bb5cf58fa4ff2b66041d1476ed9</t>
  </si>
  <si>
    <t>0xacb31a82cebd33df2e1708ccb895e7ffe38330c4</t>
  </si>
  <si>
    <t>0xaccc07936c70c86ea6338652013a9cb9f41423da</t>
  </si>
  <si>
    <t>0xacd67c3083b9e0e2d378b1ec77d6532571dc634e</t>
  </si>
  <si>
    <t>0xace958c490f839c686929641d63b193301b95b9e</t>
  </si>
  <si>
    <t>0xaceed5b8469f9ba5fe8208df9fd537f2cc86b6e2</t>
  </si>
  <si>
    <t>0xacef77f47076e31b0accac72dcf6d2f892533ef1</t>
  </si>
  <si>
    <t>0xad3a43eae17cbbffc7e31eace54a010641d3047e</t>
  </si>
  <si>
    <t>0xad415bfd3eab6634f987f92a6e5dee6bf6565135</t>
  </si>
  <si>
    <t>0xad4489f64a8be791294116d3e99d2721c7f0a72a</t>
  </si>
  <si>
    <t>0xad62457ec39ea1bcaef6f48b1a813231fc36fe32</t>
  </si>
  <si>
    <t>0xad7c728f0171debe72374f6b5b0d3cb9d7b681ac</t>
  </si>
  <si>
    <t>0xada4389661b5aa5756636ca7d3c051c3d04edabb</t>
  </si>
  <si>
    <t>0xadab52b60ff8a0aaad546c4ffeb269935e7addb6</t>
  </si>
  <si>
    <t>0xae0e21edf2fd3e9a7cb085a93e18b705285c779b</t>
  </si>
  <si>
    <t>0xae10de25fc7d646b18d8cd14d685ac6d6739db36</t>
  </si>
  <si>
    <t>0xae1ff4f54d1c97f432ce20c87a1d5d7ede320c9b</t>
  </si>
  <si>
    <t>0xae2b65c7eb905c0cc8c3cf7436017a9aa7eda3fd</t>
  </si>
  <si>
    <t>0xae40271c8cad9ad3e88593bb5b02724d6f006376</t>
  </si>
  <si>
    <t>0xae6a4264c6ca1a04dcb5e42f1017595d62d28b68</t>
  </si>
  <si>
    <t>0xae75301abec94a55eae016557f1eef259b881b4e</t>
  </si>
  <si>
    <t>0xaec7a2d62b1beb5ba9d036734d223bb0b6092945</t>
  </si>
  <si>
    <t>0xaef368c69b23ee997b75aeeadf35a9360a452941</t>
  </si>
  <si>
    <t>0xaf06a05e620747589f6bedae54a745671d517b59</t>
  </si>
  <si>
    <t>0xaf07cadbb206f4924c6a9d06567f21693653c89a</t>
  </si>
  <si>
    <t>0xaf16457afdf2f4ff7897febf74b8b364137a668e</t>
  </si>
  <si>
    <t>0xaf2b89f86a6772049e512ead71ded7fde29bd737</t>
  </si>
  <si>
    <t>0xaf369d89ac92bcc34de0da22c4a5ab34102867b1</t>
  </si>
  <si>
    <t>0xaf75a6806495060cb4ce03b04ab0a3a4668f2867</t>
  </si>
  <si>
    <t>0xaf861f1a8f5fb468636b1c8bbf8c8535b6e9af9e</t>
  </si>
  <si>
    <t>0xaf9ed51be0b605c7fa9bc3c3f66b65a8a68ed9e4</t>
  </si>
  <si>
    <t>0xafa8d9f137bcd4effe8174bb0bd0025a4d92dc78</t>
  </si>
  <si>
    <t>0xafb2c7d0e2206e483f9d49f395df45239dfd3e3a</t>
  </si>
  <si>
    <t>0xafc0b04a03d23a070ab1c078efd1ce5d123d53e4</t>
  </si>
  <si>
    <t>0xafe680afeb7f932db60f3539b535d79a9afd4cff</t>
  </si>
  <si>
    <t>0xb0037496e62f1329a5b563d48d3794590fb1e625</t>
  </si>
  <si>
    <t>0xb01ef1b93ca388aacc9bfbf2363832934af0f560</t>
  </si>
  <si>
    <t>0xb02fe8ce7ed1edb018611fd0f7dc983028a5e41f</t>
  </si>
  <si>
    <t>0xb047e5845ce7c26c915a5b4861d990f61b77e4a4</t>
  </si>
  <si>
    <t>0xb0555a0f25fa35f9bb80d519c36be9e9ff45ac07</t>
  </si>
  <si>
    <t>0xb060b0b7b450753766bad0a746115a291d85e1b1</t>
  </si>
  <si>
    <t>0xb0759a6f09cc7c12704ddaa5716544ca0c1e9bf4</t>
  </si>
  <si>
    <t>0xb0c5bbd91b9a288b21f3eac36a576da99dc6f59e</t>
  </si>
  <si>
    <t>0xb0c72b8b8d1b6d185bd35f459a46ffa4efa50f3d</t>
  </si>
  <si>
    <t>0xb0e218c5be3ae27507f2c9e35460bfbbb1f5db35</t>
  </si>
  <si>
    <t>0xb0fecff8ab2b45778cc022f7f0f98d0a2b0133a0</t>
  </si>
  <si>
    <t>0xb105608d0fb6fec617afdd7d5147aa7ab7a86612</t>
  </si>
  <si>
    <t>0xb108c0490dd10030179ff4c98bd99d41b7ac99d8</t>
  </si>
  <si>
    <t>0xb111c9cd8c07129644d8126279d608c404781b52</t>
  </si>
  <si>
    <t>0xb116a3923b78575919627fdb811f44a3ce35cf39</t>
  </si>
  <si>
    <t>0xb131aa75f9e97e8a1b44bf1f49443e4bef047a0d</t>
  </si>
  <si>
    <t>0xb158d678ce9ed6042e59d929b2e73823ab1a5ecc</t>
  </si>
  <si>
    <t>0xb17fd20b79b5de7880133df47918a1dc2a7e9821</t>
  </si>
  <si>
    <t>0xb1ac9db0d6a1ec291f427ad03fc3b632e1e93a56</t>
  </si>
  <si>
    <t>0xb1b3f9c0aa17d4a2bd41784e160290390ac3ae15</t>
  </si>
  <si>
    <t>0xb1b72a4183660e0791be2cd8e585b70fd6f4bd24</t>
  </si>
  <si>
    <t>0xb1d65729bd421a15c12880c62113445f602bc7ff</t>
  </si>
  <si>
    <t>0xb20054fbdb90a9f61a5b092f04ee92b5c0620a4d</t>
  </si>
  <si>
    <t>0xb2017a931f206f40cf06268e8fcfdd3d4e4f5e80</t>
  </si>
  <si>
    <t>0xb21186a5c6dd9a753408f5cefd9e8486663fd4d4</t>
  </si>
  <si>
    <t>0xb21c45470385211eaf7feb619807de9a07d04229</t>
  </si>
  <si>
    <t>0xb253b4c559452070d76569840d51dfc7c3075be5</t>
  </si>
  <si>
    <t>0xb2648dbb919249ba99564d660a5eef4a3aae2845</t>
  </si>
  <si>
    <t>0xb2876841cc4b17b591277e7e8dcc050bf88e39ed</t>
  </si>
  <si>
    <t>0xb2b36627af83fff76216eaec068ece65a1f3c5e8</t>
  </si>
  <si>
    <t>0xb2dc82e496e4e42e308bc3cf90eb558b38956847</t>
  </si>
  <si>
    <t>0xb2ee43ead7089f3a4b1f87760b8b404ca2c92d61</t>
  </si>
  <si>
    <t>0xb2f2d7d3fd486048127b4a88c132588e772cb206</t>
  </si>
  <si>
    <t>0xb2f572b7ba810b0c1ea7655801b532ef9a7f194c</t>
  </si>
  <si>
    <t>0xb31811a8ef12fb5ac0f9df1b25d14dcc9c8a705c</t>
  </si>
  <si>
    <t>0xb3217e4ad1d22d095d9c83de172edddc27b7f053</t>
  </si>
  <si>
    <t>0xb3218d61fdda1927f761c4bfd62b131b9e638c66</t>
  </si>
  <si>
    <t>0xb325489f360f34026116fe7199b20764e466d7a9</t>
  </si>
  <si>
    <t>0xb382351cdd10502133dc1d31c22f9f5db0265e57</t>
  </si>
  <si>
    <t>0xb38400beb7754027e68bafd4b4204accce133d26</t>
  </si>
  <si>
    <t>0xb38bfe8f08a059e172a34a2e916379c673c36420</t>
  </si>
  <si>
    <t>0xb39ccc6262b30cc472392a5ccfc9416cdf24b13d</t>
  </si>
  <si>
    <t>0xb39ee33b9c93d58285178b5a1e237a1151ea188a</t>
  </si>
  <si>
    <t>0xb3a00c3ca08a1bd29341519a4f1eaedbba82ca39</t>
  </si>
  <si>
    <t>0xb3ac5474ac95e004c02c92d300d1c3f98d3b5983</t>
  </si>
  <si>
    <t>0xb3ca8098c6d12a6e56120bee942d873be584939a</t>
  </si>
  <si>
    <t>0xb3d3c83ad9245ac1f4b9690a862f580cb7f4c165</t>
  </si>
  <si>
    <t>0xb3efb1d334f9a02be2725632cf2f279ca79427fe</t>
  </si>
  <si>
    <t>0xb415bd9de673a5a43c31d9f90a395af091ad426d</t>
  </si>
  <si>
    <t>0xb419b4762ab018811fe568801c2d914c61f2ab3e</t>
  </si>
  <si>
    <t>0xb4260ac0ddd34907983ce5bbd698e2b0134213b4</t>
  </si>
  <si>
    <t>0xb4305e55d70301d92a75d8536c41ffdc7c16fa8c</t>
  </si>
  <si>
    <t>0xb459448246ac62bbb09695de30f4250a6fc05a55</t>
  </si>
  <si>
    <t>0xb475a421dedfd98e7d6859c88a4349ae489384c3</t>
  </si>
  <si>
    <t>0xb48ef1ab1eb5b487c35ac6dc8a3170bd718446bf</t>
  </si>
  <si>
    <t>0xb4c2c55cf0dbb77d58d81faa37f21dce55300c4f</t>
  </si>
  <si>
    <t>0xb4c530e1cd11f36183281778df1a4bdf664d9c13</t>
  </si>
  <si>
    <t>0xb4dc234b62046b41ffbe9f622f219804dd23a6fc</t>
  </si>
  <si>
    <t>0xb4ec56717bb2097bad4e5ee636655de30c890480</t>
  </si>
  <si>
    <t>0xb4f11fd6f9a4c311a9eec2dc48714547edb0853d</t>
  </si>
  <si>
    <t>0xb5116879ee7eb0a495687a1047f91c3d08cb5a4f</t>
  </si>
  <si>
    <t>0xb521ba53dd76e6a503425d973464f6329213d2c6</t>
  </si>
  <si>
    <t>0xb52c1fc731089aa81e9b63df97815fc59a430c06</t>
  </si>
  <si>
    <t>0xb553d9b5e2a8092fe039369826b66e7fab6ac789</t>
  </si>
  <si>
    <t>0xb55788b9a6671781d72d8e294e7d07a61cda217d</t>
  </si>
  <si>
    <t>0xb55fe5fa41d6a4b1b9b9c95747a22300c665da99</t>
  </si>
  <si>
    <t>0xb56b1a652336588e315b4bbae44cab68e745bdaf</t>
  </si>
  <si>
    <t>0xb577dfca930c6639d0a18bff708d2f65ed24ff0e</t>
  </si>
  <si>
    <t>0xb57e3527a752c311e9674aaf1266415e50616def</t>
  </si>
  <si>
    <t>0xb5f278cc7c6dcd58c727b438a6457ebb267685d4</t>
  </si>
  <si>
    <t>0xb621a1621fa3b561ea5af683888d0dcf93edcf55</t>
  </si>
  <si>
    <t>0xb623c9beee1998d90284d4a98da3ff8140a13754</t>
  </si>
  <si>
    <t>0xb6395525819a4a3d74be262d1a9d0c7adfadac00</t>
  </si>
  <si>
    <t>0xb63fb1ff1917172c436e9ac7d9086b51c7287a15</t>
  </si>
  <si>
    <t>0xb658acc06762cf26e47e4e2776b1855cf1554938</t>
  </si>
  <si>
    <t>0xb65f9f9e4ce74e723a8cc30143675447b1e9f541</t>
  </si>
  <si>
    <t>0xb684e3800bd805c14b52031467c3c42373ad65f8</t>
  </si>
  <si>
    <t>0xb6a1f1b0e2a122c78404c05a9ac259c6c3c3ba65</t>
  </si>
  <si>
    <t>0xb6a2e160f47a0909a0f0464093de3da183cf2310</t>
  </si>
  <si>
    <t>0xb6a5d050e4b05adc9479046902f361393afee389</t>
  </si>
  <si>
    <t>0xb6b04d4deecfd6f705f0bc83db18808bbfe92f9e</t>
  </si>
  <si>
    <t>0xb6d3f44d325c35e8434bf389efd9ee83b19ded54</t>
  </si>
  <si>
    <t>0xb6e598f7308094ea10415539868b4f871060992c</t>
  </si>
  <si>
    <t>0xb6f5131a880dc6dfd0611e5b4bcab388a0eb1853</t>
  </si>
  <si>
    <t>0xb6fe5a8ffad50199fa62379fc798bab8e0dcc9b1</t>
  </si>
  <si>
    <t>0xb7216618efa46a2ea3d62592cd058629db2c2e11</t>
  </si>
  <si>
    <t>0xb7310833027e677cc8a1a164437fcf1c0e42dec0</t>
  </si>
  <si>
    <t>0xb73bf4f5eb8c8640eee5460e6923279f97adbebb</t>
  </si>
  <si>
    <t>0xb74297afafd8b71014dac0bec3cdbb9c24c8ae40</t>
  </si>
  <si>
    <t>0xb7468f396e69ff0f8e082737ba0e53cd2a39d055</t>
  </si>
  <si>
    <t>0xb79ee378170813fef1e123dbbe9555d131bdb72f</t>
  </si>
  <si>
    <t>0xb7c75d90041b1149a9319b8bccad16b454a076d6</t>
  </si>
  <si>
    <t>0xb7d4ef6f2557fe1e453b2bf14ad01a75cbe33be6</t>
  </si>
  <si>
    <t>0xb7e2130d5fc8ad833e1b08fe47b173af628da032</t>
  </si>
  <si>
    <t>0xb7ea31cb334028790219c24a74441fdb1e3af818</t>
  </si>
  <si>
    <t>0xb7ec5e58e91a3e1acfb4a49ddc21b47a81dbadda</t>
  </si>
  <si>
    <t>0xb7fef843db91346f32b25d45f9306994b813bdd8</t>
  </si>
  <si>
    <t>0xb818e1bcc4451322456ab04a4e97c2680e147cab</t>
  </si>
  <si>
    <t>0xb81e594cf546360dbcca737c2ca01ff9b3f3461b</t>
  </si>
  <si>
    <t>0xb8242bdb7991895cb67a2e8c8d6b86a95f1cc539</t>
  </si>
  <si>
    <t>0xb82b7a46df1c39cd7ce2c27d41d0346c6558b404</t>
  </si>
  <si>
    <t>0xb840ee91a9d52fc6cfcad18e620140162a3f7c78</t>
  </si>
  <si>
    <t>0xb84466d33a34fbc2f46c56df0c5eedacd262a2cf</t>
  </si>
  <si>
    <t>0xb860f57931841b8b856dc85e0b02da76aed88e34</t>
  </si>
  <si>
    <t>0xb86d0cabde482046e546856f54faa82fa50caef1</t>
  </si>
  <si>
    <t>0xb886718ddc1510f8fd339e2915f04a5533c1c8bb</t>
  </si>
  <si>
    <t>0xb8a7ec8c4e1be9e71dbeb5c96ee7678f2d0ea371</t>
  </si>
  <si>
    <t>0xb8d16046d9af9e5a8b50cc92cd6af66a987f1103</t>
  </si>
  <si>
    <t>0xb8d78bdad2f8e0e6ca2faebb61cb90bda9f12d65</t>
  </si>
  <si>
    <t>0xb8e18294bdb03bd3f19695243163c42a541bc4d9</t>
  </si>
  <si>
    <t>0xb8f3b1f93e344a10ed33108d476e3990a5429d48</t>
  </si>
  <si>
    <t>0xb91013d90577dfc5b711cc4422528b2842312882</t>
  </si>
  <si>
    <t>0xb91ac8933f8941b35186e2516e9faa95caf5f325</t>
  </si>
  <si>
    <t>0xb9365bc835ec7884f008975ee4d8a98f51bc5ba4</t>
  </si>
  <si>
    <t>0xb94c1e4dce921ec02867f5447ff93d50c2b2efe7</t>
  </si>
  <si>
    <t>0xb94ee82f3f53a244da6d5fb6a052bc1ddf9bfed0</t>
  </si>
  <si>
    <t>0xb955bccc2d0db2785e1bb9668723024a123fe0d1</t>
  </si>
  <si>
    <t>0xb95d0877b4830858fdaf6a1111d8a233214c06b2</t>
  </si>
  <si>
    <t>0xb96238e23ca53008e423616990eb8fcb5c5b3b6d</t>
  </si>
  <si>
    <t>0xb966c9109ba022a5580502de94ed1746d71bec06</t>
  </si>
  <si>
    <t>0xb968dcad041665fafa8289177330300c01c0ccf9</t>
  </si>
  <si>
    <t>0xb97af1953c9939b2aa0b7769ab32cd4bfe4fdd50</t>
  </si>
  <si>
    <t>0xb98331c95471b0e72d26663432bf8b0dbfb264b7</t>
  </si>
  <si>
    <t>0xb99e5a2f97ace18edef5ddae1a21cf9fac51faa0</t>
  </si>
  <si>
    <t>0xb9b4524a03321af1adad77a0f5bb4bebeabe4681</t>
  </si>
  <si>
    <t>0xb9bfc11c32b6f1b09df687d96dfa9072a292315f</t>
  </si>
  <si>
    <t>0xb9e36e01fe6d9c8d3ef55f8b05582796d9cd58d9</t>
  </si>
  <si>
    <t>0xb9f831f19f94f09709cf75c757e5bd7a9a812819</t>
  </si>
  <si>
    <t>0xba050b96b369d66a7c506e4e13831b861c15208d</t>
  </si>
  <si>
    <t>0xba05481bf27daae231ffb967fb8fa2dd516d98f8</t>
  </si>
  <si>
    <t>0xba07c823f84bb2aa1cfda61cfa957750f2cf0022</t>
  </si>
  <si>
    <t>0xba179f9c7fe5b6fb9ff8378bf1f802e74fb60e28</t>
  </si>
  <si>
    <t>0xba3608c9903d92d24d3d7aa856a5744f3cabafed</t>
  </si>
  <si>
    <t>0xba5b0827556dc36fefe521b9a89f7c007dcbb7cf</t>
  </si>
  <si>
    <t>0xba5cc2f19f102c99feba29f94b603d583d95edad</t>
  </si>
  <si>
    <t>0xba980c9b9eac87a5b1363dcc326d9753d5ef2666</t>
  </si>
  <si>
    <t>0xbaaa67d958c51be7c522ad2a483d6cf0bb3dd036</t>
  </si>
  <si>
    <t>0xbaad2c1c9663b6f47e654c69356c2cd8cd505f01</t>
  </si>
  <si>
    <t>0xbaaddb7fea2f51841600f6628279aad6be472e82</t>
  </si>
  <si>
    <t>0xbabe160c5afa80af51087fdf883525a1c5ac7336</t>
  </si>
  <si>
    <t>0xbad19e37e23ebb8e91ad0b7bfdbc193f4010ba2e</t>
  </si>
  <si>
    <t>0xbae36e9955d81f81740f0c8ca0b35bc7e26ef5ac</t>
  </si>
  <si>
    <t>0xbaee7cf28379b27ce721dc52182507a760031a24</t>
  </si>
  <si>
    <t>0xbb17b689aba22a3be6792655ff4ca363c89771df</t>
  </si>
  <si>
    <t>0xbb1ce0950298e6b16fc10170e216fd7f6d416e26</t>
  </si>
  <si>
    <t>0xbb5d8941655d1726a8e70d0f5cb296b11bbab715</t>
  </si>
  <si>
    <t>0xbb90fb6febff45a7d6db21f5241ae0e8b2e724ac</t>
  </si>
  <si>
    <t>0xbb9fa6c1ca604d110ff89068f0774a6c1ca40c06</t>
  </si>
  <si>
    <t>0xbba95f998d1e2d6772952fefe8b0ede76160893d</t>
  </si>
  <si>
    <t>0xbbb7b32a5e384829fa67e200041d64e4dd8a6105</t>
  </si>
  <si>
    <t>0xbbd72f032d31864712f7f47970511ce341da1cd6</t>
  </si>
  <si>
    <t>0xbbda8c587de8dc04abb35de738c04e4413355007</t>
  </si>
  <si>
    <t>0xbbe138dab68c297ca95f9dd015058e7ce8f20b13</t>
  </si>
  <si>
    <t>0xbbf9bde9739171e9391608c9ae8bf4e45df1cc15</t>
  </si>
  <si>
    <t>0xbc0147233b8a028ed4fbcea6cf473e30edcfabd3</t>
  </si>
  <si>
    <t>0xbc090a63e401b273cd90bdbc8512bf875d7bf2e2</t>
  </si>
  <si>
    <t>0xbc1eb4359ab755af079f6ef77e3faac465e53eda</t>
  </si>
  <si>
    <t>0xbc48c372b6b064dc2512e4f274164623eaf2862c</t>
  </si>
  <si>
    <t>0xbc583e290a8714d9ee161c368e4587ff1e9b6d6f</t>
  </si>
  <si>
    <t>0xbc8ca713a71ffbe54446e215ef850f773ec4d5a7</t>
  </si>
  <si>
    <t>0xbc9a30c2751412d9295f8adabe6524bd9c8d1c13</t>
  </si>
  <si>
    <t>0xbcab384ba79678ebb17e417d37db9696d3f2c6f1</t>
  </si>
  <si>
    <t>0xbcb72adf4ddf6d9f28f715340bb5508d08ec0103</t>
  </si>
  <si>
    <t>0xbcb86d45fccd36d8d345f2e71aed2814fd549746</t>
  </si>
  <si>
    <t>0xbcb98e278c5d295d43b3821bd88d65a8e77feed2</t>
  </si>
  <si>
    <t>0xbcc6b6fb2dbf45962772a58368722b65d57238b2</t>
  </si>
  <si>
    <t>0xbce030cd572abc5c7183e7144e579df5d762102e</t>
  </si>
  <si>
    <t>0xbce6d08c9abb1b7ec781fc5fcdf67bac0a0a12e8</t>
  </si>
  <si>
    <t>0xbcf97d25be15cf38fa41bd9610e8a485d5613051</t>
  </si>
  <si>
    <t>0xbd062e5034ecbe61b024029d32f537890715bc92</t>
  </si>
  <si>
    <t>0xbd261bda33b5812bbc5e330974d4a6b6f587ce66</t>
  </si>
  <si>
    <t>0xbd556f72e237a7135e8868cef3441e5cbc2f47d8</t>
  </si>
  <si>
    <t>0xbd848387557de7d127a19b735cdd6b9be46f6a35</t>
  </si>
  <si>
    <t>0xbda031fca69da17b6fb5ac057b7f32ee9b41c181</t>
  </si>
  <si>
    <t>0xbda7a4193ca42d3c0b60f21292aa2974be501796</t>
  </si>
  <si>
    <t>0xbdc5ad779ab3ee87e0305ba87425f24836bc6661</t>
  </si>
  <si>
    <t>0xbdcd88b1967b6e0e47df420e5882286776e74afb</t>
  </si>
  <si>
    <t>0xbde939648882e88f590b7e5aae5fb789ff16ba25</t>
  </si>
  <si>
    <t>0xbdf7b90fcd8116be6425c324a4524443d5e0b0a9</t>
  </si>
  <si>
    <t>0xbdfbad10f9ee6ec2529b5abc049a8670d6d7f9bb</t>
  </si>
  <si>
    <t>0xbe642857ec351c4eab0a8a8ef95459ff2ac1211c</t>
  </si>
  <si>
    <t>0xbe6fd916c4e7c251e0f519a9eb8cfba0db1077fe</t>
  </si>
  <si>
    <t>0xbe94f3294a0813d6d87bc21a63c1894ea7647b57</t>
  </si>
  <si>
    <t>0xbe98b7e46f94648769772b5d2129330cb624f73c</t>
  </si>
  <si>
    <t>0xbe9b268ad415ac88bbdb40ff25c0e1bb989ef5d4</t>
  </si>
  <si>
    <t>0xbe9e0c20ee408a3b4cb95bcd672e1de7cefb5cbb</t>
  </si>
  <si>
    <t>0xbea0a00b67c370b3717b22de03d2bf3140a4f0e6</t>
  </si>
  <si>
    <t>0xbea0beec20c2193983f7e7266c1378a7ec121aee</t>
  </si>
  <si>
    <t>0xbef3784d1c5979e27b9e18f587a79953843dab11</t>
  </si>
  <si>
    <t>0xbefbbb230a7de4eff48749971ae62ec9d4ce9782</t>
  </si>
  <si>
    <t>0xbf115122e45671ff168566d2484268bbf4acfac3</t>
  </si>
  <si>
    <t>0xbf6ad28484f234a9e358aefc4cd610f6ad92f523</t>
  </si>
  <si>
    <t>0xbf7d7ea4521220d424a18f5354ef716d2afce553</t>
  </si>
  <si>
    <t>0xbf8547a5cf288309184c270b4633d1b7630a623d</t>
  </si>
  <si>
    <t>0xbf984c6972f092495d5367aa47ad93931d8332fe</t>
  </si>
  <si>
    <t>0xbfd139dd89b84f45d9ed02bbf743f584da44f4fe</t>
  </si>
  <si>
    <t>0xbfdc9f399c26addb8ebc5f50565e2b8609d56212</t>
  </si>
  <si>
    <t>0xbfebe373d0afd4cbaf46b76b2d3f4560b83f4cc7</t>
  </si>
  <si>
    <t>0xbff357034c09fd3f864b73bb7889df4e2c11d768</t>
  </si>
  <si>
    <t>0xc00d26348737361e0510e782ffd55d2e2f9b453f</t>
  </si>
  <si>
    <t>0xc01d8653c8113015e4d22105965a9f25db39a67c</t>
  </si>
  <si>
    <t>0xc0208277c2a69fbfb3b76ec84b4300fe3d16d896</t>
  </si>
  <si>
    <t>0xc043c68a85570a695b745fe05a64ea12789cab4c</t>
  </si>
  <si>
    <t>0xc0be42902e4c73f21dec71fb7dfc2223fd23d082</t>
  </si>
  <si>
    <t>0xc0c7d56a3806208ce6829ca086e305dd498c638c</t>
  </si>
  <si>
    <t>0xc0d94a4b3e31042d07405a77034f0bbd354b7809</t>
  </si>
  <si>
    <t>0xc10ddf21d8016174b6a3d7b6dbb8f57e2a3712a5</t>
  </si>
  <si>
    <t>0xc13456a34305e9265e907f70f76b1ba6e2055c8b</t>
  </si>
  <si>
    <t>0xc1628ddf809b0e8d70c1c7a0890061dd546f33c1</t>
  </si>
  <si>
    <t>0xc19222d208024384654bfc5e82996915b1df3f43</t>
  </si>
  <si>
    <t>0xc1bfc461639ad16cbd0d4d85b462776014bc3f78</t>
  </si>
  <si>
    <t>0xc1da45d6c9a435dc6cac7083f2b09b2f69eae1ba</t>
  </si>
  <si>
    <t>0xc20fc018d2a1b89e4235a1460fd571ba34270be2</t>
  </si>
  <si>
    <t>0xc2125b7f54c5a7bc36e3012915b13d5692039092</t>
  </si>
  <si>
    <t>0xc213f492cffadd83e6bccacfee85dbe94975bd9e</t>
  </si>
  <si>
    <t>0xc21738177c76570a17267d15d1bdd237f5cd3236</t>
  </si>
  <si>
    <t>0xc218b5dcb7ab41f38108069acf14b651bd0bb632</t>
  </si>
  <si>
    <t>0xc219a95b73de62f94364769453c8c42dfe53f770</t>
  </si>
  <si>
    <t>0xc21abef8f6ea59d2740cd28c279e75968b0b523a</t>
  </si>
  <si>
    <t>0xc229eab0b6d74e9d8be4ccf4b22fbc7a46dcae78</t>
  </si>
  <si>
    <t>0xc22bb52a2272c7039f5268189d4a9fcd05af7943</t>
  </si>
  <si>
    <t>0xc233beb7d1722f8b83ad6932015f0aec6102f354</t>
  </si>
  <si>
    <t>0xc2437af081d76c4770c3da471b7afab847259892</t>
  </si>
  <si>
    <t>0xc245c8b69a9850d891b9dd5ae3ab2a777f881d74</t>
  </si>
  <si>
    <t>0xc2516bb280d08c9784dcd7dd8e2622a062a5eb92</t>
  </si>
  <si>
    <t>0xc27523524d84598178abbf18ac5ce93a27c50fcb</t>
  </si>
  <si>
    <t>0xc29b25a76f876be69eb85061de48140d25d4924d</t>
  </si>
  <si>
    <t>0xc366bbacdeebc699c9e89e3958adf8622e58f9f2</t>
  </si>
  <si>
    <t>0xc36c76e898c8a1933c0bf4f6526cae8ac0c11e13</t>
  </si>
  <si>
    <t>0xc374290eae6f52d50744dd83d2a58c676fb9b3e4</t>
  </si>
  <si>
    <t>0xc382895fdec7930001e85c195e36628ce4bb8200</t>
  </si>
  <si>
    <t>0xc38a35c4686ae82f51c64b1506483c8732a6ef1b</t>
  </si>
  <si>
    <t>0xc38cb33426bff1e6264f990824d5f3c06820dfa4</t>
  </si>
  <si>
    <t>0xc3a41ba30b2e436c957d5d589e555646fa1bee71</t>
  </si>
  <si>
    <t>0xc3a9acf040d72c6cba9ffcab75bae1127ca11d11</t>
  </si>
  <si>
    <t>0xc3ab2ff2d5466fb16f4d1cd4bf43e6cd18935d0b</t>
  </si>
  <si>
    <t>0xc3dbade79477dda19f0f31fa2a7385aa9f9e41b6</t>
  </si>
  <si>
    <t>0xc3dd7b1ed2268985705482a7593584eb7fd2b07f</t>
  </si>
  <si>
    <t>0xc40bc7031e4767b5499889ea48a991c374651c52</t>
  </si>
  <si>
    <t>0xc411c42891efe50ccbee1270912bc7c93190e595</t>
  </si>
  <si>
    <t>0xc42ec18533a9d3febd511bd55f55c9fe35083f8f</t>
  </si>
  <si>
    <t>0xc449d09d85bacd06b9d11ad795e4537132863446</t>
  </si>
  <si>
    <t>0xc4519ac7b577975429a432b62fd9af490b98d000</t>
  </si>
  <si>
    <t>0xc4680721d6f425475cac6afa6ca36f7e1463282a</t>
  </si>
  <si>
    <t>0xc4831adef453ddd5b1183c3d6fe3c4c94dd88e7a</t>
  </si>
  <si>
    <t>0xc485a40c286182e4767d1cf382c382011dd82bf6</t>
  </si>
  <si>
    <t>0xc48f0a509f8d7ef050022a78df5fefa0fc3a2feb</t>
  </si>
  <si>
    <t>0xc4abbc0b2844ab76e3db900eb96eee88a78f9500</t>
  </si>
  <si>
    <t>0xc4b1bb0c1c8c29e234f1884b7787c7e14e1bc0a1</t>
  </si>
  <si>
    <t>0xc4b7c1ba140d6ce202b37b7d582c86b9f8e5d01d</t>
  </si>
  <si>
    <t>0xc4d8456659364091424e14b49e086dc2f04cc111</t>
  </si>
  <si>
    <t>0xc4f82b240afb34be1ec3c777ea740adc96391246</t>
  </si>
  <si>
    <t>0xc5063a157362676a666a06006ae836057724651b</t>
  </si>
  <si>
    <t>0xc51a3ebf353f9b9f71f6aae6c3716e66bb21f0f7</t>
  </si>
  <si>
    <t>0xc52930c66d9cf8a3a3cf26922f6cbd15953eaf33</t>
  </si>
  <si>
    <t>0xc53834e1dedc8945c233505b40ec3e80eee6e02b</t>
  </si>
  <si>
    <t>0xc57943ce0f9d7d181c33b6875639ef7a4208fc70</t>
  </si>
  <si>
    <t>0xc5817c87daff11abd66cf371cedd9fdc11aaeecf</t>
  </si>
  <si>
    <t>0xc5a1122af56e03b96e213a3d7f64ec46f7d1c8b4</t>
  </si>
  <si>
    <t>0xc5a444017b9975b80f4fd030bbfea138058a5e67</t>
  </si>
  <si>
    <t>0xc5a651c5e83d5de93ed8de3eb0d000d4bdf61713</t>
  </si>
  <si>
    <t>0xc5a75ab0a01d24d186b087f4633420e32c213653</t>
  </si>
  <si>
    <t>0xc5b06d5b65370302f8e33b6af7b8f2ff31c0ab09</t>
  </si>
  <si>
    <t>0xc5b15520f95aa7178f38910d1d30dc2abb98e45a</t>
  </si>
  <si>
    <t>0xc5d85c5dd04c755f4cb094f2349a21a68f73df3e</t>
  </si>
  <si>
    <t>0xc5ef2512f25ca019fe540cb81b330cdaf5643bbe</t>
  </si>
  <si>
    <t>0xc61098e444096b46564553217bd1962881009961</t>
  </si>
  <si>
    <t>0xc6172bc971420c9dfe39b8f2921cd38e67be8865</t>
  </si>
  <si>
    <t>0xc634f7bf06a10b28e3854d7b61b10adbe894a399</t>
  </si>
  <si>
    <t>0xc638466721325846c3937e36da15df5fdc22c3d7</t>
  </si>
  <si>
    <t>0xc647e0cbf52716bb7b7ad6c2ba1554c70d8444b2</t>
  </si>
  <si>
    <t>0xc65aa07a7134b08a558cbc29aba93cebdfb02a33</t>
  </si>
  <si>
    <t>0xc662e72d7baaab0684b57bbf6c4e2e0bc565a9f3</t>
  </si>
  <si>
    <t>0xc67751ee412ad017b599617b19f86a1a5365790b</t>
  </si>
  <si>
    <t>0xc689ea08511a71f93e1628c7ce039d22cfe0bf4e</t>
  </si>
  <si>
    <t>0xc69ab4e730d6ff3ead00a2ea031252689c111c9f</t>
  </si>
  <si>
    <t>0xc69b07c24d76f3d5314784d519ba4e7fc3baa641</t>
  </si>
  <si>
    <t>0xc6bba850c99db423899723ce0bcb589b3f7fd443</t>
  </si>
  <si>
    <t>0xc6caebb4ab4074c487a84a74e9684b3ed2691424</t>
  </si>
  <si>
    <t>0xc6d1849af21de257fdfa67271d64529d5cd01881</t>
  </si>
  <si>
    <t>0xc6d2486088828445b6f5a342ab73db74a07311a5</t>
  </si>
  <si>
    <t>0xc6db8392d5d6ae5761f4c915e3cd04b47d9f9948</t>
  </si>
  <si>
    <t>0xc6f1d794d9a07267d1adfbff69caabba4bb11f51</t>
  </si>
  <si>
    <t>0xc74992d8c1216db6237d5e9fbfd0d50b83a934ec</t>
  </si>
  <si>
    <t>0xc765bacb8950756ad405767288266fd9671beb6d</t>
  </si>
  <si>
    <t>0xc7811fac3b4519132769ceebb15a7ffe40e097ec</t>
  </si>
  <si>
    <t>0xc7c130ccf8225a6ea9eb49a306b090bd89ed71a1</t>
  </si>
  <si>
    <t>0xc7c50dd1acf186cfc5db9daba5bfcbd176147e93</t>
  </si>
  <si>
    <t>0xc7c53721dd281d8c590c548f3c35a3412403e60b</t>
  </si>
  <si>
    <t>0xc7e671084d38b4de80c3a8f2f0f30b39153b3e92</t>
  </si>
  <si>
    <t>0xc7f4eba65d2fd3fa4909ca73fe5bdbfb629f282b</t>
  </si>
  <si>
    <t>0xc7f89cc5580b8b5ce042c5d4fc49d24d4ec689a1</t>
  </si>
  <si>
    <t>0xc7fa401d9d520c540ad0dacd275b67ae6aec91de</t>
  </si>
  <si>
    <t>0xc818e913984193e4c11b5c61339551f32cf26711</t>
  </si>
  <si>
    <t>0xc81d1733f229aa5196f5d5f2f78614c40489208d</t>
  </si>
  <si>
    <t>0xc8220a969545c2c0ba555b64fb2e5d46f55dc9b4</t>
  </si>
  <si>
    <t>0xc825c4ed0ce2607939a201f12b591f015d634090</t>
  </si>
  <si>
    <t>0xc82f4f59719bf7857a3a90b07d42de343b2bc194</t>
  </si>
  <si>
    <t>0xc8385829ebb0c989545250aa6113c4fa6a13a84d</t>
  </si>
  <si>
    <t>0xc857e7167fc7a3ac3f45ba8b80c0cbbe6d3c2b21</t>
  </si>
  <si>
    <t>0xc85a5c0df9f79c05d18fd1a4e0702af609b34350</t>
  </si>
  <si>
    <t>0xc87a69f30a36c1ecd98b9c404be1b8b088b872ee</t>
  </si>
  <si>
    <t>0xc88684b926de001e109c26fae3ad89a35038dfa0</t>
  </si>
  <si>
    <t>0xc8c87cc2a8b231264484de23c68fce2da663d458</t>
  </si>
  <si>
    <t>0xc8f06894f521296b288a35527d9db37e1b02bccc</t>
  </si>
  <si>
    <t>0xc8f9158a784503d99380078dd1e46e9d4c05d488</t>
  </si>
  <si>
    <t>0xc90d70039fcc067646caa76c9c6376550cae4b2c</t>
  </si>
  <si>
    <t>0xc952860ccdd18adb18e2d3de8f1b8e93164a59c4</t>
  </si>
  <si>
    <t>0xc95936215e32cd62c36c8e2bebdfdb7919e0008a</t>
  </si>
  <si>
    <t>0xc99562cda5f8ca85ed58da58f3f10788aa644a57</t>
  </si>
  <si>
    <t>0xc999cb40239ee0afe899d49d9570ec78b1682ff6</t>
  </si>
  <si>
    <t>0xc9a3592a5f37cd53206231491d03ecf33d70ec30</t>
  </si>
  <si>
    <t>0xc9fc80756f9e468de14306d96eaaeabb41478e5a</t>
  </si>
  <si>
    <t>0xca020e11d0367e7d61c2dee60913e1de57a72b0f</t>
  </si>
  <si>
    <t>0xca19509388d5a40e42398f2fbe28c35a3147ca07</t>
  </si>
  <si>
    <t>0xca48b341252fcf96dce170202673adcab8d5ded3</t>
  </si>
  <si>
    <t>0xca586ab5754660d697411b24f80ac108cbfebd47</t>
  </si>
  <si>
    <t>0xca5f6c9360cb881edfeb39022d7e422caacf5e58</t>
  </si>
  <si>
    <t>0xca618709bb757c9c440a64c4f337b7a9970a058b</t>
  </si>
  <si>
    <t>0xca6592c4b05c8fd38cb58dc8deb9e942c15d09f4</t>
  </si>
  <si>
    <t>0xca7152743a37a9ea4dfe4ba2a9c4a773912d9d19</t>
  </si>
  <si>
    <t>0xca7731cb167e8b4db5037ba2a40e0a43b2676e81</t>
  </si>
  <si>
    <t>0xca80a9374ce92a33b3251ef074cc03e1075dd017</t>
  </si>
  <si>
    <t>0xca92fb291178cc516c964af3a8958de287b23d6f</t>
  </si>
  <si>
    <t>0xca9b1da46d0dbf0e3cbaabb37d1dd43e50b35258</t>
  </si>
  <si>
    <t>0xcab279386d7a7338efd8c1e7125b77a985331df8</t>
  </si>
  <si>
    <t>0xcadc031f7cbe7b84862292f139bdc1133235d730</t>
  </si>
  <si>
    <t>0xcae6bdf13aacf7d4d3904c7cda09dfdcd000be29</t>
  </si>
  <si>
    <t>0xcaf5e0c5e348ae4c6d26b7822a4ca2952f15fff5</t>
  </si>
  <si>
    <t>0xcaf80ff89c52d704b9acec2a4ac83ae8d4da321f</t>
  </si>
  <si>
    <t>0xcb02ee297300d1562ec93e136f4951f56d92a185</t>
  </si>
  <si>
    <t>0xcb186e1c65fb5eb89710eac499a05b89f0d1ab9d</t>
  </si>
  <si>
    <t>0xcb36fd9bf9e6be4bb1af8e47dbf1f0e120f08435</t>
  </si>
  <si>
    <t>0xcb6a43585b6719bdf518011e5e44a1b0b5ebbd5c</t>
  </si>
  <si>
    <t>0xcb938bbed7789ee8aabd259a8cb789aa3500bbf3</t>
  </si>
  <si>
    <t>0xcbae3f4037abf68d974a1b9364e8a39e138339ff</t>
  </si>
  <si>
    <t>0xcbb57ebf9b6158750a2c55eff87ce9906017b9d3</t>
  </si>
  <si>
    <t>0xcbd3e9fb73ea951cf3efa97323c6b3c37b9c124d</t>
  </si>
  <si>
    <t>0xcbe1532f6635710e8fc805b0d1a8c4e72990befe</t>
  </si>
  <si>
    <t>0xcbe202b35960c9fddc04be1b4b86f81c4cdf2973</t>
  </si>
  <si>
    <t>0xcbf0c2b79e6cb6bac0bf9db247f089f29236aa82</t>
  </si>
  <si>
    <t>0xcbf170f63f784f4808b995da543fd0741912624a</t>
  </si>
  <si>
    <t>0xcc09d6d8d704782e0b3b489038e80e4baa08622e</t>
  </si>
  <si>
    <t>0xcc21db7e8328db2e0473779bb9ea11c594056f56</t>
  </si>
  <si>
    <t>0xcc2368eaf57c66f86cd91d0c905e3bc0dbb478a0</t>
  </si>
  <si>
    <t>0xcc2bb809c16faec1503359d6c5bfb5f0a53f5507</t>
  </si>
  <si>
    <t>0xcc2f61c25383453e03beaf6dfcf7a7493132c7bf</t>
  </si>
  <si>
    <t>0xcc2f8c281c9e5b7ff57ae9aa53d2fca1bc1cda92</t>
  </si>
  <si>
    <t>0xcc4b9e85799dfc21755e6b2924f430fc260c4b45</t>
  </si>
  <si>
    <t>0xcc52f72c0813e1ada3e4acacd57d7ffeca3620ec</t>
  </si>
  <si>
    <t>0xcc9baa200e9ab3fe7512f022126f15e9a1a64739</t>
  </si>
  <si>
    <t>0xcca1ad5b7ae6bbe9330d85fc8cdebbe5bc45f48a</t>
  </si>
  <si>
    <t>0xcce696cc35257cd496ba8a94b6b57a47bcbc4474</t>
  </si>
  <si>
    <t>0xcd09ba3890706f1247bab7f680171bcdb1ef7572</t>
  </si>
  <si>
    <t>0xcd12fe10c9112a2d1792decd0fc747d28b7d96f4</t>
  </si>
  <si>
    <t>0xcd4134808f05c4d35991a1b4b0a817bf29e6d70a</t>
  </si>
  <si>
    <t>0xcd4861c7ba0f5ed5ba038acd87ab1467fdcf7458</t>
  </si>
  <si>
    <t>0xcd5d61d6f2d3bb50cbddb8d81f8f74616ff04734</t>
  </si>
  <si>
    <t>0xcd62066073e63b6f8f3d6bd194d52bc977807486</t>
  </si>
  <si>
    <t>0xcd6385ce943f734c693685a6dae2e2e57c11f5ef</t>
  </si>
  <si>
    <t>0xcda350420ad361939c26b7bb3f0ad1da22e5ac40</t>
  </si>
  <si>
    <t>0xcda52838ef354ac7166bec9a7f631bcea34d1001</t>
  </si>
  <si>
    <t>0xcda9387c6e089b89c311ef4e3af3890302bbb0e8</t>
  </si>
  <si>
    <t>0xcdc5fccc3e1eb03a627b9265c0e7920f8cbc75ac</t>
  </si>
  <si>
    <t>0xcdcb2bb177b8008cf88ffbc274b5326bcdec7769</t>
  </si>
  <si>
    <t>0xce00b08cfea7ae7cd0b90a0e4647cc3b45b16c15</t>
  </si>
  <si>
    <t>0xce228b53cd09ff23601646a91724e8b1cc497bee</t>
  </si>
  <si>
    <t>0xce22bd15c7292c111b43d9e948470e20eacebb8b</t>
  </si>
  <si>
    <t>0xce4517646ff8e55ded94b638a31a0dce79ca3b56</t>
  </si>
  <si>
    <t>0xce58e2e708f1118715e3028b7f220f07ca84b48d</t>
  </si>
  <si>
    <t>0xce7a3172b5bd75a1dd06a25dd59dab1b3c8e0fc2</t>
  </si>
  <si>
    <t>0xceaa47fe733ed16f725d295459f55726c0e81271</t>
  </si>
  <si>
    <t>0xceb74b68fb9a650ff8b28e9b48055ebc6726ede2</t>
  </si>
  <si>
    <t>0xcec9bf908bae3e33cb22d9dd427d29471e58f21e</t>
  </si>
  <si>
    <t>0xced39f22ac3ed6e984590f96395ad16c2c88f3f4</t>
  </si>
  <si>
    <t>0xceedff58b93f04f50ac510ed2e5013f6268c29f0</t>
  </si>
  <si>
    <t>0xcf29f3fa0fe81cf72b5563f331f0801b17b9292e</t>
  </si>
  <si>
    <t>0xcf43e9a2f9ed4810de89ae08d88445d8ccf63ab1</t>
  </si>
  <si>
    <t>0xcf56a2460ba604f8489889c8fbfbd97373f7b177</t>
  </si>
  <si>
    <t>0xcf5ade5a7d9585e40afbfa6f0db0d638d2f8ca61</t>
  </si>
  <si>
    <t>0xcf5c2aa3c4f244619a51aed5aae8f2359e7243d1</t>
  </si>
  <si>
    <t>0xcf664ab81b455531df430e96a4a099a2dcf2ddb6</t>
  </si>
  <si>
    <t>0xcfa1aba8006906679950d2fa133342e91c6efc59</t>
  </si>
  <si>
    <t>0xcfa8e189dd7dce85360f7914b7a461813d438a40</t>
  </si>
  <si>
    <t>0xcfaf39e15ba9bf60783421a2898389f593dfefb9</t>
  </si>
  <si>
    <t>0xcfd936c465b1847fa1b2c39a4755e9fe857e9853</t>
  </si>
  <si>
    <t>0xcfee964deb29207b71cbbb933cec00a5d183334f</t>
  </si>
  <si>
    <t>0xcffe2f1da1a7b0122b4c8b804a364d87ba6034e6</t>
  </si>
  <si>
    <t>0xd019cce82a63e2a62ae15979b8d268f2767ca7fd</t>
  </si>
  <si>
    <t>0xd0590e6d498d6f80ccc1eb89a27aed1b4bd9f083</t>
  </si>
  <si>
    <t>0xd05e2e33751e5a0336bdc5297879ff751700c563</t>
  </si>
  <si>
    <t>0xd07bdb3cd7813df5446dd34ed52c4dd3460db4e7</t>
  </si>
  <si>
    <t>0xd08b88e684c422b1921d24531bc5db6b994ba1ca</t>
  </si>
  <si>
    <t>0xd08d43533c9fa3aa1f635f97e66fdf0ff4d7b96e</t>
  </si>
  <si>
    <t>0xd0a444fdd2c876b40480e03c74efd64e5db1df2d</t>
  </si>
  <si>
    <t>0xd0ceede0fac1ecd850af7e067983001567f3e057</t>
  </si>
  <si>
    <t>0xd0de66ea6102197ca4be803febeb08cd411a4a95</t>
  </si>
  <si>
    <t>0xd0f853b3c9c621c64b5b8c2067317b2afc008d03</t>
  </si>
  <si>
    <t>0xd0ff39ae8bf1a1e38d92cf616e82e202a18b0e95</t>
  </si>
  <si>
    <t>0xd116fac0563ab7785d8bc6ec5f676b36b0f9fad3</t>
  </si>
  <si>
    <t>0xd11edb0d9c91f658d6d77b929b1ed20086abe309</t>
  </si>
  <si>
    <t>0xd1434c0049fd66dd640db2f59ee839c0979750dd</t>
  </si>
  <si>
    <t>0xd1453c1310846ec5ba080fcb1d3e128e9d124745</t>
  </si>
  <si>
    <t>0xd18412d1276984e9b9881edecabd49a32f26c877</t>
  </si>
  <si>
    <t>0xd1902de19059234c401157a76da263662350f913</t>
  </si>
  <si>
    <t>0xd192b0c5dfa2f4ce85621ca55281db30aef081cb</t>
  </si>
  <si>
    <t>0xd1a371ef0ac3c633ea3a78cd399c9ea90a2dfe62</t>
  </si>
  <si>
    <t>0xd1cc6444fa70665f5daebcd9e23cd31b764fc76a</t>
  </si>
  <si>
    <t>0xd1dc1e6b54c979f14ef9507be392407d43b1bf6f</t>
  </si>
  <si>
    <t>0xd208a89cc5267e5c54b7c1156f066164ee6c9c25</t>
  </si>
  <si>
    <t>0xd2202a70dfe5c12a3d601ce54bd402f63c8c8e9e</t>
  </si>
  <si>
    <t>0xd22bb85c10370215129c45c4619f28ac2b52b64f</t>
  </si>
  <si>
    <t>0xd24054efb72c200f4e4c353fca0195976e36719e</t>
  </si>
  <si>
    <t>0xd257406916322166c750ea169208a9b2e1fd2c90</t>
  </si>
  <si>
    <t>0xd2612ba3ac1d30ed4423f1d5c35e0ba4bb5918a9</t>
  </si>
  <si>
    <t>0xd26d0adeafa5dbdb092731582551542263199545</t>
  </si>
  <si>
    <t>0xd2749e7729d61b8daf41f4e26f5bf5d0047481ed</t>
  </si>
  <si>
    <t>0xd294b71e770b0d05be6c402abb65c05f0e2f653f</t>
  </si>
  <si>
    <t>0xd2a4c2ba8c22f95d976e1534c837c219ded5346d</t>
  </si>
  <si>
    <t>0xd2b018a604bdb55b4677a4db6cc8b2004b869776</t>
  </si>
  <si>
    <t>0xd2c634683a1287356ae39140e530aec7598ebc17</t>
  </si>
  <si>
    <t>0xd2eac00e5a4f2cf9e6c2d601e94c34dcd9d0e162</t>
  </si>
  <si>
    <t>0xd2ede42d4a5177b2a94b44b9fd48fc556bc6296d</t>
  </si>
  <si>
    <t>0xd342e08db37ff2cbe6eaecc375f75522c0fae7bb</t>
  </si>
  <si>
    <t>0xd3578773270624e638f1204f447c46741c2511ee</t>
  </si>
  <si>
    <t>0xd35feb4e0637c92ae89272d3c99fff59f7897f38</t>
  </si>
  <si>
    <t>0xd377dcd7bcda8539b34f0deb07f21e75d1441a80</t>
  </si>
  <si>
    <t>0xd3866b764173aded51bf0471992c23d5f612ab69</t>
  </si>
  <si>
    <t>0xd3d70a1d5f7147d7e28a58c58b9cb6f6767b429c</t>
  </si>
  <si>
    <t>0xd3dd6d05d0a51d3f2decd726915655ec8fb02959</t>
  </si>
  <si>
    <t>0xd409769a2430cf7801499a732cef76bd28cdff4e</t>
  </si>
  <si>
    <t>0xd4165d98b0900c5c00f6be7506e18bf423de2ec8</t>
  </si>
  <si>
    <t>0xd444089e6b9575941f0b7c7cfc2adc93fad17bf4</t>
  </si>
  <si>
    <t>0xd4493f8cea59fa0a7a93d84c8ab858f15abd140e</t>
  </si>
  <si>
    <t>0xd462fddd08696845c60969201ad16cffb2574d8b</t>
  </si>
  <si>
    <t>0xd464206b1df7960939eaa878999fd83c1c2598a6</t>
  </si>
  <si>
    <t>0xd47ecde1130e265bf1afefba70d20508706a5305</t>
  </si>
  <si>
    <t>0xd4886cf6f71a7463319e5750a6d85ad2a7aaac1b</t>
  </si>
  <si>
    <t>0xd49c4badf382772821932e58195d12c143db3c91</t>
  </si>
  <si>
    <t>0xd4bc3aa1242e93f2450c32f14a1e4dbe7b420c49</t>
  </si>
  <si>
    <t>0xd4d00a14d2d3181dbebeaf062933d150e9bafb27</t>
  </si>
  <si>
    <t>0xd4f0a07e8eb8f0d78d8fb9a6c717896ecd7e0760</t>
  </si>
  <si>
    <t>0xd52ed4e2a4f158fbc5fbc3804979be12ed3ad784</t>
  </si>
  <si>
    <t>0xd53a33a1ba0ad993942d5c84204f711b38b0925c</t>
  </si>
  <si>
    <t>0xd554ff20b3716fde0bb9b334cded4d7c04e5e47d</t>
  </si>
  <si>
    <t>0xd55ea5a56440cca3894718e1afc6c109ca8e2e9c</t>
  </si>
  <si>
    <t>0xd598e2906913ac80ffde233772f56cf26ed90d55</t>
  </si>
  <si>
    <t>0xd5996e7e369d704d074e2bcfd7c339ebd1cdf8c6</t>
  </si>
  <si>
    <t>0xd5a688a035eb7f043aa16931b481709faa50f900</t>
  </si>
  <si>
    <t>0xd5e7b593ccb610164017b04d87183b3d83eea5dc</t>
  </si>
  <si>
    <t>0xd60627699b79d9481d32e934c7f740c2ab9f2fd7</t>
  </si>
  <si>
    <t>0xd60ac705472e579875546f6054491c61a0db1cf4</t>
  </si>
  <si>
    <t>0xd668337cb6b623216a93e55b76f8af19af10abf5</t>
  </si>
  <si>
    <t>0xd67faa7f84be9fb418de43b2bba4b4489dbd219d</t>
  </si>
  <si>
    <t>0xd6822c5afa18658fd7a80685cda85af3e97d4499</t>
  </si>
  <si>
    <t>0xd6899008a6f6808be219812c16124359437894ce</t>
  </si>
  <si>
    <t>0xd697634808ae6923af7dc7ec89ad1cd7bb7607d6</t>
  </si>
  <si>
    <t>0xd69902db3cf381b9c57ec724b796a51181682a95</t>
  </si>
  <si>
    <t>0xd6afa8dd648e622a980e4f3c85488ac14acf516c</t>
  </si>
  <si>
    <t>0xd6c1f99db4cd132f97190266381d41b7663b3c1d</t>
  </si>
  <si>
    <t>0xd6da611db7ef1d4d62fcdb5daa6db66f7e063cab</t>
  </si>
  <si>
    <t>0xd6f10a6c46a56310f979e05ad523a99ec4b9a8dd</t>
  </si>
  <si>
    <t>0xd7128d38d82b7877d1278af12ec65632be7b075c</t>
  </si>
  <si>
    <t>0xd715cf8ca4016174ab329c8ad27f48a075f52198</t>
  </si>
  <si>
    <t>0xd735fa50e1a259d8f85b5389dc1bd48e5d0ebe70</t>
  </si>
  <si>
    <t>0xd7464f6283d4be6d86e75f7ee9ae3240bbd18be0</t>
  </si>
  <si>
    <t>0xd7591536e3485e85e92e9ae156e5033b6947e7b6</t>
  </si>
  <si>
    <t>0xd75ac203e9adeeaeb5caf97589e92b0247d2a8d1</t>
  </si>
  <si>
    <t>0xd7613e085648aa55182d1656dbeb82b7a3009225</t>
  </si>
  <si>
    <t>0xd76bfb41927005df4f570786cc031ad742fd96d5</t>
  </si>
  <si>
    <t>0xd7813a6c8ae0adfae06da74266e48310677e0e2f</t>
  </si>
  <si>
    <t>0xd7978ca4e00b4b3838c7c33a7b9ad3c76ad85dc2</t>
  </si>
  <si>
    <t>0xd7b24895818db555cee8af8aadeed547555b514a</t>
  </si>
  <si>
    <t>0xd7bd50f9ee5755a214f36b0e7fd33f6a4e6cc16d</t>
  </si>
  <si>
    <t>0xd7cc49c42b031869c04a9716a7201c6f711fbd25</t>
  </si>
  <si>
    <t>0xd7e51bfe897160b62556874296ea925801a0e909</t>
  </si>
  <si>
    <t>0xd7f10b3d4123a66f6efbf21490b05d3987a800cb</t>
  </si>
  <si>
    <t>0xd7f2d5fbf05cfe5cc97b8cace500d7a34d83bb8e</t>
  </si>
  <si>
    <t>0xd7fdd736e4c2b5129ce7b7f959675686a90f95cb</t>
  </si>
  <si>
    <t>0xd7fdf8320323c244a42de9d57e9f8e0b2c834071</t>
  </si>
  <si>
    <t>0xd81af520255a973825b7d62dfc998c1316cffc3b</t>
  </si>
  <si>
    <t>0xd827804a094670e0727954da19b49145ac3d9d5e</t>
  </si>
  <si>
    <t>0xd84a5d7a62f0edf2326d04f03db7429c65906945</t>
  </si>
  <si>
    <t>0xd84c8f8068a4d708e01f62c19b29a3bf30be3ede</t>
  </si>
  <si>
    <t>0xd868ea7cf6e655491cafa944e6703f081468b162</t>
  </si>
  <si>
    <t>0xd87c6437249f3b08d5a7d0ea0058b3b8b00395eb</t>
  </si>
  <si>
    <t>0xd8a19b4e91d6f45d958d1daba4160d70f2b4fb19</t>
  </si>
  <si>
    <t>0xd8c205d9ed7cd45b8eb9b0ba868e2b09b772f4c6</t>
  </si>
  <si>
    <t>0xd8f35ef085d202fa7cad0e0c61da737b60e1f855</t>
  </si>
  <si>
    <t>0xd8fe4f6b35704e8944e74d893af05d1bd14f4890</t>
  </si>
  <si>
    <t>0xd910896ec71d26fdb273301439f6e7b08e43861c</t>
  </si>
  <si>
    <t>0xd91613333480222fd60bcdfc9a2ef9886d7e83a4</t>
  </si>
  <si>
    <t>0xd91672a7e9ea8bf163f52a8de90b2a98afbee032</t>
  </si>
  <si>
    <t>0xd935a22742aea624ed3abec1f6a56aa0977324eb</t>
  </si>
  <si>
    <t>0xd9397aa8373e9d0bbe54e76c4b589c7448456eac</t>
  </si>
  <si>
    <t>0xd93cac570ebf525b4f1f725606dc8bc4d81aba63</t>
  </si>
  <si>
    <t>0xd94016e0b99581ae7d1520a72938577d802379fc</t>
  </si>
  <si>
    <t>0xd94cc4d44647bd271509d776352d3d91b8f9c428</t>
  </si>
  <si>
    <t>0xd965750199713b5eee311f3f76df00bdb3d0a458</t>
  </si>
  <si>
    <t>0xd9863eedee6c6a17d662af9bf3905a7ccbbef23a</t>
  </si>
  <si>
    <t>0xd992bc135430f1b3e72ee7feb716b364e28d4649</t>
  </si>
  <si>
    <t>0xd9a339e8813d5d9df54470f7d5d46cc17d4f0a42</t>
  </si>
  <si>
    <t>0xda0d59f44de2e1356f5e96c82272242b9d4fa68a</t>
  </si>
  <si>
    <t>0xda14f9bb80852d552745dfa2d9c2b030b2f941d2</t>
  </si>
  <si>
    <t>0xda181fbc2515af8c13fd5a3d0c4932615f3bdc6f</t>
  </si>
  <si>
    <t>0xda1a2f5cb782f7fac50b906008cdefe8dd2d5229</t>
  </si>
  <si>
    <t>0xda4c2454a43a7795864d6ef7b8ea17ceea494cb3</t>
  </si>
  <si>
    <t>0xda620adccb2dbdd0041175ed5e8b3e32f518a55c</t>
  </si>
  <si>
    <t>0xda7c6a6c88a02f71dd95a8bd39051aaeda8f2d15</t>
  </si>
  <si>
    <t>0xdab6adaccaf60960e9b9c0c32c3c8c564f2db890</t>
  </si>
  <si>
    <t>0xdac1e8499851a8adfdf35d6f464058f506159528</t>
  </si>
  <si>
    <t>0xdb2f8accecc043cd101748e333927583de4d35fc</t>
  </si>
  <si>
    <t>0xdb71a18336e01ac76fd93b15ed89a720cb8c0734</t>
  </si>
  <si>
    <t>0xdb763a0ee9dfd5085c7bfe593f9913ee229a23e8</t>
  </si>
  <si>
    <t>0xdb77cd44eb4bc58d389eeead592f0bd42bc8879e</t>
  </si>
  <si>
    <t>0xdb8c9f8b07f62d8e33c966196546d3cf0f5d9bd9</t>
  </si>
  <si>
    <t>0xdb967a2581c7effda75b9444b1d17418d77bcfb3</t>
  </si>
  <si>
    <t>0xdbb3f9853792da2aced3ea0777f8ba5e881f7a76</t>
  </si>
  <si>
    <t>0xdbb95014773d2ceb48331f871c970aaac626bf52</t>
  </si>
  <si>
    <t>0xdbbf371ebc60ad2449e739d872cf6a242142c6aa</t>
  </si>
  <si>
    <t>0xdbd0154b966a2beb11905075bee245c9a2619a8e</t>
  </si>
  <si>
    <t>0xdc1aa050d49671675736fa27238d0ad7dff3d830</t>
  </si>
  <si>
    <t>0xdc1f22f1c2f671fefa88afe4e4f28ca7acdb8f77</t>
  </si>
  <si>
    <t>0xdc4502699007bb2c402b2922deb12e581dced10c</t>
  </si>
  <si>
    <t>0xdc4bd98959fce7914b9e4cd36eb422b9ad38456c</t>
  </si>
  <si>
    <t>0xdc57a6a58bc4935ab137e538501a3e006a1aa719</t>
  </si>
  <si>
    <t>0xdc7d0a9a95b5cc2cfe89ebedaa7bbc4426e53402</t>
  </si>
  <si>
    <t>0xdca6b546af4f5ea38d2e9f7a9e6f2b1799ed8126</t>
  </si>
  <si>
    <t>0xdcb92e1edaf07fa90464514619599de2c9494643</t>
  </si>
  <si>
    <t>0xdccb138a311375217ae698007258cb8d5f505e15</t>
  </si>
  <si>
    <t>0xdcd6db09ef1079c660c0f5eb2398daf9349c9190</t>
  </si>
  <si>
    <t>0xdce079cee4bc75d2b7e9ec21f55e9f3a4f19e8fe</t>
  </si>
  <si>
    <t>0xdcfbb6bdf6a0b435e01b89c707560280c0d9be36</t>
  </si>
  <si>
    <t>0xdd074f19c27f29334983d35963175837662ec47c</t>
  </si>
  <si>
    <t>0xdd1f0eda559c267098d4c83eec017ec98e2a86ab</t>
  </si>
  <si>
    <t>0xdd4889c1a8053c54da1c31c2f37cecebf8eb6d25</t>
  </si>
  <si>
    <t>0xdd57ea4e1d618b9e09dbdb4a9e0b904b61b468c2</t>
  </si>
  <si>
    <t>0xdd6b9eaf753e273ef9db3687a68bb11884043055</t>
  </si>
  <si>
    <t>0xdd9d04b5090e8c9b6ec41bef30e2830e72927db3</t>
  </si>
  <si>
    <t>0xddacee5887f6b691db6e5025ae4cc4f548c885cd</t>
  </si>
  <si>
    <t>0xddbba5742c04e11ce09fc3439b8ea3ceee71074d</t>
  </si>
  <si>
    <t>0xddc5248626374f094fb0e2328020512f966d1f54</t>
  </si>
  <si>
    <t>0xddd21391a99287558d1277da21822beb28919d32</t>
  </si>
  <si>
    <t>0xddd99beca9f7daa4bda89117259c9d3584f31e0a</t>
  </si>
  <si>
    <t>0xde11b75525a09c4d444ea8ee57921a4d5fbf702e</t>
  </si>
  <si>
    <t>0xde1307e0809a22e3f5814890f2e5b4952a53d524</t>
  </si>
  <si>
    <t>0xde2023d5c0583622b8e5bc140e6efa87fd456c09</t>
  </si>
  <si>
    <t>0xde205edfacc1fbfdaa1130a92bdf02bf02184714</t>
  </si>
  <si>
    <t>0xde31f456effff1efcd29c0d4e65b2a0cdc43979b</t>
  </si>
  <si>
    <t>0xde3d9e3c49c32c52a70f3d1799db40a045b665a4</t>
  </si>
  <si>
    <t>0xde52efa1cfb4fed895ada709aea5cc18ae046b0f</t>
  </si>
  <si>
    <t>0xde5385a27d01eb5c5283a9b76d0d062bcb960e11</t>
  </si>
  <si>
    <t>0xde5e4d3e4b375c520330e73ff0c7061891ca2162</t>
  </si>
  <si>
    <t>0xde6aa8334c308f351f51690caa324ca4c9f05986</t>
  </si>
  <si>
    <t>0xde6b8d52b54ec08f56e02679149dfc240561d4f7</t>
  </si>
  <si>
    <t>0xde90304b9ac961323cf83c19b467dc02ebf3fc9f</t>
  </si>
  <si>
    <t>0xde96065f90d10f5b8090a0d2feda27a1248c07f1</t>
  </si>
  <si>
    <t>0xdeaa52c82060e646acc9e95f9b42dfac491df9cd</t>
  </si>
  <si>
    <t>0xdec0de42b846851c45fc971c1101932423a0c82f</t>
  </si>
  <si>
    <t>0xdec7b7b6b323abc2f27c409f6578767e57312780</t>
  </si>
  <si>
    <t>0xded0c31a69e6d05259d4dd7c34f5a44a9e4ae5b8</t>
  </si>
  <si>
    <t>0xdee8ecfd1b19abef66cd2c57e9b26a18e2ddf8f8</t>
  </si>
  <si>
    <t>0xdefd1b60c0291af750dc00222aaabed4118e510b</t>
  </si>
  <si>
    <t>0xdf09da8a0c335c469acf5b4b1a8028001a4292c2</t>
  </si>
  <si>
    <t>0xdf145e07ebd067d97cdd4ecd646b2d6e6c1827a8</t>
  </si>
  <si>
    <t>0xdf190a6ca83cf482ec1f334484f627b993386896</t>
  </si>
  <si>
    <t>0xdf2378c611eec0e2ae04bc5940a37acc39131e41</t>
  </si>
  <si>
    <t>0xdf2f10b9a7b8f8788f5aeb594145d630a5a95dd0</t>
  </si>
  <si>
    <t>0xdf40c2bb38ba40d679d4e6bf3702fdcb2eed5e9d</t>
  </si>
  <si>
    <t>0xdf51b66cd3090509cdb865b25a87a7629605383c</t>
  </si>
  <si>
    <t>0xdf5358b13da22670afcd3fbe261976a910446ccf</t>
  </si>
  <si>
    <t>0xdf546af01429798255ee768f7eb440882372304f</t>
  </si>
  <si>
    <t>0xdf658b092ffd46602a8273e6fb555b3883b8c898</t>
  </si>
  <si>
    <t>0xdf8c7f8ab67aa0822a0d545c9b899348e5d1bfe2</t>
  </si>
  <si>
    <t>0xdf9902ceb5403094bacbb5d1e5fe56b7e10dc298</t>
  </si>
  <si>
    <t>0xdfa0e3eccb68b70e791a13a12f1f6aa0b0014f83</t>
  </si>
  <si>
    <t>0xdfe0388d35f2a772327c7b989d2c9b0dc4fa53bc</t>
  </si>
  <si>
    <t>0xe00861177fd56182ea5ad1216dc3f77907429850</t>
  </si>
  <si>
    <t>0xe033a3228e1d90b014874efe5b2a7fcc2dff0b2d</t>
  </si>
  <si>
    <t>0xe04c625dde8418531024e5357b3d718177b39449</t>
  </si>
  <si>
    <t>0xe05b02a527d8e16c7b2992d200faac2a37a63fc9</t>
  </si>
  <si>
    <t>0xe05e0f2740534df2d269ed8eba15bb29bfccb158</t>
  </si>
  <si>
    <t>0xe064390fb7ae3e61130cb98f38f3c221f8e3ee0f</t>
  </si>
  <si>
    <t>0xe06c1a71230126b56b63ea73e40d4eb7fe86e711</t>
  </si>
  <si>
    <t>0xe06f092683cd77f1c7625dcdd955b49280a2d314</t>
  </si>
  <si>
    <t>0xe07615ae0ffa8a4476bede4dd0580d96caac779d</t>
  </si>
  <si>
    <t>0xe07cf675b1cdceb86eac1fb3dd772eab53dbcf76</t>
  </si>
  <si>
    <t>0xe07fb87c05a679a05adee71907e31b0a0ac4d66f</t>
  </si>
  <si>
    <t>0xe0904703d6892f4cb50ad4dfab79692f3ef96ea0</t>
  </si>
  <si>
    <t>0xe09d407440ffa24eaa5ae9017dcdf607dd4d7b2c</t>
  </si>
  <si>
    <t>0xe0cd5bc5e6ff573ebabc60a4c19f933c7328e15c</t>
  </si>
  <si>
    <t>0xe0d97a302aa615f2f3431191d91e8c649313f7a7</t>
  </si>
  <si>
    <t>0xe1066fea9370c2b51591b3e3a153a044425c56ec</t>
  </si>
  <si>
    <t>0xe10debd5b82722753e4d2b15a502e4da47b3bf6c</t>
  </si>
  <si>
    <t>0xe112f70fe326eea7dfeae94ec475d308e6c03dde</t>
  </si>
  <si>
    <t>0xe13e24dd776de67570f7238ca9c0a6ff4a460db4</t>
  </si>
  <si>
    <t>0xe158aa3e8520c9ecb258501d4604d3233c889a98</t>
  </si>
  <si>
    <t>0xe169f0d2f3b522676628b59fa8b0881502714dab</t>
  </si>
  <si>
    <t>0xe17be666ac7370031e0039e62c675dcdf4d195be</t>
  </si>
  <si>
    <t>0xe1954a517d42c43dd7fdb56f85027a1e62505d2e</t>
  </si>
  <si>
    <t>0xe1a56487d37c3e4e16e9dd101abe1ca357447b24</t>
  </si>
  <si>
    <t>0xe1ded22ca713eb479bbd50c055714abcca8ca57e</t>
  </si>
  <si>
    <t>0xe20193b98487c9922c8059f2270682c0bac9c561</t>
  </si>
  <si>
    <t>0xe203474b93f39eb316ff33944144b179ff2c125c</t>
  </si>
  <si>
    <t>0xe25626efd3edfe8ec898cf392da77b282f244232</t>
  </si>
  <si>
    <t>0xe280eade00567ee89465f9302fb4620bac7905ed</t>
  </si>
  <si>
    <t>0xe288b5fb1ec2f720b3295df3af435f023469d824</t>
  </si>
  <si>
    <t>0xe293d3cbccdfdb55632415dd21a87da305a1f7f0</t>
  </si>
  <si>
    <t>0xe29c610f9bb39bd7f48e51c7d69ea54e04897e02</t>
  </si>
  <si>
    <t>0xe2af37a0de40ca566a26f3c3bdeb03ee11a16e84</t>
  </si>
  <si>
    <t>0xe30af4b01e08defeabbc695eb8afb9b44d0a1235</t>
  </si>
  <si>
    <t>0xe3120f4510f05666592d5864b0cd9b2a1a139b0c</t>
  </si>
  <si>
    <t>0xe31a3e7c014b180e0eaa4bc083cd8ab6a5a9623e</t>
  </si>
  <si>
    <t>0xe320eaa73808a704974414f99e9a6e3a0115d63e</t>
  </si>
  <si>
    <t>0xe32bbc04c188083a19295a484fe61ca2428ce99a</t>
  </si>
  <si>
    <t>0xe356fe28b7b6b015a3b2bb4419dbdf2777d7420b</t>
  </si>
  <si>
    <t>0xe372b3ac2870c4a971d927bb7ef230b6141a6fa0</t>
  </si>
  <si>
    <t>0xe37e0281e591675fb4ad3d030e6d13c86428ea9f</t>
  </si>
  <si>
    <t>0xe389911416c82f53210f3d3cfcc0596dc7d9b4dd</t>
  </si>
  <si>
    <t>0xe38c101875e034bc5ff90d8d77c81e646aa207ba</t>
  </si>
  <si>
    <t>0xe38c5fa37006b4cc9ff0f7054d902922307488d3</t>
  </si>
  <si>
    <t>0xe3b53b8ce7d109a147bf34ffeb817a04a3f365e2</t>
  </si>
  <si>
    <t>0xe40e8566742196e2b284e0a7e53dfa70ad646008</t>
  </si>
  <si>
    <t>0xe418acd494c30639ff0b8861194f041115065bbf</t>
  </si>
  <si>
    <t>0xe41b7b0f557dc845585802e73ffc0e5f66ed7f70</t>
  </si>
  <si>
    <t>0xe41d7f167d254437610d82a3833c3a1e0ba3a780</t>
  </si>
  <si>
    <t>0xe42527e010c89681c7e8073fcbab592b109dd693</t>
  </si>
  <si>
    <t>0xe431f7736784d033f7c981efa591e13affdb0408</t>
  </si>
  <si>
    <t>0xe434bd49e491819366fc5a679e83df459e67302f</t>
  </si>
  <si>
    <t>0xe44673d44c46dc2e8c336778bcff18ff56510a21</t>
  </si>
  <si>
    <t>0xe462a0089e60d498b937ff75a19254f3e9d922d6</t>
  </si>
  <si>
    <t>0xe47a14edd56510a77f8fc753cdf1353302d75211</t>
  </si>
  <si>
    <t>0xe47d435bff9b3a36a9eda730951bb4e30f1d5469</t>
  </si>
  <si>
    <t>0xe48a51930bb68a81f53d1f22fded4ec3a10d76c9</t>
  </si>
  <si>
    <t>0xe4a17c5cf1c8b5e9b24a53c48788ffdc93b3a370</t>
  </si>
  <si>
    <t>0xe4b558e550b3688b8a476da5b43aea66da528110</t>
  </si>
  <si>
    <t>0xe4c2d35030a5a0f1242f070c69b9dc358748abf4</t>
  </si>
  <si>
    <t>0xe4e001a3bce89eeb53e5e7e8361a59c28731b807</t>
  </si>
  <si>
    <t>0xe50c59853ae867ff0d3da6ec872269d8f1b9669c</t>
  </si>
  <si>
    <t>0xe5348acca3061a742af08be6b6d102879e06b8c9</t>
  </si>
  <si>
    <t>0xe53959fa51f8136e31382263c5ca73504fc25708</t>
  </si>
  <si>
    <t>0xe540c45c504b348ad4d6eb9344e6cfa07c959be6</t>
  </si>
  <si>
    <t>0xe56e90cea02c9ec4c5332ce0a0063f01aa215c67</t>
  </si>
  <si>
    <t>0xe57d640ab3d55f6037b60ae5424e5b2d306783c3</t>
  </si>
  <si>
    <t>0xe5848f5dd7db342a109b065beb4e901a1b277197</t>
  </si>
  <si>
    <t>0xe584bd248cc1830c1bb6f1b2cbd7f8a61480d4e3</t>
  </si>
  <si>
    <t>0xe58dc737ebb63e5ac50e7dd48383b73570de9fe5</t>
  </si>
  <si>
    <t>0xe5a56e30e03c67b6e7e526b29067b9151c814894</t>
  </si>
  <si>
    <t>0xe5b4875fd75447563aad0557c355fb49df1a75e7</t>
  </si>
  <si>
    <t>0xe5b7c3396ca0b154a80019ccf3fe08f162495e66</t>
  </si>
  <si>
    <t>0xe5d60f94365b43e6c3b08035369906be9a545faa</t>
  </si>
  <si>
    <t>0xe5de6a8b4ee083d15c0da6b92ec9fc873199fef1</t>
  </si>
  <si>
    <t>0xe5df55992addfab97b730ec96719112fc9b3a83a</t>
  </si>
  <si>
    <t>0xe5ed4bd829ad3fdcead7e35603fdf363fd76569b</t>
  </si>
  <si>
    <t>0xe601b042bd730d42d472a44a36d842e796086e22</t>
  </si>
  <si>
    <t>0xe603b5097e98bb82431c08cb9927625690d8a297</t>
  </si>
  <si>
    <t>0xe63e3b16b1a76649e208edf23c8c4f9030e38d09</t>
  </si>
  <si>
    <t>0xe63e7c1055aef17d89c11e4317d5bc602d71f33f</t>
  </si>
  <si>
    <t>0xe648521c9eec4c03784521c8f00cf35ec5b1be04</t>
  </si>
  <si>
    <t>0xe67252f26c9158c21d486d07ecf27aca0196b7ca</t>
  </si>
  <si>
    <t>0xe67f24c61540b646c77a5bd64756f24c764709ee</t>
  </si>
  <si>
    <t>0xe6c271dba955283ae59c2cb1ca096fd4f555919b</t>
  </si>
  <si>
    <t>0xe6d9e05167897e56fbb5ce1022a1312c9e14a9df</t>
  </si>
  <si>
    <t>0xe73131dd07242fcab756a5f65397900629b682d0</t>
  </si>
  <si>
    <t>0xe73a1d0f64222e161a410a82484eeee4a4094d07</t>
  </si>
  <si>
    <t>0xe73d489d04dbf7da09b74fbfe03013a0ad4332f9</t>
  </si>
  <si>
    <t>0xe7422d525a6f70a0e051c60a32e741fda464c926</t>
  </si>
  <si>
    <t>0xe752f7e6bb6543f1125a36f0a43ee3896a7cbd0a</t>
  </si>
  <si>
    <t>0xe7597d5c02df9e36022e84c82dbdd2b8378beec8</t>
  </si>
  <si>
    <t>0xe76de975500c11eb9709f02748bdcf12f3d75d4b</t>
  </si>
  <si>
    <t>0xe7ccfb2a2771b2ecc628fb066ed73f0b53d65201</t>
  </si>
  <si>
    <t>0xe7fa148712ce99ae50f1dc90a3a6dbe0bd887b84</t>
  </si>
  <si>
    <t>0xe816b51528849c54b20bd7d69f62d24d564390cf</t>
  </si>
  <si>
    <t>0xe8223dccd60ac6ce630489eb8a5f6e0d3562e350</t>
  </si>
  <si>
    <t>0xe8309c410cc6d441878b65ec758590a0c3b37a4d</t>
  </si>
  <si>
    <t>0xe83ded34adbe4b52b1611dca0ea4fcf23f3ee01f</t>
  </si>
  <si>
    <t>0xe85934f643a79a70cc19b99425e91adaa82f4a41</t>
  </si>
  <si>
    <t>0xe85d08f07c381dbdcc0d126b7a3922f2c14a45a3</t>
  </si>
  <si>
    <t>0xe85f4fa538cf3d574debe5e3336fe0928e7b556a</t>
  </si>
  <si>
    <t>0xe86267b62cdaa596f850837254fe742f38f9b680</t>
  </si>
  <si>
    <t>0xe8703bca0d8a5048568882c3401863044f7eefad</t>
  </si>
  <si>
    <t>0xe89546063d995dfc96d719e4ff533e82a02dbb88</t>
  </si>
  <si>
    <t>0xe8a81a1f9767657b11116474130acbfccb2d7f51</t>
  </si>
  <si>
    <t>0xe8bb7407a2a675f2a5a40e39b09c872360f3e571</t>
  </si>
  <si>
    <t>0xe8c7b194b5b4c64ce1f693d15526dc4388b2a389</t>
  </si>
  <si>
    <t>0xe8e624851ee202340ee15d7d192d24c424543abf</t>
  </si>
  <si>
    <t>0xe905406798d5d02a2244da614611438d4919fed7</t>
  </si>
  <si>
    <t>0xe926ec993150b7513efbb9ba8103665805912877</t>
  </si>
  <si>
    <t>0xe93a5f4ca51d7c157af00643c107d1d9af42b1cd</t>
  </si>
  <si>
    <t>0xe94d9f8b452219a688d8db0afec7b47c06c25aa0</t>
  </si>
  <si>
    <t>0xe955735a489ce1ad8408c6d0b42cde262017b8a6</t>
  </si>
  <si>
    <t>0xe955e195616f1ce066da97ebf12e028e3e61782a</t>
  </si>
  <si>
    <t>0xe95ceee05a10a2a91af0d29818da73d849d37863</t>
  </si>
  <si>
    <t>0xe9686237455fd803f1fafecd58b194569462dc3e</t>
  </si>
  <si>
    <t>0xe98b5e19049a7a0672cba377d1940cede2fecc25</t>
  </si>
  <si>
    <t>0xe98c8628edf90a0d1889185e8933091bfcd5b8e4</t>
  </si>
  <si>
    <t>0xe9a30aa19c7342c02741742ccf20fe1823ee53b7</t>
  </si>
  <si>
    <t>0xe9c1bd74bc09706835989618376b181ccf494451</t>
  </si>
  <si>
    <t>0xe9c208e0887b94b8c81cbd7f3e5e10cf862d5360</t>
  </si>
  <si>
    <t>0xe9d53feae5c0e405a8a736d1967d03da81403615</t>
  </si>
  <si>
    <t>0xe9f7e9be43abed733dbafb663f96e3e8c48d152f</t>
  </si>
  <si>
    <t>0xe9fa5dd7c1f2041801d0706483c2006443896fd1</t>
  </si>
  <si>
    <t>0xea0ac0c6eb360739a0f9b27dae2e4e05d11462ff</t>
  </si>
  <si>
    <t>0xea321b8ebbf72102a304e5f553a0bbe9c9b75d06</t>
  </si>
  <si>
    <t>0xea392d5deee981ae21d829fbf83b90a908f8ced2</t>
  </si>
  <si>
    <t>0xea731d40092104f4e0d7de1db6f0714a9d9db410</t>
  </si>
  <si>
    <t>0xea82768ad9e9a72f1b7fe59095b5dbab696e9df9</t>
  </si>
  <si>
    <t>0xea83f64d34fa7c051d10a89e4870880a03929031</t>
  </si>
  <si>
    <t>0xeaaea0b12fda61c7b610f77c43c84dfbc308171a</t>
  </si>
  <si>
    <t>0xeab716034f99f3deccfcdf6d43f271aafefd9312</t>
  </si>
  <si>
    <t>0xeaeecea3535052d3fe965542c05256ec78fdc465</t>
  </si>
  <si>
    <t>0xeb002be073cf0ece79ffd9154a95023e15d011c3</t>
  </si>
  <si>
    <t>0xeb23f83946b3068a488b7d12fb16450c35e81217</t>
  </si>
  <si>
    <t>0xeb32b80af90321eb155855e09ac59cb81d3424de</t>
  </si>
  <si>
    <t>0xeb387c396e490279602193c44dc01b7654604de3</t>
  </si>
  <si>
    <t>0xeb45d078682b71af93f54842182b1ee055161e10</t>
  </si>
  <si>
    <t>0xeb45e0c3405edb96db6f951bfe65c475ac843740</t>
  </si>
  <si>
    <t>0xeb54a50d0a72b57713b227f25d0bdd318c497787</t>
  </si>
  <si>
    <t>0xeb66660cdd981cbc2cf063373dd230a2e4573ac5</t>
  </si>
  <si>
    <t>0xeb788df2e2caecbde38d4c2d81a6730a353464a2</t>
  </si>
  <si>
    <t>0xeb820db1b55d426837a15a2d4a29d2ca0ce7e10f</t>
  </si>
  <si>
    <t>0xeb8f2365dedb057255ecdb57ca772708ef071f0b</t>
  </si>
  <si>
    <t>0xeba9c9c45e375d3527dc144f8432c4f89b45d24d</t>
  </si>
  <si>
    <t>0xebb166e1e8c3b4e9c51e4463cbf5c59a5899dab8</t>
  </si>
  <si>
    <t>0xebb8be69ac9e0fc0c9e3c6841d0dc0d1a5927c18</t>
  </si>
  <si>
    <t>0xebc3d73ea3faf385a13fdb773e793f0780b9893e</t>
  </si>
  <si>
    <t>0xebc93e5bd55487cf76343e1efb9a1f846a10f8c2</t>
  </si>
  <si>
    <t>0xebdca36ea7be9c96b75240355ec1dd5e88dd8e74</t>
  </si>
  <si>
    <t>0xebe5217c8803b0297abb71ae990e52f2dc2ae0a3</t>
  </si>
  <si>
    <t>0xebeffdaa1750d48f09b0facf633829dbaa8db350</t>
  </si>
  <si>
    <t>0xebf2de846225fb36d2d7e66ea575233d17c980ba</t>
  </si>
  <si>
    <t>0xebf6a15700f3bd67d1fd2fdf83abe5bc6987a8fe</t>
  </si>
  <si>
    <t>0xebf7f9c6e5928423f6a5edc3af2be84d5bb78322</t>
  </si>
  <si>
    <t>0xebfe3683599703f6e78e0164a5effd277f9d22ca</t>
  </si>
  <si>
    <t>0xec3d68dc25be091b812a67b075f4668e4e4183c3</t>
  </si>
  <si>
    <t>0xec4671ac2e9e9db3f4f0436cc3a2a4e10be8a96f</t>
  </si>
  <si>
    <t>0xec5ed0c3902cbb2dd7adea6d99b42052d60e837c</t>
  </si>
  <si>
    <t>0xec7a239e1f55d366f79707a13713cb0a8cc1e859</t>
  </si>
  <si>
    <t>0xec86038da0e23a6812c1d147edd3992209821023</t>
  </si>
  <si>
    <t>0xec861ad3b8f77211bab55bea31bd7e722e520c59</t>
  </si>
  <si>
    <t>0xec936c2f7d19a21e5d9e913d63ddad663d93b16a</t>
  </si>
  <si>
    <t>0xecadc5eec9aadb7e6b193dd863235c8074314ffc</t>
  </si>
  <si>
    <t>0xecdf1d39919b1b59c1db5cf60347e24722f7552c</t>
  </si>
  <si>
    <t>0xece0d384cc6ff97cfa62ac3e3590af9ce7b6b8d5</t>
  </si>
  <si>
    <t>0xed277fefcd72c738d185bf404fc5cfdd6b0da70f</t>
  </si>
  <si>
    <t>0xed33129e63d4a00e1391cf66febaf4edbded851d</t>
  </si>
  <si>
    <t>0xed51f66ba4e958235aa0992dd8cf1d2abcd783bd</t>
  </si>
  <si>
    <t>0xed677617f092c78d845bd017f4fd47a0669f394a</t>
  </si>
  <si>
    <t>0xed87ed81a8d45a868be703820c2b60052dd31441</t>
  </si>
  <si>
    <t>0xed985a9943b3010d5d4dab238b9f30f9d9cff9bf</t>
  </si>
  <si>
    <t>0xedb321e9300683b48d3173fd7b90d780a76eaf4d</t>
  </si>
  <si>
    <t>0xedb4ef528fb4518d5f8eec4175002b4765e35a97</t>
  </si>
  <si>
    <t>0xedbfec4023eaa6b2c6b673063faba1a571853254</t>
  </si>
  <si>
    <t>0xee64a3e1088f9804c35346d3de477c3133dfebff</t>
  </si>
  <si>
    <t>0xee75287d6d928a0e4b7744050ee7d1bdf437e199</t>
  </si>
  <si>
    <t>0xee8f6b880c4e2d51cd025d925e0f5d2395af539b</t>
  </si>
  <si>
    <t>0xeed06efd1d1c7d185e1008ffcdf7fb6e75b5f1c1</t>
  </si>
  <si>
    <t>0xeedc6a1aca00429ed139c749bd4222072b768eab</t>
  </si>
  <si>
    <t>0xeedf0f9a8d0f884097a691b822a37447f0b30c38</t>
  </si>
  <si>
    <t>0xeedf4c1868d194f29197f4e6a4fcccb99edb7363</t>
  </si>
  <si>
    <t>0xeee9d4923ad30f3ee2a14eed45f39d5e27c67187</t>
  </si>
  <si>
    <t>0xeeeba9ab3668c2c8e3bdebf618a7eb985c6add76</t>
  </si>
  <si>
    <t>0xef111e79d96abe4634ff22947d0902f43cdbec6c</t>
  </si>
  <si>
    <t>0xef152f83d73671838791fa3d174ac70ad3a27056</t>
  </si>
  <si>
    <t>0xef30d0e83d67aa4f61afdb80081ede9e69d751b9</t>
  </si>
  <si>
    <t>0xef4ee8640376d8cf687cf8892139fbe0852c19b4</t>
  </si>
  <si>
    <t>0xef678b98cb6cc2e8f5619fdbf5ca58e76f530155</t>
  </si>
  <si>
    <t>0xef696ceabc541f43cb2ff06bb876963412c9f786</t>
  </si>
  <si>
    <t>0xef879dd342fdbc2f1dbc64ef2369fd0168b16669</t>
  </si>
  <si>
    <t>0xef8a3991bc37517f6426b996df42e25fa4eeeecb</t>
  </si>
  <si>
    <t>0xefc935e0d4ef626d4156b3b7ca7c81a4a0501f80</t>
  </si>
  <si>
    <t>0xefd51a1492e845b591d398969f204721c14b957b</t>
  </si>
  <si>
    <t>0xf018b0d04ac98be55f6f9287077f16619f3ef5a3</t>
  </si>
  <si>
    <t>0xf026e6cfef67775667d5942e419c4fc956deb162</t>
  </si>
  <si>
    <t>0xf02b03534f6f72e3f33f4c5f0254f6d4f1c8009d</t>
  </si>
  <si>
    <t>0xf03e207e1a813d3e84e5cd7f5155686619a2512d</t>
  </si>
  <si>
    <t>0xf0757d8dc3a1f0e79fdb19854a22ddfe556412dc</t>
  </si>
  <si>
    <t>0xf07b6c62acfbc7f65e04719f8c8c85aa278b62b4</t>
  </si>
  <si>
    <t>0xf0930c7c7f496b1fc97113fd974ccffb79381674</t>
  </si>
  <si>
    <t>0xf0d6bf946d1f39bb1eae146b1166bde12cd4cbf8</t>
  </si>
  <si>
    <t>0xf0e984088576cf99819ed2c23e9914526b4b475e</t>
  </si>
  <si>
    <t>0xf0ea58b65c82c48ce69f0abd68d178e7764c4ba2</t>
  </si>
  <si>
    <t>0xf0ec9ebcc991188a835732d76f5405888b0024c4</t>
  </si>
  <si>
    <t>0xf10b4845ad2b68e0e4e2951b72f0a0cbfcfb9933</t>
  </si>
  <si>
    <t>0xf113158825aace4a1ba94d76dd6145e2450fae11</t>
  </si>
  <si>
    <t>0xf11d632d9e3fc469adb3230e6cfa4a90354d2f11</t>
  </si>
  <si>
    <t>0xf126399aa81218518e10748ceae7e630e0e4ddfc</t>
  </si>
  <si>
    <t>0xf13593cf30c53afb1cf77c8c743c47fac3d46f20</t>
  </si>
  <si>
    <t>0xf148ac13f1778f30acc8986a9c1879be36c1fde1</t>
  </si>
  <si>
    <t>0xf1541dc2f93d961635e9c4b148ef671f21c30b8d</t>
  </si>
  <si>
    <t>0xf1546a5e3b2a659b6a68077a0c6ed9bceba281cd</t>
  </si>
  <si>
    <t>0xf15b9dc4075e7e0f37e13c1c1870c4d2b107bef9</t>
  </si>
  <si>
    <t>0xf16df00243be7fbcb9c02129c19cda9a8bef99a9</t>
  </si>
  <si>
    <t>0xf1812dad1d614c255628ebf22f39adefa7b97d9e</t>
  </si>
  <si>
    <t>0xf1962689241ff02ee269ed22889c7c022bac42e5</t>
  </si>
  <si>
    <t>0xf1a0fbe9821cefdc080e77887b1b1858e79786dc</t>
  </si>
  <si>
    <t>0xf1b45f0d09f7c32ab374ffd4474db54d65358469</t>
  </si>
  <si>
    <t>0xf1c8fb1e1b023d981bad4cc3075f274fb6d0564a</t>
  </si>
  <si>
    <t>0xf1e434538f25b689712bd64b5d43a4ff133c53d2</t>
  </si>
  <si>
    <t>0xf1f45f26cbac3cde9e5e69e6a92190a954428044</t>
  </si>
  <si>
    <t>0xf1fc1579e285ced99a8cdb7546d6b6829f9f197e</t>
  </si>
  <si>
    <t>0xf20ea2034c62d2a9f0d7e40e0b48bf477bc206a2</t>
  </si>
  <si>
    <t>0xf216e7b48a415ff51a9992aa0b09a2ad7722a877</t>
  </si>
  <si>
    <t>0xf227ca8260cc205b9bb2a2ffada45cc4bf3e5b7b</t>
  </si>
  <si>
    <t>0xf22f9e9fea9f8548c9f86ab0ec349b62635a9c87</t>
  </si>
  <si>
    <t>0xf244890367011c40bfe31ae2c4260382a9ac6b1a</t>
  </si>
  <si>
    <t>0xf247e25f9921c25491573283b2a436f8e666ae76</t>
  </si>
  <si>
    <t>0xf2576a1e79c8aa0002118bc36e1f3bbeb42725eb</t>
  </si>
  <si>
    <t>0xf26947425b309dcc7cca44c5af4dec0e9c94ef7b</t>
  </si>
  <si>
    <t>0xf26ee4b5689b9bb31a6cb5356029db553b401d30</t>
  </si>
  <si>
    <t>0xf27078bf9bdc462fe72bc06e3273dde7c5a41bb5</t>
  </si>
  <si>
    <t>0xf279ebf88d44094f8820c049bd7b926539b07761</t>
  </si>
  <si>
    <t>0xf2df9228ca83af7ea0a694226e6babe5151c6cff</t>
  </si>
  <si>
    <t>0xf2eae206f22afe2b9b1c71a274a85bd0d4cdeac0</t>
  </si>
  <si>
    <t>0xf3062895ec49433671b7bc196c7f61d54713ff0a</t>
  </si>
  <si>
    <t>0xf318e8bf7940571e95274b69ad8769f6aea3ba9a</t>
  </si>
  <si>
    <t>0xf321716db6d2e5318a1cdbc15af80df25f2f8244</t>
  </si>
  <si>
    <t>0xf32370e856c4acc87634f9afebc2d7e0ad9ffa9c</t>
  </si>
  <si>
    <t>0xf354f5686f49e560ad1dd3bca451a9b7911d9c55</t>
  </si>
  <si>
    <t>0xf3631bfa02767dc55ca8da94c174afa5d2d68cdf</t>
  </si>
  <si>
    <t>0xf3648dc9e234657cb246f020a0db8722cf42a096</t>
  </si>
  <si>
    <t>0xf3732a7e688fd414f8a9ef821145f39b408b8498</t>
  </si>
  <si>
    <t>0xf37955134dda37eac7380f5eb42bce10796bd224</t>
  </si>
  <si>
    <t>0xf37ef7e2f369633e3ea19049a68db30dddb399d3</t>
  </si>
  <si>
    <t>0xf39bb57db4cf1e34993bd45f69161349b9d79376</t>
  </si>
  <si>
    <t>0xf3a259fee91176a8a9bde99d1db6df073f081c68</t>
  </si>
  <si>
    <t>0xf3be4d54d77e79da3f0d2d4826a74327788491e3</t>
  </si>
  <si>
    <t>0xf3c3baacdda6b57f7e45cef18886db8a226e7837</t>
  </si>
  <si>
    <t>0xf3f3769102d8e110cb5fa25a14a2d2e6b0bcc07c</t>
  </si>
  <si>
    <t>0xf40648108ea62c5f81451ddc7b282b4375b76290</t>
  </si>
  <si>
    <t>0xf40b28274e17b6c189ef601210051678996a5f01</t>
  </si>
  <si>
    <t>0xf42be5f8fac4df0a93cf138944d79228370f226b</t>
  </si>
  <si>
    <t>0xf43257df6b2066c866ceee61218ee1ee50d3be6f</t>
  </si>
  <si>
    <t>0xf433b2a75a169240e776bd7b395d8f6b1cd3ff51</t>
  </si>
  <si>
    <t>0xf43569639e64ee99eae08d9e848ac294489297fe</t>
  </si>
  <si>
    <t>0xf451cb0294d9c7f606c8b9bc585051fe2aa6d983</t>
  </si>
  <si>
    <t>0xf48b698069664457ec9eac4b7e3d737eb9f46148</t>
  </si>
  <si>
    <t>0xf4a4e5fabc36865a1e445bd8c0751198f686a325</t>
  </si>
  <si>
    <t>0xf4b870b27ea1641235aed1d49ec77f79b03c52e0</t>
  </si>
  <si>
    <t>0xf5205ee3a7136834c16140b6af224941f9cb27c0</t>
  </si>
  <si>
    <t>0xf53b62171b9b057c41e52770dcc33b347d048c15</t>
  </si>
  <si>
    <t>0xf5446e36c19a26415f4481577c6ceb9b7d72b388</t>
  </si>
  <si>
    <t>0xf5513628cc02d7777b60e5b8aa1711092edee622</t>
  </si>
  <si>
    <t>0xf5652fc551f7b85d10a6413718fce7b7713ccb0b</t>
  </si>
  <si>
    <t>0xf565306019ab281caeb721262bb6d23b7637bf58</t>
  </si>
  <si>
    <t>0xf56bcaca6495fcc2fcc78599075415787e2c2351</t>
  </si>
  <si>
    <t>0xf591da380c911c7be9ba48bd14c451bf784886f7</t>
  </si>
  <si>
    <t>0xf5a366f0e3470d3fff1ae621f9a7d2254a1ec25b</t>
  </si>
  <si>
    <t>0xf5e9d2256136f5dd6c56bce9ef4ccf8f2f9e32fc</t>
  </si>
  <si>
    <t>0xf5f22054c4ef05bcbb98587e049fd682c5a6b1e7</t>
  </si>
  <si>
    <t>0xf5fd30be8bb640df8556c60b54a30cd5f5cc071d</t>
  </si>
  <si>
    <t>0xf604556e7d829240424d51d2c5f2c1861adb3a26</t>
  </si>
  <si>
    <t>0xf6150488b872762405e73ef5770abe7b678fe898</t>
  </si>
  <si>
    <t>0xf6193ab4d4bd0a2ac34b31dbe11a5b0017535a20</t>
  </si>
  <si>
    <t>0xf62239b8bdd3fb0be162583ba302a4a523bd75d3</t>
  </si>
  <si>
    <t>0xf62a8e42dbb2696544f92c338840ad6f94fdb4e3</t>
  </si>
  <si>
    <t>0xf66c0c90d988b10f20e2a2ddc9c6a8847bb0f571</t>
  </si>
  <si>
    <t>0xf674772acc49eb57960784857b4ef27944a2d94b</t>
  </si>
  <si>
    <t>0xf674c352a6ef4df280fda12ebb1d92b36a72639f</t>
  </si>
  <si>
    <t>0xf6762e66b28eb57d266905bc9c678aaa392af4a7</t>
  </si>
  <si>
    <t>0xf682909fba6124d361f287a0871dc63efdb874dc</t>
  </si>
  <si>
    <t>0xf69036bb11919f738deb6f248c1f2d38195472cf</t>
  </si>
  <si>
    <t>0xf69a9ff551d6584a7a2dbfd222181d4bf91b252f</t>
  </si>
  <si>
    <t>0xf69c81f7d05b8ad14fe81a0a79d53c715870e27c</t>
  </si>
  <si>
    <t>0xf6a3083497c63836b26fc71218f0e06270f57db1</t>
  </si>
  <si>
    <t>0xf6c15b384b640e5ac718c2da1fc6d4cc6be063a0</t>
  </si>
  <si>
    <t>0xf6cc674930985edefcd56a30da522c327039d037</t>
  </si>
  <si>
    <t>0xf703edb701b918adefc9895f7cf6e74e2b51298c</t>
  </si>
  <si>
    <t>0xf7162c0bf4f2b465316ea9efa0737d54dbfef577</t>
  </si>
  <si>
    <t>0xf719c9c72aa33c5680eca3de449d7a10c312e05c</t>
  </si>
  <si>
    <t>0xf71b9e444a755060fe67ec352963682462f6fdda</t>
  </si>
  <si>
    <t>0xf71c9a6fd3ff2f84f667857738cdc54290597344</t>
  </si>
  <si>
    <t>0xf71cd3d9637708475be0d11e80dda37298fc50ad</t>
  </si>
  <si>
    <t>0xf71f93567d84fab70cd2dc5c4053cc82491e84eb</t>
  </si>
  <si>
    <t>0xf728b1f95bdc795b537b2d7a1386f4f733677839</t>
  </si>
  <si>
    <t>0xf74cc6d74194718b54a8d349a11001eea14c669c</t>
  </si>
  <si>
    <t>0xf764960ed96c9f093cee460e48fc45ecf31b45a1</t>
  </si>
  <si>
    <t>0xf7734765e5088666131da50130235203ff4a6967</t>
  </si>
  <si>
    <t>0xf79a4ce9bd79f43257e24986dd35c3dfc5da5460</t>
  </si>
  <si>
    <t>0xf7a92220d34a64a0f1678f3540217e7508eb1f9f</t>
  </si>
  <si>
    <t>0xf7dcd7cdb4c883d9aa05495c6ccb03abd2dd1b7c</t>
  </si>
  <si>
    <t>0xf7ed9509ccb29d97218b5bbd0e0bb80b3f2708d4</t>
  </si>
  <si>
    <t>0xf7f680dcf1c40bf42a6e4ce702ea01e29d2584fa</t>
  </si>
  <si>
    <t>0xf7fc3197398521003b67ba09433d739991b7c88c</t>
  </si>
  <si>
    <t>0xf8175a425c09ef326ba5c5dc34658258f6af1207</t>
  </si>
  <si>
    <t>0xf82ab902662b96844d5ac869a85f27ee0b378719</t>
  </si>
  <si>
    <t>0xf83889a4c4455debe082ec58e158760669a4b72c</t>
  </si>
  <si>
    <t>0xf86186d5cfb75937305ab7174ed9f1efd9e5fe5a</t>
  </si>
  <si>
    <t>0xf871e3815df117819a73ac60cdadf9844220a852</t>
  </si>
  <si>
    <t>0xf87acaec6a9fe096e33592dbaaefb5c096ef5668</t>
  </si>
  <si>
    <t>0xf8a9a802a19cb7d93b57c0313f4f728592b32b9c</t>
  </si>
  <si>
    <t>0xf8ae64665c750207ac62203a29c70edc7f91784d</t>
  </si>
  <si>
    <t>0xf8aee0572d836e33d04320152d7cb5a05a3a3cd2</t>
  </si>
  <si>
    <t>0xf8eb9226943e19f8817b51fde97e2bd66e3cc2a9</t>
  </si>
  <si>
    <t>0xf8f92e8afc166c8b71a1f66f086b9767ac5ffa39</t>
  </si>
  <si>
    <t>0xf901425363f1252d74d696d1f74c001d31943b46</t>
  </si>
  <si>
    <t>0xf913cfb5893e5f9c0c9589d810c2cbbccba4568a</t>
  </si>
  <si>
    <t>0xf96c30ffb5280b2030df2acabd990e7d6f1cf7c7</t>
  </si>
  <si>
    <t>0xf96eec0d98df4355eb6590745a376b1d3665ab78</t>
  </si>
  <si>
    <t>0xf976475469e7e882ec03d0832b4354cb4bda57fc</t>
  </si>
  <si>
    <t>0xf977664c07ff445b82dcc85372dc93bcff065bc6</t>
  </si>
  <si>
    <t>0xf9a30c8461a0b568aaa5b469ec2ce094cad400e3</t>
  </si>
  <si>
    <t>0xf9cb14396339b5da50d3b773f78c50e904fc98ac</t>
  </si>
  <si>
    <t>0xf9ef59725a50ef89424342acd33b044c512ed7a0</t>
  </si>
  <si>
    <t>0xfa04d736051e2eab1262661b64dce7ee8b99abe1</t>
  </si>
  <si>
    <t>0xfa11f178c3831fe3a9cf90c4ec2ed38fff665290</t>
  </si>
  <si>
    <t>0xfa1565f5dd33ab10fb4f1f21ef2160626dbc4387</t>
  </si>
  <si>
    <t>0xfa1cd8e8c23b50b45c04c35501bbfeeaf4deb3ab</t>
  </si>
  <si>
    <t>0xfa4d29122bb4409a7a9a5b25e809f9fefcb3248f</t>
  </si>
  <si>
    <t>0xfa62840318b63b751fc2ffaf5055c6aa94c7a96d</t>
  </si>
  <si>
    <t>0xfa6e3450e42aa5ef10d01bf8486311529d5761df</t>
  </si>
  <si>
    <t>0xfa88a91a2916a1e2f25ed456c8f7faadde6da402</t>
  </si>
  <si>
    <t>0xfad4643de80dc63dab706d9edab130f252ac5c70</t>
  </si>
  <si>
    <t>0xfb02f54a0611ea78c23430a687f53ee6d48028a6</t>
  </si>
  <si>
    <t>0xfb03c34d768e67ba6e6c30ccb05a8380ae233996</t>
  </si>
  <si>
    <t>0xfb1616627488bc3c7c8ceb951dc8b6b765cb0433</t>
  </si>
  <si>
    <t>0xfb4c39cce476b68218d070133955eb9cb34dcc32</t>
  </si>
  <si>
    <t>0xfb66c1dcb00a1f361eba0b9a08ad77451b6a9e18</t>
  </si>
  <si>
    <t>0xfb86038742ea334827d46fafbd50611fbb90d616</t>
  </si>
  <si>
    <t>0xfba17aca0797f72bd8152c5e519100c0c4caf0ad</t>
  </si>
  <si>
    <t>0xfba85228eeb50f8c9c3fc3d302e22d5bffd0d559</t>
  </si>
  <si>
    <t>0xfbb36eb0ec4639d8ddb31213b5d8b94505df8f98</t>
  </si>
  <si>
    <t>0xfbb850e3478d127335449b70cd4127c13d97ad66</t>
  </si>
  <si>
    <t>0xfbcb47a10c5e5bebebe77f5ad0309929bbfdc439</t>
  </si>
  <si>
    <t>0xfbf2e062628c0669ca2b439cf2758d1e04c47587</t>
  </si>
  <si>
    <t>0xfc14ac206ea7a4cde41d272dc57bea470df55285</t>
  </si>
  <si>
    <t>0xfc37a4e2646cfcbf9fe10165cac369a1b886a619</t>
  </si>
  <si>
    <t>0xfc3b5684fdd0f738a8946e5517cbb9bc13054e71</t>
  </si>
  <si>
    <t>0xfc45e7058806b0c8c2a9b02210a57f075ef93d33</t>
  </si>
  <si>
    <t>0xfc4755e96e7a935d72f7181adb0ae8b683d5d467</t>
  </si>
  <si>
    <t>0xfc6ed9b559082d949ed2abfc7eae119f56ba2879</t>
  </si>
  <si>
    <t>0xfc92f989d0882acdb4c9f263d6283064be2fcf50</t>
  </si>
  <si>
    <t>0xfca319f920b6757a247c78e39be29e41e3603e8b</t>
  </si>
  <si>
    <t>0xfcb7a036336ef64288966d7c59ea4461223f00c2</t>
  </si>
  <si>
    <t>0xfcc258b802e11bb5c998e05946fdacdacdaa7100</t>
  </si>
  <si>
    <t>0xfcee9fff52093a2059bc53fed9e37c2c7b17cfc2</t>
  </si>
  <si>
    <t>0xfcf1b4bde8e36a4a8912238cd7acee9a0824f89a</t>
  </si>
  <si>
    <t>0xfd104ddbfc4575173588fe9dbad417f8088488d8</t>
  </si>
  <si>
    <t>0xfd10e0d33da1106120d7082f6d5a40725e8d91d5</t>
  </si>
  <si>
    <t>0xfd191480521b175396325a141ded27c7cbdae383</t>
  </si>
  <si>
    <t>0xfd3a7b5fb5c5334766489e4a46fcb46e24834613</t>
  </si>
  <si>
    <t>0xfd41c74d3c8da095a418caf3ce38ae8a264f1c92</t>
  </si>
  <si>
    <t>0xfd5fcff469331ffac7f34dd2c5453f85abfac962</t>
  </si>
  <si>
    <t>0xfd75e688b90f89f77367ce5b98b363176b666c72</t>
  </si>
  <si>
    <t>0xfd7d1b7d8644f32b57c2736c9557240dd5e05475</t>
  </si>
  <si>
    <t>0xfd8d9c8d9cd61eaf59ef52f7f513c0301f2f6d78</t>
  </si>
  <si>
    <t>0xfda9d8ccf8d554b0d04198bc8ae67bd360883315</t>
  </si>
  <si>
    <t>0xfe07ee5fd4ebad480b4d6e183ee0592cc02cc864</t>
  </si>
  <si>
    <t>0xfe54d971803073f923c65cae2b1179301893eeb7</t>
  </si>
  <si>
    <t>0xfe6b00b5263230f06fba49730cb710843d4bd7f3</t>
  </si>
  <si>
    <t>0xfe6b19e001a755162dd41f1c9c2153304fdb2105</t>
  </si>
  <si>
    <t>0xfe8aafd21b989feaa79e1ac7a22af7808a9906cf</t>
  </si>
  <si>
    <t>0xfe90b918ba9b4724b0d0aa24dcf4eb181d45d0bc</t>
  </si>
  <si>
    <t>0xfe959af8b2c8b80dadde5ba825ff156e35a614f1</t>
  </si>
  <si>
    <t>0xfecc700e4eb525a52c2e39f231bd0d4a3d6db9fb</t>
  </si>
  <si>
    <t>0xfed0262d0d0754b3a812c62bc73ed316efcb5ab9</t>
  </si>
  <si>
    <t>0xff02cc6fad6730ba95586a5bc1f22f1316c4314f</t>
  </si>
  <si>
    <t>0xff03035fe2b2d8b4809b658b4e9f36309a00835a</t>
  </si>
  <si>
    <t>0xff1a27787bac3dc33599874da78021ea811d5e6a</t>
  </si>
  <si>
    <t>0xff3e90207c76c835d0f69cadf684a2989ab81071</t>
  </si>
  <si>
    <t>0xff74bb2db67ecdc7a99a3f8b2d60d594c0655fcf</t>
  </si>
  <si>
    <t>0xff7f8201211b4f26e4d1adb48357c7487f0e4dfd</t>
  </si>
  <si>
    <t>0xffa98f5d5c61678133048de1fe81c56f9c58124e</t>
  </si>
  <si>
    <t>0xffc4b251fe811ffaf1dfc1d84343a37e1560f9e4</t>
  </si>
  <si>
    <t>0xffdd3af7cfa0e37bae63c5bbe35270dddc56b390</t>
  </si>
  <si>
    <t>0xffea6161101f86abc5361c0f5f56d35015f5d6e2</t>
  </si>
  <si>
    <t>0xffedfe13868e3652ce4ea84c8cbbbbf21ef398bc</t>
  </si>
  <si>
    <t>0xfffaf54a65eb198d704ea8c0b48eee29679120f6</t>
  </si>
  <si>
    <t>0x0158f00a084b59b6705d6da468afd270f6f7e396</t>
  </si>
  <si>
    <t>0x01ec202abb571e073c144691b848f947b017fd16</t>
  </si>
  <si>
    <t>0x02396790f97bd4d403f4a3ba9865095fcbb0a0ce</t>
  </si>
  <si>
    <t>0x099a55b221995cfc0f5524edf52e99391eb83616</t>
  </si>
  <si>
    <t>0x0a69f028f58814a2d97c52eca4a028200d28fbbf</t>
  </si>
  <si>
    <t>0x0c2e3792b37ad994ba5337c77a6aad45386ac9b7</t>
  </si>
  <si>
    <t>0x0c48ef7eca08b2839d266dd314211309cbcf5659</t>
  </si>
  <si>
    <t>0x0d9c697d9dc81838c2cc8bc07d1f97127f514e1f</t>
  </si>
  <si>
    <t>0x100f7130a389ecda962a3a4b9fc664c198d9da3e</t>
  </si>
  <si>
    <t>0x101545002622cb511897cd7f919763d6427f7912</t>
  </si>
  <si>
    <t>0x1164de97504eb00452bb91cbd28921ffb4a83561</t>
  </si>
  <si>
    <t>0x129ab48dfc044035835035f664e3162ab9b29a14</t>
  </si>
  <si>
    <t>0x13889f184902a81d25a092ccb9318da14481e379</t>
  </si>
  <si>
    <t>0x13a677a1320929eb5b6de09abbfe8fa07a7574ba</t>
  </si>
  <si>
    <t>0x150e90bc93e1527b6d45df5b802d83d575b76126</t>
  </si>
  <si>
    <t>0x153e3ae57d91435c5ed499f751d68f16304ed992</t>
  </si>
  <si>
    <t>0x159274dd63ece3005f52b1308dffd968814a044e</t>
  </si>
  <si>
    <t>0x15d61b5e4c87c86860b724a52d9b58150e5687c0</t>
  </si>
  <si>
    <t>0x18e0f8930d743d1f45904f420cf8a23f73e4f4b7</t>
  </si>
  <si>
    <t>0x1a4279213fd4b01d98fc373beb2bfbb0cb9f95c8</t>
  </si>
  <si>
    <t>0x1a6bde6c59f2e0168b3ac92fbc6b6da760d1522b</t>
  </si>
  <si>
    <t>0x1a90f872f26c92a1626d1f9786677e5099c36509</t>
  </si>
  <si>
    <t>0x1b6cbbc05cf6e5cac0fb4a9c67aca8931bccb84b</t>
  </si>
  <si>
    <t>0x20020fbb125c827f98a88344ada385c5708141f5</t>
  </si>
  <si>
    <t>0x21ef6e5fa74c6f2188dc50bb603b361211ebd895</t>
  </si>
  <si>
    <t>0x266d8e3b85dd66758854e4e2ae27c4a161236828</t>
  </si>
  <si>
    <t>0x28bf8ca86032b2fbddbb20be5eb0485885ca0349</t>
  </si>
  <si>
    <t>0x2a3810a128406e3b411205233988dd30fee90ef3</t>
  </si>
  <si>
    <t>0x2a72a3164d1a8947f2eaed02ae3a4b1868580d0b</t>
  </si>
  <si>
    <t>0x2d8774e99e2ed6cbc1536c8fc463f02deee14334</t>
  </si>
  <si>
    <t>0x2da8a8957b0c59646f553328d57d851de26d0b50</t>
  </si>
  <si>
    <t/>
  </si>
  <si>
    <t>0x3049cfdadc637212740b7061b2169e6e0311422e</t>
  </si>
  <si>
    <t>0x31110fadb4401fad566606905c03d9daf3c87ce2</t>
  </si>
  <si>
    <t>0x3238934316238ebbda1ffb229ec9a37bf66c5564</t>
  </si>
  <si>
    <t>0x326874f22b688970e1e85568791ac4700917cc8a</t>
  </si>
  <si>
    <t>0x3513237adec5bdcfedea412649e56eb03ed2de9c</t>
  </si>
  <si>
    <t>0x3748a8a791118083b59938899313009e97b381c0</t>
  </si>
  <si>
    <t>0x38696762727fe113be58b6c4bfb55042a8b19276</t>
  </si>
  <si>
    <t>0x387f4c7b46ca94bb0ab3349cdf06209ae6d542a5</t>
  </si>
  <si>
    <t>0x3db54a760926ae8b0a9e3643ce270f896a254102</t>
  </si>
  <si>
    <t>0x3dca991a6e817d3c5246e8ae75b9351b9c5e724e</t>
  </si>
  <si>
    <t>0x409013faa477e7d6afb3a17673c8dd6b89c515ef</t>
  </si>
  <si>
    <t>0x41fab1cda25c5c15c5a0260537a6056ab62318cc</t>
  </si>
  <si>
    <t>0x44a37787078159a8959173d8eec372d32b8768fe</t>
  </si>
  <si>
    <t>0x45beacbb0e144718e17deac4dd810a7501244c89</t>
  </si>
  <si>
    <t>0x466c589f1f6b1da6890f6a5100afe522143f5d78</t>
  </si>
  <si>
    <t>0x496d52346b668b775b4cbdbc4d5287a8171dcd27</t>
  </si>
  <si>
    <t>0x4a7357a3078d1df774e2ffa4a933834dae3cc421</t>
  </si>
  <si>
    <t>0x4eedcab5d433f779e74ebf2e00835d8580762994</t>
  </si>
  <si>
    <t>0x4f95ad114fbddf8df0756017e9bc856e730b2796</t>
  </si>
  <si>
    <t>0x5018fa2754e1309aafa81e9664e5f4f3066e0cc6</t>
  </si>
  <si>
    <t>0x51bd618e74b4796585edb3d4ef17166077032a48</t>
  </si>
  <si>
    <t>0x56e92a7cafc83791089191b5136dc26168cb575a</t>
  </si>
  <si>
    <t>0x571018d6aad49a4dc7b7626c1c9928358e53d30d</t>
  </si>
  <si>
    <t>0x5b738549f373e8362fcaf75f2d47fd350b3cd6f5</t>
  </si>
  <si>
    <t>0x64db70e8cbb6f1cbb04154a378389f51b5c3682d</t>
  </si>
  <si>
    <t>0x6528f9006d5845e876576040f4319524c54c2ad8</t>
  </si>
  <si>
    <t>0x6530d9a19e2c2e737b7ecc4facf51df979be344e</t>
  </si>
  <si>
    <t>0x65b68ee4d17f35b6e41b2f195d00bfffdcdafd14</t>
  </si>
  <si>
    <t>0x6a66cdb6e5a5065473d216b9ff1b4225fc60bf86</t>
  </si>
  <si>
    <t>0x6de3e5e264a1b153bb59e04c354790354fa9bed4</t>
  </si>
  <si>
    <t>0x6e4dbd66cf712e6074225086ad822a1bfd15ffd1</t>
  </si>
  <si>
    <t>0x6effe0c4d84538ad61344cc5b8ecb0c3b0f93818</t>
  </si>
  <si>
    <t>0x6f644d1d3e5bec19a67021a604ab151cbcc824ff</t>
  </si>
  <si>
    <t>0x713b04eb5a9d585ec075ca65edc3d6d7c12be5bb</t>
  </si>
  <si>
    <t>0x720a8166b20447d2e0f0f7a18bc7a2f78f23d1b1</t>
  </si>
  <si>
    <t>0x7247bf537d1fa872da5573c4cdaa6c8d34497b66</t>
  </si>
  <si>
    <t>0x72be0aee75afeb770ae7565838fdda70222713a6</t>
  </si>
  <si>
    <t>0x73fa8e9f1210d6729dc3405504ca6bd4a30c329f</t>
  </si>
  <si>
    <t>0x7685fa90367adef380238cd7d3e0cc4717123631</t>
  </si>
  <si>
    <t>0x77120ebf853bda90e4bd0a90779824202cbaef7c</t>
  </si>
  <si>
    <t>0x790d39d2536ff1914f9b80bdfb1a694a7393f10a</t>
  </si>
  <si>
    <t>0x79ce80e90bd630b0d98e99a66ac74a951391b7b1</t>
  </si>
  <si>
    <t>0x79d3585c86b973bd082032527a8fb136f6ba33f3</t>
  </si>
  <si>
    <t>0x7a3bebfb500c9ee6e0173cc74e3688b17a9da564</t>
  </si>
  <si>
    <t>0x7a49f5bff8cbdd72883f3107f9624dd2ad54e696</t>
  </si>
  <si>
    <t>0x7be2f9c131700bed1f1c51d412b5a503eb85b06c</t>
  </si>
  <si>
    <t>0x7e11b9e012f8ed4c13f5b9daf8e0ae664852695e</t>
  </si>
  <si>
    <t>0x7e246eb73f44a0f344acd699da2c9a9a15d2e1b4</t>
  </si>
  <si>
    <t>0x7ebabcbbb3c3afc3ec944783d6306b80bb5f87fb</t>
  </si>
  <si>
    <t>0x80026fd66d0cd4ae23fdaab33926e5e94ecbc240</t>
  </si>
  <si>
    <t>0x814dcd4f54a8f2e5ec50fe4de860fb3274632572</t>
  </si>
  <si>
    <t>0x822058d8daf99c46fea1ede53a1c5c99fdaabb33</t>
  </si>
  <si>
    <t>0x82e597040c4c50997dff5c6576bc4f32e38d110a</t>
  </si>
  <si>
    <t>0x86c9e84cfb42063f3c101be3087358edb77ee51d</t>
  </si>
  <si>
    <t>0x88363cae13357492d3749badc35797ab195a019f</t>
  </si>
  <si>
    <t>0x892955812b9eb88e7fe01c4b8748f103ec5389ff</t>
  </si>
  <si>
    <t>0x8ad144588f7b18c95f63769d849943f228228c8d</t>
  </si>
  <si>
    <t>0x8cbe077015b0eeb29f89746e2dd43eb38faf070a</t>
  </si>
  <si>
    <t>0x8d2c9a924d7dcc0a70da97e9606348774eb3e815</t>
  </si>
  <si>
    <t>0x8dd7b41c2a54f4ae983b5240eff60977494e65ed</t>
  </si>
  <si>
    <t>0x8fc87c199203332c1cc43430b9fad2b1868e44d0</t>
  </si>
  <si>
    <t>0x922175bc910a4d2a1a9a55938ec33bafccb00d40</t>
  </si>
  <si>
    <t>0x93ea05a4e96ab1992c494679fa3631235ec51aaf</t>
  </si>
  <si>
    <t>0x949e613a4c65c820f62994acd5f863f16d00a743</t>
  </si>
  <si>
    <t>0x977bc167f889dcd7a6ece301c92a059de7b1772c</t>
  </si>
  <si>
    <t>0x998a7851e153d5dea228ab1cc392ebfd6a508e56</t>
  </si>
  <si>
    <t>0x9e7ee7d242c53ca8e36258e462333beb9649d1c6</t>
  </si>
  <si>
    <t>0xa12a9a0d3b87b3eca5906472f9c929ba50ec506c</t>
  </si>
  <si>
    <t>0xa43540a561807799e1ef3351d9620202781226cd</t>
  </si>
  <si>
    <t>0xa94b40c53432f0576e64873ce1cead1aae62fc90</t>
  </si>
  <si>
    <t>0xaa1b73b911a31de396f9ecacb1bd64336222d807</t>
  </si>
  <si>
    <t>0xaf1b1293386ecbbf6448fe20dc514eddcf77e462</t>
  </si>
  <si>
    <t>0xb1fe569478506aefec2bcc84321e8d2053fe3fbb</t>
  </si>
  <si>
    <t>0xb25bdc63f02291be7b5caece16ecd5d84422f7df</t>
  </si>
  <si>
    <t>0xb3389f3edacdfd48603f2f06895a2b2a8a96952f</t>
  </si>
  <si>
    <t>0xb875627ea565cebd998ef83f3994265b2893a232</t>
  </si>
  <si>
    <t>0xbac20b46a1f123989427c8918034439f91a544aa</t>
  </si>
  <si>
    <t>0xbaddc83e3c4d7ccfc1d7559696054afeaa13d7c4</t>
  </si>
  <si>
    <t>0xbcc4f9315eba7936e68578308776b9cc54d71911</t>
  </si>
  <si>
    <t>0xc08d4fe9e09997df8fcf227eb1b7b17bc1eef173</t>
  </si>
  <si>
    <t>0xc1bfa768e86239a376769c42ac1fa999db3426b0</t>
  </si>
  <si>
    <t>0xc2c271556d11a0ee48b5a85c95b0da37b9acd483</t>
  </si>
  <si>
    <t>0xc4099710e5071e776d51d95db6ea28f41c604648</t>
  </si>
  <si>
    <t>0xc688cc5298ce97cf5b82a88229f3a40e3bf25530</t>
  </si>
  <si>
    <t>0xc6dfe9d169ad9ee6a247197871680da11632bc0b</t>
  </si>
  <si>
    <t>0xc75f1ad2eaef79b729c8dd8bcbaeddd893f5a761</t>
  </si>
  <si>
    <t>0xcb9dfe714a41d651b1b1b845e5658563944edcd4</t>
  </si>
  <si>
    <t>0xd0471c359f65d6adcbd69694996ab49e5e6b6a47</t>
  </si>
  <si>
    <t>0xd5fd752342c46bd15a05bbf330a571499dfb8c9c</t>
  </si>
  <si>
    <t>0xd6bf477adc027c2ae9252bf99211b3aae82c0e63</t>
  </si>
  <si>
    <t>0xd7343a6c05f7e08619e2788606c057fe8e4bde99</t>
  </si>
  <si>
    <t>0xd82f786d762f8b6e9fb8b1bd1ef1ebef3cc049b5</t>
  </si>
  <si>
    <t>0xd9241b64b0c795d5a22ba1eec0aea4695b72e2bc</t>
  </si>
  <si>
    <t>0xdb640a9ae319b58c49942818905a92506dc820b0</t>
  </si>
  <si>
    <t>0xdbf622f89d8023cfa168bcda0d48d8b34c8b48fe</t>
  </si>
  <si>
    <t>0xdd98051c107f8d3e92d2f588d2cb748efb27fa3a</t>
  </si>
  <si>
    <t>0xddfd2627fae4d379332f0e96f802fc6901a2b920</t>
  </si>
  <si>
    <t>0xde6d2f9656ec6104bd293941f7e4b7d583521776</t>
  </si>
  <si>
    <t>0xdf632ea5ba8283488aae8538e17a2f802243a61a</t>
  </si>
  <si>
    <t>0xe138dec9e3febeb8b5e1f90f2387b1f15f9c4774</t>
  </si>
  <si>
    <t>0xe3a656b2d84b391f4c1a8d8ab53f05c9c98c76a8</t>
  </si>
  <si>
    <t>0xe459ae0dc31194fa0fd626020a25d9a1cef0047d</t>
  </si>
  <si>
    <t>0xe5d5245dce768ef43f1c5fa9c96b7e1520d96dc8</t>
  </si>
  <si>
    <t>0xe8189209c826092b8aa9c28e1928684a1a831d41</t>
  </si>
  <si>
    <t>0xe9df5143f331924315b4962aa7c22875ad2ca335</t>
  </si>
  <si>
    <t>0xea337cc038ffb1b1840f46063562a427b9842399</t>
  </si>
  <si>
    <t>0xead3f696b25da755060d51b77179fef8d907310a</t>
  </si>
  <si>
    <t>0xed796f9e412dd231bba84b077c109e354b0fb555</t>
  </si>
  <si>
    <t>0xf03f74ebb463d9360dc093591628c76bf97eca6a</t>
  </si>
  <si>
    <t>0xf1cf9db0e3ab16d00acf32b38bcbc664b9503758</t>
  </si>
  <si>
    <t>0xf235ccf3b4257b1ac95c29dbe404132c070bcfb4</t>
  </si>
  <si>
    <t>0xf45301b7c6b773db0fa0e8e15ad522fbfe664e29</t>
  </si>
  <si>
    <t>0xf465aae2a04ede43236bbafef28c95c112c20b90</t>
  </si>
  <si>
    <t>0xf75d027a1db920d8e669d7d9ac904a5233935d2d</t>
  </si>
  <si>
    <t>0xf8bc9b87609fa26749014d216fdbc9353f29b6d0</t>
  </si>
  <si>
    <t>0xf9a19913ad6e1515752c53079c36181913dc565d</t>
  </si>
  <si>
    <t>0xfa934996ab5e05017861345bfdaf1ea1e1d67999</t>
  </si>
  <si>
    <t>0xfaab5615d353691fbe9b3d973fe89e20e20fdffb</t>
  </si>
  <si>
    <t>0xfb4a8a93268e75ed286634d1d2d5bec050821c5d</t>
  </si>
  <si>
    <t>0xfe2b887734268ae566ebf459982641548af0d40a</t>
  </si>
  <si>
    <t>0x01b952b01109e2a9cb8f39023de4d12e91c6ab51</t>
  </si>
  <si>
    <t>0x01ee7b67cf49af45b7111bbf23e6caabf204be98</t>
  </si>
  <si>
    <t>0x03abcaf27cd3c17b461c226aeca6a1a16b2ab89c</t>
  </si>
  <si>
    <t>0x0c8e1fe0d3981120765d703461dc5300eb448a1a</t>
  </si>
  <si>
    <t>0x0d018c40229202ccb746ef41d94d64f86ef6bac1</t>
  </si>
  <si>
    <t>0x0e989c71471eca64844e9bb8d2ab6831126347dc</t>
  </si>
  <si>
    <t>0x18b6cfb7f1388ed5c49177a7ffb31ab887858cea</t>
  </si>
  <si>
    <t>0x18e5cefcbd90c57d25ae0ea490b65bbff5dde0be</t>
  </si>
  <si>
    <t>0x1ba619c55aa5a0527dfdcf1deac6e34640e5c2c7</t>
  </si>
  <si>
    <t>0x20297e2497c2206ec0654ca1c4f8ff1ec146a484</t>
  </si>
  <si>
    <t>0x212517bd099d380d1f721f5738b9242518c6bdc2</t>
  </si>
  <si>
    <t>0x233378095c1d21fb4756917872e4307380fe01f6</t>
  </si>
  <si>
    <t>0x235acdcf985dcf80af75f657c2419f6bf935a3bd</t>
  </si>
  <si>
    <t>0x2b4c636f6212c610a81e734c866ce13edbde3dc0</t>
  </si>
  <si>
    <t>0x30c8c66d77a259d3b53473dbdd38b57a7e772c4d</t>
  </si>
  <si>
    <t>0x31483d1a4424b21ab21b76ccb5225b0ad9ec0bd8</t>
  </si>
  <si>
    <t>0x33190147504959e263a0215d4bffa67c5cb4893a</t>
  </si>
  <si>
    <t>0x378f03bd1bd471ab6b89313393daddbdccb576ea</t>
  </si>
  <si>
    <t>0x39796ab3c65a9b1f5eb1db80cd08d5b60a2ea3af</t>
  </si>
  <si>
    <t>0x39d702949866b558a8900ad513a0ab348ed64afe</t>
  </si>
  <si>
    <t>0x3d1d397acd3b0989d9e633d6dbf7e6f8f5c03a2d</t>
  </si>
  <si>
    <t>0x42b3d65094a75cb7daeff8d92737e8a31814c2e4</t>
  </si>
  <si>
    <t>0x446087a1439a10889ebc124abd2e2761370bc848</t>
  </si>
  <si>
    <t>0x475e0f5b5db82c15a891773d1587c6a238ef98ce</t>
  </si>
  <si>
    <t>0x47f0cbca52894517917a42f545d438304c1d80af</t>
  </si>
  <si>
    <t>0x4af783e7b31069506d44e90bcc5c007293f540dd</t>
  </si>
  <si>
    <t>0x534af2d161b13a1757a7de3859e4854d126b75e0</t>
  </si>
  <si>
    <t>0x546597f206765e7d5ba6f0e05a3ef40f7bff8ec4</t>
  </si>
  <si>
    <t>0x551ad5b3a7a9f1181ac05b327f91c310c67c9fd4</t>
  </si>
  <si>
    <t>0x5727ee7e178ab1c976e4946098c6ae9283f39f49</t>
  </si>
  <si>
    <t>0x5939a91147bdcdd0ff0270914ae37450b88593dc</t>
  </si>
  <si>
    <t>0x5a3d2e343f92847b69c78cda395699de18a52158</t>
  </si>
  <si>
    <t>0x5a6caf72d207821bb4fa9d69f336037cd76850e1</t>
  </si>
  <si>
    <t>0x5ba61cab4550706ce0b008e1a92355293492cb0d</t>
  </si>
  <si>
    <t>0x5d02c857e98465f5b3a957b1f43569c4dae58ca0</t>
  </si>
  <si>
    <t>0x5e90e426296e157ce261bc5832087487cf9db50d</t>
  </si>
  <si>
    <t>0x61168d47ec95bff7bd2ff9efa5fe5c1e435841a9</t>
  </si>
  <si>
    <t>0x6165fd87c1bc73a4c44b23934e9136fd92df5b01</t>
  </si>
  <si>
    <t>0x6168571ace125b6117eb522bea41f73fe8f38b8b</t>
  </si>
  <si>
    <t>0x63b39084dc33432bb3939746717ccf8042aab6ae</t>
  </si>
  <si>
    <t>0x6478ecbccb845970cf5652ce6ffbac9df81747e2</t>
  </si>
  <si>
    <t>0x665ab3e2bf1e0309cd702741da26ddefcda067a7</t>
  </si>
  <si>
    <t>0x6b01c1aeaa8b2e9582710d4cfaa560e89d4e7551</t>
  </si>
  <si>
    <t>0x6c18d6deb8094ef05852d14eaf5de3da8c64a42e</t>
  </si>
  <si>
    <t>0x6dcb373aeec6c47251fc296664ca2f7f74f2c19b</t>
  </si>
  <si>
    <t>0x6e2651dd80be0907a72094fb3ed8170e0040f068</t>
  </si>
  <si>
    <t>0x710712544e7bb8da47aa6a780dd6001cda59dbee</t>
  </si>
  <si>
    <t>0x72b4f5a43a24f07a94569270f4a2da64fb09be01</t>
  </si>
  <si>
    <t>0x7770121c7494445f046cd6f7a0a110c080207fcf</t>
  </si>
  <si>
    <t>0x794c22507913a0df14f9be906c811acfca3bb71e</t>
  </si>
  <si>
    <t>0x7d1fdb070e3f6b3eca88ee10a526a41e1a6a74b8</t>
  </si>
  <si>
    <t>0x86e295eb76b8188f76b1a4c71e74463d0ecf2eff</t>
  </si>
  <si>
    <t>0x8871d350a6bfc52ecfea74c797748f1483fd6d4c</t>
  </si>
  <si>
    <t>0x88dd9059fdd71aac70d15cec116dd1d9e3abe786</t>
  </si>
  <si>
    <t>0x8b39e0c02672d7151d815592d7e38d5618ee9cb8</t>
  </si>
  <si>
    <t>0x8c75822e9cedcf019c8f0f46db886fcd90e03e0b</t>
  </si>
  <si>
    <t>0x8cfd89a43986bb745625d02b90d998f9096bfc6f</t>
  </si>
  <si>
    <t>0x92a61dd51ad69a0156bf2ff2fa5d9b0f6e6ac1b0</t>
  </si>
  <si>
    <t>0x93f10caea8e43ef89687c98dfbfa8aaca26b7dc4</t>
  </si>
  <si>
    <t>0x9441e9c2467222789c0d957979045913c64192d4</t>
  </si>
  <si>
    <t>0x956f1ce3ff2ea59a8b41df83ce9f85ed59d73f92</t>
  </si>
  <si>
    <t>0x95a169165462bf7ffffbecd980de8b49caaef79a</t>
  </si>
  <si>
    <t>0x95fcdfb381d13e1663ec0efa5b64cca851d34550</t>
  </si>
  <si>
    <t>0x9654e02807c30e165e1df4b1c3d25d9d1397f03e</t>
  </si>
  <si>
    <t>0x9b04d3d20b9e9d8b929f01711aeed34e3b0226bc</t>
  </si>
  <si>
    <t>0x9c09c4516ec76dec0d5a48d8edcef41a67fa4a85</t>
  </si>
  <si>
    <t>0x9c305c8eb79bbcca96dc6b405e2212c64350df90</t>
  </si>
  <si>
    <t>0x9e9bf9773e5b3fad9648a0bb23992ccde35fd1cd</t>
  </si>
  <si>
    <t>0xa01a3df5b373901ae7f741bd056602e9176de647</t>
  </si>
  <si>
    <t>0xa103f72e8717b62813167cb58872722663346fcf</t>
  </si>
  <si>
    <t>0xa3eb83b4a34ac9d9d0e5d021532d8c1822f968da</t>
  </si>
  <si>
    <t>0xa4a4db7b1debdf4e6c9afe7bf65b45aa56b03d88</t>
  </si>
  <si>
    <t>0xa53f5342c6fab4b54b96e93749d08082cd911754</t>
  </si>
  <si>
    <t>0xa576f82ccee188626875a1357b6772d15bc7c187</t>
  </si>
  <si>
    <t>0xa64a9cf91e7113ff6f3447337f2ed934f628e2ab</t>
  </si>
  <si>
    <t>0xa68edc4c1850dde9a178ef92291660d37b251e5d</t>
  </si>
  <si>
    <t>0xa6ead5a0bf5968c66a30d766a9afed1d7e2a46f9</t>
  </si>
  <si>
    <t>0xa705c2c53e7d511c3436ddb622437fb82ed6f91c</t>
  </si>
  <si>
    <t>0xa7ed375b92c88b74389303e7180b9c70a0e846c2</t>
  </si>
  <si>
    <t>0xa9d1b9dab83f7e683eddfec287a809033788fd2c</t>
  </si>
  <si>
    <t>0xab61914d7ceef1090a5538d5c0098c64cbec37b9</t>
  </si>
  <si>
    <t>0xae151eeb1e090673f0bf077254c5c3fe9911e167</t>
  </si>
  <si>
    <t>0xb159856a19baafd8b643836f17b2c72db9b8f03b</t>
  </si>
  <si>
    <t>0xb8243a38a1cfaa3914ada7ed3b1bcf6f38f68f99</t>
  </si>
  <si>
    <t>0xbbef85a81f03b39e135abacb21221385ac708727</t>
  </si>
  <si>
    <t>0xc239de1900e1157f045403b4a1c976f18f032312</t>
  </si>
  <si>
    <t>0xc443a879fd25b4baf4d0b185f59a35c4419e8d55</t>
  </si>
  <si>
    <t>0xc9521468c622dc7591ea777138f9e3f866f28e26</t>
  </si>
  <si>
    <t>0xca2b62b5e10f8f468b02f828d7df3917f24c0526</t>
  </si>
  <si>
    <t>0xca927f005b5b8d333351c481ab3246689c9533be</t>
  </si>
  <si>
    <t>0xcb36a11fe3235124d10acba48c150617ad4e5952</t>
  </si>
  <si>
    <t>0xd0eea53f05082ea3e8c7c4528cbcf19b23dcd341</t>
  </si>
  <si>
    <t>0xd2150bdad2e4f2281192efc368d4806b7b9f602c</t>
  </si>
  <si>
    <t>0xd254e6ce7b56318a9cba69b814440ad273d40116</t>
  </si>
  <si>
    <t>0xd2cc14b0628beaee4c8cd680d507252afcbb418e</t>
  </si>
  <si>
    <t>0xd35065dd7dce6fa75df996b5fc020555492c8540</t>
  </si>
  <si>
    <t>0xd4ab109863feaedeefc38a4b307e6a25a7701320</t>
  </si>
  <si>
    <t>0xdb527a9f967d22b9a2801f21dcdaf819fcd9509e</t>
  </si>
  <si>
    <t>0xde4f4015507cb53147edd0e2dfd3dcf991ae7f0c</t>
  </si>
  <si>
    <t>0xdeca86a14f8d7a16a70f0dd92b17b265f5229a5a</t>
  </si>
  <si>
    <t>0xe03c71d9f4b2ccf8026b495cc01f3763b66f4cb6</t>
  </si>
  <si>
    <t>0xe181d36bce5fb8b6fa1c0a6d45f0f6a40c6d241a</t>
  </si>
  <si>
    <t>0xe270e2b1275f2801eb67c8561a2e2ded1f8cfad4</t>
  </si>
  <si>
    <t>0xe35202f344f3c0ad113c52f3317e8f72b4dc0d59</t>
  </si>
  <si>
    <t>0xe737fcdb3b8aa98bba77ee8b972b676d88195d61</t>
  </si>
  <si>
    <t>0xe9a2660a745cafbe95a9b4bb0cac53be584a9e91</t>
  </si>
  <si>
    <t>0xecf8f4f151bd78cf73f2aa06720c0586a9ab741a</t>
  </si>
  <si>
    <t>0xef92d1638b63dd82bd744fffb96f9d46b0eec50e</t>
  </si>
  <si>
    <t>0xf074e6121652e35c969aa297dbfe4b933ccda2c6</t>
  </si>
  <si>
    <t>0xf08cb829f7fbe4ee21f90f44ae5e49bd1a99fde1</t>
  </si>
  <si>
    <t>0xf1c3604196ce8d756999599997767486bf756bf5</t>
  </si>
  <si>
    <t>0xf4a616612d95ffcc667f2cca19b41842cea78de6</t>
  </si>
  <si>
    <t>0xfeb3e6a4b16c310c2dbb2d47232b9ff8e1a66c06</t>
  </si>
  <si>
    <t>0xfedcc6ea3d083b2d85546176931ec28291a784d0</t>
  </si>
  <si>
    <t>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</si>
</sst>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000000000000"/>
    <numFmt numFmtId="165" formatCode="0.0000000000000000"/>
    <numFmt numFmtId="166" formatCode="0.0000000000"/>
    <numFmt numFmtId="167" formatCode="0.000000000000"/>
    <numFmt numFmtId="168" formatCode="0.00000000000000"/>
  </numFmts>
  <fonts count="5">
    <font>
      <sz val="11.0"/>
      <color rgb="FF000000"/>
      <name val="Calibri"/>
    </font>
    <font>
      <color theme="1"/>
      <name val="Calibri"/>
    </font>
    <font>
      <sz val="11.0"/>
      <color rgb="FF000000"/>
      <name val="Inconsolata"/>
    </font>
    <font>
      <b/>
      <color rgb="FFFFFFFF"/>
      <name val="Calibri"/>
    </font>
    <font>
      <sz val="11.0"/>
      <color rgb="FF3C4043"/>
      <name val="&quot;Google Sans Text&quot;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0" xfId="0" applyBorder="1" applyFont="1"/>
    <xf borderId="1" fillId="2" fontId="1" numFmtId="0" xfId="0" applyAlignment="1" applyBorder="1" applyFill="1" applyFont="1">
      <alignment horizontal="center" readingOrder="0"/>
    </xf>
    <xf borderId="1" fillId="2" fontId="1" numFmtId="165" xfId="0" applyAlignment="1" applyBorder="1" applyFont="1" applyNumberFormat="1">
      <alignment horizontal="center" readingOrder="0"/>
    </xf>
    <xf borderId="1" fillId="2" fontId="1" numFmtId="1" xfId="0" applyAlignment="1" applyBorder="1" applyFont="1" applyNumberFormat="1">
      <alignment horizontal="center"/>
    </xf>
    <xf borderId="1" fillId="3" fontId="1" numFmtId="0" xfId="0" applyAlignment="1" applyBorder="1" applyFill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4" fontId="2" numFmtId="0" xfId="0" applyAlignment="1" applyFill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1" fillId="0" fontId="1" numFmtId="1" xfId="0" applyAlignment="1" applyBorder="1" applyFont="1" applyNumberFormat="1">
      <alignment horizontal="center" readingOrder="0"/>
    </xf>
    <xf borderId="1" fillId="5" fontId="3" numFmtId="166" xfId="0" applyAlignment="1" applyBorder="1" applyFill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2" fontId="1" numFmtId="1" xfId="0" applyAlignment="1" applyBorder="1" applyFont="1" applyNumberFormat="1">
      <alignment horizontal="center" readingOrder="0" shrinkToFit="0" wrapText="1"/>
    </xf>
    <xf borderId="1" fillId="5" fontId="3" numFmtId="167" xfId="0" applyAlignment="1" applyBorder="1" applyFont="1" applyNumberFormat="1">
      <alignment horizontal="center" shrinkToFit="0" wrapText="1"/>
    </xf>
    <xf borderId="1" fillId="3" fontId="1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  <xf borderId="0" fillId="0" fontId="1" numFmtId="168" xfId="0" applyAlignment="1" applyFont="1" applyNumberFormat="1">
      <alignment horizontal="center"/>
    </xf>
    <xf borderId="0" fillId="4" fontId="4" numFmtId="0" xfId="0" applyAlignment="1" applyFont="1">
      <alignment horizontal="left" readingOrder="0"/>
    </xf>
    <xf borderId="0" fillId="0" fontId="1" numFmtId="1" xfId="0" applyFont="1" applyNumberFormat="1"/>
    <xf borderId="0" fillId="0" fontId="1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8.43"/>
    <col customWidth="1" min="3" max="3" width="5.14"/>
    <col customWidth="1" min="4" max="4" width="25.0"/>
    <col customWidth="1" min="5" max="5" width="45.71"/>
    <col customWidth="1" min="6" max="6" width="5.71"/>
    <col customWidth="1" min="7" max="7" width="20.86"/>
    <col customWidth="1" min="8" max="8" width="7.57"/>
    <col customWidth="1" min="9" max="9" width="45.71"/>
    <col customWidth="1" min="10" max="10" width="26.57"/>
    <col customWidth="1" min="11" max="11" width="24.14"/>
    <col customWidth="1" min="12" max="12" width="27.14"/>
    <col customWidth="1" min="13" max="13" width="18.14"/>
  </cols>
  <sheetData>
    <row r="1">
      <c r="A1" s="1"/>
      <c r="C1" s="1"/>
      <c r="D1" s="2" t="s">
        <v>0</v>
      </c>
      <c r="E1" s="3" t="s">
        <v>1</v>
      </c>
      <c r="I1" s="4" t="s">
        <v>2</v>
      </c>
      <c r="J1" s="5" t="s">
        <v>3</v>
      </c>
      <c r="K1" s="4" t="str">
        <f>"tokens owed ($"&amp;B6&amp;"/token)"</f>
        <v>tokens owed ($0.45/token)</v>
      </c>
      <c r="L1" s="6" t="str">
        <f>"tokens owed "&amp;B3&amp;"dp"</f>
        <v>tokens owed 18dp</v>
      </c>
      <c r="M1" s="7" t="str">
        <f>"tokens owed *"&amp;B9&amp;""</f>
        <v>tokens owed *0.1</v>
      </c>
    </row>
    <row r="2">
      <c r="A2" s="8"/>
      <c r="B2" s="5" t="s">
        <v>4</v>
      </c>
      <c r="C2" s="8"/>
      <c r="D2" s="8">
        <v>27.9026907562088</v>
      </c>
      <c r="E2" s="9" t="s">
        <v>5</v>
      </c>
      <c r="G2" s="4" t="s">
        <v>6</v>
      </c>
      <c r="I2" s="10" t="str">
        <f>IFERROR(__xludf.DUMMYFUNCTION("UNIQUE(E2:E5196)"),"0x0053a843631a38569d6d1cd0bae59b891f2bbc2e")</f>
        <v>0x0053a843631a38569d6d1cd0bae59b891f2bbc2e</v>
      </c>
      <c r="J2" s="11">
        <f t="array" ref="J2:J5196">sumif(E2:E5196,I2:I5196,D2:D5196)</f>
        <v>27.90269076</v>
      </c>
      <c r="K2" s="12">
        <f t="array" ref="K2:K5196">IF(J2:J5196,J2:J5196/$B$6,"")</f>
        <v>62.00597946</v>
      </c>
      <c r="L2" s="13">
        <f t="array" ref="L2:L5196">IF(K2:K5196,K2:K5196*10^$B$3,"")</f>
        <v>6.2006E+19</v>
      </c>
      <c r="M2" s="9">
        <f t="array" ref="M2:M5196">IF(L2:L5196,L2:L5196*$B$9,"")</f>
        <v>6.2006E+18</v>
      </c>
    </row>
    <row r="3">
      <c r="A3" s="8"/>
      <c r="B3" s="14">
        <v>18.0</v>
      </c>
      <c r="C3" s="8"/>
      <c r="D3" s="8">
        <v>27.9026907562088</v>
      </c>
      <c r="E3" s="9" t="s">
        <v>7</v>
      </c>
      <c r="G3" s="15">
        <f>sum(K2:K5196)</f>
        <v>528610.7332</v>
      </c>
      <c r="I3" s="12" t="str">
        <f>IFERROR(__xludf.DUMMYFUNCTION("""COMPUTED_VALUE"""),"0x00b11f62588082562e5093b1c42b7162d2160aba")</f>
        <v>0x00b11f62588082562e5093b1c42b7162d2160aba</v>
      </c>
      <c r="J3" s="11">
        <v>27.9026907562088</v>
      </c>
      <c r="K3" s="12">
        <v>62.005979458241775</v>
      </c>
      <c r="L3" s="13">
        <v>6.200597945824177E19</v>
      </c>
      <c r="M3" s="9">
        <v>6.2005979458241782E18</v>
      </c>
    </row>
    <row r="4">
      <c r="A4" s="8"/>
      <c r="B4" s="1"/>
      <c r="C4" s="8"/>
      <c r="D4" s="8">
        <v>27.9026907562088</v>
      </c>
      <c r="E4" s="9" t="s">
        <v>8</v>
      </c>
      <c r="I4" s="12" t="str">
        <f>IFERROR(__xludf.DUMMYFUNCTION("""COMPUTED_VALUE"""),"0x00b43a92d45ccdfeef6ea98d56f775586fe9e39e")</f>
        <v>0x00b43a92d45ccdfeef6ea98d56f775586fe9e39e</v>
      </c>
      <c r="J4" s="11">
        <v>108.65750921345119</v>
      </c>
      <c r="K4" s="12">
        <v>241.46113158544708</v>
      </c>
      <c r="L4" s="13">
        <v>2.4146113158544707E20</v>
      </c>
      <c r="M4" s="9">
        <v>2.4146113158544708E19</v>
      </c>
    </row>
    <row r="5">
      <c r="A5" s="8"/>
      <c r="B5" s="4" t="s">
        <v>9</v>
      </c>
      <c r="C5" s="8"/>
      <c r="D5" s="8">
        <v>4.31564160095748</v>
      </c>
      <c r="E5" s="9" t="s">
        <v>10</v>
      </c>
      <c r="G5" s="4" t="s">
        <v>11</v>
      </c>
      <c r="I5" s="12" t="str">
        <f>IFERROR(__xludf.DUMMYFUNCTION("""COMPUTED_VALUE"""),"0x00c2a435274df296024ab94a070673f5aeb49204")</f>
        <v>0x00c2a435274df296024ab94a070673f5aeb49204</v>
      </c>
      <c r="J5" s="11">
        <v>14.358061932473479</v>
      </c>
      <c r="K5" s="12">
        <v>31.90680429438551</v>
      </c>
      <c r="L5" s="13">
        <v>3.190680429438551E19</v>
      </c>
      <c r="M5" s="9">
        <v>3.190680429438551E18</v>
      </c>
    </row>
    <row r="6">
      <c r="A6" s="8"/>
      <c r="B6" s="16">
        <v>0.45</v>
      </c>
      <c r="C6" s="8"/>
      <c r="D6" s="8">
        <v>27.9026907562088</v>
      </c>
      <c r="E6" s="9" t="s">
        <v>12</v>
      </c>
      <c r="G6" s="17">
        <f>COUNTA(I2:I5196)</f>
        <v>3298</v>
      </c>
      <c r="I6" s="12" t="str">
        <f>IFERROR(__xludf.DUMMYFUNCTION("""COMPUTED_VALUE"""),"0x00d290ed1fa904ec2e5e5ad3443961ed1a52ce23")</f>
        <v>0x00d290ed1fa904ec2e5e5ad3443961ed1a52ce23</v>
      </c>
      <c r="J6" s="11">
        <v>91.1199983031448</v>
      </c>
      <c r="K6" s="12">
        <v>202.48888511809955</v>
      </c>
      <c r="L6" s="13">
        <v>2.0248888511809955E20</v>
      </c>
      <c r="M6" s="9">
        <v>2.0248888511809958E19</v>
      </c>
    </row>
    <row r="7">
      <c r="A7" s="8"/>
      <c r="B7" s="8"/>
      <c r="C7" s="8"/>
      <c r="D7" s="8">
        <v>25.1071736555086</v>
      </c>
      <c r="E7" s="9" t="s">
        <v>13</v>
      </c>
      <c r="I7" s="12" t="str">
        <f>IFERROR(__xludf.DUMMYFUNCTION("""COMPUTED_VALUE"""),"0x00ded78779eb584d0505576203376536d5939d98")</f>
        <v>0x00ded78779eb584d0505576203376536d5939d98</v>
      </c>
      <c r="J7" s="11">
        <v>25.1071736555086</v>
      </c>
      <c r="K7" s="12">
        <v>55.79371923446355</v>
      </c>
      <c r="L7" s="13">
        <v>5.5793719234463556E19</v>
      </c>
      <c r="M7" s="9">
        <v>5.579371923446356E18</v>
      </c>
    </row>
    <row r="8">
      <c r="A8" s="8"/>
      <c r="B8" s="4" t="s">
        <v>14</v>
      </c>
      <c r="C8" s="8"/>
      <c r="D8" s="8">
        <v>27.9026907562088</v>
      </c>
      <c r="E8" s="9" t="s">
        <v>15</v>
      </c>
      <c r="G8" s="18" t="s">
        <v>16</v>
      </c>
      <c r="I8" s="12" t="str">
        <f>IFERROR(__xludf.DUMMYFUNCTION("""COMPUTED_VALUE"""),"0x00f9d3006853d08d6a161bfac109a02493aae8d6")</f>
        <v>0x00f9d3006853d08d6a161bfac109a02493aae8d6</v>
      </c>
      <c r="J8" s="11">
        <v>274.1021216689298</v>
      </c>
      <c r="K8" s="12">
        <v>609.1158259309551</v>
      </c>
      <c r="L8" s="13">
        <v>6.091158259309551E20</v>
      </c>
      <c r="M8" s="9">
        <v>6.091158259309552E19</v>
      </c>
    </row>
    <row r="9">
      <c r="A9" s="8"/>
      <c r="B9" s="16">
        <v>0.1</v>
      </c>
      <c r="C9" s="8"/>
      <c r="D9" s="8">
        <v>27.9026907562088</v>
      </c>
      <c r="E9" s="9" t="s">
        <v>17</v>
      </c>
      <c r="G9" s="19">
        <f>SUM(D2:D5196)</f>
        <v>237874.8299</v>
      </c>
      <c r="I9" s="12" t="str">
        <f>IFERROR(__xludf.DUMMYFUNCTION("""COMPUTED_VALUE"""),"0x010dd4878c0850e24ec03473dc7bcaa0aaacfa9c")</f>
        <v>0x010dd4878c0850e24ec03473dc7bcaa0aaacfa9c</v>
      </c>
      <c r="J9" s="11">
        <v>91.1199983031448</v>
      </c>
      <c r="K9" s="12">
        <v>202.48888511809955</v>
      </c>
      <c r="L9" s="13">
        <v>2.0248888511809955E20</v>
      </c>
      <c r="M9" s="9">
        <v>2.0248888511809958E19</v>
      </c>
    </row>
    <row r="10">
      <c r="A10" s="8"/>
      <c r="B10" s="8"/>
      <c r="C10" s="8"/>
      <c r="D10" s="8">
        <v>27.9026907562088</v>
      </c>
      <c r="E10" s="9" t="s">
        <v>18</v>
      </c>
      <c r="I10" s="12" t="str">
        <f>IFERROR(__xludf.DUMMYFUNCTION("""COMPUTED_VALUE"""),"0x01368f7aa6f1ad5d0ce99b0f37e994e874f630b4")</f>
        <v>0x01368f7aa6f1ad5d0ce99b0f37e994e874f630b4</v>
      </c>
      <c r="J10" s="11">
        <v>108.1509013815902</v>
      </c>
      <c r="K10" s="12">
        <v>240.33533640353377</v>
      </c>
      <c r="L10" s="13">
        <v>2.4033533640353376E20</v>
      </c>
      <c r="M10" s="9">
        <v>2.403353364035338E19</v>
      </c>
    </row>
    <row r="11">
      <c r="A11" s="8"/>
      <c r="B11" s="8"/>
      <c r="C11" s="8"/>
      <c r="D11" s="8">
        <v>19.7211049320629</v>
      </c>
      <c r="E11" s="9" t="s">
        <v>19</v>
      </c>
      <c r="G11" s="20" t="s">
        <v>20</v>
      </c>
      <c r="I11" s="12" t="str">
        <f>IFERROR(__xludf.DUMMYFUNCTION("""COMPUTED_VALUE"""),"0x015094bcecbe525ccb82f1ead2dcf3e6dc1b6044")</f>
        <v>0x015094bcecbe525ccb82f1ead2dcf3e6dc1b6044</v>
      </c>
      <c r="J11" s="11">
        <v>19.7211049320629</v>
      </c>
      <c r="K11" s="12">
        <v>43.82467762680644</v>
      </c>
      <c r="L11" s="13">
        <v>4.382467762680644E19</v>
      </c>
      <c r="M11" s="9">
        <v>4.3824677626806446E18</v>
      </c>
    </row>
    <row r="12">
      <c r="A12" s="8"/>
      <c r="B12" s="8"/>
      <c r="C12" s="8"/>
      <c r="D12" s="8">
        <v>25.2574987471972</v>
      </c>
      <c r="E12" s="9" t="s">
        <v>21</v>
      </c>
      <c r="G12" s="21">
        <f>COUNTA(D2:D5196)</f>
        <v>5195</v>
      </c>
      <c r="I12" s="12" t="str">
        <f>IFERROR(__xludf.DUMMYFUNCTION("""COMPUTED_VALUE"""),"0x016c3e93ce95b88fd33c1eecac7eeaf5a6ced82e")</f>
        <v>0x016c3e93ce95b88fd33c1eecac7eeaf5a6ced82e</v>
      </c>
      <c r="J12" s="11">
        <v>28.87255777857319</v>
      </c>
      <c r="K12" s="12">
        <v>64.16123950794042</v>
      </c>
      <c r="L12" s="13">
        <v>6.4161239507940426E19</v>
      </c>
      <c r="M12" s="9">
        <v>6.4161239507940434E18</v>
      </c>
    </row>
    <row r="13">
      <c r="A13" s="8"/>
      <c r="B13" s="8"/>
      <c r="C13" s="8"/>
      <c r="D13" s="8">
        <v>27.9026907562088</v>
      </c>
      <c r="E13" s="9" t="s">
        <v>22</v>
      </c>
      <c r="I13" s="12" t="str">
        <f>IFERROR(__xludf.DUMMYFUNCTION("""COMPUTED_VALUE"""),"0x0176c565b702b77a98fa1e2d72039158ec39c82a")</f>
        <v>0x0176c565b702b77a98fa1e2d72039158ec39c82a</v>
      </c>
      <c r="J13" s="11">
        <v>28.150927445425992</v>
      </c>
      <c r="K13" s="12">
        <v>62.55761654539109</v>
      </c>
      <c r="L13" s="13">
        <v>6.255761654539109E19</v>
      </c>
      <c r="M13" s="9">
        <v>6.2557616545391094E18</v>
      </c>
    </row>
    <row r="14">
      <c r="A14" s="8"/>
      <c r="B14" s="8"/>
      <c r="C14" s="8"/>
      <c r="D14" s="8">
        <v>27.9026907562088</v>
      </c>
      <c r="E14" s="9" t="s">
        <v>23</v>
      </c>
      <c r="I14" s="12" t="str">
        <f>IFERROR(__xludf.DUMMYFUNCTION("""COMPUTED_VALUE"""),"0x01774e1a8a04c739fc87ea24640036c8908a7f45")</f>
        <v>0x01774e1a8a04c739fc87ea24640036c8908a7f45</v>
      </c>
      <c r="J14" s="11">
        <v>148.82552403485198</v>
      </c>
      <c r="K14" s="12">
        <v>330.7233867441155</v>
      </c>
      <c r="L14" s="13">
        <v>3.307233867441155E20</v>
      </c>
      <c r="M14" s="9">
        <v>3.3072338674411553E19</v>
      </c>
    </row>
    <row r="15">
      <c r="A15" s="8"/>
      <c r="B15" s="8"/>
      <c r="C15" s="8"/>
      <c r="D15" s="8">
        <v>27.9026907562088</v>
      </c>
      <c r="E15" s="9" t="s">
        <v>24</v>
      </c>
      <c r="I15" s="12" t="str">
        <f>IFERROR(__xludf.DUMMYFUNCTION("""COMPUTED_VALUE"""),"0x0192e77f6da00adf0ad90dd5ffbe0362a48bed59")</f>
        <v>0x0192e77f6da00adf0ad90dd5ffbe0362a48bed59</v>
      </c>
      <c r="J15" s="11">
        <v>27.9026907562088</v>
      </c>
      <c r="K15" s="12">
        <v>62.005979458241775</v>
      </c>
      <c r="L15" s="13">
        <v>6.200597945824177E19</v>
      </c>
      <c r="M15" s="9">
        <v>6.2005979458241782E18</v>
      </c>
    </row>
    <row r="16">
      <c r="A16" s="8"/>
      <c r="B16" s="8"/>
      <c r="C16" s="8"/>
      <c r="D16" s="8">
        <v>27.9026907562088</v>
      </c>
      <c r="E16" s="9" t="s">
        <v>25</v>
      </c>
      <c r="I16" s="12" t="str">
        <f>IFERROR(__xludf.DUMMYFUNCTION("""COMPUTED_VALUE"""),"0x01a0b2bd403653f481f961ce9e3c77f3c2404b00")</f>
        <v>0x01a0b2bd403653f481f961ce9e3c77f3c2404b00</v>
      </c>
      <c r="J16" s="11">
        <v>27.9026907562088</v>
      </c>
      <c r="K16" s="12">
        <v>62.005979458241775</v>
      </c>
      <c r="L16" s="13">
        <v>6.200597945824177E19</v>
      </c>
      <c r="M16" s="9">
        <v>6.2005979458241782E18</v>
      </c>
    </row>
    <row r="17">
      <c r="A17" s="8"/>
      <c r="B17" s="8"/>
      <c r="C17" s="8"/>
      <c r="D17" s="8">
        <v>27.9026907562088</v>
      </c>
      <c r="E17" s="9" t="s">
        <v>26</v>
      </c>
      <c r="I17" s="12" t="str">
        <f>IFERROR(__xludf.DUMMYFUNCTION("""COMPUTED_VALUE"""),"0x01a11cde91668128c5270ed1365bae1a1d5a0301")</f>
        <v>0x01a11cde91668128c5270ed1365bae1a1d5a0301</v>
      </c>
      <c r="J17" s="11">
        <v>52.923705731816796</v>
      </c>
      <c r="K17" s="12">
        <v>117.60823495959288</v>
      </c>
      <c r="L17" s="13">
        <v>1.1760823495959288E20</v>
      </c>
      <c r="M17" s="9">
        <v>1.176082349595929E19</v>
      </c>
    </row>
    <row r="18">
      <c r="A18" s="8"/>
      <c r="B18" s="8"/>
      <c r="C18" s="8"/>
      <c r="D18" s="8">
        <v>25.0785845905003</v>
      </c>
      <c r="E18" s="9" t="s">
        <v>27</v>
      </c>
      <c r="I18" s="12" t="str">
        <f>IFERROR(__xludf.DUMMYFUNCTION("""COMPUTED_VALUE"""),"0x01b3eb1f66795de09f0592ccfaf94354c78ed0ed")</f>
        <v>0x01b3eb1f66795de09f0592ccfaf94354c78ed0ed</v>
      </c>
      <c r="J18" s="11">
        <v>25.0785845905003</v>
      </c>
      <c r="K18" s="12">
        <v>55.73018797888955</v>
      </c>
      <c r="L18" s="13">
        <v>5.573018797888955E19</v>
      </c>
      <c r="M18" s="9">
        <v>5.5730187978889554E18</v>
      </c>
    </row>
    <row r="19">
      <c r="A19" s="8"/>
      <c r="B19" s="8"/>
      <c r="C19" s="8"/>
      <c r="D19" s="8">
        <v>2.27340672536154</v>
      </c>
      <c r="E19" s="9" t="s">
        <v>28</v>
      </c>
      <c r="I19" s="12" t="str">
        <f>IFERROR(__xludf.DUMMYFUNCTION("""COMPUTED_VALUE"""),"0x01cecf833d035ca7900eeeaf797c61f13244fa9a")</f>
        <v>0x01cecf833d035ca7900eeeaf797c61f13244fa9a</v>
      </c>
      <c r="J19" s="11">
        <v>2.27340672536154</v>
      </c>
      <c r="K19" s="12">
        <v>5.052014945247867</v>
      </c>
      <c r="L19" s="13">
        <v>5.0520149452478669E18</v>
      </c>
      <c r="M19" s="9">
        <v>5.0520149452478669E17</v>
      </c>
    </row>
    <row r="20">
      <c r="A20" s="8"/>
      <c r="B20" s="8"/>
      <c r="C20" s="8"/>
      <c r="D20" s="8">
        <v>27.9026907562088</v>
      </c>
      <c r="E20" s="9" t="s">
        <v>29</v>
      </c>
      <c r="I20" s="12" t="str">
        <f>IFERROR(__xludf.DUMMYFUNCTION("""COMPUTED_VALUE"""),"0x01d521ebbcc92301e884e429b895abf545fb1c7a")</f>
        <v>0x01d521ebbcc92301e884e429b895abf545fb1c7a</v>
      </c>
      <c r="J20" s="11">
        <v>27.9026907562088</v>
      </c>
      <c r="K20" s="12">
        <v>62.005979458241775</v>
      </c>
      <c r="L20" s="13">
        <v>6.200597945824177E19</v>
      </c>
      <c r="M20" s="9">
        <v>6.2005979458241782E18</v>
      </c>
    </row>
    <row r="21" ht="15.75" customHeight="1">
      <c r="A21" s="8"/>
      <c r="B21" s="8"/>
      <c r="C21" s="8"/>
      <c r="D21" s="8">
        <v>27.9026907562088</v>
      </c>
      <c r="E21" s="9" t="s">
        <v>30</v>
      </c>
      <c r="I21" s="12" t="str">
        <f>IFERROR(__xludf.DUMMYFUNCTION("""COMPUTED_VALUE"""),"0x01ff74aaf949af005cb4013a9fb33e2b52f4c386")</f>
        <v>0x01ff74aaf949af005cb4013a9fb33e2b52f4c386</v>
      </c>
      <c r="J21" s="11">
        <v>27.9026907562088</v>
      </c>
      <c r="K21" s="12">
        <v>62.005979458241775</v>
      </c>
      <c r="L21" s="13">
        <v>6.200597945824177E19</v>
      </c>
      <c r="M21" s="9">
        <v>6.2005979458241782E18</v>
      </c>
    </row>
    <row r="22" ht="15.75" customHeight="1">
      <c r="A22" s="8"/>
      <c r="B22" s="8"/>
      <c r="C22" s="8"/>
      <c r="D22" s="8">
        <v>27.9026907562088</v>
      </c>
      <c r="E22" s="9" t="s">
        <v>31</v>
      </c>
      <c r="I22" s="12" t="str">
        <f>IFERROR(__xludf.DUMMYFUNCTION("""COMPUTED_VALUE"""),"0x020891d1e23ab9a8a5cdc6def299761c5aee0b22")</f>
        <v>0x020891d1e23ab9a8a5cdc6def299761c5aee0b22</v>
      </c>
      <c r="J22" s="11">
        <v>258.0594124927528</v>
      </c>
      <c r="K22" s="12">
        <v>573.4653610950062</v>
      </c>
      <c r="L22" s="13">
        <v>5.7346536109500616E20</v>
      </c>
      <c r="M22" s="9">
        <v>5.734653610950062E19</v>
      </c>
    </row>
    <row r="23" ht="15.75" customHeight="1">
      <c r="A23" s="8"/>
      <c r="B23" s="8"/>
      <c r="C23" s="8"/>
      <c r="D23" s="8">
        <v>26.9002664421262</v>
      </c>
      <c r="E23" s="9" t="s">
        <v>32</v>
      </c>
      <c r="I23" s="12" t="str">
        <f>IFERROR(__xludf.DUMMYFUNCTION("""COMPUTED_VALUE"""),"0x021e66e476691ad1e892194e76c14773c49fa4bf")</f>
        <v>0x021e66e476691ad1e892194e76c14773c49fa4bf</v>
      </c>
      <c r="J23" s="11">
        <v>88.0810898970816</v>
      </c>
      <c r="K23" s="12">
        <v>195.735755326848</v>
      </c>
      <c r="L23" s="13">
        <v>1.95735755326848E20</v>
      </c>
      <c r="M23" s="9">
        <v>1.95735755326848E19</v>
      </c>
    </row>
    <row r="24" ht="15.75" customHeight="1">
      <c r="A24" s="8"/>
      <c r="B24" s="8"/>
      <c r="C24" s="8"/>
      <c r="D24" s="8">
        <v>27.9026907562088</v>
      </c>
      <c r="E24" s="9" t="s">
        <v>33</v>
      </c>
      <c r="I24" s="12" t="str">
        <f>IFERROR(__xludf.DUMMYFUNCTION("""COMPUTED_VALUE"""),"0x022a625e05621b3acf63f298681cce74e6ee3243")</f>
        <v>0x022a625e05621b3acf63f298681cce74e6ee3243</v>
      </c>
      <c r="J24" s="11">
        <v>125.59940308878609</v>
      </c>
      <c r="K24" s="12">
        <v>279.10978464174684</v>
      </c>
      <c r="L24" s="13">
        <v>2.7910978464174683E20</v>
      </c>
      <c r="M24" s="9">
        <v>2.7910978464174686E19</v>
      </c>
    </row>
    <row r="25" ht="15.75" customHeight="1">
      <c r="A25" s="8"/>
      <c r="B25" s="8"/>
      <c r="C25" s="8"/>
      <c r="D25" s="8">
        <v>27.0995872829225</v>
      </c>
      <c r="E25" s="9" t="s">
        <v>34</v>
      </c>
      <c r="I25" s="12" t="str">
        <f>IFERROR(__xludf.DUMMYFUNCTION("""COMPUTED_VALUE"""),"0x02462e36bd906529bd386049890c77e16b7da96a")</f>
        <v>0x02462e36bd906529bd386049890c77e16b7da96a</v>
      </c>
      <c r="J25" s="11">
        <v>88.7113468410075</v>
      </c>
      <c r="K25" s="12">
        <v>197.13632631335</v>
      </c>
      <c r="L25" s="13">
        <v>1.9713632631335E20</v>
      </c>
      <c r="M25" s="9">
        <v>1.9713632631335002E19</v>
      </c>
    </row>
    <row r="26" ht="15.75" customHeight="1">
      <c r="A26" s="8"/>
      <c r="B26" s="8"/>
      <c r="C26" s="8"/>
      <c r="D26" s="8">
        <v>27.9026907562088</v>
      </c>
      <c r="E26" s="9" t="s">
        <v>35</v>
      </c>
      <c r="I26" s="12" t="str">
        <f>IFERROR(__xludf.DUMMYFUNCTION("""COMPUTED_VALUE"""),"0x024686df01da3c9b3519dfec19fd547539a434b1")</f>
        <v>0x024686df01da3c9b3519dfec19fd547539a434b1</v>
      </c>
      <c r="J26" s="11">
        <v>27.9026907562088</v>
      </c>
      <c r="K26" s="12">
        <v>62.005979458241775</v>
      </c>
      <c r="L26" s="13">
        <v>6.200597945824177E19</v>
      </c>
      <c r="M26" s="9">
        <v>6.2005979458241782E18</v>
      </c>
    </row>
    <row r="27" ht="15.75" customHeight="1">
      <c r="A27" s="8"/>
      <c r="B27" s="8"/>
      <c r="C27" s="8"/>
      <c r="D27" s="8">
        <v>27.9026907562088</v>
      </c>
      <c r="E27" s="9" t="s">
        <v>36</v>
      </c>
      <c r="I27" s="12" t="str">
        <f>IFERROR(__xludf.DUMMYFUNCTION("""COMPUTED_VALUE"""),"0x02476613ab50e6407b9d2c5aa73e99a601cfabdf")</f>
        <v>0x02476613ab50e6407b9d2c5aa73e99a601cfabdf</v>
      </c>
      <c r="J27" s="11">
        <v>37.25885227315533</v>
      </c>
      <c r="K27" s="12">
        <v>82.79744949590072</v>
      </c>
      <c r="L27" s="13">
        <v>8.279744949590072E19</v>
      </c>
      <c r="M27" s="9">
        <v>8.2797449495900723E18</v>
      </c>
    </row>
    <row r="28" ht="15.75" customHeight="1">
      <c r="A28" s="8"/>
      <c r="B28" s="8"/>
      <c r="C28" s="8"/>
      <c r="D28" s="8">
        <v>27.9026907562088</v>
      </c>
      <c r="E28" s="9" t="s">
        <v>37</v>
      </c>
      <c r="I28" s="12" t="str">
        <f>IFERROR(__xludf.DUMMYFUNCTION("""COMPUTED_VALUE"""),"0x0267940d1897b150ac9601ef00d0e38a5fda3011")</f>
        <v>0x0267940d1897b150ac9601ef00d0e38a5fda3011</v>
      </c>
      <c r="J28" s="11">
        <v>1082.3409209730858</v>
      </c>
      <c r="K28" s="12">
        <v>2405.202046606857</v>
      </c>
      <c r="L28" s="13">
        <v>2.405202046606857E21</v>
      </c>
      <c r="M28" s="9">
        <v>2.4052020466068573E20</v>
      </c>
    </row>
    <row r="29" ht="15.75" customHeight="1">
      <c r="A29" s="8"/>
      <c r="B29" s="8"/>
      <c r="C29" s="8"/>
      <c r="D29" s="8">
        <v>27.9026907562088</v>
      </c>
      <c r="E29" s="9" t="s">
        <v>38</v>
      </c>
      <c r="I29" s="12" t="str">
        <f>IFERROR(__xludf.DUMMYFUNCTION("""COMPUTED_VALUE"""),"0x026f9dc7e542ca8be6e7f23a9ed38572bd0f4bb2")</f>
        <v>0x026f9dc7e542ca8be6e7f23a9ed38572bd0f4bb2</v>
      </c>
      <c r="J29" s="11">
        <v>34.54055921900163</v>
      </c>
      <c r="K29" s="12">
        <v>76.75679826444807</v>
      </c>
      <c r="L29" s="13">
        <v>7.675679826444806E19</v>
      </c>
      <c r="M29" s="9">
        <v>7.6756798264448061E18</v>
      </c>
    </row>
    <row r="30" ht="15.75" customHeight="1">
      <c r="A30" s="8"/>
      <c r="B30" s="8"/>
      <c r="C30" s="8"/>
      <c r="D30" s="8">
        <v>3.25748108158645</v>
      </c>
      <c r="E30" s="9" t="s">
        <v>39</v>
      </c>
      <c r="I30" s="12" t="str">
        <f>IFERROR(__xludf.DUMMYFUNCTION("""COMPUTED_VALUE"""),"0x029f8620523ead9122c59f9abb42147997523095")</f>
        <v>0x029f8620523ead9122c59f9abb42147997523095</v>
      </c>
      <c r="J30" s="11">
        <v>3.25748108158645</v>
      </c>
      <c r="K30" s="12">
        <v>7.238846847969889</v>
      </c>
      <c r="L30" s="13">
        <v>7.2388468479698883E18</v>
      </c>
      <c r="M30" s="9">
        <v>7.2388468479698893E17</v>
      </c>
    </row>
    <row r="31" ht="15.75" customHeight="1">
      <c r="A31" s="8"/>
      <c r="B31" s="8"/>
      <c r="C31" s="8"/>
      <c r="D31" s="8">
        <v>26.1035496805973</v>
      </c>
      <c r="E31" s="9" t="s">
        <v>40</v>
      </c>
      <c r="I31" s="12" t="str">
        <f>IFERROR(__xludf.DUMMYFUNCTION("""COMPUTED_VALUE"""),"0x02cec612c860c15f50bb77ec064fa33845828604")</f>
        <v>0x02cec612c860c15f50bb77ec064fa33845828604</v>
      </c>
      <c r="J31" s="11">
        <v>26.1035496805973</v>
      </c>
      <c r="K31" s="12">
        <v>58.00788817910511</v>
      </c>
      <c r="L31" s="13">
        <v>5.800788817910511E19</v>
      </c>
      <c r="M31" s="9">
        <v>5.8007888179105116E18</v>
      </c>
    </row>
    <row r="32" ht="15.75" customHeight="1">
      <c r="A32" s="8"/>
      <c r="B32" s="8"/>
      <c r="C32" s="8"/>
      <c r="D32" s="8">
        <v>27.9026907562088</v>
      </c>
      <c r="E32" s="9" t="s">
        <v>41</v>
      </c>
      <c r="I32" s="12" t="str">
        <f>IFERROR(__xludf.DUMMYFUNCTION("""COMPUTED_VALUE"""),"0x02f06de92c9bff6949ada6f67cafd84f80da1be3")</f>
        <v>0x02f06de92c9bff6949ada6f67cafd84f80da1be3</v>
      </c>
      <c r="J32" s="11">
        <v>27.9026907562088</v>
      </c>
      <c r="K32" s="12">
        <v>62.005979458241775</v>
      </c>
      <c r="L32" s="13">
        <v>6.200597945824177E19</v>
      </c>
      <c r="M32" s="9">
        <v>6.2005979458241782E18</v>
      </c>
    </row>
    <row r="33" ht="15.75" customHeight="1">
      <c r="A33" s="8"/>
      <c r="B33" s="8"/>
      <c r="C33" s="8"/>
      <c r="D33" s="8">
        <v>27.9026907562088</v>
      </c>
      <c r="E33" s="9" t="s">
        <v>42</v>
      </c>
      <c r="I33" s="12" t="str">
        <f>IFERROR(__xludf.DUMMYFUNCTION("""COMPUTED_VALUE"""),"0x02f9fcd9a7ae99f02a7c0db1cbb74096e70c21ff")</f>
        <v>0x02f9fcd9a7ae99f02a7c0db1cbb74096e70c21ff</v>
      </c>
      <c r="J33" s="11">
        <v>27.9026907562088</v>
      </c>
      <c r="K33" s="12">
        <v>62.005979458241775</v>
      </c>
      <c r="L33" s="13">
        <v>6.200597945824177E19</v>
      </c>
      <c r="M33" s="9">
        <v>6.2005979458241782E18</v>
      </c>
    </row>
    <row r="34" ht="15.75" customHeight="1">
      <c r="A34" s="8"/>
      <c r="B34" s="8"/>
      <c r="C34" s="8"/>
      <c r="D34" s="8">
        <v>27.9026907562088</v>
      </c>
      <c r="E34" s="9" t="s">
        <v>43</v>
      </c>
      <c r="I34" s="12" t="str">
        <f>IFERROR(__xludf.DUMMYFUNCTION("""COMPUTED_VALUE"""),"0x02fad2e05bbad2339e91d298edaca891333a931a")</f>
        <v>0x02fad2e05bbad2339e91d298edaca891333a931a</v>
      </c>
      <c r="J34" s="11">
        <v>27.9026907562088</v>
      </c>
      <c r="K34" s="12">
        <v>62.005979458241775</v>
      </c>
      <c r="L34" s="13">
        <v>6.200597945824177E19</v>
      </c>
      <c r="M34" s="9">
        <v>6.2005979458241782E18</v>
      </c>
    </row>
    <row r="35" ht="15.75" customHeight="1">
      <c r="A35" s="8"/>
      <c r="B35" s="8"/>
      <c r="C35" s="8"/>
      <c r="D35" s="8">
        <v>8.05652826553157</v>
      </c>
      <c r="E35" s="9" t="s">
        <v>44</v>
      </c>
      <c r="I35" s="12" t="str">
        <f>IFERROR(__xludf.DUMMYFUNCTION("""COMPUTED_VALUE"""),"0x0306c9febd2191cfbc4dfd3bb807dcbb0fae7dee")</f>
        <v>0x0306c9febd2191cfbc4dfd3bb807dcbb0fae7dee</v>
      </c>
      <c r="J35" s="11">
        <v>8.05652826553157</v>
      </c>
      <c r="K35" s="12">
        <v>17.90339614562571</v>
      </c>
      <c r="L35" s="13">
        <v>1.790339614562571E19</v>
      </c>
      <c r="M35" s="9">
        <v>1.79033961456257126E18</v>
      </c>
    </row>
    <row r="36" ht="15.75" customHeight="1">
      <c r="A36" s="8"/>
      <c r="B36" s="8"/>
      <c r="C36" s="8"/>
      <c r="D36" s="8">
        <v>27.9026907562088</v>
      </c>
      <c r="E36" s="9" t="s">
        <v>45</v>
      </c>
      <c r="I36" s="12" t="str">
        <f>IFERROR(__xludf.DUMMYFUNCTION("""COMPUTED_VALUE"""),"0x0308b731f7d0120fa982b6e9c5e35a11333f7b27")</f>
        <v>0x0308b731f7d0120fa982b6e9c5e35a11333f7b27</v>
      </c>
      <c r="J36" s="11">
        <v>91.1199983031448</v>
      </c>
      <c r="K36" s="12">
        <v>202.48888511809955</v>
      </c>
      <c r="L36" s="13">
        <v>2.0248888511809955E20</v>
      </c>
      <c r="M36" s="9">
        <v>2.0248888511809958E19</v>
      </c>
    </row>
    <row r="37" ht="15.75" customHeight="1">
      <c r="A37" s="8"/>
      <c r="B37" s="8"/>
      <c r="C37" s="8"/>
      <c r="D37" s="8">
        <v>27.9026907562088</v>
      </c>
      <c r="E37" s="9" t="s">
        <v>46</v>
      </c>
      <c r="I37" s="12" t="str">
        <f>IFERROR(__xludf.DUMMYFUNCTION("""COMPUTED_VALUE"""),"0x030b7869c737c9cb2ad43d8789fd32b2e2789319")</f>
        <v>0x030b7869c737c9cb2ad43d8789fd32b2e2789319</v>
      </c>
      <c r="J37" s="11">
        <v>45.6199670465708</v>
      </c>
      <c r="K37" s="12">
        <v>101.37770454793511</v>
      </c>
      <c r="L37" s="13">
        <v>1.0137770454793511E20</v>
      </c>
      <c r="M37" s="9">
        <v>1.013777045479351E19</v>
      </c>
    </row>
    <row r="38" ht="15.75" customHeight="1">
      <c r="A38" s="8"/>
      <c r="B38" s="8"/>
      <c r="C38" s="8"/>
      <c r="D38" s="8">
        <v>27.9026907562088</v>
      </c>
      <c r="E38" s="9" t="s">
        <v>47</v>
      </c>
      <c r="I38" s="12" t="str">
        <f>IFERROR(__xludf.DUMMYFUNCTION("""COMPUTED_VALUE"""),"0x03340ee1379293438839727ddcf8176567816d71")</f>
        <v>0x03340ee1379293438839727ddcf8176567816d71</v>
      </c>
      <c r="J38" s="11">
        <v>27.9026907562088</v>
      </c>
      <c r="K38" s="12">
        <v>62.005979458241775</v>
      </c>
      <c r="L38" s="13">
        <v>6.200597945824177E19</v>
      </c>
      <c r="M38" s="9">
        <v>6.2005979458241782E18</v>
      </c>
    </row>
    <row r="39" ht="15.75" customHeight="1">
      <c r="A39" s="8"/>
      <c r="B39" s="8"/>
      <c r="C39" s="8"/>
      <c r="D39" s="8">
        <v>27.9026907562088</v>
      </c>
      <c r="E39" s="9" t="s">
        <v>48</v>
      </c>
      <c r="I39" s="12" t="str">
        <f>IFERROR(__xludf.DUMMYFUNCTION("""COMPUTED_VALUE"""),"0x034ce34838e98b5629a55b797a68d7a64642357d")</f>
        <v>0x034ce34838e98b5629a55b797a68d7a64642357d</v>
      </c>
      <c r="J39" s="11">
        <v>27.9026907562088</v>
      </c>
      <c r="K39" s="12">
        <v>62.005979458241775</v>
      </c>
      <c r="L39" s="13">
        <v>6.200597945824177E19</v>
      </c>
      <c r="M39" s="9">
        <v>6.2005979458241782E18</v>
      </c>
    </row>
    <row r="40" ht="15.75" customHeight="1">
      <c r="A40" s="8"/>
      <c r="B40" s="8"/>
      <c r="C40" s="8"/>
      <c r="D40" s="8">
        <v>27.9026907562088</v>
      </c>
      <c r="E40" s="9" t="s">
        <v>49</v>
      </c>
      <c r="I40" s="12" t="str">
        <f>IFERROR(__xludf.DUMMYFUNCTION("""COMPUTED_VALUE"""),"0x035c2e014257d40692fd3a65c74915096162432c")</f>
        <v>0x035c2e014257d40692fd3a65c74915096162432c</v>
      </c>
      <c r="J40" s="11">
        <v>357.76569300518577</v>
      </c>
      <c r="K40" s="12">
        <v>795.0348733448573</v>
      </c>
      <c r="L40" s="13">
        <v>7.950348733448572E20</v>
      </c>
      <c r="M40" s="9">
        <v>7.950348733448572E19</v>
      </c>
    </row>
    <row r="41" ht="15.75" customHeight="1">
      <c r="A41" s="8"/>
      <c r="B41" s="8"/>
      <c r="C41" s="8"/>
      <c r="D41" s="8">
        <v>27.9026907562088</v>
      </c>
      <c r="E41" s="9" t="s">
        <v>50</v>
      </c>
      <c r="I41" s="12" t="str">
        <f>IFERROR(__xludf.DUMMYFUNCTION("""COMPUTED_VALUE"""),"0x035df91bfb4db748b50e29c86ceefb97e2b8fd63")</f>
        <v>0x035df91bfb4db748b50e29c86ceefb97e2b8fd63</v>
      </c>
      <c r="J41" s="11">
        <v>91.1199983031448</v>
      </c>
      <c r="K41" s="12">
        <v>202.48888511809955</v>
      </c>
      <c r="L41" s="13">
        <v>2.0248888511809955E20</v>
      </c>
      <c r="M41" s="9">
        <v>2.0248888511809958E19</v>
      </c>
    </row>
    <row r="42" ht="15.75" customHeight="1">
      <c r="A42" s="8"/>
      <c r="B42" s="8"/>
      <c r="C42" s="8"/>
      <c r="D42" s="8">
        <v>22.1728744684413</v>
      </c>
      <c r="E42" s="9" t="s">
        <v>51</v>
      </c>
      <c r="I42" s="12" t="str">
        <f>IFERROR(__xludf.DUMMYFUNCTION("""COMPUTED_VALUE"""),"0x0365ab92eb0a345b9faa8d3ac8dbee5e045329b6")</f>
        <v>0x0365ab92eb0a345b9faa8d3ac8dbee5e045329b6</v>
      </c>
      <c r="J42" s="11">
        <v>22.1728744684413</v>
      </c>
      <c r="K42" s="12">
        <v>49.273054374314</v>
      </c>
      <c r="L42" s="13">
        <v>4.9273054374314E19</v>
      </c>
      <c r="M42" s="9">
        <v>4.9273054374314004E18</v>
      </c>
    </row>
    <row r="43" ht="15.75" customHeight="1">
      <c r="A43" s="8"/>
      <c r="B43" s="8"/>
      <c r="C43" s="8"/>
      <c r="D43" s="8">
        <v>27.7143344934884</v>
      </c>
      <c r="E43" s="9" t="s">
        <v>52</v>
      </c>
      <c r="I43" s="12" t="str">
        <f>IFERROR(__xludf.DUMMYFUNCTION("""COMPUTED_VALUE"""),"0x039519e6b47a81276d7a4e318de4f0d60eac4ecc")</f>
        <v>0x039519e6b47a81276d7a4e318de4f0d60eac4ecc</v>
      </c>
      <c r="J43" s="11">
        <v>90.9316420404244</v>
      </c>
      <c r="K43" s="12">
        <v>202.07031564538755</v>
      </c>
      <c r="L43" s="13">
        <v>2.0207031564538754E20</v>
      </c>
      <c r="M43" s="9">
        <v>2.0207031564538753E19</v>
      </c>
    </row>
    <row r="44" ht="15.75" customHeight="1">
      <c r="A44" s="8"/>
      <c r="B44" s="8"/>
      <c r="C44" s="8"/>
      <c r="D44" s="8">
        <v>27.9026907562088</v>
      </c>
      <c r="E44" s="9" t="s">
        <v>53</v>
      </c>
      <c r="I44" s="12" t="str">
        <f>IFERROR(__xludf.DUMMYFUNCTION("""COMPUTED_VALUE"""),"0x03a5c4b2af29f4ff2de5c74c1a84ba2e28021194")</f>
        <v>0x03a5c4b2af29f4ff2de5c74c1a84ba2e28021194</v>
      </c>
      <c r="J44" s="11">
        <v>27.9026907562088</v>
      </c>
      <c r="K44" s="12">
        <v>62.005979458241775</v>
      </c>
      <c r="L44" s="13">
        <v>6.200597945824177E19</v>
      </c>
      <c r="M44" s="9">
        <v>6.2005979458241782E18</v>
      </c>
    </row>
    <row r="45" ht="15.75" customHeight="1">
      <c r="A45" s="8"/>
      <c r="B45" s="8"/>
      <c r="C45" s="8"/>
      <c r="D45" s="8">
        <v>27.9026907562088</v>
      </c>
      <c r="E45" s="9" t="s">
        <v>54</v>
      </c>
      <c r="I45" s="12" t="str">
        <f>IFERROR(__xludf.DUMMYFUNCTION("""COMPUTED_VALUE"""),"0x03bc977ff731f4ca7eb515af33f6f0cf39ec76e2")</f>
        <v>0x03bc977ff731f4ca7eb515af33f6f0cf39ec76e2</v>
      </c>
      <c r="J45" s="11">
        <v>85.15701047853631</v>
      </c>
      <c r="K45" s="12">
        <v>189.23780106341403</v>
      </c>
      <c r="L45" s="13">
        <v>1.8923780106341404E20</v>
      </c>
      <c r="M45" s="9">
        <v>1.8923780106341405E19</v>
      </c>
    </row>
    <row r="46" ht="15.75" customHeight="1">
      <c r="A46" s="8"/>
      <c r="B46" s="8"/>
      <c r="C46" s="8"/>
      <c r="D46" s="8">
        <v>27.9026907562088</v>
      </c>
      <c r="E46" s="9" t="s">
        <v>55</v>
      </c>
      <c r="I46" s="12" t="str">
        <f>IFERROR(__xludf.DUMMYFUNCTION("""COMPUTED_VALUE"""),"0x03cd7fdbea1b2252bd09363a23573e57e79ea377")</f>
        <v>0x03cd7fdbea1b2252bd09363a23573e57e79ea377</v>
      </c>
      <c r="J46" s="11">
        <v>27.9026907562088</v>
      </c>
      <c r="K46" s="12">
        <v>62.005979458241775</v>
      </c>
      <c r="L46" s="13">
        <v>6.200597945824177E19</v>
      </c>
      <c r="M46" s="9">
        <v>6.2005979458241782E18</v>
      </c>
    </row>
    <row r="47" ht="15.75" customHeight="1">
      <c r="A47" s="8"/>
      <c r="B47" s="8"/>
      <c r="C47" s="8"/>
      <c r="D47" s="8">
        <v>27.9026907562088</v>
      </c>
      <c r="E47" s="9" t="s">
        <v>56</v>
      </c>
      <c r="I47" s="12" t="str">
        <f>IFERROR(__xludf.DUMMYFUNCTION("""COMPUTED_VALUE"""),"0x03d051b8704987d5474334be63336996af4ed2be")</f>
        <v>0x03d051b8704987d5474334be63336996af4ed2be</v>
      </c>
      <c r="J47" s="11">
        <v>27.9026907562088</v>
      </c>
      <c r="K47" s="12">
        <v>62.005979458241775</v>
      </c>
      <c r="L47" s="13">
        <v>6.200597945824177E19</v>
      </c>
      <c r="M47" s="9">
        <v>6.2005979458241782E18</v>
      </c>
    </row>
    <row r="48" ht="15.75" customHeight="1">
      <c r="A48" s="8"/>
      <c r="B48" s="8"/>
      <c r="C48" s="8"/>
      <c r="D48" s="8">
        <v>27.9026907562088</v>
      </c>
      <c r="E48" s="9" t="s">
        <v>57</v>
      </c>
      <c r="I48" s="12" t="str">
        <f>IFERROR(__xludf.DUMMYFUNCTION("""COMPUTED_VALUE"""),"0x03df831a616be8421144b15d34f324453f251541")</f>
        <v>0x03df831a616be8421144b15d34f324453f251541</v>
      </c>
      <c r="J48" s="11">
        <v>91.1199983031448</v>
      </c>
      <c r="K48" s="12">
        <v>202.48888511809955</v>
      </c>
      <c r="L48" s="13">
        <v>2.0248888511809955E20</v>
      </c>
      <c r="M48" s="9">
        <v>2.0248888511809958E19</v>
      </c>
    </row>
    <row r="49" ht="15.75" customHeight="1">
      <c r="A49" s="8"/>
      <c r="B49" s="8"/>
      <c r="C49" s="8"/>
      <c r="D49" s="8">
        <v>7.63484612372931</v>
      </c>
      <c r="E49" s="9" t="s">
        <v>58</v>
      </c>
      <c r="I49" s="12" t="str">
        <f>IFERROR(__xludf.DUMMYFUNCTION("""COMPUTED_VALUE"""),"0x040188e8407edf8a9925d4d34ba96f86b9e30e9f")</f>
        <v>0x040188e8407edf8a9925d4d34ba96f86b9e30e9f</v>
      </c>
      <c r="J49" s="11">
        <v>7.63484612372931</v>
      </c>
      <c r="K49" s="12">
        <v>16.966324719398465</v>
      </c>
      <c r="L49" s="13">
        <v>1.6966324719398466E19</v>
      </c>
      <c r="M49" s="9">
        <v>1.69663247193984666E18</v>
      </c>
    </row>
    <row r="50" ht="15.75" customHeight="1">
      <c r="A50" s="8"/>
      <c r="B50" s="8"/>
      <c r="C50" s="8"/>
      <c r="D50" s="8">
        <v>27.9026907562088</v>
      </c>
      <c r="E50" s="9" t="s">
        <v>59</v>
      </c>
      <c r="I50" s="12" t="str">
        <f>IFERROR(__xludf.DUMMYFUNCTION("""COMPUTED_VALUE"""),"0x040ad4ff1cb4359175a127f53d854d74d86f7990")</f>
        <v>0x040ad4ff1cb4359175a127f53d854d74d86f7990</v>
      </c>
      <c r="J50" s="11">
        <v>27.9026907562088</v>
      </c>
      <c r="K50" s="12">
        <v>62.005979458241775</v>
      </c>
      <c r="L50" s="13">
        <v>6.200597945824177E19</v>
      </c>
      <c r="M50" s="9">
        <v>6.2005979458241782E18</v>
      </c>
    </row>
    <row r="51" ht="15.75" customHeight="1">
      <c r="A51" s="8"/>
      <c r="B51" s="8"/>
      <c r="C51" s="8"/>
      <c r="D51" s="8">
        <v>27.9026907562088</v>
      </c>
      <c r="E51" s="9" t="s">
        <v>60</v>
      </c>
      <c r="I51" s="12" t="str">
        <f>IFERROR(__xludf.DUMMYFUNCTION("""COMPUTED_VALUE"""),"0x040b67eb7d365636496bfb78521d89cd81253838")</f>
        <v>0x040b67eb7d365636496bfb78521d89cd81253838</v>
      </c>
      <c r="J51" s="11">
        <v>27.9026907562088</v>
      </c>
      <c r="K51" s="12">
        <v>62.005979458241775</v>
      </c>
      <c r="L51" s="13">
        <v>6.200597945824177E19</v>
      </c>
      <c r="M51" s="9">
        <v>6.2005979458241782E18</v>
      </c>
    </row>
    <row r="52" ht="15.75" customHeight="1">
      <c r="A52" s="8"/>
      <c r="B52" s="8"/>
      <c r="C52" s="8"/>
      <c r="D52" s="8">
        <v>27.9026907562088</v>
      </c>
      <c r="E52" s="9" t="s">
        <v>61</v>
      </c>
      <c r="I52" s="12" t="str">
        <f>IFERROR(__xludf.DUMMYFUNCTION("""COMPUTED_VALUE"""),"0x041335a9ce3ace987281b1c70b7b53035965863a")</f>
        <v>0x041335a9ce3ace987281b1c70b7b53035965863a</v>
      </c>
      <c r="J52" s="11">
        <v>75.39637972078489</v>
      </c>
      <c r="K52" s="12">
        <v>167.5475104906331</v>
      </c>
      <c r="L52" s="13">
        <v>1.675475104906331E20</v>
      </c>
      <c r="M52" s="9">
        <v>1.6754751049063311E19</v>
      </c>
    </row>
    <row r="53" ht="15.75" customHeight="1">
      <c r="A53" s="8"/>
      <c r="B53" s="8"/>
      <c r="C53" s="8"/>
      <c r="D53" s="8">
        <v>5.46522122761499</v>
      </c>
      <c r="E53" s="9" t="s">
        <v>62</v>
      </c>
      <c r="I53" s="12" t="str">
        <f>IFERROR(__xludf.DUMMYFUNCTION("""COMPUTED_VALUE"""),"0x0419c0a91ba6cf14924053931f7504d0f9ebe674")</f>
        <v>0x0419c0a91ba6cf14924053931f7504d0f9ebe674</v>
      </c>
      <c r="J53" s="11">
        <v>5.46522122761499</v>
      </c>
      <c r="K53" s="12">
        <v>12.144936061366643</v>
      </c>
      <c r="L53" s="13">
        <v>1.2144936061366643E19</v>
      </c>
      <c r="M53" s="9">
        <v>1.21449360613666432E18</v>
      </c>
    </row>
    <row r="54" ht="15.75" customHeight="1">
      <c r="A54" s="8"/>
      <c r="B54" s="8"/>
      <c r="C54" s="8"/>
      <c r="D54" s="8">
        <v>27.9026907562088</v>
      </c>
      <c r="E54" s="9" t="s">
        <v>63</v>
      </c>
      <c r="I54" s="12" t="str">
        <f>IFERROR(__xludf.DUMMYFUNCTION("""COMPUTED_VALUE"""),"0x04218d7d31e90afc4ef9cd6e895c3c2617ab9c66")</f>
        <v>0x04218d7d31e90afc4ef9cd6e895c3c2617ab9c66</v>
      </c>
      <c r="J54" s="11">
        <v>65.83307528437041</v>
      </c>
      <c r="K54" s="12">
        <v>146.29572285415645</v>
      </c>
      <c r="L54" s="13">
        <v>1.4629572285415645E20</v>
      </c>
      <c r="M54" s="9">
        <v>1.4629572285415645E19</v>
      </c>
    </row>
    <row r="55" ht="15.75" customHeight="1">
      <c r="A55" s="8"/>
      <c r="B55" s="8"/>
      <c r="C55" s="8"/>
      <c r="D55" s="8">
        <v>27.9026907562088</v>
      </c>
      <c r="E55" s="9" t="s">
        <v>64</v>
      </c>
      <c r="I55" s="12" t="str">
        <f>IFERROR(__xludf.DUMMYFUNCTION("""COMPUTED_VALUE"""),"0x0424e057c2d0bc7e58c75975aaf38bf1e598cd49")</f>
        <v>0x0424e057c2d0bc7e58c75975aaf38bf1e598cd49</v>
      </c>
      <c r="J55" s="11">
        <v>118.5867717089192</v>
      </c>
      <c r="K55" s="12">
        <v>263.5261593531538</v>
      </c>
      <c r="L55" s="13">
        <v>2.6352615935315378E20</v>
      </c>
      <c r="M55" s="9">
        <v>2.635261593531538E19</v>
      </c>
    </row>
    <row r="56" ht="15.75" customHeight="1">
      <c r="A56" s="8"/>
      <c r="B56" s="8"/>
      <c r="C56" s="8"/>
      <c r="D56" s="8">
        <v>27.9026907562088</v>
      </c>
      <c r="E56" s="9" t="s">
        <v>65</v>
      </c>
      <c r="I56" s="12" t="str">
        <f>IFERROR(__xludf.DUMMYFUNCTION("""COMPUTED_VALUE"""),"0x0433bd38991e1dd3a07641532e9c66bc19babe2d")</f>
        <v>0x0433bd38991e1dd3a07641532e9c66bc19babe2d</v>
      </c>
      <c r="J56" s="11">
        <v>87.57982908051639</v>
      </c>
      <c r="K56" s="12">
        <v>194.62184240114752</v>
      </c>
      <c r="L56" s="13">
        <v>1.9462184240114752E20</v>
      </c>
      <c r="M56" s="9">
        <v>1.9462184240114754E19</v>
      </c>
    </row>
    <row r="57" ht="15.75" customHeight="1">
      <c r="A57" s="8"/>
      <c r="B57" s="8"/>
      <c r="C57" s="8"/>
      <c r="D57" s="8">
        <v>6.3125825561059</v>
      </c>
      <c r="E57" s="9" t="s">
        <v>66</v>
      </c>
      <c r="I57" s="12" t="str">
        <f>IFERROR(__xludf.DUMMYFUNCTION("""COMPUTED_VALUE"""),"0x045b1ba26ede7b5581319fda46e179886401f505")</f>
        <v>0x045b1ba26ede7b5581319fda46e179886401f505</v>
      </c>
      <c r="J57" s="11">
        <v>21.0000059250334</v>
      </c>
      <c r="K57" s="12">
        <v>46.66667983340755</v>
      </c>
      <c r="L57" s="13">
        <v>4.6666679833407545E19</v>
      </c>
      <c r="M57" s="9">
        <v>4.6666679833407549E18</v>
      </c>
    </row>
    <row r="58" ht="15.75" customHeight="1">
      <c r="A58" s="8"/>
      <c r="B58" s="8"/>
      <c r="C58" s="8"/>
      <c r="D58" s="8">
        <v>26.3982594708755</v>
      </c>
      <c r="E58" s="9" t="s">
        <v>67</v>
      </c>
      <c r="I58" s="12" t="str">
        <f>IFERROR(__xludf.DUMMYFUNCTION("""COMPUTED_VALUE"""),"0x046a020ab8e7e0b33fba87f38bd3b91a5e0f43bc")</f>
        <v>0x046a020ab8e7e0b33fba87f38bd3b91a5e0f43bc</v>
      </c>
      <c r="J58" s="11">
        <v>39.6230714457145</v>
      </c>
      <c r="K58" s="12">
        <v>88.05126987936556</v>
      </c>
      <c r="L58" s="13">
        <v>8.805126987936557E19</v>
      </c>
      <c r="M58" s="9">
        <v>8.8051269879365571E18</v>
      </c>
    </row>
    <row r="59" ht="15.75" customHeight="1">
      <c r="A59" s="8"/>
      <c r="B59" s="8"/>
      <c r="C59" s="8"/>
      <c r="D59" s="8">
        <v>27.9026907562088</v>
      </c>
      <c r="E59" s="9" t="s">
        <v>68</v>
      </c>
      <c r="I59" s="12" t="str">
        <f>IFERROR(__xludf.DUMMYFUNCTION("""COMPUTED_VALUE"""),"0x0484fe17519f1e0a9f6421a38a760ad031c16c86")</f>
        <v>0x0484fe17519f1e0a9f6421a38a760ad031c16c86</v>
      </c>
      <c r="J59" s="11">
        <v>91.1199983031448</v>
      </c>
      <c r="K59" s="12">
        <v>202.48888511809955</v>
      </c>
      <c r="L59" s="13">
        <v>2.0248888511809955E20</v>
      </c>
      <c r="M59" s="9">
        <v>2.0248888511809958E19</v>
      </c>
    </row>
    <row r="60" ht="15.75" customHeight="1">
      <c r="A60" s="8"/>
      <c r="B60" s="8"/>
      <c r="C60" s="8"/>
      <c r="D60" s="8">
        <v>23.7104226344084</v>
      </c>
      <c r="E60" s="9" t="s">
        <v>69</v>
      </c>
      <c r="I60" s="12" t="str">
        <f>IFERROR(__xludf.DUMMYFUNCTION("""COMPUTED_VALUE"""),"0x04b1a5d86af3bcd57c8ae0fc7b1a9b1497f368df")</f>
        <v>0x04b1a5d86af3bcd57c8ae0fc7b1a9b1497f368df</v>
      </c>
      <c r="J60" s="11">
        <v>23.7104226344084</v>
      </c>
      <c r="K60" s="12">
        <v>52.68982807646311</v>
      </c>
      <c r="L60" s="13">
        <v>5.268982807646311E19</v>
      </c>
      <c r="M60" s="9">
        <v>5.2689828076463114E18</v>
      </c>
    </row>
    <row r="61" ht="15.75" customHeight="1">
      <c r="A61" s="8"/>
      <c r="B61" s="8"/>
      <c r="C61" s="8"/>
      <c r="D61" s="8">
        <v>27.9026907562088</v>
      </c>
      <c r="E61" s="9" t="s">
        <v>70</v>
      </c>
      <c r="I61" s="12" t="str">
        <f>IFERROR(__xludf.DUMMYFUNCTION("""COMPUTED_VALUE"""),"0x04f4eacc7414361e7c6ec2f738a256dbe0f4dcec")</f>
        <v>0x04f4eacc7414361e7c6ec2f738a256dbe0f4dcec</v>
      </c>
      <c r="J61" s="11">
        <v>27.9026907562088</v>
      </c>
      <c r="K61" s="12">
        <v>62.005979458241775</v>
      </c>
      <c r="L61" s="13">
        <v>6.200597945824177E19</v>
      </c>
      <c r="M61" s="9">
        <v>6.2005979458241782E18</v>
      </c>
    </row>
    <row r="62" ht="15.75" customHeight="1">
      <c r="A62" s="8"/>
      <c r="B62" s="8"/>
      <c r="C62" s="8"/>
      <c r="D62" s="8">
        <v>27.9026907562088</v>
      </c>
      <c r="E62" s="9" t="s">
        <v>71</v>
      </c>
      <c r="I62" s="12" t="str">
        <f>IFERROR(__xludf.DUMMYFUNCTION("""COMPUTED_VALUE"""),"0x04fc0d444566e45539c8e78321cd3fccef614a19")</f>
        <v>0x04fc0d444566e45539c8e78321cd3fccef614a19</v>
      </c>
      <c r="J62" s="11">
        <v>27.9026907562088</v>
      </c>
      <c r="K62" s="12">
        <v>62.005979458241775</v>
      </c>
      <c r="L62" s="13">
        <v>6.200597945824177E19</v>
      </c>
      <c r="M62" s="9">
        <v>6.2005979458241782E18</v>
      </c>
    </row>
    <row r="63" ht="15.75" customHeight="1">
      <c r="A63" s="8"/>
      <c r="B63" s="8"/>
      <c r="C63" s="8"/>
      <c r="D63" s="8">
        <v>26.2909938850658</v>
      </c>
      <c r="E63" s="9" t="s">
        <v>72</v>
      </c>
      <c r="I63" s="12" t="str">
        <f>IFERROR(__xludf.DUMMYFUNCTION("""COMPUTED_VALUE"""),"0x04fde4367cd50b37698349d12f7213197bc42c26")</f>
        <v>0x04fde4367cd50b37698349d12f7213197bc42c26</v>
      </c>
      <c r="J63" s="11">
        <v>26.2909938850658</v>
      </c>
      <c r="K63" s="12">
        <v>58.42443085570177</v>
      </c>
      <c r="L63" s="13">
        <v>5.8424430855701774E19</v>
      </c>
      <c r="M63" s="9">
        <v>5.842443085570178E18</v>
      </c>
    </row>
    <row r="64" ht="15.75" customHeight="1">
      <c r="A64" s="8"/>
      <c r="B64" s="8"/>
      <c r="C64" s="8"/>
      <c r="D64" s="8">
        <v>26.4639676509297</v>
      </c>
      <c r="E64" s="9" t="s">
        <v>73</v>
      </c>
      <c r="I64" s="12" t="str">
        <f>IFERROR(__xludf.DUMMYFUNCTION("""COMPUTED_VALUE"""),"0x053f3c7e7c83db64de316b87aa49316b9bd0644d")</f>
        <v>0x053f3c7e7c83db64de316b87aa49316b9bd0644d</v>
      </c>
      <c r="J64" s="11">
        <v>26.4639676509297</v>
      </c>
      <c r="K64" s="12">
        <v>58.808817002066</v>
      </c>
      <c r="L64" s="13">
        <v>5.8808817002066E19</v>
      </c>
      <c r="M64" s="9">
        <v>5.8808817002066002E18</v>
      </c>
    </row>
    <row r="65" ht="15.75" customHeight="1">
      <c r="A65" s="8"/>
      <c r="B65" s="8"/>
      <c r="C65" s="8"/>
      <c r="D65" s="8">
        <v>25.726895053544</v>
      </c>
      <c r="E65" s="9" t="s">
        <v>74</v>
      </c>
      <c r="I65" s="12" t="str">
        <f>IFERROR(__xludf.DUMMYFUNCTION("""COMPUTED_VALUE"""),"0x05597a487d2b3cb16e29c9d69fe0c8e185694f12")</f>
        <v>0x05597a487d2b3cb16e29c9d69fe0c8e185694f12</v>
      </c>
      <c r="J65" s="11">
        <v>43.7190436678473</v>
      </c>
      <c r="K65" s="12">
        <v>97.153430372994</v>
      </c>
      <c r="L65" s="13">
        <v>9.715343037299399E19</v>
      </c>
      <c r="M65" s="9">
        <v>9.715343037299399E18</v>
      </c>
    </row>
    <row r="66" ht="15.75" customHeight="1">
      <c r="A66" s="8"/>
      <c r="B66" s="8"/>
      <c r="C66" s="8"/>
      <c r="D66" s="8">
        <v>27.9026907562088</v>
      </c>
      <c r="E66" s="9" t="s">
        <v>75</v>
      </c>
      <c r="I66" s="12" t="str">
        <f>IFERROR(__xludf.DUMMYFUNCTION("""COMPUTED_VALUE"""),"0x055affa6bdc01d0cfa8a738b068ece76e56dad51")</f>
        <v>0x055affa6bdc01d0cfa8a738b068ece76e56dad51</v>
      </c>
      <c r="J66" s="11">
        <v>91.1199983031448</v>
      </c>
      <c r="K66" s="12">
        <v>202.48888511809955</v>
      </c>
      <c r="L66" s="13">
        <v>2.0248888511809955E20</v>
      </c>
      <c r="M66" s="9">
        <v>2.0248888511809958E19</v>
      </c>
    </row>
    <row r="67" ht="15.75" customHeight="1">
      <c r="A67" s="8"/>
      <c r="B67" s="8"/>
      <c r="C67" s="8"/>
      <c r="D67" s="8">
        <v>27.9026907562088</v>
      </c>
      <c r="E67" s="9" t="s">
        <v>76</v>
      </c>
      <c r="I67" s="12" t="str">
        <f>IFERROR(__xludf.DUMMYFUNCTION("""COMPUTED_VALUE"""),"0x0563ab7bb8e5ea5fff8c959cfd2e0c8f09d75232")</f>
        <v>0x0563ab7bb8e5ea5fff8c959cfd2e0c8f09d75232</v>
      </c>
      <c r="J67" s="11">
        <v>81.7638367861983</v>
      </c>
      <c r="K67" s="12">
        <v>181.69741508044066</v>
      </c>
      <c r="L67" s="13">
        <v>1.8169741508044066E20</v>
      </c>
      <c r="M67" s="9">
        <v>1.8169741508044067E19</v>
      </c>
    </row>
    <row r="68" ht="15.75" customHeight="1">
      <c r="A68" s="8"/>
      <c r="B68" s="8"/>
      <c r="C68" s="8"/>
      <c r="D68" s="8">
        <v>27.9026907562088</v>
      </c>
      <c r="E68" s="9" t="s">
        <v>77</v>
      </c>
      <c r="I68" s="12" t="str">
        <f>IFERROR(__xludf.DUMMYFUNCTION("""COMPUTED_VALUE"""),"0x056e097c8dfd6c9ba66b9b72522fe100c596cea0")</f>
        <v>0x056e097c8dfd6c9ba66b9b72522fe100c596cea0</v>
      </c>
      <c r="J68" s="11">
        <v>91.1199983031448</v>
      </c>
      <c r="K68" s="12">
        <v>202.48888511809955</v>
      </c>
      <c r="L68" s="13">
        <v>2.0248888511809955E20</v>
      </c>
      <c r="M68" s="9">
        <v>2.0248888511809958E19</v>
      </c>
    </row>
    <row r="69" ht="15.75" customHeight="1">
      <c r="A69" s="8"/>
      <c r="B69" s="8"/>
      <c r="C69" s="8"/>
      <c r="D69" s="8">
        <v>27.9026907562088</v>
      </c>
      <c r="E69" s="9" t="s">
        <v>78</v>
      </c>
      <c r="I69" s="12" t="str">
        <f>IFERROR(__xludf.DUMMYFUNCTION("""COMPUTED_VALUE"""),"0x0583f167360c7d6a3f534b9eb52cc9dc3bced93e")</f>
        <v>0x0583f167360c7d6a3f534b9eb52cc9dc3bced93e</v>
      </c>
      <c r="J69" s="11">
        <v>100.87406427766996</v>
      </c>
      <c r="K69" s="12">
        <v>224.164587283711</v>
      </c>
      <c r="L69" s="13">
        <v>2.24164587283711E20</v>
      </c>
      <c r="M69" s="9">
        <v>2.24164587283711E19</v>
      </c>
    </row>
    <row r="70" ht="15.75" customHeight="1">
      <c r="A70" s="8"/>
      <c r="B70" s="8"/>
      <c r="C70" s="8"/>
      <c r="D70" s="8">
        <v>27.9026907562088</v>
      </c>
      <c r="E70" s="9" t="s">
        <v>79</v>
      </c>
      <c r="I70" s="12" t="str">
        <f>IFERROR(__xludf.DUMMYFUNCTION("""COMPUTED_VALUE"""),"0x05935c01c0bdceac0c14343bfd9ce0bec3db8010")</f>
        <v>0x05935c01c0bdceac0c14343bfd9ce0bec3db8010</v>
      </c>
      <c r="J70" s="11">
        <v>91.1199983031448</v>
      </c>
      <c r="K70" s="12">
        <v>202.48888511809955</v>
      </c>
      <c r="L70" s="13">
        <v>2.0248888511809955E20</v>
      </c>
      <c r="M70" s="9">
        <v>2.0248888511809958E19</v>
      </c>
    </row>
    <row r="71" ht="15.75" customHeight="1">
      <c r="A71" s="8"/>
      <c r="B71" s="8"/>
      <c r="C71" s="8"/>
      <c r="D71" s="8">
        <v>27.9026907562088</v>
      </c>
      <c r="E71" s="9" t="s">
        <v>80</v>
      </c>
      <c r="I71" s="12" t="str">
        <f>IFERROR(__xludf.DUMMYFUNCTION("""COMPUTED_VALUE"""),"0x05a3be8e34e053cd4971f4838bc2d2d6f186c3b0")</f>
        <v>0x05a3be8e34e053cd4971f4838bc2d2d6f186c3b0</v>
      </c>
      <c r="J71" s="11">
        <v>27.9026907562088</v>
      </c>
      <c r="K71" s="12">
        <v>62.005979458241775</v>
      </c>
      <c r="L71" s="13">
        <v>6.200597945824177E19</v>
      </c>
      <c r="M71" s="9">
        <v>6.2005979458241782E18</v>
      </c>
    </row>
    <row r="72" ht="15.75" customHeight="1">
      <c r="A72" s="8"/>
      <c r="B72" s="8"/>
      <c r="C72" s="8"/>
      <c r="D72" s="8">
        <v>24.084644477216</v>
      </c>
      <c r="E72" s="9" t="s">
        <v>81</v>
      </c>
      <c r="I72" s="12" t="str">
        <f>IFERROR(__xludf.DUMMYFUNCTION("""COMPUTED_VALUE"""),"0x05bf88692f7c3d865f693f8fcd8c3deca70137c8")</f>
        <v>0x05bf88692f7c3d865f693f8fcd8c3deca70137c8</v>
      </c>
      <c r="J72" s="11">
        <v>24.084644477216</v>
      </c>
      <c r="K72" s="12">
        <v>53.52143217159111</v>
      </c>
      <c r="L72" s="13">
        <v>5.352143217159111E19</v>
      </c>
      <c r="M72" s="9">
        <v>5.3521432171591107E18</v>
      </c>
    </row>
    <row r="73" ht="15.75" customHeight="1">
      <c r="A73" s="8"/>
      <c r="B73" s="8"/>
      <c r="C73" s="8"/>
      <c r="D73" s="8">
        <v>27.9026907562088</v>
      </c>
      <c r="E73" s="9" t="s">
        <v>82</v>
      </c>
      <c r="I73" s="12" t="str">
        <f>IFERROR(__xludf.DUMMYFUNCTION("""COMPUTED_VALUE"""),"0x05e5d6c658d40bbe0857f5826081a5799b08de32")</f>
        <v>0x05e5d6c658d40bbe0857f5826081a5799b08de32</v>
      </c>
      <c r="J73" s="11">
        <v>91.0996879398849</v>
      </c>
      <c r="K73" s="12">
        <v>202.443750977522</v>
      </c>
      <c r="L73" s="13">
        <v>2.02443750977522E20</v>
      </c>
      <c r="M73" s="9">
        <v>2.0244375097752203E19</v>
      </c>
    </row>
    <row r="74" ht="15.75" customHeight="1">
      <c r="A74" s="8"/>
      <c r="B74" s="8"/>
      <c r="C74" s="8"/>
      <c r="D74" s="8">
        <v>27.9026907562088</v>
      </c>
      <c r="E74" s="9" t="s">
        <v>83</v>
      </c>
      <c r="I74" s="12" t="str">
        <f>IFERROR(__xludf.DUMMYFUNCTION("""COMPUTED_VALUE"""),"0x05e8fb9d2d967e09d138b48148fa75a24dde822a")</f>
        <v>0x05e8fb9d2d967e09d138b48148fa75a24dde822a</v>
      </c>
      <c r="J74" s="11">
        <v>27.9026907562088</v>
      </c>
      <c r="K74" s="12">
        <v>62.005979458241775</v>
      </c>
      <c r="L74" s="13">
        <v>6.200597945824177E19</v>
      </c>
      <c r="M74" s="9">
        <v>6.2005979458241782E18</v>
      </c>
    </row>
    <row r="75" ht="15.75" customHeight="1">
      <c r="A75" s="8"/>
      <c r="B75" s="8"/>
      <c r="C75" s="8"/>
      <c r="D75" s="8">
        <v>27.9026907562088</v>
      </c>
      <c r="E75" s="9" t="s">
        <v>84</v>
      </c>
      <c r="I75" s="12" t="str">
        <f>IFERROR(__xludf.DUMMYFUNCTION("""COMPUTED_VALUE"""),"0x0622d7104c729b8e7e7ca52afe6a9ac9321aeb8c")</f>
        <v>0x0622d7104c729b8e7e7ca52afe6a9ac9321aeb8c</v>
      </c>
      <c r="J75" s="11">
        <v>91.1199983031448</v>
      </c>
      <c r="K75" s="12">
        <v>202.48888511809955</v>
      </c>
      <c r="L75" s="13">
        <v>2.0248888511809955E20</v>
      </c>
      <c r="M75" s="9">
        <v>2.0248888511809958E19</v>
      </c>
    </row>
    <row r="76" ht="15.75" customHeight="1">
      <c r="A76" s="8"/>
      <c r="B76" s="8"/>
      <c r="C76" s="8"/>
      <c r="D76" s="8">
        <v>25.0841521905497</v>
      </c>
      <c r="E76" s="9" t="s">
        <v>85</v>
      </c>
      <c r="I76" s="12" t="str">
        <f>IFERROR(__xludf.DUMMYFUNCTION("""COMPUTED_VALUE"""),"0x0650168f027fe1ae4cb9da3cba796efb1b39c3bc")</f>
        <v>0x0650168f027fe1ae4cb9da3cba796efb1b39c3bc</v>
      </c>
      <c r="J76" s="11">
        <v>25.0841521905497</v>
      </c>
      <c r="K76" s="12">
        <v>55.74256042344377</v>
      </c>
      <c r="L76" s="13">
        <v>5.574256042344377E19</v>
      </c>
      <c r="M76" s="9">
        <v>5.5742560423443773E18</v>
      </c>
    </row>
    <row r="77" ht="15.75" customHeight="1">
      <c r="A77" s="8"/>
      <c r="B77" s="8"/>
      <c r="C77" s="8"/>
      <c r="D77" s="8">
        <v>27.9026907562088</v>
      </c>
      <c r="E77" s="9" t="s">
        <v>86</v>
      </c>
      <c r="I77" s="12" t="str">
        <f>IFERROR(__xludf.DUMMYFUNCTION("""COMPUTED_VALUE"""),"0x065c84641ee62d032ea5f20c49d59817c87a2747")</f>
        <v>0x065c84641ee62d032ea5f20c49d59817c87a2747</v>
      </c>
      <c r="J77" s="11">
        <v>91.1199983031448</v>
      </c>
      <c r="K77" s="12">
        <v>202.48888511809955</v>
      </c>
      <c r="L77" s="13">
        <v>2.0248888511809955E20</v>
      </c>
      <c r="M77" s="9">
        <v>2.0248888511809958E19</v>
      </c>
    </row>
    <row r="78" ht="15.75" customHeight="1">
      <c r="A78" s="8"/>
      <c r="B78" s="8"/>
      <c r="C78" s="8"/>
      <c r="D78" s="8">
        <v>27.9026907562088</v>
      </c>
      <c r="E78" s="9" t="s">
        <v>87</v>
      </c>
      <c r="I78" s="12" t="str">
        <f>IFERROR(__xludf.DUMMYFUNCTION("""COMPUTED_VALUE"""),"0x06699ba67231abaf0dd26b99e9d62b84c781745e")</f>
        <v>0x06699ba67231abaf0dd26b99e9d62b84c781745e</v>
      </c>
      <c r="J78" s="11">
        <v>27.9026907562088</v>
      </c>
      <c r="K78" s="12">
        <v>62.005979458241775</v>
      </c>
      <c r="L78" s="13">
        <v>6.200597945824177E19</v>
      </c>
      <c r="M78" s="9">
        <v>6.2005979458241782E18</v>
      </c>
    </row>
    <row r="79" ht="15.75" customHeight="1">
      <c r="A79" s="8"/>
      <c r="B79" s="8"/>
      <c r="C79" s="8"/>
      <c r="D79" s="8">
        <v>25.0256701885564</v>
      </c>
      <c r="E79" s="9" t="s">
        <v>88</v>
      </c>
      <c r="I79" s="12" t="str">
        <f>IFERROR(__xludf.DUMMYFUNCTION("""COMPUTED_VALUE"""),"0x06863e32fb7f5c3d0515fca55d6f8f2db6c0341f")</f>
        <v>0x06863e32fb7f5c3d0515fca55d6f8f2db6c0341f</v>
      </c>
      <c r="J79" s="11">
        <v>25.0256701885564</v>
      </c>
      <c r="K79" s="12">
        <v>55.61260041901422</v>
      </c>
      <c r="L79" s="13">
        <v>5.561260041901422E19</v>
      </c>
      <c r="M79" s="9">
        <v>5.5612600419014226E18</v>
      </c>
    </row>
    <row r="80" ht="15.75" customHeight="1">
      <c r="A80" s="8"/>
      <c r="B80" s="8"/>
      <c r="C80" s="8"/>
      <c r="D80" s="8">
        <v>27.9026907562088</v>
      </c>
      <c r="E80" s="9" t="s">
        <v>89</v>
      </c>
      <c r="I80" s="12" t="str">
        <f>IFERROR(__xludf.DUMMYFUNCTION("""COMPUTED_VALUE"""),"0x0689f7e0a33dd8c0a922105483eda5df5609a525")</f>
        <v>0x0689f7e0a33dd8c0a922105483eda5df5609a525</v>
      </c>
      <c r="J80" s="11">
        <v>27.9026907562088</v>
      </c>
      <c r="K80" s="12">
        <v>62.005979458241775</v>
      </c>
      <c r="L80" s="13">
        <v>6.200597945824177E19</v>
      </c>
      <c r="M80" s="9">
        <v>6.2005979458241782E18</v>
      </c>
    </row>
    <row r="81" ht="15.75" customHeight="1">
      <c r="A81" s="8"/>
      <c r="B81" s="8"/>
      <c r="C81" s="8"/>
      <c r="D81" s="8">
        <v>26.2718518339705</v>
      </c>
      <c r="E81" s="9" t="s">
        <v>90</v>
      </c>
      <c r="I81" s="12" t="str">
        <f>IFERROR(__xludf.DUMMYFUNCTION("""COMPUTED_VALUE"""),"0x068eb3340a84179c2bffac9a486f1ebc84c33894")</f>
        <v>0x068eb3340a84179c2bffac9a486f1ebc84c33894</v>
      </c>
      <c r="J81" s="11">
        <v>26.2718518339705</v>
      </c>
      <c r="K81" s="12">
        <v>58.38189296437889</v>
      </c>
      <c r="L81" s="13">
        <v>5.8381892964378894E19</v>
      </c>
      <c r="M81" s="9">
        <v>5.83818929643789E18</v>
      </c>
    </row>
    <row r="82" ht="15.75" customHeight="1">
      <c r="A82" s="8"/>
      <c r="B82" s="8"/>
      <c r="C82" s="8"/>
      <c r="D82" s="8">
        <v>27.9026907562088</v>
      </c>
      <c r="E82" s="9" t="s">
        <v>91</v>
      </c>
      <c r="I82" s="12" t="str">
        <f>IFERROR(__xludf.DUMMYFUNCTION("""COMPUTED_VALUE"""),"0x068f4e7418d7dce3cfac1e01a25e0fa6d6ef870f")</f>
        <v>0x068f4e7418d7dce3cfac1e01a25e0fa6d6ef870f</v>
      </c>
      <c r="J82" s="11">
        <v>91.1199983031448</v>
      </c>
      <c r="K82" s="12">
        <v>202.48888511809955</v>
      </c>
      <c r="L82" s="13">
        <v>2.0248888511809955E20</v>
      </c>
      <c r="M82" s="9">
        <v>2.0248888511809958E19</v>
      </c>
    </row>
    <row r="83" ht="15.75" customHeight="1">
      <c r="A83" s="8"/>
      <c r="B83" s="8"/>
      <c r="C83" s="8"/>
      <c r="D83" s="8">
        <v>27.9026907562088</v>
      </c>
      <c r="E83" s="9" t="s">
        <v>92</v>
      </c>
      <c r="I83" s="12" t="str">
        <f>IFERROR(__xludf.DUMMYFUNCTION("""COMPUTED_VALUE"""),"0x06936a04de401421b44e01b753b2de549a9d54ac")</f>
        <v>0x06936a04de401421b44e01b753b2de549a9d54ac</v>
      </c>
      <c r="J83" s="11">
        <v>73.15186956870309</v>
      </c>
      <c r="K83" s="12">
        <v>162.55971015267355</v>
      </c>
      <c r="L83" s="13">
        <v>1.6255971015267356E20</v>
      </c>
      <c r="M83" s="9">
        <v>1.6255971015267357E19</v>
      </c>
    </row>
    <row r="84" ht="15.75" customHeight="1">
      <c r="A84" s="8"/>
      <c r="B84" s="8"/>
      <c r="C84" s="8"/>
      <c r="D84" s="8">
        <v>27.9026907562088</v>
      </c>
      <c r="E84" s="9" t="s">
        <v>93</v>
      </c>
      <c r="I84" s="12" t="str">
        <f>IFERROR(__xludf.DUMMYFUNCTION("""COMPUTED_VALUE"""),"0x069e7d2a85da75f4b4b19f5bf7fc034c3596743e")</f>
        <v>0x069e7d2a85da75f4b4b19f5bf7fc034c3596743e</v>
      </c>
      <c r="J84" s="11">
        <v>27.9026907562088</v>
      </c>
      <c r="K84" s="12">
        <v>62.005979458241775</v>
      </c>
      <c r="L84" s="13">
        <v>6.200597945824177E19</v>
      </c>
      <c r="M84" s="9">
        <v>6.2005979458241782E18</v>
      </c>
    </row>
    <row r="85" ht="15.75" customHeight="1">
      <c r="A85" s="8"/>
      <c r="B85" s="8"/>
      <c r="C85" s="8"/>
      <c r="D85" s="8">
        <v>27.9026907562088</v>
      </c>
      <c r="E85" s="9" t="s">
        <v>94</v>
      </c>
      <c r="I85" s="12" t="str">
        <f>IFERROR(__xludf.DUMMYFUNCTION("""COMPUTED_VALUE"""),"0x06b75101418151a6adae4154251eb4aa2a7b7943")</f>
        <v>0x06b75101418151a6adae4154251eb4aa2a7b7943</v>
      </c>
      <c r="J85" s="11">
        <v>91.1199983031448</v>
      </c>
      <c r="K85" s="12">
        <v>202.48888511809955</v>
      </c>
      <c r="L85" s="13">
        <v>2.0248888511809955E20</v>
      </c>
      <c r="M85" s="9">
        <v>2.0248888511809958E19</v>
      </c>
    </row>
    <row r="86" ht="15.75" customHeight="1">
      <c r="A86" s="8"/>
      <c r="B86" s="8"/>
      <c r="C86" s="8"/>
      <c r="D86" s="8">
        <v>27.9026907562088</v>
      </c>
      <c r="E86" s="9" t="s">
        <v>95</v>
      </c>
      <c r="I86" s="12" t="str">
        <f>IFERROR(__xludf.DUMMYFUNCTION("""COMPUTED_VALUE"""),"0x06bbb894603ab22ccd2383bf78bbf78e897384ab")</f>
        <v>0x06bbb894603ab22ccd2383bf78bbf78e897384ab</v>
      </c>
      <c r="J86" s="11">
        <v>27.9026907562088</v>
      </c>
      <c r="K86" s="12">
        <v>62.005979458241775</v>
      </c>
      <c r="L86" s="13">
        <v>6.200597945824177E19</v>
      </c>
      <c r="M86" s="9">
        <v>6.2005979458241782E18</v>
      </c>
    </row>
    <row r="87" ht="15.75" customHeight="1">
      <c r="A87" s="8"/>
      <c r="B87" s="8"/>
      <c r="C87" s="8"/>
      <c r="D87" s="8">
        <v>27.9026907562088</v>
      </c>
      <c r="E87" s="9" t="s">
        <v>96</v>
      </c>
      <c r="I87" s="12" t="str">
        <f>IFERROR(__xludf.DUMMYFUNCTION("""COMPUTED_VALUE"""),"0x06dc0cbf44eed256c5975210095be703504a4541")</f>
        <v>0x06dc0cbf44eed256c5975210095be703504a4541</v>
      </c>
      <c r="J87" s="11">
        <v>91.1199983031448</v>
      </c>
      <c r="K87" s="12">
        <v>202.48888511809955</v>
      </c>
      <c r="L87" s="13">
        <v>2.0248888511809955E20</v>
      </c>
      <c r="M87" s="9">
        <v>2.0248888511809958E19</v>
      </c>
    </row>
    <row r="88" ht="15.75" customHeight="1">
      <c r="A88" s="8"/>
      <c r="B88" s="8"/>
      <c r="C88" s="8"/>
      <c r="D88" s="8">
        <v>27.9026907562088</v>
      </c>
      <c r="E88" s="9" t="s">
        <v>97</v>
      </c>
      <c r="I88" s="12" t="str">
        <f>IFERROR(__xludf.DUMMYFUNCTION("""COMPUTED_VALUE"""),"0x06dda675c75987772d2e9b587ae80d08c5bfb1f4")</f>
        <v>0x06dda675c75987772d2e9b587ae80d08c5bfb1f4</v>
      </c>
      <c r="J88" s="11">
        <v>27.9026907562088</v>
      </c>
      <c r="K88" s="12">
        <v>62.005979458241775</v>
      </c>
      <c r="L88" s="13">
        <v>6.200597945824177E19</v>
      </c>
      <c r="M88" s="9">
        <v>6.2005979458241782E18</v>
      </c>
    </row>
    <row r="89" ht="15.75" customHeight="1">
      <c r="A89" s="8"/>
      <c r="B89" s="8"/>
      <c r="C89" s="8"/>
      <c r="D89" s="8">
        <v>27.9026907562088</v>
      </c>
      <c r="E89" s="9" t="s">
        <v>98</v>
      </c>
      <c r="I89" s="12" t="str">
        <f>IFERROR(__xludf.DUMMYFUNCTION("""COMPUTED_VALUE"""),"0x06e7fab56a7376f271a9c391d854e3707063dfa2")</f>
        <v>0x06e7fab56a7376f271a9c391d854e3707063dfa2</v>
      </c>
      <c r="J89" s="11">
        <v>27.9026907562088</v>
      </c>
      <c r="K89" s="12">
        <v>62.005979458241775</v>
      </c>
      <c r="L89" s="13">
        <v>6.200597945824177E19</v>
      </c>
      <c r="M89" s="9">
        <v>6.2005979458241782E18</v>
      </c>
    </row>
    <row r="90" ht="15.75" customHeight="1">
      <c r="A90" s="8"/>
      <c r="B90" s="8"/>
      <c r="C90" s="8"/>
      <c r="D90" s="8">
        <v>27.9026907562088</v>
      </c>
      <c r="E90" s="9" t="s">
        <v>99</v>
      </c>
      <c r="I90" s="12" t="str">
        <f>IFERROR(__xludf.DUMMYFUNCTION("""COMPUTED_VALUE"""),"0x070c8eba534900e54d74b215d1dc54d8b05514be")</f>
        <v>0x070c8eba534900e54d74b215d1dc54d8b05514be</v>
      </c>
      <c r="J90" s="11">
        <v>274.99718522431283</v>
      </c>
      <c r="K90" s="12">
        <v>611.1048560540285</v>
      </c>
      <c r="L90" s="13">
        <v>6.111048560540284E20</v>
      </c>
      <c r="M90" s="9">
        <v>6.1110485605402845E19</v>
      </c>
    </row>
    <row r="91" ht="15.75" customHeight="1">
      <c r="A91" s="8"/>
      <c r="B91" s="8"/>
      <c r="C91" s="8"/>
      <c r="D91" s="8">
        <v>25.6624897437495</v>
      </c>
      <c r="E91" s="9" t="s">
        <v>100</v>
      </c>
      <c r="I91" s="12" t="str">
        <f>IFERROR(__xludf.DUMMYFUNCTION("""COMPUTED_VALUE"""),"0x071a9541f0c0bc7004e69364cb1bfb16cb3f1a06")</f>
        <v>0x071a9541f0c0bc7004e69364cb1bfb16cb3f1a06</v>
      </c>
      <c r="J91" s="11">
        <v>25.6624897437495</v>
      </c>
      <c r="K91" s="12">
        <v>57.02775498611</v>
      </c>
      <c r="L91" s="13">
        <v>5.702775498610999E19</v>
      </c>
      <c r="M91" s="9">
        <v>5.7027754986109993E18</v>
      </c>
    </row>
    <row r="92" ht="15.75" customHeight="1">
      <c r="A92" s="8"/>
      <c r="B92" s="8"/>
      <c r="C92" s="8"/>
      <c r="D92" s="8">
        <v>27.9026907562088</v>
      </c>
      <c r="E92" s="9" t="s">
        <v>101</v>
      </c>
      <c r="I92" s="12" t="str">
        <f>IFERROR(__xludf.DUMMYFUNCTION("""COMPUTED_VALUE"""),"0x07266611a9000c0225cf1501020ff0b058f0e6cb")</f>
        <v>0x07266611a9000c0225cf1501020ff0b058f0e6cb</v>
      </c>
      <c r="J92" s="11">
        <v>116.1726870083343</v>
      </c>
      <c r="K92" s="12">
        <v>258.1615266851873</v>
      </c>
      <c r="L92" s="13">
        <v>2.581615266851873E20</v>
      </c>
      <c r="M92" s="9">
        <v>2.581615266851873E19</v>
      </c>
    </row>
    <row r="93" ht="15.75" customHeight="1">
      <c r="A93" s="8"/>
      <c r="B93" s="8"/>
      <c r="C93" s="8"/>
      <c r="D93" s="8">
        <v>27.9026907562088</v>
      </c>
      <c r="E93" s="9" t="s">
        <v>102</v>
      </c>
      <c r="I93" s="12" t="str">
        <f>IFERROR(__xludf.DUMMYFUNCTION("""COMPUTED_VALUE"""),"0x073301be5ddda59b41d4be02c957dbd5723fdc67")</f>
        <v>0x073301be5ddda59b41d4be02c957dbd5723fdc67</v>
      </c>
      <c r="J93" s="11">
        <v>94.89483155845768</v>
      </c>
      <c r="K93" s="12">
        <v>210.8774034632393</v>
      </c>
      <c r="L93" s="13">
        <v>2.108774034632393E20</v>
      </c>
      <c r="M93" s="9">
        <v>2.108774034632393E19</v>
      </c>
    </row>
    <row r="94" ht="15.75" customHeight="1">
      <c r="A94" s="8"/>
      <c r="B94" s="8"/>
      <c r="C94" s="8"/>
      <c r="D94" s="8">
        <v>27.9026907562088</v>
      </c>
      <c r="E94" s="9" t="s">
        <v>103</v>
      </c>
      <c r="I94" s="12" t="str">
        <f>IFERROR(__xludf.DUMMYFUNCTION("""COMPUTED_VALUE"""),"0x0735a9bcafd97e03e772c4f1bc4934eb60fe4436")</f>
        <v>0x0735a9bcafd97e03e772c4f1bc4934eb60fe4436</v>
      </c>
      <c r="J94" s="11">
        <v>27.9026907562088</v>
      </c>
      <c r="K94" s="12">
        <v>62.005979458241775</v>
      </c>
      <c r="L94" s="13">
        <v>6.200597945824177E19</v>
      </c>
      <c r="M94" s="9">
        <v>6.2005979458241782E18</v>
      </c>
    </row>
    <row r="95" ht="15.75" customHeight="1">
      <c r="A95" s="8"/>
      <c r="B95" s="8"/>
      <c r="C95" s="8"/>
      <c r="D95" s="8">
        <v>27.9026907562088</v>
      </c>
      <c r="E95" s="9" t="s">
        <v>104</v>
      </c>
      <c r="I95" s="12" t="str">
        <f>IFERROR(__xludf.DUMMYFUNCTION("""COMPUTED_VALUE"""),"0x07635410cd191e91395ef54c28ab776848fd8de3")</f>
        <v>0x07635410cd191e91395ef54c28ab776848fd8de3</v>
      </c>
      <c r="J95" s="11">
        <v>95.37556632115304</v>
      </c>
      <c r="K95" s="12">
        <v>211.94570293589564</v>
      </c>
      <c r="L95" s="13">
        <v>2.1194570293589564E20</v>
      </c>
      <c r="M95" s="9">
        <v>2.1194570293589565E19</v>
      </c>
    </row>
    <row r="96" ht="15.75" customHeight="1">
      <c r="A96" s="8"/>
      <c r="B96" s="8"/>
      <c r="C96" s="8"/>
      <c r="D96" s="8">
        <v>27.9026907562088</v>
      </c>
      <c r="E96" s="9" t="s">
        <v>105</v>
      </c>
      <c r="I96" s="12" t="str">
        <f>IFERROR(__xludf.DUMMYFUNCTION("""COMPUTED_VALUE"""),"0x076442414a1dcbb4984a8388a3fcb28b84f34028")</f>
        <v>0x076442414a1dcbb4984a8388a3fcb28b84f34028</v>
      </c>
      <c r="J96" s="11">
        <v>27.9026907562088</v>
      </c>
      <c r="K96" s="12">
        <v>62.005979458241775</v>
      </c>
      <c r="L96" s="13">
        <v>6.200597945824177E19</v>
      </c>
      <c r="M96" s="9">
        <v>6.2005979458241782E18</v>
      </c>
    </row>
    <row r="97" ht="15.75" customHeight="1">
      <c r="A97" s="8"/>
      <c r="B97" s="8"/>
      <c r="C97" s="8"/>
      <c r="D97" s="8">
        <v>27.9026907562088</v>
      </c>
      <c r="E97" s="9" t="s">
        <v>106</v>
      </c>
      <c r="I97" s="12" t="str">
        <f>IFERROR(__xludf.DUMMYFUNCTION("""COMPUTED_VALUE"""),"0x0788b0bb180b8308b0485d7c7876bfdaf0cfbb24")</f>
        <v>0x0788b0bb180b8308b0485d7c7876bfdaf0cfbb24</v>
      </c>
      <c r="J97" s="11">
        <v>102.7947403298856</v>
      </c>
      <c r="K97" s="12">
        <v>228.43275628863466</v>
      </c>
      <c r="L97" s="13">
        <v>2.2843275628863465E20</v>
      </c>
      <c r="M97" s="9">
        <v>2.2843275628863468E19</v>
      </c>
    </row>
    <row r="98" ht="15.75" customHeight="1">
      <c r="A98" s="8"/>
      <c r="B98" s="8"/>
      <c r="C98" s="8"/>
      <c r="D98" s="8">
        <v>27.9026907562088</v>
      </c>
      <c r="E98" s="9" t="s">
        <v>107</v>
      </c>
      <c r="I98" s="12" t="str">
        <f>IFERROR(__xludf.DUMMYFUNCTION("""COMPUTED_VALUE"""),"0x07c860bef41edb0cb31034637b97548d26017407")</f>
        <v>0x07c860bef41edb0cb31034637b97548d26017407</v>
      </c>
      <c r="J98" s="11">
        <v>66.2234854648571</v>
      </c>
      <c r="K98" s="12">
        <v>147.16330103301578</v>
      </c>
      <c r="L98" s="13">
        <v>1.4716330103301579E20</v>
      </c>
      <c r="M98" s="9">
        <v>1.4716330103301579E19</v>
      </c>
    </row>
    <row r="99" ht="15.75" customHeight="1">
      <c r="A99" s="8"/>
      <c r="B99" s="8"/>
      <c r="C99" s="8"/>
      <c r="D99" s="8">
        <v>27.9026907562088</v>
      </c>
      <c r="E99" s="9" t="s">
        <v>108</v>
      </c>
      <c r="I99" s="12" t="str">
        <f>IFERROR(__xludf.DUMMYFUNCTION("""COMPUTED_VALUE"""),"0x07d610cd49facac8f04ca1ee38027b5a485d07d5")</f>
        <v>0x07d610cd49facac8f04ca1ee38027b5a485d07d5</v>
      </c>
      <c r="J99" s="11">
        <v>27.9026907562088</v>
      </c>
      <c r="K99" s="12">
        <v>62.005979458241775</v>
      </c>
      <c r="L99" s="13">
        <v>6.200597945824177E19</v>
      </c>
      <c r="M99" s="9">
        <v>6.2005979458241782E18</v>
      </c>
    </row>
    <row r="100" ht="15.75" customHeight="1">
      <c r="A100" s="8"/>
      <c r="B100" s="8"/>
      <c r="C100" s="8"/>
      <c r="D100" s="8">
        <v>27.9026907562088</v>
      </c>
      <c r="E100" s="9" t="s">
        <v>109</v>
      </c>
      <c r="I100" s="12" t="str">
        <f>IFERROR(__xludf.DUMMYFUNCTION("""COMPUTED_VALUE"""),"0x07da257ad1592b757a50e17ba8d267fe0e93aee1")</f>
        <v>0x07da257ad1592b757a50e17ba8d267fe0e93aee1</v>
      </c>
      <c r="J100" s="11">
        <v>27.9026907562088</v>
      </c>
      <c r="K100" s="12">
        <v>62.005979458241775</v>
      </c>
      <c r="L100" s="13">
        <v>6.200597945824177E19</v>
      </c>
      <c r="M100" s="9">
        <v>6.2005979458241782E18</v>
      </c>
    </row>
    <row r="101" ht="15.75" customHeight="1">
      <c r="A101" s="8"/>
      <c r="B101" s="8"/>
      <c r="C101" s="8"/>
      <c r="D101" s="8">
        <v>26.5043730089852</v>
      </c>
      <c r="E101" s="9" t="s">
        <v>110</v>
      </c>
      <c r="I101" s="12" t="str">
        <f>IFERROR(__xludf.DUMMYFUNCTION("""COMPUTED_VALUE"""),"0x07dfdf8c15cd738d0d85830127646fb6b2e4cadd")</f>
        <v>0x07dfdf8c15cd738d0d85830127646fb6b2e4cadd</v>
      </c>
      <c r="J101" s="11">
        <v>26.5043730089852</v>
      </c>
      <c r="K101" s="12">
        <v>58.89860668663378</v>
      </c>
      <c r="L101" s="13">
        <v>5.889860668663378E19</v>
      </c>
      <c r="M101" s="9">
        <v>5.8898606686633779E18</v>
      </c>
    </row>
    <row r="102" ht="15.75" customHeight="1">
      <c r="A102" s="8"/>
      <c r="B102" s="8"/>
      <c r="C102" s="8"/>
      <c r="D102" s="8">
        <v>27.9026907562088</v>
      </c>
      <c r="E102" s="9" t="s">
        <v>111</v>
      </c>
      <c r="I102" s="12" t="str">
        <f>IFERROR(__xludf.DUMMYFUNCTION("""COMPUTED_VALUE"""),"0x07ef39ca542927137c7e5940a10330ec6b6a624a")</f>
        <v>0x07ef39ca542927137c7e5940a10330ec6b6a624a</v>
      </c>
      <c r="J102" s="11">
        <v>42.2406377218078</v>
      </c>
      <c r="K102" s="12">
        <v>93.86808382623956</v>
      </c>
      <c r="L102" s="13">
        <v>9.386808382623955E19</v>
      </c>
      <c r="M102" s="9">
        <v>9.386808382623955E18</v>
      </c>
    </row>
    <row r="103" ht="15.75" customHeight="1">
      <c r="A103" s="8"/>
      <c r="B103" s="8"/>
      <c r="C103" s="8"/>
      <c r="D103" s="8">
        <v>27.9026907562088</v>
      </c>
      <c r="E103" s="9" t="s">
        <v>112</v>
      </c>
      <c r="I103" s="12" t="str">
        <f>IFERROR(__xludf.DUMMYFUNCTION("""COMPUTED_VALUE"""),"0x080182970f8cf8ebfd7db1d359fb81d32680208b")</f>
        <v>0x080182970f8cf8ebfd7db1d359fb81d32680208b</v>
      </c>
      <c r="J103" s="11">
        <v>66.33881374474589</v>
      </c>
      <c r="K103" s="12">
        <v>147.41958609943532</v>
      </c>
      <c r="L103" s="13">
        <v>1.4741958609943532E20</v>
      </c>
      <c r="M103" s="9">
        <v>1.4741958609943534E19</v>
      </c>
    </row>
    <row r="104" ht="15.75" customHeight="1">
      <c r="A104" s="8"/>
      <c r="B104" s="8"/>
      <c r="C104" s="8"/>
      <c r="D104" s="8">
        <v>27.9026907562088</v>
      </c>
      <c r="E104" s="9" t="s">
        <v>113</v>
      </c>
      <c r="I104" s="12" t="str">
        <f>IFERROR(__xludf.DUMMYFUNCTION("""COMPUTED_VALUE"""),"0x0824e8d48f0d04b2261871e995dcc72ad0e0aaf2")</f>
        <v>0x0824e8d48f0d04b2261871e995dcc72ad0e0aaf2</v>
      </c>
      <c r="J104" s="11">
        <v>27.9026907562088</v>
      </c>
      <c r="K104" s="12">
        <v>62.005979458241775</v>
      </c>
      <c r="L104" s="13">
        <v>6.200597945824177E19</v>
      </c>
      <c r="M104" s="9">
        <v>6.2005979458241782E18</v>
      </c>
    </row>
    <row r="105" ht="15.75" customHeight="1">
      <c r="A105" s="8"/>
      <c r="B105" s="8"/>
      <c r="C105" s="8"/>
      <c r="D105" s="8">
        <v>26.2311225964147</v>
      </c>
      <c r="E105" s="9" t="s">
        <v>114</v>
      </c>
      <c r="I105" s="12" t="str">
        <f>IFERROR(__xludf.DUMMYFUNCTION("""COMPUTED_VALUE"""),"0x08485068e009c4678face9afab5077ecf24ce9a4")</f>
        <v>0x08485068e009c4678face9afab5077ecf24ce9a4</v>
      </c>
      <c r="J105" s="11">
        <v>26.2311225964147</v>
      </c>
      <c r="K105" s="12">
        <v>58.29138354758822</v>
      </c>
      <c r="L105" s="13">
        <v>5.8291383547588215E19</v>
      </c>
      <c r="M105" s="9">
        <v>5.8291383547588219E18</v>
      </c>
    </row>
    <row r="106" ht="15.75" customHeight="1">
      <c r="A106" s="8"/>
      <c r="B106" s="8"/>
      <c r="C106" s="8"/>
      <c r="D106" s="8">
        <v>11.375718092675</v>
      </c>
      <c r="E106" s="9" t="s">
        <v>115</v>
      </c>
      <c r="I106" s="12" t="str">
        <f>IFERROR(__xludf.DUMMYFUNCTION("""COMPUTED_VALUE"""),"0x08511ddfc2dde31a48d5267b2269b440080e55a5")</f>
        <v>0x08511ddfc2dde31a48d5267b2269b440080e55a5</v>
      </c>
      <c r="J106" s="11">
        <v>37.722246988948996</v>
      </c>
      <c r="K106" s="12">
        <v>83.82721553099776</v>
      </c>
      <c r="L106" s="13">
        <v>8.382721553099776E19</v>
      </c>
      <c r="M106" s="9">
        <v>8.382721553099776E18</v>
      </c>
    </row>
    <row r="107" ht="15.75" customHeight="1">
      <c r="A107" s="8"/>
      <c r="B107" s="8"/>
      <c r="C107" s="8"/>
      <c r="D107" s="8">
        <v>0.261380926111133</v>
      </c>
      <c r="E107" s="9" t="s">
        <v>116</v>
      </c>
      <c r="I107" s="12" t="str">
        <f>IFERROR(__xludf.DUMMYFUNCTION("""COMPUTED_VALUE"""),"0x08608176e1d6ac5be11de8403805d4b339899a1b")</f>
        <v>0x08608176e1d6ac5be11de8403805d4b339899a1b</v>
      </c>
      <c r="J107" s="11">
        <v>0.261380926111133</v>
      </c>
      <c r="K107" s="12">
        <v>0.5808465024691845</v>
      </c>
      <c r="L107" s="13">
        <v>5.8084650246918451E17</v>
      </c>
      <c r="M107" s="9">
        <v>5.8084650246918456E16</v>
      </c>
    </row>
    <row r="108" ht="15.75" customHeight="1">
      <c r="A108" s="8"/>
      <c r="B108" s="8"/>
      <c r="C108" s="8"/>
      <c r="D108" s="8">
        <v>26.6590666637083</v>
      </c>
      <c r="E108" s="9" t="s">
        <v>117</v>
      </c>
      <c r="I108" s="12" t="str">
        <f>IFERROR(__xludf.DUMMYFUNCTION("""COMPUTED_VALUE"""),"0x08680d4d720017d9b18b3b267be9b146d2a3eb2c")</f>
        <v>0x08680d4d720017d9b18b3b267be9b146d2a3eb2c</v>
      </c>
      <c r="J108" s="11">
        <v>26.6590666637083</v>
      </c>
      <c r="K108" s="12">
        <v>59.24237036379622</v>
      </c>
      <c r="L108" s="13">
        <v>5.924237036379622E19</v>
      </c>
      <c r="M108" s="9">
        <v>5.9242370363796224E18</v>
      </c>
    </row>
    <row r="109" ht="15.75" customHeight="1">
      <c r="A109" s="8"/>
      <c r="B109" s="8"/>
      <c r="C109" s="8"/>
      <c r="D109" s="8">
        <v>27.9026907562088</v>
      </c>
      <c r="E109" s="9" t="s">
        <v>118</v>
      </c>
      <c r="I109" s="12" t="str">
        <f>IFERROR(__xludf.DUMMYFUNCTION("""COMPUTED_VALUE"""),"0x088af1da6d021ddc79e4fe826f0fdcd05ea0127f")</f>
        <v>0x088af1da6d021ddc79e4fe826f0fdcd05ea0127f</v>
      </c>
      <c r="J109" s="11">
        <v>91.1199983031448</v>
      </c>
      <c r="K109" s="12">
        <v>202.48888511809955</v>
      </c>
      <c r="L109" s="13">
        <v>2.0248888511809955E20</v>
      </c>
      <c r="M109" s="9">
        <v>2.0248888511809958E19</v>
      </c>
    </row>
    <row r="110" ht="15.75" customHeight="1">
      <c r="A110" s="8"/>
      <c r="B110" s="8"/>
      <c r="C110" s="8"/>
      <c r="D110" s="8">
        <v>27.9026907562088</v>
      </c>
      <c r="E110" s="9" t="s">
        <v>119</v>
      </c>
      <c r="I110" s="12" t="str">
        <f>IFERROR(__xludf.DUMMYFUNCTION("""COMPUTED_VALUE"""),"0x089eed95168b007f19cf8a752c13f6db57c030d4")</f>
        <v>0x089eed95168b007f19cf8a752c13f6db57c030d4</v>
      </c>
      <c r="J110" s="11">
        <v>91.1199983031448</v>
      </c>
      <c r="K110" s="12">
        <v>202.48888511809955</v>
      </c>
      <c r="L110" s="13">
        <v>2.0248888511809955E20</v>
      </c>
      <c r="M110" s="9">
        <v>2.0248888511809958E19</v>
      </c>
    </row>
    <row r="111" ht="15.75" customHeight="1">
      <c r="A111" s="8"/>
      <c r="B111" s="8"/>
      <c r="C111" s="8"/>
      <c r="D111" s="8">
        <v>27.9026907562088</v>
      </c>
      <c r="E111" s="9" t="s">
        <v>120</v>
      </c>
      <c r="I111" s="12" t="str">
        <f>IFERROR(__xludf.DUMMYFUNCTION("""COMPUTED_VALUE"""),"0x08e309a2e47e1dbbc322c4202e7df05392208d4c")</f>
        <v>0x08e309a2e47e1dbbc322c4202e7df05392208d4c</v>
      </c>
      <c r="J111" s="11">
        <v>27.9026907562088</v>
      </c>
      <c r="K111" s="12">
        <v>62.005979458241775</v>
      </c>
      <c r="L111" s="13">
        <v>6.200597945824177E19</v>
      </c>
      <c r="M111" s="9">
        <v>6.2005979458241782E18</v>
      </c>
    </row>
    <row r="112" ht="15.75" customHeight="1">
      <c r="A112" s="8"/>
      <c r="B112" s="8"/>
      <c r="C112" s="8"/>
      <c r="D112" s="8">
        <v>4.06587948499534</v>
      </c>
      <c r="E112" s="9" t="s">
        <v>121</v>
      </c>
      <c r="I112" s="12" t="str">
        <f>IFERROR(__xludf.DUMMYFUNCTION("""COMPUTED_VALUE"""),"0x08e33ba154022429e735edf04fe9cd5544103728")</f>
        <v>0x08e33ba154022429e735edf04fe9cd5544103728</v>
      </c>
      <c r="J112" s="11">
        <v>4.06587948499534</v>
      </c>
      <c r="K112" s="12">
        <v>9.035287744434088</v>
      </c>
      <c r="L112" s="13">
        <v>9.0352877444340879E18</v>
      </c>
      <c r="M112" s="9">
        <v>9.035287744434089E17</v>
      </c>
    </row>
    <row r="113" ht="15.75" customHeight="1">
      <c r="A113" s="8"/>
      <c r="B113" s="8"/>
      <c r="C113" s="8"/>
      <c r="D113" s="8">
        <v>27.9026907562088</v>
      </c>
      <c r="E113" s="9" t="s">
        <v>122</v>
      </c>
      <c r="I113" s="12" t="str">
        <f>IFERROR(__xludf.DUMMYFUNCTION("""COMPUTED_VALUE"""),"0x08fc05b03cd14b13b202cec6f9b3311ea017e54c")</f>
        <v>0x08fc05b03cd14b13b202cec6f9b3311ea017e54c</v>
      </c>
      <c r="J113" s="11">
        <v>27.9026907562088</v>
      </c>
      <c r="K113" s="12">
        <v>62.005979458241775</v>
      </c>
      <c r="L113" s="13">
        <v>6.200597945824177E19</v>
      </c>
      <c r="M113" s="9">
        <v>6.2005979458241782E18</v>
      </c>
    </row>
    <row r="114" ht="15.75" customHeight="1">
      <c r="A114" s="8"/>
      <c r="B114" s="8"/>
      <c r="C114" s="8"/>
      <c r="D114" s="8">
        <v>27.9026907562088</v>
      </c>
      <c r="E114" s="9" t="s">
        <v>123</v>
      </c>
      <c r="I114" s="12" t="str">
        <f>IFERROR(__xludf.DUMMYFUNCTION("""COMPUTED_VALUE"""),"0x090c2fb169168adaf3c86dc79234dd8bc66f542f")</f>
        <v>0x090c2fb169168adaf3c86dc79234dd8bc66f542f</v>
      </c>
      <c r="J114" s="11">
        <v>27.9026907562088</v>
      </c>
      <c r="K114" s="12">
        <v>62.005979458241775</v>
      </c>
      <c r="L114" s="13">
        <v>6.200597945824177E19</v>
      </c>
      <c r="M114" s="9">
        <v>6.2005979458241782E18</v>
      </c>
    </row>
    <row r="115" ht="15.75" customHeight="1">
      <c r="A115" s="8"/>
      <c r="B115" s="8"/>
      <c r="C115" s="8"/>
      <c r="D115" s="8">
        <v>27.9026907562088</v>
      </c>
      <c r="E115" s="9" t="s">
        <v>124</v>
      </c>
      <c r="I115" s="12" t="str">
        <f>IFERROR(__xludf.DUMMYFUNCTION("""COMPUTED_VALUE"""),"0x092cda2230d41979999fdd210af1b73a7da46ce4")</f>
        <v>0x092cda2230d41979999fdd210af1b73a7da46ce4</v>
      </c>
      <c r="J115" s="11">
        <v>91.1199983031448</v>
      </c>
      <c r="K115" s="12">
        <v>202.48888511809955</v>
      </c>
      <c r="L115" s="13">
        <v>2.0248888511809955E20</v>
      </c>
      <c r="M115" s="9">
        <v>2.0248888511809958E19</v>
      </c>
    </row>
    <row r="116" ht="15.75" customHeight="1">
      <c r="A116" s="8"/>
      <c r="B116" s="8"/>
      <c r="C116" s="8"/>
      <c r="D116" s="8">
        <v>27.9026907562088</v>
      </c>
      <c r="E116" s="9" t="s">
        <v>125</v>
      </c>
      <c r="I116" s="12" t="str">
        <f>IFERROR(__xludf.DUMMYFUNCTION("""COMPUTED_VALUE"""),"0x094e50b0f5793fd9798416b3561923ffbbd657d7")</f>
        <v>0x094e50b0f5793fd9798416b3561923ffbbd657d7</v>
      </c>
      <c r="J116" s="11">
        <v>27.9026907562088</v>
      </c>
      <c r="K116" s="12">
        <v>62.005979458241775</v>
      </c>
      <c r="L116" s="13">
        <v>6.200597945824177E19</v>
      </c>
      <c r="M116" s="9">
        <v>6.2005979458241782E18</v>
      </c>
    </row>
    <row r="117" ht="15.75" customHeight="1">
      <c r="A117" s="8"/>
      <c r="B117" s="8"/>
      <c r="C117" s="8"/>
      <c r="D117" s="8">
        <v>27.9026907562088</v>
      </c>
      <c r="E117" s="9" t="s">
        <v>126</v>
      </c>
      <c r="I117" s="12" t="str">
        <f>IFERROR(__xludf.DUMMYFUNCTION("""COMPUTED_VALUE"""),"0x097863cd1408eef051541d003a62891471783427")</f>
        <v>0x097863cd1408eef051541d003a62891471783427</v>
      </c>
      <c r="J117" s="11">
        <v>91.1199983031448</v>
      </c>
      <c r="K117" s="12">
        <v>202.48888511809955</v>
      </c>
      <c r="L117" s="13">
        <v>2.0248888511809955E20</v>
      </c>
      <c r="M117" s="9">
        <v>2.0248888511809958E19</v>
      </c>
    </row>
    <row r="118" ht="15.75" customHeight="1">
      <c r="A118" s="8"/>
      <c r="B118" s="8"/>
      <c r="C118" s="8"/>
      <c r="D118" s="8">
        <v>27.9026907562088</v>
      </c>
      <c r="E118" s="9" t="s">
        <v>127</v>
      </c>
      <c r="I118" s="12" t="str">
        <f>IFERROR(__xludf.DUMMYFUNCTION("""COMPUTED_VALUE"""),"0x09798de45fa77467387df7b5047f572aaf1dc5aa")</f>
        <v>0x09798de45fa77467387df7b5047f572aaf1dc5aa</v>
      </c>
      <c r="J118" s="11">
        <v>95.17016205250265</v>
      </c>
      <c r="K118" s="12">
        <v>211.48924900556142</v>
      </c>
      <c r="L118" s="13">
        <v>2.114892490055614E20</v>
      </c>
      <c r="M118" s="9">
        <v>2.114892490055614E19</v>
      </c>
    </row>
    <row r="119" ht="15.75" customHeight="1">
      <c r="A119" s="8"/>
      <c r="B119" s="8"/>
      <c r="C119" s="8"/>
      <c r="D119" s="8">
        <v>27.9026907562088</v>
      </c>
      <c r="E119" s="9" t="s">
        <v>128</v>
      </c>
      <c r="I119" s="12" t="str">
        <f>IFERROR(__xludf.DUMMYFUNCTION("""COMPUTED_VALUE"""),"0x09c624d5271a1f7e6a2588e778a4d48bb90a6952")</f>
        <v>0x09c624d5271a1f7e6a2588e778a4d48bb90a6952</v>
      </c>
      <c r="J119" s="11">
        <v>118.416461966353</v>
      </c>
      <c r="K119" s="12">
        <v>263.1476932585622</v>
      </c>
      <c r="L119" s="13">
        <v>2.6314769325856217E20</v>
      </c>
      <c r="M119" s="9">
        <v>2.631476932585622E19</v>
      </c>
    </row>
    <row r="120" ht="15.75" customHeight="1">
      <c r="A120" s="8"/>
      <c r="B120" s="8"/>
      <c r="C120" s="8"/>
      <c r="D120" s="8">
        <v>27.9026907562088</v>
      </c>
      <c r="E120" s="9" t="s">
        <v>129</v>
      </c>
      <c r="I120" s="12" t="str">
        <f>IFERROR(__xludf.DUMMYFUNCTION("""COMPUTED_VALUE"""),"0x09d8015bfce6fe58d21503b2478c9685383acbdb")</f>
        <v>0x09d8015bfce6fe58d21503b2478c9685383acbdb</v>
      </c>
      <c r="J120" s="11">
        <v>96.98263777036598</v>
      </c>
      <c r="K120" s="12">
        <v>215.5169728230355</v>
      </c>
      <c r="L120" s="13">
        <v>2.155169728230355E20</v>
      </c>
      <c r="M120" s="9">
        <v>2.1551697282303554E19</v>
      </c>
    </row>
    <row r="121" ht="15.75" customHeight="1">
      <c r="A121" s="8"/>
      <c r="B121" s="8"/>
      <c r="C121" s="8"/>
      <c r="D121" s="8">
        <v>27.9026907562088</v>
      </c>
      <c r="E121" s="9" t="s">
        <v>130</v>
      </c>
      <c r="I121" s="12" t="str">
        <f>IFERROR(__xludf.DUMMYFUNCTION("""COMPUTED_VALUE"""),"0x0a0a7bbbf1b785601c0702b54a0cd8ec1697eab6")</f>
        <v>0x0a0a7bbbf1b785601c0702b54a0cd8ec1697eab6</v>
      </c>
      <c r="J121" s="11">
        <v>27.9026907562088</v>
      </c>
      <c r="K121" s="12">
        <v>62.005979458241775</v>
      </c>
      <c r="L121" s="13">
        <v>6.200597945824177E19</v>
      </c>
      <c r="M121" s="9">
        <v>6.2005979458241782E18</v>
      </c>
    </row>
    <row r="122" ht="15.75" customHeight="1">
      <c r="A122" s="8"/>
      <c r="B122" s="8"/>
      <c r="C122" s="8"/>
      <c r="D122" s="8">
        <v>23.6539878046849</v>
      </c>
      <c r="E122" s="9" t="s">
        <v>131</v>
      </c>
      <c r="I122" s="12" t="str">
        <f>IFERROR(__xludf.DUMMYFUNCTION("""COMPUTED_VALUE"""),"0x0a0b8003d587910d53a918f0ee12349206d5cb9f")</f>
        <v>0x0a0b8003d587910d53a918f0ee12349206d5cb9f</v>
      </c>
      <c r="J122" s="11">
        <v>23.6539878046849</v>
      </c>
      <c r="K122" s="12">
        <v>52.56441734374422</v>
      </c>
      <c r="L122" s="13">
        <v>5.256441734374422E19</v>
      </c>
      <c r="M122" s="9">
        <v>5.2564417343744225E18</v>
      </c>
    </row>
    <row r="123" ht="15.75" customHeight="1">
      <c r="A123" s="8"/>
      <c r="B123" s="8"/>
      <c r="C123" s="8"/>
      <c r="D123" s="8">
        <v>27.9026907562088</v>
      </c>
      <c r="E123" s="9" t="s">
        <v>132</v>
      </c>
      <c r="I123" s="12" t="str">
        <f>IFERROR(__xludf.DUMMYFUNCTION("""COMPUTED_VALUE"""),"0x0a1bdaee6e05f5f02f3885f3e25927256f5e46a7")</f>
        <v>0x0a1bdaee6e05f5f02f3885f3e25927256f5e46a7</v>
      </c>
      <c r="J123" s="11">
        <v>27.9026907562088</v>
      </c>
      <c r="K123" s="12">
        <v>62.005979458241775</v>
      </c>
      <c r="L123" s="13">
        <v>6.200597945824177E19</v>
      </c>
      <c r="M123" s="9">
        <v>6.2005979458241782E18</v>
      </c>
    </row>
    <row r="124" ht="15.75" customHeight="1">
      <c r="A124" s="8"/>
      <c r="B124" s="8"/>
      <c r="C124" s="8"/>
      <c r="D124" s="8">
        <v>27.9026907562088</v>
      </c>
      <c r="E124" s="9" t="s">
        <v>133</v>
      </c>
      <c r="I124" s="12" t="str">
        <f>IFERROR(__xludf.DUMMYFUNCTION("""COMPUTED_VALUE"""),"0x0a26e8933cbf4015061018df5ecfeaa8245bd786")</f>
        <v>0x0a26e8933cbf4015061018df5ecfeaa8245bd786</v>
      </c>
      <c r="J124" s="11">
        <v>27.9026907562088</v>
      </c>
      <c r="K124" s="12">
        <v>62.005979458241775</v>
      </c>
      <c r="L124" s="13">
        <v>6.200597945824177E19</v>
      </c>
      <c r="M124" s="9">
        <v>6.2005979458241782E18</v>
      </c>
    </row>
    <row r="125" ht="15.75" customHeight="1">
      <c r="A125" s="8"/>
      <c r="B125" s="8"/>
      <c r="C125" s="8"/>
      <c r="D125" s="8">
        <v>27.9026907562088</v>
      </c>
      <c r="E125" s="9" t="s">
        <v>134</v>
      </c>
      <c r="I125" s="12" t="str">
        <f>IFERROR(__xludf.DUMMYFUNCTION("""COMPUTED_VALUE"""),"0x0a4d01d364136395254ac6a55890c2723f866a8b")</f>
        <v>0x0a4d01d364136395254ac6a55890c2723f866a8b</v>
      </c>
      <c r="J125" s="11">
        <v>91.1199983031448</v>
      </c>
      <c r="K125" s="12">
        <v>202.48888511809955</v>
      </c>
      <c r="L125" s="13">
        <v>2.0248888511809955E20</v>
      </c>
      <c r="M125" s="9">
        <v>2.0248888511809958E19</v>
      </c>
    </row>
    <row r="126" ht="15.75" customHeight="1">
      <c r="A126" s="8"/>
      <c r="B126" s="8"/>
      <c r="C126" s="8"/>
      <c r="D126" s="8">
        <v>27.6063652624581</v>
      </c>
      <c r="E126" s="9" t="s">
        <v>135</v>
      </c>
      <c r="I126" s="12" t="str">
        <f>IFERROR(__xludf.DUMMYFUNCTION("""COMPUTED_VALUE"""),"0x0a50229e6a256e43b6717706c0783b9419c82455")</f>
        <v>0x0a50229e6a256e43b6717706c0783b9419c82455</v>
      </c>
      <c r="J126" s="11">
        <v>352.4924574164671</v>
      </c>
      <c r="K126" s="12">
        <v>783.3165720365936</v>
      </c>
      <c r="L126" s="13">
        <v>7.833165720365936E20</v>
      </c>
      <c r="M126" s="9">
        <v>7.833165720365936E19</v>
      </c>
    </row>
    <row r="127" ht="15.75" customHeight="1">
      <c r="A127" s="8"/>
      <c r="B127" s="8"/>
      <c r="C127" s="8"/>
      <c r="D127" s="8">
        <v>27.9026907562088</v>
      </c>
      <c r="E127" s="9" t="s">
        <v>136</v>
      </c>
      <c r="I127" s="12" t="str">
        <f>IFERROR(__xludf.DUMMYFUNCTION("""COMPUTED_VALUE"""),"0x0a5d300f2aaebb0dd0527696aa67cf8d648a7d7f")</f>
        <v>0x0a5d300f2aaebb0dd0527696aa67cf8d648a7d7f</v>
      </c>
      <c r="J127" s="11">
        <v>27.9026907562088</v>
      </c>
      <c r="K127" s="12">
        <v>62.005979458241775</v>
      </c>
      <c r="L127" s="13">
        <v>6.200597945824177E19</v>
      </c>
      <c r="M127" s="9">
        <v>6.2005979458241782E18</v>
      </c>
    </row>
    <row r="128" ht="15.75" customHeight="1">
      <c r="A128" s="8"/>
      <c r="B128" s="8"/>
      <c r="C128" s="8"/>
      <c r="D128" s="8">
        <v>12.6305968053157</v>
      </c>
      <c r="E128" s="9" t="s">
        <v>137</v>
      </c>
      <c r="I128" s="12" t="str">
        <f>IFERROR(__xludf.DUMMYFUNCTION("""COMPUTED_VALUE"""),"0x0a8788d7f978d9f3c301889811da22522679b2cb")</f>
        <v>0x0a8788d7f978d9f3c301889811da22522679b2cb</v>
      </c>
      <c r="J128" s="11">
        <v>12.6305968053157</v>
      </c>
      <c r="K128" s="12">
        <v>28.067992900701555</v>
      </c>
      <c r="L128" s="13">
        <v>2.8067992900701553E19</v>
      </c>
      <c r="M128" s="9">
        <v>2.8067992900701553E18</v>
      </c>
    </row>
    <row r="129" ht="15.75" customHeight="1">
      <c r="A129" s="8"/>
      <c r="B129" s="8"/>
      <c r="C129" s="8"/>
      <c r="D129" s="8">
        <v>27.9026907562088</v>
      </c>
      <c r="E129" s="9" t="s">
        <v>138</v>
      </c>
      <c r="I129" s="12" t="str">
        <f>IFERROR(__xludf.DUMMYFUNCTION("""COMPUTED_VALUE"""),"0x0ab4b2f1a5cf3d72206cc1415b8e88ef9c698423")</f>
        <v>0x0ab4b2f1a5cf3d72206cc1415b8e88ef9c698423</v>
      </c>
      <c r="J129" s="11">
        <v>326.8167423226108</v>
      </c>
      <c r="K129" s="12">
        <v>726.2594273835796</v>
      </c>
      <c r="L129" s="13">
        <v>7.262594273835796E20</v>
      </c>
      <c r="M129" s="9">
        <v>7.262594273835797E19</v>
      </c>
    </row>
    <row r="130" ht="15.75" customHeight="1">
      <c r="A130" s="8"/>
      <c r="B130" s="8"/>
      <c r="C130" s="8"/>
      <c r="D130" s="8">
        <v>27.9026907562088</v>
      </c>
      <c r="E130" s="9" t="s">
        <v>139</v>
      </c>
      <c r="I130" s="12" t="str">
        <f>IFERROR(__xludf.DUMMYFUNCTION("""COMPUTED_VALUE"""),"0x0ad610169ee1410c37e055b91bdc6127e7656a45")</f>
        <v>0x0ad610169ee1410c37e055b91bdc6127e7656a45</v>
      </c>
      <c r="J130" s="11">
        <v>27.9026907562088</v>
      </c>
      <c r="K130" s="12">
        <v>62.005979458241775</v>
      </c>
      <c r="L130" s="13">
        <v>6.200597945824177E19</v>
      </c>
      <c r="M130" s="9">
        <v>6.2005979458241782E18</v>
      </c>
    </row>
    <row r="131" ht="15.75" customHeight="1">
      <c r="A131" s="8"/>
      <c r="B131" s="8"/>
      <c r="C131" s="8"/>
      <c r="D131" s="8">
        <v>27.9026907562088</v>
      </c>
      <c r="E131" s="9" t="s">
        <v>140</v>
      </c>
      <c r="I131" s="12" t="str">
        <f>IFERROR(__xludf.DUMMYFUNCTION("""COMPUTED_VALUE"""),"0x0af574d358ec6c50264defcefa06f12b33737eca")</f>
        <v>0x0af574d358ec6c50264defcefa06f12b33737eca</v>
      </c>
      <c r="J131" s="11">
        <v>98.90659794794459</v>
      </c>
      <c r="K131" s="12">
        <v>219.7924398843213</v>
      </c>
      <c r="L131" s="13">
        <v>2.1979243988432133E20</v>
      </c>
      <c r="M131" s="9">
        <v>2.1979243988432134E19</v>
      </c>
    </row>
    <row r="132" ht="15.75" customHeight="1">
      <c r="A132" s="8"/>
      <c r="B132" s="8"/>
      <c r="C132" s="8"/>
      <c r="D132" s="8">
        <v>18.1539697698146</v>
      </c>
      <c r="E132" s="9" t="s">
        <v>141</v>
      </c>
      <c r="I132" s="12" t="str">
        <f>IFERROR(__xludf.DUMMYFUNCTION("""COMPUTED_VALUE"""),"0x0afeda0633bb64c28efd05dd51ed270f08585481")</f>
        <v>0x0afeda0633bb64c28efd05dd51ed270f08585481</v>
      </c>
      <c r="J132" s="11">
        <v>58.5787387298887</v>
      </c>
      <c r="K132" s="12">
        <v>130.17497495530822</v>
      </c>
      <c r="L132" s="13">
        <v>1.3017497495530822E20</v>
      </c>
      <c r="M132" s="9">
        <v>1.3017497495530824E19</v>
      </c>
    </row>
    <row r="133" ht="15.75" customHeight="1">
      <c r="A133" s="8"/>
      <c r="B133" s="8"/>
      <c r="C133" s="8"/>
      <c r="D133" s="8">
        <v>27.9026907562088</v>
      </c>
      <c r="E133" s="9" t="s">
        <v>142</v>
      </c>
      <c r="I133" s="12" t="str">
        <f>IFERROR(__xludf.DUMMYFUNCTION("""COMPUTED_VALUE"""),"0x0b2677f1db50a327a72e8dc7c748886ecd90870f")</f>
        <v>0x0b2677f1db50a327a72e8dc7c748886ecd90870f</v>
      </c>
      <c r="J133" s="11">
        <v>91.1199983031448</v>
      </c>
      <c r="K133" s="12">
        <v>202.48888511809955</v>
      </c>
      <c r="L133" s="13">
        <v>2.0248888511809955E20</v>
      </c>
      <c r="M133" s="9">
        <v>2.0248888511809958E19</v>
      </c>
    </row>
    <row r="134" ht="15.75" customHeight="1">
      <c r="A134" s="8"/>
      <c r="B134" s="8"/>
      <c r="C134" s="8"/>
      <c r="D134" s="8">
        <v>26.0352804865195</v>
      </c>
      <c r="E134" s="9" t="s">
        <v>143</v>
      </c>
      <c r="I134" s="12" t="str">
        <f>IFERROR(__xludf.DUMMYFUNCTION("""COMPUTED_VALUE"""),"0x0b402b3e1336d8e0f84d7333622e87617b254f11")</f>
        <v>0x0b402b3e1336d8e0f84d7333622e87617b254f11</v>
      </c>
      <c r="J134" s="11">
        <v>87.64409155631492</v>
      </c>
      <c r="K134" s="12">
        <v>194.76464790292204</v>
      </c>
      <c r="L134" s="13">
        <v>1.9476464790292205E20</v>
      </c>
      <c r="M134" s="9">
        <v>1.9476464790292206E19</v>
      </c>
    </row>
    <row r="135" ht="15.75" customHeight="1">
      <c r="A135" s="8"/>
      <c r="B135" s="8"/>
      <c r="C135" s="8"/>
      <c r="D135" s="8">
        <v>27.8928847943154</v>
      </c>
      <c r="E135" s="9" t="s">
        <v>144</v>
      </c>
      <c r="I135" s="12" t="str">
        <f>IFERROR(__xludf.DUMMYFUNCTION("""COMPUTED_VALUE"""),"0x0b4fe6bab6ecbe7e120ea256cfc2ceec99075be1")</f>
        <v>0x0b4fe6bab6ecbe7e120ea256cfc2ceec99075be1</v>
      </c>
      <c r="J135" s="11">
        <v>27.8928847943154</v>
      </c>
      <c r="K135" s="12">
        <v>61.984188431812</v>
      </c>
      <c r="L135" s="13">
        <v>6.1984188431812E19</v>
      </c>
      <c r="M135" s="9">
        <v>6.1984188431812004E18</v>
      </c>
    </row>
    <row r="136" ht="15.75" customHeight="1">
      <c r="A136" s="8"/>
      <c r="B136" s="8"/>
      <c r="C136" s="8"/>
      <c r="D136" s="8">
        <v>27.9026907562088</v>
      </c>
      <c r="E136" s="9" t="s">
        <v>145</v>
      </c>
      <c r="I136" s="12" t="str">
        <f>IFERROR(__xludf.DUMMYFUNCTION("""COMPUTED_VALUE"""),"0x0b5c33102af77b557f37efc7bfcfa56ee075aafa")</f>
        <v>0x0b5c33102af77b557f37efc7bfcfa56ee075aafa</v>
      </c>
      <c r="J136" s="11">
        <v>27.9026907562088</v>
      </c>
      <c r="K136" s="12">
        <v>62.005979458241775</v>
      </c>
      <c r="L136" s="13">
        <v>6.200597945824177E19</v>
      </c>
      <c r="M136" s="9">
        <v>6.2005979458241782E18</v>
      </c>
    </row>
    <row r="137" ht="15.75" customHeight="1">
      <c r="A137" s="8"/>
      <c r="B137" s="8"/>
      <c r="C137" s="8"/>
      <c r="D137" s="8">
        <v>27.9026907562088</v>
      </c>
      <c r="E137" s="9" t="s">
        <v>146</v>
      </c>
      <c r="I137" s="12" t="str">
        <f>IFERROR(__xludf.DUMMYFUNCTION("""COMPUTED_VALUE"""),"0x0b644233f7e04849f6b19cb2efe1c986148ea9d2")</f>
        <v>0x0b644233f7e04849f6b19cb2efe1c986148ea9d2</v>
      </c>
      <c r="J137" s="11">
        <v>27.9026907562088</v>
      </c>
      <c r="K137" s="12">
        <v>62.005979458241775</v>
      </c>
      <c r="L137" s="13">
        <v>6.200597945824177E19</v>
      </c>
      <c r="M137" s="9">
        <v>6.2005979458241782E18</v>
      </c>
    </row>
    <row r="138" ht="15.75" customHeight="1">
      <c r="A138" s="8"/>
      <c r="B138" s="8"/>
      <c r="C138" s="8"/>
      <c r="D138" s="8">
        <v>27.9026907562088</v>
      </c>
      <c r="E138" s="9" t="s">
        <v>147</v>
      </c>
      <c r="I138" s="12" t="str">
        <f>IFERROR(__xludf.DUMMYFUNCTION("""COMPUTED_VALUE"""),"0x0b6eefc92a0c5ae35beca92df541b363035c9a32")</f>
        <v>0x0b6eefc92a0c5ae35beca92df541b363035c9a32</v>
      </c>
      <c r="J138" s="11">
        <v>86.8985520355258</v>
      </c>
      <c r="K138" s="12">
        <v>193.10789341227954</v>
      </c>
      <c r="L138" s="13">
        <v>1.9310789341227955E20</v>
      </c>
      <c r="M138" s="9">
        <v>1.9310789341227954E19</v>
      </c>
    </row>
    <row r="139" ht="15.75" customHeight="1">
      <c r="A139" s="8"/>
      <c r="B139" s="8"/>
      <c r="C139" s="8"/>
      <c r="D139" s="8">
        <v>26.7585931308041</v>
      </c>
      <c r="E139" s="9" t="s">
        <v>148</v>
      </c>
      <c r="I139" s="12" t="str">
        <f>IFERROR(__xludf.DUMMYFUNCTION("""COMPUTED_VALUE"""),"0x0b72e905ed48beb207ec29bfac83b2b0bc6f56f2")</f>
        <v>0x0b72e905ed48beb207ec29bfac83b2b0bc6f56f2</v>
      </c>
      <c r="J139" s="11">
        <v>26.7585931308041</v>
      </c>
      <c r="K139" s="12">
        <v>59.46354029067578</v>
      </c>
      <c r="L139" s="13">
        <v>5.946354029067578E19</v>
      </c>
      <c r="M139" s="9">
        <v>5.9463540290675784E18</v>
      </c>
    </row>
    <row r="140" ht="15.75" customHeight="1">
      <c r="A140" s="8"/>
      <c r="B140" s="8"/>
      <c r="C140" s="8"/>
      <c r="D140" s="8">
        <v>27.9026907562088</v>
      </c>
      <c r="E140" s="9" t="s">
        <v>149</v>
      </c>
      <c r="I140" s="12" t="str">
        <f>IFERROR(__xludf.DUMMYFUNCTION("""COMPUTED_VALUE"""),"0x0b7523e694faeebc3b79c0f039c711595ad8d382")</f>
        <v>0x0b7523e694faeebc3b79c0f039c711595ad8d382</v>
      </c>
      <c r="J140" s="11">
        <v>36.75426643068438</v>
      </c>
      <c r="K140" s="12">
        <v>81.67614762374306</v>
      </c>
      <c r="L140" s="13">
        <v>8.167614762374306E19</v>
      </c>
      <c r="M140" s="9">
        <v>8.1676147623743068E18</v>
      </c>
    </row>
    <row r="141" ht="15.75" customHeight="1">
      <c r="A141" s="8"/>
      <c r="B141" s="8"/>
      <c r="C141" s="8"/>
      <c r="D141" s="8">
        <v>27.9026907562088</v>
      </c>
      <c r="E141" s="9" t="s">
        <v>150</v>
      </c>
      <c r="I141" s="12" t="str">
        <f>IFERROR(__xludf.DUMMYFUNCTION("""COMPUTED_VALUE"""),"0x0b762e494daba875b6722bab12736d5308449aed")</f>
        <v>0x0b762e494daba875b6722bab12736d5308449aed</v>
      </c>
      <c r="J141" s="11">
        <v>27.9026907562088</v>
      </c>
      <c r="K141" s="12">
        <v>62.005979458241775</v>
      </c>
      <c r="L141" s="13">
        <v>6.200597945824177E19</v>
      </c>
      <c r="M141" s="9">
        <v>6.2005979458241782E18</v>
      </c>
    </row>
    <row r="142" ht="15.75" customHeight="1">
      <c r="A142" s="8"/>
      <c r="B142" s="8"/>
      <c r="C142" s="8"/>
      <c r="D142" s="8">
        <v>27.5304323833514</v>
      </c>
      <c r="E142" s="9" t="s">
        <v>151</v>
      </c>
      <c r="I142" s="12" t="str">
        <f>IFERROR(__xludf.DUMMYFUNCTION("""COMPUTED_VALUE"""),"0x0b8051d4e3ae51bd255f702c9c262a4ee16d910f")</f>
        <v>0x0b8051d4e3ae51bd255f702c9c262a4ee16d910f</v>
      </c>
      <c r="J142" s="11">
        <v>27.5304323833514</v>
      </c>
      <c r="K142" s="12">
        <v>61.17873862966977</v>
      </c>
      <c r="L142" s="13">
        <v>6.117873862966977E19</v>
      </c>
      <c r="M142" s="9">
        <v>6.1178738629669775E18</v>
      </c>
    </row>
    <row r="143" ht="15.75" customHeight="1">
      <c r="A143" s="8"/>
      <c r="B143" s="8"/>
      <c r="C143" s="8"/>
      <c r="D143" s="8">
        <v>27.9026907562088</v>
      </c>
      <c r="E143" s="9" t="s">
        <v>152</v>
      </c>
      <c r="I143" s="12" t="str">
        <f>IFERROR(__xludf.DUMMYFUNCTION("""COMPUTED_VALUE"""),"0x0b83821bb8b9d19582af26122556be7408313140")</f>
        <v>0x0b83821bb8b9d19582af26122556be7408313140</v>
      </c>
      <c r="J143" s="11">
        <v>91.1199983031448</v>
      </c>
      <c r="K143" s="12">
        <v>202.48888511809955</v>
      </c>
      <c r="L143" s="13">
        <v>2.0248888511809955E20</v>
      </c>
      <c r="M143" s="9">
        <v>2.0248888511809958E19</v>
      </c>
    </row>
    <row r="144" ht="15.75" customHeight="1">
      <c r="A144" s="8"/>
      <c r="B144" s="8"/>
      <c r="C144" s="8"/>
      <c r="D144" s="8">
        <v>27.9026907562088</v>
      </c>
      <c r="E144" s="9" t="s">
        <v>153</v>
      </c>
      <c r="I144" s="12" t="str">
        <f>IFERROR(__xludf.DUMMYFUNCTION("""COMPUTED_VALUE"""),"0x0bb50ed8033e7a09666bed9b99b48fc70ffc1f5c")</f>
        <v>0x0bb50ed8033e7a09666bed9b99b48fc70ffc1f5c</v>
      </c>
      <c r="J144" s="11">
        <v>91.1199983031448</v>
      </c>
      <c r="K144" s="12">
        <v>202.48888511809955</v>
      </c>
      <c r="L144" s="13">
        <v>2.0248888511809955E20</v>
      </c>
      <c r="M144" s="9">
        <v>2.0248888511809958E19</v>
      </c>
    </row>
    <row r="145" ht="15.75" customHeight="1">
      <c r="A145" s="8"/>
      <c r="B145" s="8"/>
      <c r="C145" s="8"/>
      <c r="D145" s="8">
        <v>24.6452046239744</v>
      </c>
      <c r="E145" s="9" t="s">
        <v>154</v>
      </c>
      <c r="I145" s="12" t="str">
        <f>IFERROR(__xludf.DUMMYFUNCTION("""COMPUTED_VALUE"""),"0x0bc4bef6c59be91ca9299679899fabd10ad33fa1")</f>
        <v>0x0bc4bef6c59be91ca9299679899fabd10ad33fa1</v>
      </c>
      <c r="J145" s="11">
        <v>24.6452046239744</v>
      </c>
      <c r="K145" s="12">
        <v>54.76712138660978</v>
      </c>
      <c r="L145" s="13">
        <v>5.476712138660978E19</v>
      </c>
      <c r="M145" s="9">
        <v>5.4767121386609777E18</v>
      </c>
    </row>
    <row r="146" ht="15.75" customHeight="1">
      <c r="A146" s="8"/>
      <c r="B146" s="8"/>
      <c r="C146" s="8"/>
      <c r="D146" s="8">
        <v>27.9026907562088</v>
      </c>
      <c r="E146" s="9" t="s">
        <v>155</v>
      </c>
      <c r="I146" s="12" t="str">
        <f>IFERROR(__xludf.DUMMYFUNCTION("""COMPUTED_VALUE"""),"0x0bc9d3f78636f6d73c32fecb53946e8d3d16b9a9")</f>
        <v>0x0bc9d3f78636f6d73c32fecb53946e8d3d16b9a9</v>
      </c>
      <c r="J146" s="11">
        <v>27.9026907562088</v>
      </c>
      <c r="K146" s="12">
        <v>62.005979458241775</v>
      </c>
      <c r="L146" s="13">
        <v>6.200597945824177E19</v>
      </c>
      <c r="M146" s="9">
        <v>6.2005979458241782E18</v>
      </c>
    </row>
    <row r="147" ht="15.75" customHeight="1">
      <c r="A147" s="8"/>
      <c r="B147" s="8"/>
      <c r="C147" s="8"/>
      <c r="D147" s="8">
        <v>27.9026907562088</v>
      </c>
      <c r="E147" s="9" t="s">
        <v>156</v>
      </c>
      <c r="I147" s="12" t="str">
        <f>IFERROR(__xludf.DUMMYFUNCTION("""COMPUTED_VALUE"""),"0x0c15523eb36aa15cb97f689b1e03fa77f66951f9")</f>
        <v>0x0c15523eb36aa15cb97f689b1e03fa77f66951f9</v>
      </c>
      <c r="J147" s="11">
        <v>91.1199983031448</v>
      </c>
      <c r="K147" s="12">
        <v>202.48888511809955</v>
      </c>
      <c r="L147" s="13">
        <v>2.0248888511809955E20</v>
      </c>
      <c r="M147" s="9">
        <v>2.0248888511809958E19</v>
      </c>
    </row>
    <row r="148" ht="15.75" customHeight="1">
      <c r="A148" s="8"/>
      <c r="B148" s="8"/>
      <c r="C148" s="8"/>
      <c r="D148" s="8">
        <v>7.49079216657712</v>
      </c>
      <c r="E148" s="9" t="s">
        <v>157</v>
      </c>
      <c r="I148" s="12" t="str">
        <f>IFERROR(__xludf.DUMMYFUNCTION("""COMPUTED_VALUE"""),"0x0c1bcd135d409c7935f46b728f7e74c0a4f2b1d1")</f>
        <v>0x0c1bcd135d409c7935f46b728f7e74c0a4f2b1d1</v>
      </c>
      <c r="J148" s="11">
        <v>7.49079216657712</v>
      </c>
      <c r="K148" s="12">
        <v>16.64620481461582</v>
      </c>
      <c r="L148" s="13">
        <v>1.664620481461582E19</v>
      </c>
      <c r="M148" s="9">
        <v>1.66462048146158208E18</v>
      </c>
    </row>
    <row r="149" ht="15.75" customHeight="1">
      <c r="A149" s="8"/>
      <c r="B149" s="8"/>
      <c r="C149" s="8"/>
      <c r="D149" s="8">
        <v>18.4250173372427</v>
      </c>
      <c r="E149" s="9" t="s">
        <v>158</v>
      </c>
      <c r="I149" s="12" t="str">
        <f>IFERROR(__xludf.DUMMYFUNCTION("""COMPUTED_VALUE"""),"0x0c1c53293c4da6bcb51fada2ffd272dbcf94136e")</f>
        <v>0x0c1c53293c4da6bcb51fada2ffd272dbcf94136e</v>
      </c>
      <c r="J149" s="11">
        <v>18.4250173372427</v>
      </c>
      <c r="K149" s="12">
        <v>40.944482971650444</v>
      </c>
      <c r="L149" s="13">
        <v>4.094448297165044E19</v>
      </c>
      <c r="M149" s="9">
        <v>4.0944482971650442E18</v>
      </c>
    </row>
    <row r="150" ht="15.75" customHeight="1">
      <c r="A150" s="8"/>
      <c r="B150" s="8"/>
      <c r="C150" s="8"/>
      <c r="D150" s="8">
        <v>27.9026907562088</v>
      </c>
      <c r="E150" s="9" t="s">
        <v>159</v>
      </c>
      <c r="I150" s="12" t="str">
        <f>IFERROR(__xludf.DUMMYFUNCTION("""COMPUTED_VALUE"""),"0x0c285904db116616da9d1251ccb6e437b25eea30")</f>
        <v>0x0c285904db116616da9d1251ccb6e437b25eea30</v>
      </c>
      <c r="J150" s="11">
        <v>91.1199983031448</v>
      </c>
      <c r="K150" s="12">
        <v>202.48888511809955</v>
      </c>
      <c r="L150" s="13">
        <v>2.0248888511809955E20</v>
      </c>
      <c r="M150" s="9">
        <v>2.0248888511809958E19</v>
      </c>
    </row>
    <row r="151" ht="15.75" customHeight="1">
      <c r="A151" s="8"/>
      <c r="B151" s="8"/>
      <c r="C151" s="8"/>
      <c r="D151" s="8">
        <v>6.85756951359313</v>
      </c>
      <c r="E151" s="9" t="s">
        <v>160</v>
      </c>
      <c r="I151" s="12" t="str">
        <f>IFERROR(__xludf.DUMMYFUNCTION("""COMPUTED_VALUE"""),"0x0c39aa73ef30397cafd65b2559a57f08aee758c2")</f>
        <v>0x0c39aa73ef30397cafd65b2559a57f08aee758c2</v>
      </c>
      <c r="J151" s="11">
        <v>6.85756951359313</v>
      </c>
      <c r="K151" s="12">
        <v>15.239043363540288</v>
      </c>
      <c r="L151" s="13">
        <v>1.5239043363540287E19</v>
      </c>
      <c r="M151" s="9">
        <v>1.5239043363540288E18</v>
      </c>
    </row>
    <row r="152" ht="15.75" customHeight="1">
      <c r="A152" s="8"/>
      <c r="B152" s="8"/>
      <c r="C152" s="8"/>
      <c r="D152" s="8">
        <v>27.9026907562088</v>
      </c>
      <c r="E152" s="9" t="s">
        <v>161</v>
      </c>
      <c r="I152" s="12" t="str">
        <f>IFERROR(__xludf.DUMMYFUNCTION("""COMPUTED_VALUE"""),"0x0c465d95a4775b247c564e8c7c4a1298b22058df")</f>
        <v>0x0c465d95a4775b247c564e8c7c4a1298b22058df</v>
      </c>
      <c r="J152" s="11">
        <v>27.9026907562088</v>
      </c>
      <c r="K152" s="12">
        <v>62.005979458241775</v>
      </c>
      <c r="L152" s="13">
        <v>6.200597945824177E19</v>
      </c>
      <c r="M152" s="9">
        <v>6.2005979458241782E18</v>
      </c>
    </row>
    <row r="153" ht="15.75" customHeight="1">
      <c r="A153" s="8"/>
      <c r="B153" s="8"/>
      <c r="C153" s="8"/>
      <c r="D153" s="8">
        <v>11.6154061314742</v>
      </c>
      <c r="E153" s="9" t="s">
        <v>162</v>
      </c>
      <c r="I153" s="12" t="str">
        <f>IFERROR(__xludf.DUMMYFUNCTION("""COMPUTED_VALUE"""),"0x0c5f1891581c2ab02c2caf8f7b9852e7e631992e")</f>
        <v>0x0c5f1891581c2ab02c2caf8f7b9852e7e631992e</v>
      </c>
      <c r="J153" s="11">
        <v>38.5114166628956</v>
      </c>
      <c r="K153" s="12">
        <v>85.58092591754577</v>
      </c>
      <c r="L153" s="13">
        <v>8.558092591754578E19</v>
      </c>
      <c r="M153" s="9">
        <v>8.5580925917545779E18</v>
      </c>
    </row>
    <row r="154" ht="15.75" customHeight="1">
      <c r="A154" s="8"/>
      <c r="B154" s="8"/>
      <c r="C154" s="8"/>
      <c r="D154" s="8">
        <v>27.9026907562088</v>
      </c>
      <c r="E154" s="9" t="s">
        <v>163</v>
      </c>
      <c r="I154" s="12" t="str">
        <f>IFERROR(__xludf.DUMMYFUNCTION("""COMPUTED_VALUE"""),"0x0c6896e7632949969dc980272726eee779a62572")</f>
        <v>0x0c6896e7632949969dc980272726eee779a62572</v>
      </c>
      <c r="J154" s="11">
        <v>896.6771981482639</v>
      </c>
      <c r="K154" s="12">
        <v>1992.6159958850308</v>
      </c>
      <c r="L154" s="13">
        <v>1.9926159958850307E21</v>
      </c>
      <c r="M154" s="9">
        <v>1.992615995885031E20</v>
      </c>
    </row>
    <row r="155" ht="15.75" customHeight="1">
      <c r="A155" s="8"/>
      <c r="B155" s="8"/>
      <c r="C155" s="8"/>
      <c r="D155" s="8">
        <v>27.9026907562088</v>
      </c>
      <c r="E155" s="9" t="s">
        <v>164</v>
      </c>
      <c r="I155" s="12" t="str">
        <f>IFERROR(__xludf.DUMMYFUNCTION("""COMPUTED_VALUE"""),"0x0c7b2ba42797804779ae564646e34d02dbd23978")</f>
        <v>0x0c7b2ba42797804779ae564646e34d02dbd23978</v>
      </c>
      <c r="J155" s="11">
        <v>91.1199983031448</v>
      </c>
      <c r="K155" s="12">
        <v>202.48888511809955</v>
      </c>
      <c r="L155" s="13">
        <v>2.0248888511809955E20</v>
      </c>
      <c r="M155" s="9">
        <v>2.0248888511809958E19</v>
      </c>
    </row>
    <row r="156" ht="15.75" customHeight="1">
      <c r="A156" s="8"/>
      <c r="B156" s="8"/>
      <c r="C156" s="8"/>
      <c r="D156" s="8">
        <v>27.9026907562088</v>
      </c>
      <c r="E156" s="9" t="s">
        <v>165</v>
      </c>
      <c r="I156" s="12" t="str">
        <f>IFERROR(__xludf.DUMMYFUNCTION("""COMPUTED_VALUE"""),"0x0c7cda6e04437e5f701c039e3362fbd488889590")</f>
        <v>0x0c7cda6e04437e5f701c039e3362fbd488889590</v>
      </c>
      <c r="J156" s="11">
        <v>92.24106039266137</v>
      </c>
      <c r="K156" s="12">
        <v>204.98013420591414</v>
      </c>
      <c r="L156" s="13">
        <v>2.0498013420591415E20</v>
      </c>
      <c r="M156" s="9">
        <v>2.0498013420591415E19</v>
      </c>
    </row>
    <row r="157" ht="15.75" customHeight="1">
      <c r="A157" s="8"/>
      <c r="B157" s="8"/>
      <c r="C157" s="8"/>
      <c r="D157" s="8">
        <v>27.9026907562088</v>
      </c>
      <c r="E157" s="9" t="s">
        <v>166</v>
      </c>
      <c r="I157" s="12" t="str">
        <f>IFERROR(__xludf.DUMMYFUNCTION("""COMPUTED_VALUE"""),"0x0c9dc7f9d4f1daa7b05ddf7add0f6baffdd7725d")</f>
        <v>0x0c9dc7f9d4f1daa7b05ddf7add0f6baffdd7725d</v>
      </c>
      <c r="J157" s="11">
        <v>27.9026907562088</v>
      </c>
      <c r="K157" s="12">
        <v>62.005979458241775</v>
      </c>
      <c r="L157" s="13">
        <v>6.200597945824177E19</v>
      </c>
      <c r="M157" s="9">
        <v>6.2005979458241782E18</v>
      </c>
    </row>
    <row r="158" ht="15.75" customHeight="1">
      <c r="A158" s="8"/>
      <c r="B158" s="8"/>
      <c r="C158" s="8"/>
      <c r="D158" s="8">
        <v>24.7353022380076</v>
      </c>
      <c r="E158" s="9" t="s">
        <v>167</v>
      </c>
      <c r="I158" s="12" t="str">
        <f>IFERROR(__xludf.DUMMYFUNCTION("""COMPUTED_VALUE"""),"0x0cb9cf0883de211442dd22423394724ac88c68f7")</f>
        <v>0x0cb9cf0883de211442dd22423394724ac88c68f7</v>
      </c>
      <c r="J158" s="11">
        <v>26.47411776061133</v>
      </c>
      <c r="K158" s="12">
        <v>58.831372801358505</v>
      </c>
      <c r="L158" s="13">
        <v>5.88313728013585E19</v>
      </c>
      <c r="M158" s="9">
        <v>5.883137280135851E18</v>
      </c>
    </row>
    <row r="159" ht="15.75" customHeight="1">
      <c r="A159" s="8"/>
      <c r="B159" s="8"/>
      <c r="C159" s="8"/>
      <c r="D159" s="8">
        <v>26.3425025739378</v>
      </c>
      <c r="E159" s="9" t="s">
        <v>168</v>
      </c>
      <c r="I159" s="12" t="str">
        <f>IFERROR(__xludf.DUMMYFUNCTION("""COMPUTED_VALUE"""),"0x0ccaa8cd49c292132700e718517360c3c35fd0a6")</f>
        <v>0x0ccaa8cd49c292132700e718517360c3c35fd0a6</v>
      </c>
      <c r="J159" s="11">
        <v>26.3425025739378</v>
      </c>
      <c r="K159" s="12">
        <v>58.53889460875067</v>
      </c>
      <c r="L159" s="13">
        <v>5.8538894608750666E19</v>
      </c>
      <c r="M159" s="9">
        <v>5.8538894608750674E18</v>
      </c>
    </row>
    <row r="160" ht="15.75" customHeight="1">
      <c r="A160" s="8"/>
      <c r="B160" s="8"/>
      <c r="C160" s="8"/>
      <c r="D160" s="8">
        <v>27.9026907562088</v>
      </c>
      <c r="E160" s="9" t="s">
        <v>169</v>
      </c>
      <c r="I160" s="12" t="str">
        <f>IFERROR(__xludf.DUMMYFUNCTION("""COMPUTED_VALUE"""),"0x0ce060a971e8719edc885f4ea336f0b048277d75")</f>
        <v>0x0ce060a971e8719edc885f4ea336f0b048277d75</v>
      </c>
      <c r="J160" s="11">
        <v>91.1199983031448</v>
      </c>
      <c r="K160" s="12">
        <v>202.48888511809955</v>
      </c>
      <c r="L160" s="13">
        <v>2.0248888511809955E20</v>
      </c>
      <c r="M160" s="9">
        <v>2.0248888511809958E19</v>
      </c>
    </row>
    <row r="161" ht="15.75" customHeight="1">
      <c r="A161" s="8"/>
      <c r="B161" s="8"/>
      <c r="C161" s="8"/>
      <c r="D161" s="8">
        <v>27.9026907562088</v>
      </c>
      <c r="E161" s="9" t="s">
        <v>170</v>
      </c>
      <c r="I161" s="12" t="str">
        <f>IFERROR(__xludf.DUMMYFUNCTION("""COMPUTED_VALUE"""),"0x0ce0f3f5a7f764732b7e9db621abb59728b61847")</f>
        <v>0x0ce0f3f5a7f764732b7e9db621abb59728b61847</v>
      </c>
      <c r="J161" s="11">
        <v>91.1199983031448</v>
      </c>
      <c r="K161" s="12">
        <v>202.48888511809955</v>
      </c>
      <c r="L161" s="13">
        <v>2.0248888511809955E20</v>
      </c>
      <c r="M161" s="9">
        <v>2.0248888511809958E19</v>
      </c>
    </row>
    <row r="162" ht="15.75" customHeight="1">
      <c r="A162" s="8"/>
      <c r="B162" s="8"/>
      <c r="C162" s="8"/>
      <c r="D162" s="8">
        <v>12.3935963728686</v>
      </c>
      <c r="E162" s="9" t="s">
        <v>171</v>
      </c>
      <c r="I162" s="12" t="str">
        <f>IFERROR(__xludf.DUMMYFUNCTION("""COMPUTED_VALUE"""),"0x0d05cb1486d71713e1cc111da0d4041f7b9c7fdf")</f>
        <v>0x0d05cb1486d71713e1cc111da0d4041f7b9c7fdf</v>
      </c>
      <c r="J162" s="11">
        <v>12.3935963728686</v>
      </c>
      <c r="K162" s="12">
        <v>27.541325273041334</v>
      </c>
      <c r="L162" s="13">
        <v>2.7541325273041334E19</v>
      </c>
      <c r="M162" s="9">
        <v>2.7541325273041336E18</v>
      </c>
    </row>
    <row r="163" ht="15.75" customHeight="1">
      <c r="A163" s="8"/>
      <c r="B163" s="8"/>
      <c r="C163" s="8"/>
      <c r="D163" s="8">
        <v>20.7825905894656</v>
      </c>
      <c r="E163" s="9" t="s">
        <v>172</v>
      </c>
      <c r="I163" s="12" t="str">
        <f>IFERROR(__xludf.DUMMYFUNCTION("""COMPUTED_VALUE"""),"0x0d0878ce76fd6ddc135e811eedd03f82603cf203")</f>
        <v>0x0d0878ce76fd6ddc135e811eedd03f82603cf203</v>
      </c>
      <c r="J163" s="11">
        <v>74.83748738380459</v>
      </c>
      <c r="K163" s="12">
        <v>166.30552751956574</v>
      </c>
      <c r="L163" s="13">
        <v>1.6630552751956574E20</v>
      </c>
      <c r="M163" s="9">
        <v>1.6630552751956574E19</v>
      </c>
    </row>
    <row r="164" ht="15.75" customHeight="1">
      <c r="A164" s="8"/>
      <c r="B164" s="8"/>
      <c r="C164" s="8"/>
      <c r="D164" s="8">
        <v>27.9026907562088</v>
      </c>
      <c r="E164" s="9" t="s">
        <v>173</v>
      </c>
      <c r="I164" s="12" t="str">
        <f>IFERROR(__xludf.DUMMYFUNCTION("""COMPUTED_VALUE"""),"0x0d27c91c0abeb875eefe0401fa7f6afe6aeb43e5")</f>
        <v>0x0d27c91c0abeb875eefe0401fa7f6afe6aeb43e5</v>
      </c>
      <c r="J164" s="11">
        <v>396.2983819861788</v>
      </c>
      <c r="K164" s="12">
        <v>880.6630710803973</v>
      </c>
      <c r="L164" s="13">
        <v>8.806630710803974E20</v>
      </c>
      <c r="M164" s="9">
        <v>8.806630710803974E19</v>
      </c>
    </row>
    <row r="165" ht="15.75" customHeight="1">
      <c r="A165" s="8"/>
      <c r="B165" s="8"/>
      <c r="C165" s="8"/>
      <c r="D165" s="8">
        <v>25.7754095942524</v>
      </c>
      <c r="E165" s="9" t="s">
        <v>174</v>
      </c>
      <c r="I165" s="12" t="str">
        <f>IFERROR(__xludf.DUMMYFUNCTION("""COMPUTED_VALUE"""),"0x0d281edc38079a4ecb0abcb81c6243f4c1c9f262")</f>
        <v>0x0d281edc38079a4ecb0abcb81c6243f4c1c9f262</v>
      </c>
      <c r="J165" s="11">
        <v>25.7754095942524</v>
      </c>
      <c r="K165" s="12">
        <v>57.278687987227556</v>
      </c>
      <c r="L165" s="13">
        <v>5.727868798722756E19</v>
      </c>
      <c r="M165" s="9">
        <v>5.7278687987227566E18</v>
      </c>
    </row>
    <row r="166" ht="15.75" customHeight="1">
      <c r="A166" s="8"/>
      <c r="B166" s="8"/>
      <c r="C166" s="8"/>
      <c r="D166" s="8">
        <v>25.8655560544805</v>
      </c>
      <c r="E166" s="9" t="s">
        <v>175</v>
      </c>
      <c r="I166" s="12" t="str">
        <f>IFERROR(__xludf.DUMMYFUNCTION("""COMPUTED_VALUE"""),"0x0d32bbb8bb3efe9fb0d5176f76eef0a2845a0bc1")</f>
        <v>0x0d32bbb8bb3efe9fb0d5176f76eef0a2845a0bc1</v>
      </c>
      <c r="J166" s="11">
        <v>25.8655560544805</v>
      </c>
      <c r="K166" s="12">
        <v>57.47901345440111</v>
      </c>
      <c r="L166" s="13">
        <v>5.747901345440111E19</v>
      </c>
      <c r="M166" s="9">
        <v>5.7479013454401116E18</v>
      </c>
    </row>
    <row r="167" ht="15.75" customHeight="1">
      <c r="A167" s="8"/>
      <c r="B167" s="8"/>
      <c r="C167" s="8"/>
      <c r="D167" s="8">
        <v>27.9026907562088</v>
      </c>
      <c r="E167" s="9" t="s">
        <v>176</v>
      </c>
      <c r="I167" s="12" t="str">
        <f>IFERROR(__xludf.DUMMYFUNCTION("""COMPUTED_VALUE"""),"0x0d4a3b2ad6efe49702294ef354c0d7874f4fb9c2")</f>
        <v>0x0d4a3b2ad6efe49702294ef354c0d7874f4fb9c2</v>
      </c>
      <c r="J167" s="11">
        <v>91.1199983031448</v>
      </c>
      <c r="K167" s="12">
        <v>202.48888511809955</v>
      </c>
      <c r="L167" s="13">
        <v>2.0248888511809955E20</v>
      </c>
      <c r="M167" s="9">
        <v>2.0248888511809958E19</v>
      </c>
    </row>
    <row r="168" ht="15.75" customHeight="1">
      <c r="A168" s="8"/>
      <c r="B168" s="8"/>
      <c r="C168" s="8"/>
      <c r="D168" s="8">
        <v>27.9026907562088</v>
      </c>
      <c r="E168" s="9" t="s">
        <v>177</v>
      </c>
      <c r="I168" s="12" t="str">
        <f>IFERROR(__xludf.DUMMYFUNCTION("""COMPUTED_VALUE"""),"0x0d4e4a6f1e61885b2b5f8580e533d776b27f6c3c")</f>
        <v>0x0d4e4a6f1e61885b2b5f8580e533d776b27f6c3c</v>
      </c>
      <c r="J168" s="11">
        <v>91.1199983031448</v>
      </c>
      <c r="K168" s="12">
        <v>202.48888511809955</v>
      </c>
      <c r="L168" s="13">
        <v>2.0248888511809955E20</v>
      </c>
      <c r="M168" s="9">
        <v>2.0248888511809958E19</v>
      </c>
    </row>
    <row r="169" ht="15.75" customHeight="1">
      <c r="A169" s="8"/>
      <c r="B169" s="8"/>
      <c r="C169" s="8"/>
      <c r="D169" s="8">
        <v>25.9440883278552</v>
      </c>
      <c r="E169" s="9" t="s">
        <v>178</v>
      </c>
      <c r="I169" s="12" t="str">
        <f>IFERROR(__xludf.DUMMYFUNCTION("""COMPUTED_VALUE"""),"0x0d4ff3159ee64d78bd15cf7a3509162652d809be")</f>
        <v>0x0d4ff3159ee64d78bd15cf7a3509162652d809be</v>
      </c>
      <c r="J169" s="11">
        <v>25.9440883278552</v>
      </c>
      <c r="K169" s="12">
        <v>57.653529617456</v>
      </c>
      <c r="L169" s="13">
        <v>5.7653529617456005E19</v>
      </c>
      <c r="M169" s="9">
        <v>5.7653529617456005E18</v>
      </c>
    </row>
    <row r="170" ht="15.75" customHeight="1">
      <c r="A170" s="8"/>
      <c r="B170" s="8"/>
      <c r="C170" s="8"/>
      <c r="D170" s="8">
        <v>20.7883015683866</v>
      </c>
      <c r="E170" s="9" t="s">
        <v>179</v>
      </c>
      <c r="I170" s="12" t="str">
        <f>IFERROR(__xludf.DUMMYFUNCTION("""COMPUTED_VALUE"""),"0x0d6e94d085a597f316be1833649e05a45103e873")</f>
        <v>0x0d6e94d085a597f316be1833649e05a45103e873</v>
      </c>
      <c r="J170" s="11">
        <v>20.7883015683866</v>
      </c>
      <c r="K170" s="12">
        <v>46.19622570752578</v>
      </c>
      <c r="L170" s="13">
        <v>4.6196225707525775E19</v>
      </c>
      <c r="M170" s="9">
        <v>4.6196225707525775E18</v>
      </c>
    </row>
    <row r="171" ht="15.75" customHeight="1">
      <c r="A171" s="8"/>
      <c r="B171" s="8"/>
      <c r="C171" s="8"/>
      <c r="D171" s="8">
        <v>27.9026907562088</v>
      </c>
      <c r="E171" s="9" t="s">
        <v>180</v>
      </c>
      <c r="I171" s="12" t="str">
        <f>IFERROR(__xludf.DUMMYFUNCTION("""COMPUTED_VALUE"""),"0x0d78be9279b0bc6e2dc86dce29140eeb6ac95f52")</f>
        <v>0x0d78be9279b0bc6e2dc86dce29140eeb6ac95f52</v>
      </c>
      <c r="J171" s="11">
        <v>27.9026907562088</v>
      </c>
      <c r="K171" s="12">
        <v>62.005979458241775</v>
      </c>
      <c r="L171" s="13">
        <v>6.200597945824177E19</v>
      </c>
      <c r="M171" s="9">
        <v>6.2005979458241782E18</v>
      </c>
    </row>
    <row r="172" ht="15.75" customHeight="1">
      <c r="A172" s="8"/>
      <c r="B172" s="8"/>
      <c r="C172" s="8"/>
      <c r="D172" s="8">
        <v>27.9026907562088</v>
      </c>
      <c r="E172" s="9" t="s">
        <v>181</v>
      </c>
      <c r="I172" s="12" t="str">
        <f>IFERROR(__xludf.DUMMYFUNCTION("""COMPUTED_VALUE"""),"0x0d88ac648f1326187ad69f13178285bd4af720e1")</f>
        <v>0x0d88ac648f1326187ad69f13178285bd4af720e1</v>
      </c>
      <c r="J172" s="11">
        <v>27.9026907562088</v>
      </c>
      <c r="K172" s="12">
        <v>62.005979458241775</v>
      </c>
      <c r="L172" s="13">
        <v>6.200597945824177E19</v>
      </c>
      <c r="M172" s="9">
        <v>6.2005979458241782E18</v>
      </c>
    </row>
    <row r="173" ht="15.75" customHeight="1">
      <c r="A173" s="8"/>
      <c r="B173" s="8"/>
      <c r="C173" s="8"/>
      <c r="D173" s="8">
        <v>27.9026907562088</v>
      </c>
      <c r="E173" s="9" t="s">
        <v>182</v>
      </c>
      <c r="I173" s="12" t="str">
        <f>IFERROR(__xludf.DUMMYFUNCTION("""COMPUTED_VALUE"""),"0x0d8fbfce9018950e97ea5b10f4dce118f02fda81")</f>
        <v>0x0d8fbfce9018950e97ea5b10f4dce118f02fda81</v>
      </c>
      <c r="J173" s="11">
        <v>91.1199983031448</v>
      </c>
      <c r="K173" s="12">
        <v>202.48888511809955</v>
      </c>
      <c r="L173" s="13">
        <v>2.0248888511809955E20</v>
      </c>
      <c r="M173" s="9">
        <v>2.0248888511809958E19</v>
      </c>
    </row>
    <row r="174" ht="15.75" customHeight="1">
      <c r="A174" s="8"/>
      <c r="B174" s="8"/>
      <c r="C174" s="8"/>
      <c r="D174" s="8">
        <v>27.9026907562088</v>
      </c>
      <c r="E174" s="9" t="s">
        <v>183</v>
      </c>
      <c r="I174" s="12" t="str">
        <f>IFERROR(__xludf.DUMMYFUNCTION("""COMPUTED_VALUE"""),"0x0daa7516840c83d31bbd3f02e2ca8bfec8986640")</f>
        <v>0x0daa7516840c83d31bbd3f02e2ca8bfec8986640</v>
      </c>
      <c r="J174" s="11">
        <v>27.9026907562088</v>
      </c>
      <c r="K174" s="12">
        <v>62.005979458241775</v>
      </c>
      <c r="L174" s="13">
        <v>6.200597945824177E19</v>
      </c>
      <c r="M174" s="9">
        <v>6.2005979458241782E18</v>
      </c>
    </row>
    <row r="175" ht="15.75" customHeight="1">
      <c r="A175" s="8"/>
      <c r="B175" s="8"/>
      <c r="C175" s="8"/>
      <c r="D175" s="8">
        <v>27.9026907562088</v>
      </c>
      <c r="E175" s="9" t="s">
        <v>184</v>
      </c>
      <c r="I175" s="12" t="str">
        <f>IFERROR(__xludf.DUMMYFUNCTION("""COMPUTED_VALUE"""),"0x0dbdc315a01b844aaeda14a266737e93cec545ed")</f>
        <v>0x0dbdc315a01b844aaeda14a266737e93cec545ed</v>
      </c>
      <c r="J175" s="11">
        <v>98.90315965430537</v>
      </c>
      <c r="K175" s="12">
        <v>219.7847992317897</v>
      </c>
      <c r="L175" s="13">
        <v>2.197847992317897E20</v>
      </c>
      <c r="M175" s="9">
        <v>2.197847992317897E19</v>
      </c>
    </row>
    <row r="176" ht="15.75" customHeight="1">
      <c r="A176" s="8"/>
      <c r="B176" s="8"/>
      <c r="C176" s="8"/>
      <c r="D176" s="8">
        <v>26.5092471243161</v>
      </c>
      <c r="E176" s="9" t="s">
        <v>185</v>
      </c>
      <c r="I176" s="12" t="str">
        <f>IFERROR(__xludf.DUMMYFUNCTION("""COMPUTED_VALUE"""),"0x0dcc8011dbc2c704d308b324bc8b2c74c1e0e4ea")</f>
        <v>0x0dcc8011dbc2c704d308b324bc8b2c74c1e0e4ea</v>
      </c>
      <c r="J176" s="11">
        <v>26.5092471243161</v>
      </c>
      <c r="K176" s="12">
        <v>58.909438054035775</v>
      </c>
      <c r="L176" s="13">
        <v>5.8909438054035775E19</v>
      </c>
      <c r="M176" s="9">
        <v>5.8909438054035784E18</v>
      </c>
    </row>
    <row r="177" ht="15.75" customHeight="1">
      <c r="A177" s="8"/>
      <c r="B177" s="8"/>
      <c r="C177" s="8"/>
      <c r="D177" s="8">
        <v>23.8747778704653</v>
      </c>
      <c r="E177" s="9" t="s">
        <v>186</v>
      </c>
      <c r="I177" s="12" t="str">
        <f>IFERROR(__xludf.DUMMYFUNCTION("""COMPUTED_VALUE"""),"0x0dd74fd5a1fdca585c15d211e7ab19f204a77630")</f>
        <v>0x0dd74fd5a1fdca585c15d211e7ab19f204a77630</v>
      </c>
      <c r="J177" s="11">
        <v>23.8747778704653</v>
      </c>
      <c r="K177" s="12">
        <v>53.05506193436734</v>
      </c>
      <c r="L177" s="13">
        <v>5.3055061934367334E19</v>
      </c>
      <c r="M177" s="9">
        <v>5.3055061934367334E18</v>
      </c>
    </row>
    <row r="178" ht="15.75" customHeight="1">
      <c r="A178" s="8"/>
      <c r="B178" s="8"/>
      <c r="C178" s="8"/>
      <c r="D178" s="8">
        <v>27.9026907562088</v>
      </c>
      <c r="E178" s="9" t="s">
        <v>187</v>
      </c>
      <c r="I178" s="12" t="str">
        <f>IFERROR(__xludf.DUMMYFUNCTION("""COMPUTED_VALUE"""),"0x0de7f3001a2e3874ab450910c1829a125a2be4f1")</f>
        <v>0x0de7f3001a2e3874ab450910c1829a125a2be4f1</v>
      </c>
      <c r="J178" s="11">
        <v>91.1199983031448</v>
      </c>
      <c r="K178" s="12">
        <v>202.48888511809955</v>
      </c>
      <c r="L178" s="13">
        <v>2.0248888511809955E20</v>
      </c>
      <c r="M178" s="9">
        <v>2.0248888511809958E19</v>
      </c>
    </row>
    <row r="179" ht="15.75" customHeight="1">
      <c r="A179" s="8"/>
      <c r="B179" s="8"/>
      <c r="C179" s="8"/>
      <c r="D179" s="8">
        <v>27.9026907562088</v>
      </c>
      <c r="E179" s="9" t="s">
        <v>188</v>
      </c>
      <c r="I179" s="12" t="str">
        <f>IFERROR(__xludf.DUMMYFUNCTION("""COMPUTED_VALUE"""),"0x0df2763078b4b5c714e0edf86fa33bc71127180f")</f>
        <v>0x0df2763078b4b5c714e0edf86fa33bc71127180f</v>
      </c>
      <c r="J179" s="11">
        <v>157.27698615288762</v>
      </c>
      <c r="K179" s="12">
        <v>349.5044136730836</v>
      </c>
      <c r="L179" s="13">
        <v>3.4950441367308363E20</v>
      </c>
      <c r="M179" s="9">
        <v>3.4950441367308366E19</v>
      </c>
    </row>
    <row r="180" ht="15.75" customHeight="1">
      <c r="A180" s="8"/>
      <c r="B180" s="8"/>
      <c r="C180" s="8"/>
      <c r="D180" s="8">
        <v>27.9026907562088</v>
      </c>
      <c r="E180" s="9" t="s">
        <v>189</v>
      </c>
      <c r="I180" s="12" t="str">
        <f>IFERROR(__xludf.DUMMYFUNCTION("""COMPUTED_VALUE"""),"0x0dfdcf4921fa48bfef61104c698a3731e8bfbd35")</f>
        <v>0x0dfdcf4921fa48bfef61104c698a3731e8bfbd35</v>
      </c>
      <c r="J180" s="11">
        <v>87.4053608832357</v>
      </c>
      <c r="K180" s="12">
        <v>194.23413529607933</v>
      </c>
      <c r="L180" s="13">
        <v>1.9423413529607933E20</v>
      </c>
      <c r="M180" s="9">
        <v>1.9423413529607934E19</v>
      </c>
    </row>
    <row r="181" ht="15.75" customHeight="1">
      <c r="A181" s="8"/>
      <c r="B181" s="8"/>
      <c r="C181" s="8"/>
      <c r="D181" s="8">
        <v>27.9026907562088</v>
      </c>
      <c r="E181" s="9" t="s">
        <v>190</v>
      </c>
      <c r="I181" s="12" t="str">
        <f>IFERROR(__xludf.DUMMYFUNCTION("""COMPUTED_VALUE"""),"0x0e1b65a6fe879384e308c07e5ee39174aad63297")</f>
        <v>0x0e1b65a6fe879384e308c07e5ee39174aad63297</v>
      </c>
      <c r="J181" s="11">
        <v>91.1199983031448</v>
      </c>
      <c r="K181" s="12">
        <v>202.48888511809955</v>
      </c>
      <c r="L181" s="13">
        <v>2.0248888511809955E20</v>
      </c>
      <c r="M181" s="9">
        <v>2.0248888511809958E19</v>
      </c>
    </row>
    <row r="182" ht="15.75" customHeight="1">
      <c r="A182" s="8"/>
      <c r="B182" s="8"/>
      <c r="C182" s="8"/>
      <c r="D182" s="8">
        <v>27.9026907562088</v>
      </c>
      <c r="E182" s="9" t="s">
        <v>191</v>
      </c>
      <c r="I182" s="12" t="str">
        <f>IFERROR(__xludf.DUMMYFUNCTION("""COMPUTED_VALUE"""),"0x0e1c9d4128a6a9b430d91b92a7ec64f7d3b9ee5f")</f>
        <v>0x0e1c9d4128a6a9b430d91b92a7ec64f7d3b9ee5f</v>
      </c>
      <c r="J182" s="11">
        <v>29.848481093998938</v>
      </c>
      <c r="K182" s="12">
        <v>66.32995798666431</v>
      </c>
      <c r="L182" s="13">
        <v>6.632995798666431E19</v>
      </c>
      <c r="M182" s="9">
        <v>6.6329957986664315E18</v>
      </c>
    </row>
    <row r="183" ht="15.75" customHeight="1">
      <c r="A183" s="8"/>
      <c r="B183" s="8"/>
      <c r="C183" s="8"/>
      <c r="D183" s="8">
        <v>24.9985157405907</v>
      </c>
      <c r="E183" s="9" t="s">
        <v>192</v>
      </c>
      <c r="I183" s="12" t="str">
        <f>IFERROR(__xludf.DUMMYFUNCTION("""COMPUTED_VALUE"""),"0x0e2130d21f9f1b620207750a59d700f5087ce8ba")</f>
        <v>0x0e2130d21f9f1b620207750a59d700f5087ce8ba</v>
      </c>
      <c r="J183" s="11">
        <v>24.9985157405907</v>
      </c>
      <c r="K183" s="12">
        <v>55.55225720131267</v>
      </c>
      <c r="L183" s="13">
        <v>5.555225720131267E19</v>
      </c>
      <c r="M183" s="9">
        <v>5.5552257201312676E18</v>
      </c>
    </row>
    <row r="184" ht="15.75" customHeight="1">
      <c r="A184" s="8"/>
      <c r="B184" s="8"/>
      <c r="C184" s="8"/>
      <c r="D184" s="8">
        <v>13.9531321096129</v>
      </c>
      <c r="E184" s="9" t="s">
        <v>193</v>
      </c>
      <c r="I184" s="12" t="str">
        <f>IFERROR(__xludf.DUMMYFUNCTION("""COMPUTED_VALUE"""),"0x0e297a8e975e4daa101e79bd40824590dcb00955")</f>
        <v>0x0e297a8e975e4daa101e79bd40824590dcb00955</v>
      </c>
      <c r="J184" s="11">
        <v>24.737975021885703</v>
      </c>
      <c r="K184" s="12">
        <v>54.97327782641267</v>
      </c>
      <c r="L184" s="13">
        <v>5.497327782641267E19</v>
      </c>
      <c r="M184" s="9">
        <v>5.4973277826412667E18</v>
      </c>
    </row>
    <row r="185" ht="15.75" customHeight="1">
      <c r="A185" s="8"/>
      <c r="B185" s="8"/>
      <c r="C185" s="8"/>
      <c r="D185" s="8">
        <v>0.46265068743416</v>
      </c>
      <c r="E185" s="9" t="s">
        <v>194</v>
      </c>
      <c r="I185" s="12" t="str">
        <f>IFERROR(__xludf.DUMMYFUNCTION("""COMPUTED_VALUE"""),"0x0e63fe75979e514e1d49632e325c579721e30d4a")</f>
        <v>0x0e63fe75979e514e1d49632e325c579721e30d4a</v>
      </c>
      <c r="J185" s="11">
        <v>0.46265068743416</v>
      </c>
      <c r="K185" s="12">
        <v>1.0281126387425776</v>
      </c>
      <c r="L185" s="13">
        <v>1.02811263874257766E18</v>
      </c>
      <c r="M185" s="9">
        <v>1.02811263874257776E17</v>
      </c>
    </row>
    <row r="186" ht="15.75" customHeight="1">
      <c r="A186" s="8"/>
      <c r="B186" s="8"/>
      <c r="C186" s="8"/>
      <c r="D186" s="8">
        <v>27.9026907562088</v>
      </c>
      <c r="E186" s="9" t="s">
        <v>195</v>
      </c>
      <c r="I186" s="12" t="str">
        <f>IFERROR(__xludf.DUMMYFUNCTION("""COMPUTED_VALUE"""),"0x0e88291da74461a7a236a53d6c510de06203983f")</f>
        <v>0x0e88291da74461a7a236a53d6c510de06203983f</v>
      </c>
      <c r="J186" s="11">
        <v>27.9026907562088</v>
      </c>
      <c r="K186" s="12">
        <v>62.005979458241775</v>
      </c>
      <c r="L186" s="13">
        <v>6.200597945824177E19</v>
      </c>
      <c r="M186" s="9">
        <v>6.2005979458241782E18</v>
      </c>
    </row>
    <row r="187" ht="15.75" customHeight="1">
      <c r="A187" s="8"/>
      <c r="B187" s="8"/>
      <c r="C187" s="8"/>
      <c r="D187" s="8">
        <v>27.9026907562088</v>
      </c>
      <c r="E187" s="9" t="s">
        <v>196</v>
      </c>
      <c r="I187" s="12" t="str">
        <f>IFERROR(__xludf.DUMMYFUNCTION("""COMPUTED_VALUE"""),"0x0e93cf5ed2965b31d62533aea091252832eb3727")</f>
        <v>0x0e93cf5ed2965b31d62533aea091252832eb3727</v>
      </c>
      <c r="J187" s="11">
        <v>96.68807192897843</v>
      </c>
      <c r="K187" s="12">
        <v>214.8623820643965</v>
      </c>
      <c r="L187" s="13">
        <v>2.148623820643965E20</v>
      </c>
      <c r="M187" s="9">
        <v>2.148623820643965E19</v>
      </c>
    </row>
    <row r="188" ht="15.75" customHeight="1">
      <c r="A188" s="8"/>
      <c r="B188" s="8"/>
      <c r="C188" s="8"/>
      <c r="D188" s="8">
        <v>16.5069905310037</v>
      </c>
      <c r="E188" s="9" t="s">
        <v>197</v>
      </c>
      <c r="I188" s="12" t="str">
        <f>IFERROR(__xludf.DUMMYFUNCTION("""COMPUTED_VALUE"""),"0x0eae1cf7557115423723ab8c275ed3ba00b9f14b")</f>
        <v>0x0eae1cf7557115423723ab8c275ed3ba00b9f14b</v>
      </c>
      <c r="J188" s="11">
        <v>16.5069905310037</v>
      </c>
      <c r="K188" s="12">
        <v>36.68220118000823</v>
      </c>
      <c r="L188" s="13">
        <v>3.6682201180008227E19</v>
      </c>
      <c r="M188" s="9">
        <v>3.6682201180008228E18</v>
      </c>
    </row>
    <row r="189" ht="15.75" customHeight="1">
      <c r="A189" s="8"/>
      <c r="B189" s="8"/>
      <c r="C189" s="8"/>
      <c r="D189" s="8">
        <v>27.9026907562088</v>
      </c>
      <c r="E189" s="9" t="s">
        <v>198</v>
      </c>
      <c r="I189" s="12" t="str">
        <f>IFERROR(__xludf.DUMMYFUNCTION("""COMPUTED_VALUE"""),"0x0eb8745407a211a718d6921691ceb99fb5ac9f48")</f>
        <v>0x0eb8745407a211a718d6921691ceb99fb5ac9f48</v>
      </c>
      <c r="J189" s="11">
        <v>468.6033238344328</v>
      </c>
      <c r="K189" s="12">
        <v>1041.340719632073</v>
      </c>
      <c r="L189" s="13">
        <v>1.041340719632073E21</v>
      </c>
      <c r="M189" s="9">
        <v>1.041340719632073E20</v>
      </c>
    </row>
    <row r="190" ht="15.75" customHeight="1">
      <c r="A190" s="8"/>
      <c r="B190" s="8"/>
      <c r="C190" s="8"/>
      <c r="D190" s="8">
        <v>27.9026907562088</v>
      </c>
      <c r="E190" s="9" t="s">
        <v>199</v>
      </c>
      <c r="I190" s="12" t="str">
        <f>IFERROR(__xludf.DUMMYFUNCTION("""COMPUTED_VALUE"""),"0x0ec9f7efa2f2c7f0e540a671eb483f32a5f6f222")</f>
        <v>0x0ec9f7efa2f2c7f0e540a671eb483f32a5f6f222</v>
      </c>
      <c r="J190" s="11">
        <v>91.1199983031448</v>
      </c>
      <c r="K190" s="12">
        <v>202.48888511809955</v>
      </c>
      <c r="L190" s="13">
        <v>2.0248888511809955E20</v>
      </c>
      <c r="M190" s="9">
        <v>2.0248888511809958E19</v>
      </c>
    </row>
    <row r="191" ht="15.75" customHeight="1">
      <c r="A191" s="8"/>
      <c r="B191" s="8"/>
      <c r="C191" s="8"/>
      <c r="D191" s="8">
        <v>24.5448154225904</v>
      </c>
      <c r="E191" s="9" t="s">
        <v>200</v>
      </c>
      <c r="I191" s="12" t="str">
        <f>IFERROR(__xludf.DUMMYFUNCTION("""COMPUTED_VALUE"""),"0x0ed99de5a12b11fa8ae80f91447878a5787800cd")</f>
        <v>0x0ed99de5a12b11fa8ae80f91447878a5787800cd</v>
      </c>
      <c r="J191" s="11">
        <v>24.5448154225904</v>
      </c>
      <c r="K191" s="12">
        <v>54.54403427242311</v>
      </c>
      <c r="L191" s="13">
        <v>5.454403427242311E19</v>
      </c>
      <c r="M191" s="9">
        <v>5.4544034272423107E18</v>
      </c>
    </row>
    <row r="192" ht="15.75" customHeight="1">
      <c r="A192" s="8"/>
      <c r="B192" s="8"/>
      <c r="C192" s="8"/>
      <c r="D192" s="8">
        <v>27.9026907562088</v>
      </c>
      <c r="E192" s="9" t="s">
        <v>201</v>
      </c>
      <c r="I192" s="12" t="str">
        <f>IFERROR(__xludf.DUMMYFUNCTION("""COMPUTED_VALUE"""),"0x0eeff183cb92013c646999d2147b8aaf9c68a041")</f>
        <v>0x0eeff183cb92013c646999d2147b8aaf9c68a041</v>
      </c>
      <c r="J192" s="11">
        <v>91.1199983031448</v>
      </c>
      <c r="K192" s="12">
        <v>202.48888511809955</v>
      </c>
      <c r="L192" s="13">
        <v>2.0248888511809955E20</v>
      </c>
      <c r="M192" s="9">
        <v>2.0248888511809958E19</v>
      </c>
    </row>
    <row r="193" ht="15.75" customHeight="1">
      <c r="A193" s="8"/>
      <c r="B193" s="8"/>
      <c r="C193" s="8"/>
      <c r="D193" s="8">
        <v>27.9026907562088</v>
      </c>
      <c r="E193" s="9" t="s">
        <v>202</v>
      </c>
      <c r="I193" s="12" t="str">
        <f>IFERROR(__xludf.DUMMYFUNCTION("""COMPUTED_VALUE"""),"0x0ef7d34e72e7f227b1ea78d445b864bde5784a0a")</f>
        <v>0x0ef7d34e72e7f227b1ea78d445b864bde5784a0a</v>
      </c>
      <c r="J193" s="11">
        <v>87.598239785937</v>
      </c>
      <c r="K193" s="12">
        <v>194.66275507985998</v>
      </c>
      <c r="L193" s="13">
        <v>1.9466275507985996E20</v>
      </c>
      <c r="M193" s="9">
        <v>1.9466275507985998E19</v>
      </c>
    </row>
    <row r="194" ht="15.75" customHeight="1">
      <c r="A194" s="8"/>
      <c r="B194" s="8"/>
      <c r="C194" s="8"/>
      <c r="D194" s="8">
        <v>26.0181131807079</v>
      </c>
      <c r="E194" s="9" t="s">
        <v>203</v>
      </c>
      <c r="I194" s="12" t="str">
        <f>IFERROR(__xludf.DUMMYFUNCTION("""COMPUTED_VALUE"""),"0x0f01a44809da373696b5d9e2d2a938db5353511c")</f>
        <v>0x0f01a44809da373696b5d9e2d2a938db5353511c</v>
      </c>
      <c r="J194" s="11">
        <v>26.0181131807079</v>
      </c>
      <c r="K194" s="12">
        <v>57.818029290462</v>
      </c>
      <c r="L194" s="13">
        <v>5.7818029290462E19</v>
      </c>
      <c r="M194" s="9">
        <v>5.7818029290462003E18</v>
      </c>
    </row>
    <row r="195" ht="15.75" customHeight="1">
      <c r="A195" s="8"/>
      <c r="B195" s="8"/>
      <c r="C195" s="8"/>
      <c r="D195" s="8">
        <v>27.9026907562088</v>
      </c>
      <c r="E195" s="9" t="s">
        <v>204</v>
      </c>
      <c r="I195" s="12" t="str">
        <f>IFERROR(__xludf.DUMMYFUNCTION("""COMPUTED_VALUE"""),"0x0f2453deedf6ee67127babbc6a99e77d5fc21354")</f>
        <v>0x0f2453deedf6ee67127babbc6a99e77d5fc21354</v>
      </c>
      <c r="J195" s="11">
        <v>77.64708900718699</v>
      </c>
      <c r="K195" s="12">
        <v>172.54908668263775</v>
      </c>
      <c r="L195" s="13">
        <v>1.7254908668263776E20</v>
      </c>
      <c r="M195" s="9">
        <v>1.7254908668263776E19</v>
      </c>
    </row>
    <row r="196" ht="15.75" customHeight="1">
      <c r="A196" s="8"/>
      <c r="B196" s="8"/>
      <c r="C196" s="8"/>
      <c r="D196" s="8">
        <v>27.9026907562088</v>
      </c>
      <c r="E196" s="9" t="s">
        <v>205</v>
      </c>
      <c r="I196" s="12" t="str">
        <f>IFERROR(__xludf.DUMMYFUNCTION("""COMPUTED_VALUE"""),"0x0f617287abe5381541ee352fe5ddeffe92712849")</f>
        <v>0x0f617287abe5381541ee352fe5ddeffe92712849</v>
      </c>
      <c r="J196" s="11">
        <v>27.9026907562088</v>
      </c>
      <c r="K196" s="12">
        <v>62.005979458241775</v>
      </c>
      <c r="L196" s="13">
        <v>6.200597945824177E19</v>
      </c>
      <c r="M196" s="9">
        <v>6.2005979458241782E18</v>
      </c>
    </row>
    <row r="197" ht="15.75" customHeight="1">
      <c r="A197" s="8"/>
      <c r="B197" s="8"/>
      <c r="C197" s="8"/>
      <c r="D197" s="8">
        <v>27.9026907562088</v>
      </c>
      <c r="E197" s="9" t="s">
        <v>206</v>
      </c>
      <c r="I197" s="12" t="str">
        <f>IFERROR(__xludf.DUMMYFUNCTION("""COMPUTED_VALUE"""),"0x0f693376f387f516cfdc64241a034f323c30210a")</f>
        <v>0x0f693376f387f516cfdc64241a034f323c30210a</v>
      </c>
      <c r="J197" s="11">
        <v>27.9026907562088</v>
      </c>
      <c r="K197" s="12">
        <v>62.005979458241775</v>
      </c>
      <c r="L197" s="13">
        <v>6.200597945824177E19</v>
      </c>
      <c r="M197" s="9">
        <v>6.2005979458241782E18</v>
      </c>
    </row>
    <row r="198" ht="15.75" customHeight="1">
      <c r="A198" s="8"/>
      <c r="B198" s="8"/>
      <c r="C198" s="8"/>
      <c r="D198" s="8">
        <v>27.7856499498695</v>
      </c>
      <c r="E198" s="9" t="s">
        <v>207</v>
      </c>
      <c r="I198" s="12" t="str">
        <f>IFERROR(__xludf.DUMMYFUNCTION("""COMPUTED_VALUE"""),"0x0f7ce0a0ed53ba9d78bb2a45400292d59e38a287")</f>
        <v>0x0f7ce0a0ed53ba9d78bb2a45400292d59e38a287</v>
      </c>
      <c r="J198" s="11">
        <v>27.7856499498695</v>
      </c>
      <c r="K198" s="12">
        <v>61.74588877748778</v>
      </c>
      <c r="L198" s="13">
        <v>6.174588877748778E19</v>
      </c>
      <c r="M198" s="9">
        <v>6.174588877748778E18</v>
      </c>
    </row>
    <row r="199" ht="15.75" customHeight="1">
      <c r="A199" s="8"/>
      <c r="B199" s="8"/>
      <c r="C199" s="8"/>
      <c r="D199" s="8">
        <v>27.9026907562088</v>
      </c>
      <c r="E199" s="9" t="s">
        <v>208</v>
      </c>
      <c r="I199" s="12" t="str">
        <f>IFERROR(__xludf.DUMMYFUNCTION("""COMPUTED_VALUE"""),"0x0f81b7a1bdad9963f9d6bf0fbb570cdd028ed084")</f>
        <v>0x0f81b7a1bdad9963f9d6bf0fbb570cdd028ed084</v>
      </c>
      <c r="J199" s="11">
        <v>27.9026907562088</v>
      </c>
      <c r="K199" s="12">
        <v>62.005979458241775</v>
      </c>
      <c r="L199" s="13">
        <v>6.200597945824177E19</v>
      </c>
      <c r="M199" s="9">
        <v>6.2005979458241782E18</v>
      </c>
    </row>
    <row r="200" ht="15.75" customHeight="1">
      <c r="A200" s="8"/>
      <c r="B200" s="8"/>
      <c r="C200" s="8"/>
      <c r="D200" s="8">
        <v>27.9026907562088</v>
      </c>
      <c r="E200" s="9" t="s">
        <v>209</v>
      </c>
      <c r="I200" s="12" t="str">
        <f>IFERROR(__xludf.DUMMYFUNCTION("""COMPUTED_VALUE"""),"0x0fa341230d690b53ed6a55acd2f66f221eef9b08")</f>
        <v>0x0fa341230d690b53ed6a55acd2f66f221eef9b08</v>
      </c>
      <c r="J200" s="11">
        <v>128.0900147211575</v>
      </c>
      <c r="K200" s="12">
        <v>284.64447715812776</v>
      </c>
      <c r="L200" s="13">
        <v>2.8464447715812776E20</v>
      </c>
      <c r="M200" s="9">
        <v>2.846444771581278E19</v>
      </c>
    </row>
    <row r="201" ht="15.75" customHeight="1">
      <c r="A201" s="8"/>
      <c r="B201" s="8"/>
      <c r="C201" s="8"/>
      <c r="D201" s="8">
        <v>25.8586390095807</v>
      </c>
      <c r="E201" s="9" t="s">
        <v>210</v>
      </c>
      <c r="I201" s="12" t="str">
        <f>IFERROR(__xludf.DUMMYFUNCTION("""COMPUTED_VALUE"""),"0x0fcfbb3da19b6ac3448ef32c1f38c722135ebd32")</f>
        <v>0x0fcfbb3da19b6ac3448ef32c1f38c722135ebd32</v>
      </c>
      <c r="J201" s="11">
        <v>25.8586390095807</v>
      </c>
      <c r="K201" s="12">
        <v>57.463642243512666</v>
      </c>
      <c r="L201" s="13">
        <v>5.746364224351266E19</v>
      </c>
      <c r="M201" s="9">
        <v>5.7463642243512668E18</v>
      </c>
    </row>
    <row r="202" ht="15.75" customHeight="1">
      <c r="A202" s="8"/>
      <c r="B202" s="8"/>
      <c r="C202" s="8"/>
      <c r="D202" s="8">
        <v>27.9026907562088</v>
      </c>
      <c r="E202" s="9" t="s">
        <v>211</v>
      </c>
      <c r="I202" s="12" t="str">
        <f>IFERROR(__xludf.DUMMYFUNCTION("""COMPUTED_VALUE"""),"0x0fcfd2c03dfb5d0a255f5a027c68824738f94a76")</f>
        <v>0x0fcfd2c03dfb5d0a255f5a027c68824738f94a76</v>
      </c>
      <c r="J202" s="11">
        <v>91.1199983031448</v>
      </c>
      <c r="K202" s="12">
        <v>202.48888511809955</v>
      </c>
      <c r="L202" s="13">
        <v>2.0248888511809955E20</v>
      </c>
      <c r="M202" s="9">
        <v>2.0248888511809958E19</v>
      </c>
    </row>
    <row r="203" ht="15.75" customHeight="1">
      <c r="A203" s="8"/>
      <c r="B203" s="8"/>
      <c r="C203" s="8"/>
      <c r="D203" s="8">
        <v>27.9026907562088</v>
      </c>
      <c r="E203" s="9" t="s">
        <v>212</v>
      </c>
      <c r="I203" s="12" t="str">
        <f>IFERROR(__xludf.DUMMYFUNCTION("""COMPUTED_VALUE"""),"0x0fcfedc4edd3cee8dbd003efe2d07c9a80a4b392")</f>
        <v>0x0fcfedc4edd3cee8dbd003efe2d07c9a80a4b392</v>
      </c>
      <c r="J203" s="11">
        <v>27.9026907562088</v>
      </c>
      <c r="K203" s="12">
        <v>62.005979458241775</v>
      </c>
      <c r="L203" s="13">
        <v>6.200597945824177E19</v>
      </c>
      <c r="M203" s="9">
        <v>6.2005979458241782E18</v>
      </c>
    </row>
    <row r="204" ht="15.75" customHeight="1">
      <c r="A204" s="8"/>
      <c r="B204" s="8"/>
      <c r="C204" s="8"/>
      <c r="D204" s="8">
        <v>27.8984846301334</v>
      </c>
      <c r="E204" s="9" t="s">
        <v>213</v>
      </c>
      <c r="I204" s="12" t="str">
        <f>IFERROR(__xludf.DUMMYFUNCTION("""COMPUTED_VALUE"""),"0x0fd28aedb6bd2336ac17e19b4e6cb4daa1dc58ce")</f>
        <v>0x0fd28aedb6bd2336ac17e19b4e6cb4daa1dc58ce</v>
      </c>
      <c r="J204" s="11">
        <v>27.8984846301334</v>
      </c>
      <c r="K204" s="12">
        <v>61.996632511407554</v>
      </c>
      <c r="L204" s="13">
        <v>6.1996632511407555E19</v>
      </c>
      <c r="M204" s="9">
        <v>6.1996632511407555E18</v>
      </c>
    </row>
    <row r="205" ht="15.75" customHeight="1">
      <c r="A205" s="8"/>
      <c r="B205" s="8"/>
      <c r="C205" s="8"/>
      <c r="D205" s="8">
        <v>27.9026907562088</v>
      </c>
      <c r="E205" s="9" t="s">
        <v>214</v>
      </c>
      <c r="I205" s="12" t="str">
        <f>IFERROR(__xludf.DUMMYFUNCTION("""COMPUTED_VALUE"""),"0x0fdd351acb5c0708f8657ed10e2b94d54c7d9850")</f>
        <v>0x0fdd351acb5c0708f8657ed10e2b94d54c7d9850</v>
      </c>
      <c r="J205" s="11">
        <v>27.9026907562088</v>
      </c>
      <c r="K205" s="12">
        <v>62.005979458241775</v>
      </c>
      <c r="L205" s="13">
        <v>6.200597945824177E19</v>
      </c>
      <c r="M205" s="9">
        <v>6.2005979458241782E18</v>
      </c>
    </row>
    <row r="206" ht="15.75" customHeight="1">
      <c r="A206" s="8"/>
      <c r="B206" s="8"/>
      <c r="C206" s="8"/>
      <c r="D206" s="8">
        <v>27.9026907562088</v>
      </c>
      <c r="E206" s="9" t="s">
        <v>215</v>
      </c>
      <c r="I206" s="12" t="str">
        <f>IFERROR(__xludf.DUMMYFUNCTION("""COMPUTED_VALUE"""),"0x0ff7c69308d0c4f6f326e6b092767a45e8d6611c")</f>
        <v>0x0ff7c69308d0c4f6f326e6b092767a45e8d6611c</v>
      </c>
      <c r="J206" s="11">
        <v>91.1199983031448</v>
      </c>
      <c r="K206" s="12">
        <v>202.48888511809955</v>
      </c>
      <c r="L206" s="13">
        <v>2.0248888511809955E20</v>
      </c>
      <c r="M206" s="9">
        <v>2.0248888511809958E19</v>
      </c>
    </row>
    <row r="207" ht="15.75" customHeight="1">
      <c r="A207" s="8"/>
      <c r="B207" s="8"/>
      <c r="C207" s="8"/>
      <c r="D207" s="8">
        <v>13.9062653053337</v>
      </c>
      <c r="E207" s="9" t="s">
        <v>216</v>
      </c>
      <c r="I207" s="12" t="str">
        <f>IFERROR(__xludf.DUMMYFUNCTION("""COMPUTED_VALUE"""),"0x100b4a6a63a2ccd32b87f1f7019814b19875c842")</f>
        <v>0x100b4a6a63a2ccd32b87f1f7019814b19875c842</v>
      </c>
      <c r="J207" s="11">
        <v>13.9062653053337</v>
      </c>
      <c r="K207" s="12">
        <v>30.902811789630444</v>
      </c>
      <c r="L207" s="13">
        <v>3.0902811789630444E19</v>
      </c>
      <c r="M207" s="9">
        <v>3.0902811789630444E18</v>
      </c>
    </row>
    <row r="208" ht="15.75" customHeight="1">
      <c r="A208" s="8"/>
      <c r="B208" s="8"/>
      <c r="C208" s="8"/>
      <c r="D208" s="8">
        <v>27.9026907562088</v>
      </c>
      <c r="E208" s="9" t="s">
        <v>217</v>
      </c>
      <c r="I208" s="12" t="str">
        <f>IFERROR(__xludf.DUMMYFUNCTION("""COMPUTED_VALUE"""),"0x101cb80a231f5192a52b8ff61a8fb98693875172")</f>
        <v>0x101cb80a231f5192a52b8ff61a8fb98693875172</v>
      </c>
      <c r="J208" s="11">
        <v>27.9026907562088</v>
      </c>
      <c r="K208" s="12">
        <v>62.005979458241775</v>
      </c>
      <c r="L208" s="13">
        <v>6.200597945824177E19</v>
      </c>
      <c r="M208" s="9">
        <v>6.2005979458241782E18</v>
      </c>
    </row>
    <row r="209" ht="15.75" customHeight="1">
      <c r="A209" s="8"/>
      <c r="B209" s="8"/>
      <c r="C209" s="8"/>
      <c r="D209" s="8">
        <v>27.9026907562088</v>
      </c>
      <c r="E209" s="9" t="s">
        <v>218</v>
      </c>
      <c r="I209" s="12" t="str">
        <f>IFERROR(__xludf.DUMMYFUNCTION("""COMPUTED_VALUE"""),"0x10329757b406111c0b2e2b7645e85dd06ec59bc3")</f>
        <v>0x10329757b406111c0b2e2b7645e85dd06ec59bc3</v>
      </c>
      <c r="J209" s="11">
        <v>27.9026907562088</v>
      </c>
      <c r="K209" s="12">
        <v>62.005979458241775</v>
      </c>
      <c r="L209" s="13">
        <v>6.200597945824177E19</v>
      </c>
      <c r="M209" s="9">
        <v>6.2005979458241782E18</v>
      </c>
    </row>
    <row r="210" ht="15.75" customHeight="1">
      <c r="A210" s="8"/>
      <c r="B210" s="8"/>
      <c r="C210" s="8"/>
      <c r="D210" s="8">
        <v>27.9026907562088</v>
      </c>
      <c r="E210" s="9" t="s">
        <v>219</v>
      </c>
      <c r="I210" s="12" t="str">
        <f>IFERROR(__xludf.DUMMYFUNCTION("""COMPUTED_VALUE"""),"0x104b62f68ac2482353f66afb9f8d4fddc34cfbc2")</f>
        <v>0x104b62f68ac2482353f66afb9f8d4fddc34cfbc2</v>
      </c>
      <c r="J210" s="11">
        <v>27.9026907562088</v>
      </c>
      <c r="K210" s="12">
        <v>62.005979458241775</v>
      </c>
      <c r="L210" s="13">
        <v>6.200597945824177E19</v>
      </c>
      <c r="M210" s="9">
        <v>6.2005979458241782E18</v>
      </c>
    </row>
    <row r="211" ht="15.75" customHeight="1">
      <c r="A211" s="8"/>
      <c r="B211" s="8"/>
      <c r="C211" s="8"/>
      <c r="D211" s="8">
        <v>27.9026907562088</v>
      </c>
      <c r="E211" s="9" t="s">
        <v>220</v>
      </c>
      <c r="I211" s="12" t="str">
        <f>IFERROR(__xludf.DUMMYFUNCTION("""COMPUTED_VALUE"""),"0x1053f4b74a78342ed5708dc96482f37bcab5a8b2")</f>
        <v>0x1053f4b74a78342ed5708dc96482f37bcab5a8b2</v>
      </c>
      <c r="J211" s="11">
        <v>91.1199983031448</v>
      </c>
      <c r="K211" s="12">
        <v>202.48888511809955</v>
      </c>
      <c r="L211" s="13">
        <v>2.0248888511809955E20</v>
      </c>
      <c r="M211" s="9">
        <v>2.0248888511809958E19</v>
      </c>
    </row>
    <row r="212" ht="15.75" customHeight="1">
      <c r="A212" s="8"/>
      <c r="B212" s="8"/>
      <c r="C212" s="8"/>
      <c r="D212" s="8">
        <v>18.7609552799089</v>
      </c>
      <c r="E212" s="9" t="s">
        <v>221</v>
      </c>
      <c r="I212" s="12" t="str">
        <f>IFERROR(__xludf.DUMMYFUNCTION("""COMPUTED_VALUE"""),"0x106b0e52888e39063f2ef121f32144046752dcb3")</f>
        <v>0x106b0e52888e39063f2ef121f32144046752dcb3</v>
      </c>
      <c r="J212" s="11">
        <v>49.3367922375953</v>
      </c>
      <c r="K212" s="12">
        <v>109.6373160835451</v>
      </c>
      <c r="L212" s="13">
        <v>1.096373160835451E20</v>
      </c>
      <c r="M212" s="9">
        <v>1.096373160835451E19</v>
      </c>
    </row>
    <row r="213" ht="15.75" customHeight="1">
      <c r="A213" s="8"/>
      <c r="B213" s="8"/>
      <c r="C213" s="8"/>
      <c r="D213" s="8">
        <v>27.9026907562088</v>
      </c>
      <c r="E213" s="9" t="s">
        <v>222</v>
      </c>
      <c r="I213" s="12" t="str">
        <f>IFERROR(__xludf.DUMMYFUNCTION("""COMPUTED_VALUE"""),"0x1076c2cfb8d1f3aa5bf050d8c0d6d128175bfeee")</f>
        <v>0x1076c2cfb8d1f3aa5bf050d8c0d6d128175bfeee</v>
      </c>
      <c r="J213" s="11">
        <v>135.7919595457848</v>
      </c>
      <c r="K213" s="12">
        <v>301.759910101744</v>
      </c>
      <c r="L213" s="13">
        <v>3.01759910101744E20</v>
      </c>
      <c r="M213" s="9">
        <v>3.0175991010174403E19</v>
      </c>
    </row>
    <row r="214" ht="15.75" customHeight="1">
      <c r="A214" s="8"/>
      <c r="B214" s="8"/>
      <c r="C214" s="8"/>
      <c r="D214" s="8">
        <v>27.9026907562088</v>
      </c>
      <c r="E214" s="9" t="s">
        <v>223</v>
      </c>
      <c r="I214" s="12" t="str">
        <f>IFERROR(__xludf.DUMMYFUNCTION("""COMPUTED_VALUE"""),"0x107a4dc0351bba0ed34b5eaf25815f71b346bddd")</f>
        <v>0x107a4dc0351bba0ed34b5eaf25815f71b346bddd</v>
      </c>
      <c r="J214" s="11">
        <v>91.1199983031448</v>
      </c>
      <c r="K214" s="12">
        <v>202.48888511809955</v>
      </c>
      <c r="L214" s="13">
        <v>2.0248888511809955E20</v>
      </c>
      <c r="M214" s="9">
        <v>2.0248888511809958E19</v>
      </c>
    </row>
    <row r="215" ht="15.75" customHeight="1">
      <c r="A215" s="8"/>
      <c r="B215" s="8"/>
      <c r="C215" s="8"/>
      <c r="D215" s="8">
        <v>27.9026907562088</v>
      </c>
      <c r="E215" s="9" t="s">
        <v>224</v>
      </c>
      <c r="I215" s="12" t="str">
        <f>IFERROR(__xludf.DUMMYFUNCTION("""COMPUTED_VALUE"""),"0x108ba4ba6f68f736b05a4256400ca7fe7cd8b0b6")</f>
        <v>0x108ba4ba6f68f736b05a4256400ca7fe7cd8b0b6</v>
      </c>
      <c r="J215" s="11">
        <v>27.9026907562088</v>
      </c>
      <c r="K215" s="12">
        <v>62.005979458241775</v>
      </c>
      <c r="L215" s="13">
        <v>6.200597945824177E19</v>
      </c>
      <c r="M215" s="9">
        <v>6.2005979458241782E18</v>
      </c>
    </row>
    <row r="216" ht="15.75" customHeight="1">
      <c r="A216" s="8"/>
      <c r="B216" s="8"/>
      <c r="C216" s="8"/>
      <c r="D216" s="8">
        <v>5.51922816138044</v>
      </c>
      <c r="E216" s="9" t="s">
        <v>225</v>
      </c>
      <c r="I216" s="12" t="str">
        <f>IFERROR(__xludf.DUMMYFUNCTION("""COMPUTED_VALUE"""),"0x109107ef557811122926ef0f561a4cf9b0d3889e")</f>
        <v>0x109107ef557811122926ef0f561a4cf9b0d3889e</v>
      </c>
      <c r="J216" s="11">
        <v>5.51922816138044</v>
      </c>
      <c r="K216" s="12">
        <v>12.26495146973431</v>
      </c>
      <c r="L216" s="13">
        <v>1.226495146973431E19</v>
      </c>
      <c r="M216" s="9">
        <v>1.22649514697343104E18</v>
      </c>
    </row>
    <row r="217" ht="15.75" customHeight="1">
      <c r="A217" s="8"/>
      <c r="B217" s="8"/>
      <c r="C217" s="8"/>
      <c r="D217" s="8">
        <v>27.9026907562088</v>
      </c>
      <c r="E217" s="9" t="s">
        <v>226</v>
      </c>
      <c r="I217" s="12" t="str">
        <f>IFERROR(__xludf.DUMMYFUNCTION("""COMPUTED_VALUE"""),"0x10b3fbf4059f3fa209cdb648e8b13aa0239864d0")</f>
        <v>0x10b3fbf4059f3fa209cdb648e8b13aa0239864d0</v>
      </c>
      <c r="J217" s="11">
        <v>27.9026907562088</v>
      </c>
      <c r="K217" s="12">
        <v>62.005979458241775</v>
      </c>
      <c r="L217" s="13">
        <v>6.200597945824177E19</v>
      </c>
      <c r="M217" s="9">
        <v>6.2005979458241782E18</v>
      </c>
    </row>
    <row r="218" ht="15.75" customHeight="1">
      <c r="A218" s="8"/>
      <c r="B218" s="8"/>
      <c r="C218" s="8"/>
      <c r="D218" s="8">
        <v>24.2421132276337</v>
      </c>
      <c r="E218" s="9" t="s">
        <v>227</v>
      </c>
      <c r="I218" s="12" t="str">
        <f>IFERROR(__xludf.DUMMYFUNCTION("""COMPUTED_VALUE"""),"0x10b97330dcbc75b25768600323184d7b2b1499f5")</f>
        <v>0x10b97330dcbc75b25768600323184d7b2b1499f5</v>
      </c>
      <c r="J218" s="11">
        <v>24.2421132276337</v>
      </c>
      <c r="K218" s="12">
        <v>53.871362728074885</v>
      </c>
      <c r="L218" s="13">
        <v>5.387136272807489E19</v>
      </c>
      <c r="M218" s="9">
        <v>5.3871362728074885E18</v>
      </c>
    </row>
    <row r="219" ht="15.75" customHeight="1">
      <c r="A219" s="8"/>
      <c r="B219" s="8"/>
      <c r="C219" s="8"/>
      <c r="D219" s="8">
        <v>27.9026907562088</v>
      </c>
      <c r="E219" s="9" t="s">
        <v>228</v>
      </c>
      <c r="I219" s="12" t="str">
        <f>IFERROR(__xludf.DUMMYFUNCTION("""COMPUTED_VALUE"""),"0x10ba3300c1e673a59070927b85dd49f030aa9bcc")</f>
        <v>0x10ba3300c1e673a59070927b85dd49f030aa9bcc</v>
      </c>
      <c r="J219" s="11">
        <v>91.1199983031448</v>
      </c>
      <c r="K219" s="12">
        <v>202.48888511809955</v>
      </c>
      <c r="L219" s="13">
        <v>2.0248888511809955E20</v>
      </c>
      <c r="M219" s="9">
        <v>2.0248888511809958E19</v>
      </c>
    </row>
    <row r="220" ht="15.75" customHeight="1">
      <c r="A220" s="8"/>
      <c r="B220" s="8"/>
      <c r="C220" s="8"/>
      <c r="D220" s="8">
        <v>27.9026907562088</v>
      </c>
      <c r="E220" s="9" t="s">
        <v>229</v>
      </c>
      <c r="I220" s="12" t="str">
        <f>IFERROR(__xludf.DUMMYFUNCTION("""COMPUTED_VALUE"""),"0x10bb8ab9aed0a46b788fc50a6066d28c39f214fe")</f>
        <v>0x10bb8ab9aed0a46b788fc50a6066d28c39f214fe</v>
      </c>
      <c r="J220" s="11">
        <v>27.9026907562088</v>
      </c>
      <c r="K220" s="12">
        <v>62.005979458241775</v>
      </c>
      <c r="L220" s="13">
        <v>6.200597945824177E19</v>
      </c>
      <c r="M220" s="9">
        <v>6.2005979458241782E18</v>
      </c>
    </row>
    <row r="221" ht="15.75" customHeight="1">
      <c r="A221" s="8"/>
      <c r="B221" s="8"/>
      <c r="C221" s="8"/>
      <c r="D221" s="8">
        <v>13.1278868179192</v>
      </c>
      <c r="E221" s="9" t="s">
        <v>230</v>
      </c>
      <c r="I221" s="12" t="str">
        <f>IFERROR(__xludf.DUMMYFUNCTION("""COMPUTED_VALUE"""),"0x10bdabe608156001b58b10df67647482283a0918")</f>
        <v>0x10bdabe608156001b58b10df67647482283a0918</v>
      </c>
      <c r="J221" s="11">
        <v>13.1278868179192</v>
      </c>
      <c r="K221" s="12">
        <v>29.17308181759822</v>
      </c>
      <c r="L221" s="13">
        <v>2.917308181759822E19</v>
      </c>
      <c r="M221" s="9">
        <v>2.9173081817598218E18</v>
      </c>
    </row>
    <row r="222" ht="15.75" customHeight="1">
      <c r="A222" s="8"/>
      <c r="B222" s="8"/>
      <c r="C222" s="8"/>
      <c r="D222" s="8">
        <v>24.174552445006</v>
      </c>
      <c r="E222" s="9" t="s">
        <v>231</v>
      </c>
      <c r="I222" s="12" t="str">
        <f>IFERROR(__xludf.DUMMYFUNCTION("""COMPUTED_VALUE"""),"0x11122be660fb9796e06d2a907df271f787f2a6de")</f>
        <v>0x11122be660fb9796e06d2a907df271f787f2a6de</v>
      </c>
      <c r="J222" s="11">
        <v>24.174552445006</v>
      </c>
      <c r="K222" s="12">
        <v>53.72122765556889</v>
      </c>
      <c r="L222" s="13">
        <v>5.372122765556889E19</v>
      </c>
      <c r="M222" s="9">
        <v>5.3721227655568896E18</v>
      </c>
    </row>
    <row r="223" ht="15.75" customHeight="1">
      <c r="A223" s="8"/>
      <c r="B223" s="8"/>
      <c r="C223" s="8"/>
      <c r="D223" s="8">
        <v>2.95367154047745</v>
      </c>
      <c r="E223" s="9" t="s">
        <v>232</v>
      </c>
      <c r="I223" s="12" t="str">
        <f>IFERROR(__xludf.DUMMYFUNCTION("""COMPUTED_VALUE"""),"0x11178a0e6f92b6c0a7009ec46a1b65641dcc9725")</f>
        <v>0x11178a0e6f92b6c0a7009ec46a1b65641dcc9725</v>
      </c>
      <c r="J223" s="11">
        <v>3.0477191936574393</v>
      </c>
      <c r="K223" s="12">
        <v>6.7727093192387535</v>
      </c>
      <c r="L223" s="13">
        <v>6.7727093192387533E18</v>
      </c>
      <c r="M223" s="9">
        <v>6.7727093192387533E17</v>
      </c>
    </row>
    <row r="224" ht="15.75" customHeight="1">
      <c r="A224" s="8"/>
      <c r="B224" s="8"/>
      <c r="C224" s="8"/>
      <c r="D224" s="8">
        <v>27.9026907562088</v>
      </c>
      <c r="E224" s="9" t="s">
        <v>233</v>
      </c>
      <c r="I224" s="12" t="str">
        <f>IFERROR(__xludf.DUMMYFUNCTION("""COMPUTED_VALUE"""),"0x113820627a5234c8511473cae1d9d52f2fe6b5f4")</f>
        <v>0x113820627a5234c8511473cae1d9d52f2fe6b5f4</v>
      </c>
      <c r="J224" s="11">
        <v>27.9026907562088</v>
      </c>
      <c r="K224" s="12">
        <v>62.005979458241775</v>
      </c>
      <c r="L224" s="13">
        <v>6.200597945824177E19</v>
      </c>
      <c r="M224" s="9">
        <v>6.2005979458241782E18</v>
      </c>
    </row>
    <row r="225" ht="15.75" customHeight="1">
      <c r="A225" s="8"/>
      <c r="B225" s="8"/>
      <c r="C225" s="8"/>
      <c r="D225" s="8">
        <v>17.7409159845296</v>
      </c>
      <c r="E225" s="9" t="s">
        <v>234</v>
      </c>
      <c r="I225" s="12" t="str">
        <f>IFERROR(__xludf.DUMMYFUNCTION("""COMPUTED_VALUE"""),"0x1141740f9a8a1d3ff192a98ca16a6007bc359d2e")</f>
        <v>0x1141740f9a8a1d3ff192a98ca16a6007bc359d2e</v>
      </c>
      <c r="J225" s="11">
        <v>58.780730378109276</v>
      </c>
      <c r="K225" s="12">
        <v>130.62384528468726</v>
      </c>
      <c r="L225" s="13">
        <v>1.3062384528468727E20</v>
      </c>
      <c r="M225" s="9">
        <v>1.3062384528468728E19</v>
      </c>
    </row>
    <row r="226" ht="15.75" customHeight="1">
      <c r="A226" s="8"/>
      <c r="B226" s="8"/>
      <c r="C226" s="8"/>
      <c r="D226" s="8">
        <v>25.7305845935709</v>
      </c>
      <c r="E226" s="9" t="s">
        <v>235</v>
      </c>
      <c r="I226" s="12" t="str">
        <f>IFERROR(__xludf.DUMMYFUNCTION("""COMPUTED_VALUE"""),"0x1147db22bbd38b6cef614bb2c843c717d3ff4cf2")</f>
        <v>0x1147db22bbd38b6cef614bb2c843c717d3ff4cf2</v>
      </c>
      <c r="J226" s="11">
        <v>25.7305845935709</v>
      </c>
      <c r="K226" s="12">
        <v>57.179076874601996</v>
      </c>
      <c r="L226" s="13">
        <v>5.7179076874602E19</v>
      </c>
      <c r="M226" s="9">
        <v>5.7179076874602004E18</v>
      </c>
    </row>
    <row r="227" ht="15.75" customHeight="1">
      <c r="A227" s="8"/>
      <c r="B227" s="8"/>
      <c r="C227" s="8"/>
      <c r="D227" s="8">
        <v>27.9026907562088</v>
      </c>
      <c r="E227" s="9" t="s">
        <v>236</v>
      </c>
      <c r="I227" s="12" t="str">
        <f>IFERROR(__xludf.DUMMYFUNCTION("""COMPUTED_VALUE"""),"0x11742bfcbc0fed892a0dd7e0a6ca04efdcc363b9")</f>
        <v>0x11742bfcbc0fed892a0dd7e0a6ca04efdcc363b9</v>
      </c>
      <c r="J227" s="11">
        <v>27.9026907562088</v>
      </c>
      <c r="K227" s="12">
        <v>62.005979458241775</v>
      </c>
      <c r="L227" s="13">
        <v>6.200597945824177E19</v>
      </c>
      <c r="M227" s="9">
        <v>6.2005979458241782E18</v>
      </c>
    </row>
    <row r="228" ht="15.75" customHeight="1">
      <c r="A228" s="8"/>
      <c r="B228" s="8"/>
      <c r="C228" s="8"/>
      <c r="D228" s="8">
        <v>16.7416144537253</v>
      </c>
      <c r="E228" s="9" t="s">
        <v>237</v>
      </c>
      <c r="I228" s="12" t="str">
        <f>IFERROR(__xludf.DUMMYFUNCTION("""COMPUTED_VALUE"""),"0x11bbc8a3a6478f8f32014cabccfdf574507972c6")</f>
        <v>0x11bbc8a3a6478f8f32014cabccfdf574507972c6</v>
      </c>
      <c r="J228" s="11">
        <v>16.7416144537253</v>
      </c>
      <c r="K228" s="12">
        <v>37.20358767494511</v>
      </c>
      <c r="L228" s="13">
        <v>3.720358767494511E19</v>
      </c>
      <c r="M228" s="9">
        <v>3.7203587674945111E18</v>
      </c>
    </row>
    <row r="229" ht="15.75" customHeight="1">
      <c r="A229" s="8"/>
      <c r="B229" s="8"/>
      <c r="C229" s="8"/>
      <c r="D229" s="8">
        <v>27.9026907562088</v>
      </c>
      <c r="E229" s="9" t="s">
        <v>238</v>
      </c>
      <c r="I229" s="12" t="str">
        <f>IFERROR(__xludf.DUMMYFUNCTION("""COMPUTED_VALUE"""),"0x11cd1d44968c69ad8fd3712edfd9683093932a95")</f>
        <v>0x11cd1d44968c69ad8fd3712edfd9683093932a95</v>
      </c>
      <c r="J229" s="11">
        <v>30.43138305808624</v>
      </c>
      <c r="K229" s="12">
        <v>67.62529568463609</v>
      </c>
      <c r="L229" s="13">
        <v>6.762529568463608E19</v>
      </c>
      <c r="M229" s="9">
        <v>6.7625295684636088E18</v>
      </c>
    </row>
    <row r="230" ht="15.75" customHeight="1">
      <c r="A230" s="8"/>
      <c r="B230" s="8"/>
      <c r="C230" s="8"/>
      <c r="D230" s="8">
        <v>19.458036504223</v>
      </c>
      <c r="E230" s="9" t="s">
        <v>239</v>
      </c>
      <c r="I230" s="12" t="str">
        <f>IFERROR(__xludf.DUMMYFUNCTION("""COMPUTED_VALUE"""),"0x11ce9217670b1e47d54c5079e5fc120140f3bb00")</f>
        <v>0x11ce9217670b1e47d54c5079e5fc120140f3bb00</v>
      </c>
      <c r="J230" s="11">
        <v>66.03799980640345</v>
      </c>
      <c r="K230" s="12">
        <v>146.75111068089655</v>
      </c>
      <c r="L230" s="13">
        <v>1.4675111068089655E20</v>
      </c>
      <c r="M230" s="9">
        <v>1.4675111068089655E19</v>
      </c>
    </row>
    <row r="231" ht="15.75" customHeight="1">
      <c r="A231" s="8"/>
      <c r="B231" s="8"/>
      <c r="C231" s="8"/>
      <c r="D231" s="8">
        <v>27.9026907562088</v>
      </c>
      <c r="E231" s="9" t="s">
        <v>240</v>
      </c>
      <c r="I231" s="12" t="str">
        <f>IFERROR(__xludf.DUMMYFUNCTION("""COMPUTED_VALUE"""),"0x11f7c8f8354b0e26ae730014ccccaa95e16d77e4")</f>
        <v>0x11f7c8f8354b0e26ae730014ccccaa95e16d77e4</v>
      </c>
      <c r="J231" s="11">
        <v>91.1199983031448</v>
      </c>
      <c r="K231" s="12">
        <v>202.48888511809955</v>
      </c>
      <c r="L231" s="13">
        <v>2.0248888511809955E20</v>
      </c>
      <c r="M231" s="9">
        <v>2.0248888511809958E19</v>
      </c>
    </row>
    <row r="232" ht="15.75" customHeight="1">
      <c r="A232" s="8"/>
      <c r="B232" s="8"/>
      <c r="C232" s="8"/>
      <c r="D232" s="8">
        <v>27.9026907562088</v>
      </c>
      <c r="E232" s="9" t="s">
        <v>241</v>
      </c>
      <c r="I232" s="12" t="str">
        <f>IFERROR(__xludf.DUMMYFUNCTION("""COMPUTED_VALUE"""),"0x12325ca1c008a9458bf95d0219ecb7167c819b64")</f>
        <v>0x12325ca1c008a9458bf95d0219ecb7167c819b64</v>
      </c>
      <c r="J232" s="11">
        <v>91.1199983031448</v>
      </c>
      <c r="K232" s="12">
        <v>202.48888511809955</v>
      </c>
      <c r="L232" s="13">
        <v>2.0248888511809955E20</v>
      </c>
      <c r="M232" s="9">
        <v>2.0248888511809958E19</v>
      </c>
    </row>
    <row r="233" ht="15.75" customHeight="1">
      <c r="A233" s="8"/>
      <c r="B233" s="8"/>
      <c r="C233" s="8"/>
      <c r="D233" s="8">
        <v>27.9026907562088</v>
      </c>
      <c r="E233" s="9" t="s">
        <v>242</v>
      </c>
      <c r="I233" s="12" t="str">
        <f>IFERROR(__xludf.DUMMYFUNCTION("""COMPUTED_VALUE"""),"0x1233dd90d5334c8d7d0a7e14fd0b9638235402cb")</f>
        <v>0x1233dd90d5334c8d7d0a7e14fd0b9638235402cb</v>
      </c>
      <c r="J233" s="11">
        <v>93.02687283417913</v>
      </c>
      <c r="K233" s="12">
        <v>206.7263840759536</v>
      </c>
      <c r="L233" s="13">
        <v>2.067263840759536E20</v>
      </c>
      <c r="M233" s="9">
        <v>2.067263840759536E19</v>
      </c>
    </row>
    <row r="234" ht="15.75" customHeight="1">
      <c r="A234" s="8"/>
      <c r="B234" s="8"/>
      <c r="C234" s="8"/>
      <c r="D234" s="8">
        <v>25.786213029957</v>
      </c>
      <c r="E234" s="9" t="s">
        <v>243</v>
      </c>
      <c r="I234" s="12" t="str">
        <f>IFERROR(__xludf.DUMMYFUNCTION("""COMPUTED_VALUE"""),"0x12398851149137dc6cb8d4960a6d41961b0cf660")</f>
        <v>0x12398851149137dc6cb8d4960a6d41961b0cf660</v>
      </c>
      <c r="J234" s="11">
        <v>25.786213029957</v>
      </c>
      <c r="K234" s="12">
        <v>57.30269562212666</v>
      </c>
      <c r="L234" s="13">
        <v>5.7302695622126666E19</v>
      </c>
      <c r="M234" s="9">
        <v>5.7302695622126674E18</v>
      </c>
    </row>
    <row r="235" ht="15.75" customHeight="1">
      <c r="A235" s="8"/>
      <c r="B235" s="8"/>
      <c r="C235" s="8"/>
      <c r="D235" s="8">
        <v>27.9026907562088</v>
      </c>
      <c r="E235" s="9" t="s">
        <v>244</v>
      </c>
      <c r="I235" s="12" t="str">
        <f>IFERROR(__xludf.DUMMYFUNCTION("""COMPUTED_VALUE"""),"0x125704406818124eb8a940a5443dc14d0f6fc9c5")</f>
        <v>0x125704406818124eb8a940a5443dc14d0f6fc9c5</v>
      </c>
      <c r="J235" s="11">
        <v>27.9026907562088</v>
      </c>
      <c r="K235" s="12">
        <v>62.005979458241775</v>
      </c>
      <c r="L235" s="13">
        <v>6.200597945824177E19</v>
      </c>
      <c r="M235" s="9">
        <v>6.2005979458241782E18</v>
      </c>
    </row>
    <row r="236" ht="15.75" customHeight="1">
      <c r="A236" s="8"/>
      <c r="B236" s="8"/>
      <c r="C236" s="8"/>
      <c r="D236" s="8">
        <v>27.9026907562088</v>
      </c>
      <c r="E236" s="9" t="s">
        <v>245</v>
      </c>
      <c r="I236" s="12" t="str">
        <f>IFERROR(__xludf.DUMMYFUNCTION("""COMPUTED_VALUE"""),"0x1264c94c2dddfe9586b466c47478bcec34321a72")</f>
        <v>0x1264c94c2dddfe9586b466c47478bcec34321a72</v>
      </c>
      <c r="J236" s="11">
        <v>91.1199983031448</v>
      </c>
      <c r="K236" s="12">
        <v>202.48888511809955</v>
      </c>
      <c r="L236" s="13">
        <v>2.0248888511809955E20</v>
      </c>
      <c r="M236" s="9">
        <v>2.0248888511809958E19</v>
      </c>
    </row>
    <row r="237" ht="15.75" customHeight="1">
      <c r="A237" s="8"/>
      <c r="B237" s="8"/>
      <c r="C237" s="8"/>
      <c r="D237" s="8">
        <v>27.9026907562088</v>
      </c>
      <c r="E237" s="9" t="s">
        <v>246</v>
      </c>
      <c r="I237" s="12" t="str">
        <f>IFERROR(__xludf.DUMMYFUNCTION("""COMPUTED_VALUE"""),"0x127d85c7b883d80428c0bbb4019d55ef9bbde57e")</f>
        <v>0x127d85c7b883d80428c0bbb4019d55ef9bbde57e</v>
      </c>
      <c r="J237" s="11">
        <v>27.9026907562088</v>
      </c>
      <c r="K237" s="12">
        <v>62.005979458241775</v>
      </c>
      <c r="L237" s="13">
        <v>6.200597945824177E19</v>
      </c>
      <c r="M237" s="9">
        <v>6.2005979458241782E18</v>
      </c>
    </row>
    <row r="238" ht="15.75" customHeight="1">
      <c r="A238" s="8"/>
      <c r="B238" s="8"/>
      <c r="C238" s="8"/>
      <c r="D238" s="8">
        <v>8.2480880605912</v>
      </c>
      <c r="E238" s="9" t="s">
        <v>247</v>
      </c>
      <c r="I238" s="12" t="str">
        <f>IFERROR(__xludf.DUMMYFUNCTION("""COMPUTED_VALUE"""),"0x12d854a831c9511a9452d8b6fe76f950dbec3aa6")</f>
        <v>0x12d854a831c9511a9452d8b6fe76f950dbec3aa6</v>
      </c>
      <c r="J238" s="11">
        <v>8.2480880605912</v>
      </c>
      <c r="K238" s="12">
        <v>18.329084579091557</v>
      </c>
      <c r="L238" s="13">
        <v>1.8329084579091556E19</v>
      </c>
      <c r="M238" s="9">
        <v>1.83290845790915584E18</v>
      </c>
    </row>
    <row r="239" ht="15.75" customHeight="1">
      <c r="A239" s="8"/>
      <c r="B239" s="8"/>
      <c r="C239" s="8"/>
      <c r="D239" s="8">
        <v>27.9026907562088</v>
      </c>
      <c r="E239" s="9" t="s">
        <v>248</v>
      </c>
      <c r="I239" s="12" t="str">
        <f>IFERROR(__xludf.DUMMYFUNCTION("""COMPUTED_VALUE"""),"0x12fbe87ca2674036a9d5d6cf2593043efbee1a6c")</f>
        <v>0x12fbe87ca2674036a9d5d6cf2593043efbee1a6c</v>
      </c>
      <c r="J239" s="11">
        <v>117.9452351226274</v>
      </c>
      <c r="K239" s="12">
        <v>262.10052249472756</v>
      </c>
      <c r="L239" s="13">
        <v>2.6210052249472755E20</v>
      </c>
      <c r="M239" s="9">
        <v>2.6210052249472758E19</v>
      </c>
    </row>
    <row r="240" ht="15.75" customHeight="1">
      <c r="A240" s="8"/>
      <c r="B240" s="8"/>
      <c r="C240" s="8"/>
      <c r="D240" s="8">
        <v>27.9026907562088</v>
      </c>
      <c r="E240" s="9" t="s">
        <v>249</v>
      </c>
      <c r="I240" s="12" t="str">
        <f>IFERROR(__xludf.DUMMYFUNCTION("""COMPUTED_VALUE"""),"0x132eba8e3ffdd419a9550e4c061185f3bcbce473")</f>
        <v>0x132eba8e3ffdd419a9550e4c061185f3bcbce473</v>
      </c>
      <c r="J240" s="11">
        <v>27.9026907562088</v>
      </c>
      <c r="K240" s="12">
        <v>62.005979458241775</v>
      </c>
      <c r="L240" s="13">
        <v>6.200597945824177E19</v>
      </c>
      <c r="M240" s="9">
        <v>6.2005979458241782E18</v>
      </c>
    </row>
    <row r="241" ht="15.75" customHeight="1">
      <c r="A241" s="8"/>
      <c r="B241" s="8"/>
      <c r="C241" s="8"/>
      <c r="D241" s="8">
        <v>13.7146434182615</v>
      </c>
      <c r="E241" s="9" t="s">
        <v>250</v>
      </c>
      <c r="I241" s="12" t="str">
        <f>IFERROR(__xludf.DUMMYFUNCTION("""COMPUTED_VALUE"""),"0x13372eb9b8d373caa90dd619c9d1654d186351c9")</f>
        <v>0x13372eb9b8d373caa90dd619c9d1654d186351c9</v>
      </c>
      <c r="J241" s="11">
        <v>25.687134792783603</v>
      </c>
      <c r="K241" s="12">
        <v>57.08252176174134</v>
      </c>
      <c r="L241" s="13">
        <v>5.708252176174134E19</v>
      </c>
      <c r="M241" s="9">
        <v>5.7082521761741343E18</v>
      </c>
    </row>
    <row r="242" ht="15.75" customHeight="1">
      <c r="A242" s="8"/>
      <c r="B242" s="8"/>
      <c r="C242" s="8"/>
      <c r="D242" s="8">
        <v>27.9026907562088</v>
      </c>
      <c r="E242" s="9" t="s">
        <v>251</v>
      </c>
      <c r="I242" s="12" t="str">
        <f>IFERROR(__xludf.DUMMYFUNCTION("""COMPUTED_VALUE"""),"0x134d0698e39839fceb54d3a66f1f177c85ebc683")</f>
        <v>0x134d0698e39839fceb54d3a66f1f177c85ebc683</v>
      </c>
      <c r="J242" s="11">
        <v>209.91651566924878</v>
      </c>
      <c r="K242" s="12">
        <v>466.48114593166395</v>
      </c>
      <c r="L242" s="13">
        <v>4.6648114593166393E20</v>
      </c>
      <c r="M242" s="9">
        <v>4.664811459316639E19</v>
      </c>
    </row>
    <row r="243" ht="15.75" customHeight="1">
      <c r="A243" s="8"/>
      <c r="B243" s="8"/>
      <c r="C243" s="8"/>
      <c r="D243" s="8">
        <v>27.9026907562088</v>
      </c>
      <c r="E243" s="9" t="s">
        <v>252</v>
      </c>
      <c r="I243" s="12" t="str">
        <f>IFERROR(__xludf.DUMMYFUNCTION("""COMPUTED_VALUE"""),"0x134fc9c075cd7567e4844f21660316cae8dcbd73")</f>
        <v>0x134fc9c075cd7567e4844f21660316cae8dcbd73</v>
      </c>
      <c r="J243" s="11">
        <v>91.1199983031448</v>
      </c>
      <c r="K243" s="12">
        <v>202.48888511809955</v>
      </c>
      <c r="L243" s="13">
        <v>2.0248888511809955E20</v>
      </c>
      <c r="M243" s="9">
        <v>2.0248888511809958E19</v>
      </c>
    </row>
    <row r="244" ht="15.75" customHeight="1">
      <c r="A244" s="8"/>
      <c r="B244" s="8"/>
      <c r="C244" s="8"/>
      <c r="D244" s="8">
        <v>20.9535401318007</v>
      </c>
      <c r="E244" s="9" t="s">
        <v>253</v>
      </c>
      <c r="I244" s="12" t="str">
        <f>IFERROR(__xludf.DUMMYFUNCTION("""COMPUTED_VALUE"""),"0x135178f9ef74b1d45bef923d43e06c222b5552c9")</f>
        <v>0x135178f9ef74b1d45bef923d43e06c222b5552c9</v>
      </c>
      <c r="J244" s="11">
        <v>20.9535401318007</v>
      </c>
      <c r="K244" s="12">
        <v>46.56342251511267</v>
      </c>
      <c r="L244" s="13">
        <v>4.656342251511267E19</v>
      </c>
      <c r="M244" s="9">
        <v>4.6563422515112673E18</v>
      </c>
    </row>
    <row r="245" ht="15.75" customHeight="1">
      <c r="A245" s="8"/>
      <c r="B245" s="8"/>
      <c r="C245" s="8"/>
      <c r="D245" s="8">
        <v>27.9026907562088</v>
      </c>
      <c r="E245" s="9" t="s">
        <v>254</v>
      </c>
      <c r="I245" s="12" t="str">
        <f>IFERROR(__xludf.DUMMYFUNCTION("""COMPUTED_VALUE"""),"0x135c717655f544f1b4c3e26ed960d611b0e2dc15")</f>
        <v>0x135c717655f544f1b4c3e26ed960d611b0e2dc15</v>
      </c>
      <c r="J245" s="11">
        <v>72.87067796704619</v>
      </c>
      <c r="K245" s="12">
        <v>161.9348399267693</v>
      </c>
      <c r="L245" s="13">
        <v>1.6193483992676932E20</v>
      </c>
      <c r="M245" s="9">
        <v>1.6193483992676934E19</v>
      </c>
    </row>
    <row r="246" ht="15.75" customHeight="1">
      <c r="A246" s="8"/>
      <c r="B246" s="8"/>
      <c r="C246" s="8"/>
      <c r="D246" s="8">
        <v>27.9026907562088</v>
      </c>
      <c r="E246" s="9" t="s">
        <v>255</v>
      </c>
      <c r="I246" s="12" t="str">
        <f>IFERROR(__xludf.DUMMYFUNCTION("""COMPUTED_VALUE"""),"0x136b0df2574bbe0af50c1c590d90a5346fcab2b3")</f>
        <v>0x136b0df2574bbe0af50c1c590d90a5346fcab2b3</v>
      </c>
      <c r="J246" s="11">
        <v>27.9026907562088</v>
      </c>
      <c r="K246" s="12">
        <v>62.005979458241775</v>
      </c>
      <c r="L246" s="13">
        <v>6.200597945824177E19</v>
      </c>
      <c r="M246" s="9">
        <v>6.2005979458241782E18</v>
      </c>
    </row>
    <row r="247" ht="15.75" customHeight="1">
      <c r="A247" s="8"/>
      <c r="B247" s="8"/>
      <c r="C247" s="8"/>
      <c r="D247" s="8">
        <v>27.9026907562088</v>
      </c>
      <c r="E247" s="9" t="s">
        <v>256</v>
      </c>
      <c r="I247" s="12" t="str">
        <f>IFERROR(__xludf.DUMMYFUNCTION("""COMPUTED_VALUE"""),"0x136e409d3c13dbf044d8eca5e6c22cb0a7915500")</f>
        <v>0x136e409d3c13dbf044d8eca5e6c22cb0a7915500</v>
      </c>
      <c r="J247" s="11">
        <v>27.9026907562088</v>
      </c>
      <c r="K247" s="12">
        <v>62.005979458241775</v>
      </c>
      <c r="L247" s="13">
        <v>6.200597945824177E19</v>
      </c>
      <c r="M247" s="9">
        <v>6.2005979458241782E18</v>
      </c>
    </row>
    <row r="248" ht="15.75" customHeight="1">
      <c r="A248" s="8"/>
      <c r="B248" s="8"/>
      <c r="C248" s="8"/>
      <c r="D248" s="8">
        <v>25.8371675545646</v>
      </c>
      <c r="E248" s="9" t="s">
        <v>257</v>
      </c>
      <c r="I248" s="12" t="str">
        <f>IFERROR(__xludf.DUMMYFUNCTION("""COMPUTED_VALUE"""),"0x13a881d54b975409ff64fdb48eca99f1d9063559")</f>
        <v>0x13a881d54b975409ff64fdb48eca99f1d9063559</v>
      </c>
      <c r="J248" s="11">
        <v>64.73472938210949</v>
      </c>
      <c r="K248" s="12">
        <v>143.85495418246555</v>
      </c>
      <c r="L248" s="13">
        <v>1.4385495418246555E20</v>
      </c>
      <c r="M248" s="9">
        <v>1.4385495418246556E19</v>
      </c>
    </row>
    <row r="249" ht="15.75" customHeight="1">
      <c r="A249" s="8"/>
      <c r="B249" s="8"/>
      <c r="C249" s="8"/>
      <c r="D249" s="8">
        <v>18.7511215596325</v>
      </c>
      <c r="E249" s="9" t="s">
        <v>258</v>
      </c>
      <c r="I249" s="12" t="str">
        <f>IFERROR(__xludf.DUMMYFUNCTION("""COMPUTED_VALUE"""),"0x13a90511e855afd3d36b1018a7e18a4be39368ef")</f>
        <v>0x13a90511e855afd3d36b1018a7e18a4be39368ef</v>
      </c>
      <c r="J249" s="11">
        <v>18.7511215596325</v>
      </c>
      <c r="K249" s="12">
        <v>41.669159021405555</v>
      </c>
      <c r="L249" s="13">
        <v>4.166915902140555E19</v>
      </c>
      <c r="M249" s="9">
        <v>4.1669159021405553E18</v>
      </c>
    </row>
    <row r="250" ht="15.75" customHeight="1">
      <c r="A250" s="8"/>
      <c r="B250" s="8"/>
      <c r="C250" s="8"/>
      <c r="D250" s="8">
        <v>19.5639822679097</v>
      </c>
      <c r="E250" s="9" t="s">
        <v>259</v>
      </c>
      <c r="I250" s="12" t="str">
        <f>IFERROR(__xludf.DUMMYFUNCTION("""COMPUTED_VALUE"""),"0x13cb4224483b95a5b12abf65b3614f0173fb2384")</f>
        <v>0x13cb4224483b95a5b12abf65b3614f0173fb2384</v>
      </c>
      <c r="J250" s="11">
        <v>19.5639822679097</v>
      </c>
      <c r="K250" s="12">
        <v>43.475516150910444</v>
      </c>
      <c r="L250" s="13">
        <v>4.347551615091044E19</v>
      </c>
      <c r="M250" s="9">
        <v>4.3475516150910444E18</v>
      </c>
    </row>
    <row r="251" ht="15.75" customHeight="1">
      <c r="A251" s="8"/>
      <c r="B251" s="8"/>
      <c r="C251" s="8"/>
      <c r="D251" s="8">
        <v>27.9026907562088</v>
      </c>
      <c r="E251" s="9" t="s">
        <v>260</v>
      </c>
      <c r="I251" s="12" t="str">
        <f>IFERROR(__xludf.DUMMYFUNCTION("""COMPUTED_VALUE"""),"0x13e2b15a146a2000bdffe847185e6a0d527b2c6d")</f>
        <v>0x13e2b15a146a2000bdffe847185e6a0d527b2c6d</v>
      </c>
      <c r="J251" s="11">
        <v>178.6159632644866</v>
      </c>
      <c r="K251" s="12">
        <v>396.9243628099702</v>
      </c>
      <c r="L251" s="13">
        <v>3.969243628099702E20</v>
      </c>
      <c r="M251" s="9">
        <v>3.969243628099702E19</v>
      </c>
    </row>
    <row r="252" ht="15.75" customHeight="1">
      <c r="A252" s="8"/>
      <c r="B252" s="8"/>
      <c r="C252" s="8"/>
      <c r="D252" s="8">
        <v>27.9026907562088</v>
      </c>
      <c r="E252" s="9" t="s">
        <v>261</v>
      </c>
      <c r="I252" s="12" t="str">
        <f>IFERROR(__xludf.DUMMYFUNCTION("""COMPUTED_VALUE"""),"0x13fefdd563a930f07b1ac8a2227acc27c3c12946")</f>
        <v>0x13fefdd563a930f07b1ac8a2227acc27c3c12946</v>
      </c>
      <c r="J252" s="11">
        <v>1245.1131644838247</v>
      </c>
      <c r="K252" s="12">
        <v>2766.9181432973883</v>
      </c>
      <c r="L252" s="13">
        <v>2.766918143297388E21</v>
      </c>
      <c r="M252" s="9">
        <v>2.7669181432973882E20</v>
      </c>
    </row>
    <row r="253" ht="15.75" customHeight="1">
      <c r="A253" s="8"/>
      <c r="B253" s="8"/>
      <c r="C253" s="8"/>
      <c r="D253" s="8">
        <v>7.27049020701069</v>
      </c>
      <c r="E253" s="9" t="s">
        <v>262</v>
      </c>
      <c r="I253" s="12" t="str">
        <f>IFERROR(__xludf.DUMMYFUNCTION("""COMPUTED_VALUE"""),"0x143e0ba79f6a1f3fa40fbfa5204e5d867996e6b6")</f>
        <v>0x143e0ba79f6a1f3fa40fbfa5204e5d867996e6b6</v>
      </c>
      <c r="J253" s="11">
        <v>7.27049020701069</v>
      </c>
      <c r="K253" s="12">
        <v>16.156644904468198</v>
      </c>
      <c r="L253" s="13">
        <v>1.6156644904468197E19</v>
      </c>
      <c r="M253" s="9">
        <v>1.61566449044681984E18</v>
      </c>
    </row>
    <row r="254" ht="15.75" customHeight="1">
      <c r="A254" s="8"/>
      <c r="B254" s="8"/>
      <c r="C254" s="8"/>
      <c r="D254" s="8">
        <v>16.5903552489785</v>
      </c>
      <c r="E254" s="9" t="s">
        <v>263</v>
      </c>
      <c r="I254" s="12" t="str">
        <f>IFERROR(__xludf.DUMMYFUNCTION("""COMPUTED_VALUE"""),"0x145109949f6af5e9068714aa8376a862e6e26bfe")</f>
        <v>0x145109949f6af5e9068714aa8376a862e6e26bfe</v>
      </c>
      <c r="J254" s="11">
        <v>60.787649078328585</v>
      </c>
      <c r="K254" s="12">
        <v>135.08366461850795</v>
      </c>
      <c r="L254" s="13">
        <v>1.3508366461850796E20</v>
      </c>
      <c r="M254" s="9">
        <v>1.3508366461850796E19</v>
      </c>
    </row>
    <row r="255" ht="15.75" customHeight="1">
      <c r="A255" s="8"/>
      <c r="B255" s="8"/>
      <c r="C255" s="8"/>
      <c r="D255" s="8">
        <v>27.6973040843715</v>
      </c>
      <c r="E255" s="9" t="s">
        <v>264</v>
      </c>
      <c r="I255" s="12" t="str">
        <f>IFERROR(__xludf.DUMMYFUNCTION("""COMPUTED_VALUE"""),"0x145b169a658722b78eebeb1a6a4e26ab64ac43cd")</f>
        <v>0x145b169a658722b78eebeb1a6a4e26ab64ac43cd</v>
      </c>
      <c r="J255" s="11">
        <v>27.6973040843715</v>
      </c>
      <c r="K255" s="12">
        <v>61.54956463193666</v>
      </c>
      <c r="L255" s="13">
        <v>6.154956463193666E19</v>
      </c>
      <c r="M255" s="9">
        <v>6.1549564631936666E18</v>
      </c>
    </row>
    <row r="256" ht="15.75" customHeight="1">
      <c r="A256" s="8"/>
      <c r="B256" s="8"/>
      <c r="C256" s="8"/>
      <c r="D256" s="8">
        <v>27.9026907562088</v>
      </c>
      <c r="E256" s="9" t="s">
        <v>265</v>
      </c>
      <c r="I256" s="12" t="str">
        <f>IFERROR(__xludf.DUMMYFUNCTION("""COMPUTED_VALUE"""),"0x1481589fe956da324063917cd08f94118b4b4216")</f>
        <v>0x1481589fe956da324063917cd08f94118b4b4216</v>
      </c>
      <c r="J256" s="11">
        <v>27.9026907562088</v>
      </c>
      <c r="K256" s="12">
        <v>62.005979458241775</v>
      </c>
      <c r="L256" s="13">
        <v>6.200597945824177E19</v>
      </c>
      <c r="M256" s="9">
        <v>6.2005979458241782E18</v>
      </c>
    </row>
    <row r="257" ht="15.75" customHeight="1">
      <c r="A257" s="8"/>
      <c r="B257" s="8"/>
      <c r="C257" s="8"/>
      <c r="D257" s="8">
        <v>7.4177479576405</v>
      </c>
      <c r="E257" s="9" t="s">
        <v>266</v>
      </c>
      <c r="I257" s="12" t="str">
        <f>IFERROR(__xludf.DUMMYFUNCTION("""COMPUTED_VALUE"""),"0x148ecefc6f1f06af2eb4d7540768f25e6b203410")</f>
        <v>0x148ecefc6f1f06af2eb4d7540768f25e6b203410</v>
      </c>
      <c r="J257" s="11">
        <v>7.4177479576405</v>
      </c>
      <c r="K257" s="12">
        <v>16.48388435031222</v>
      </c>
      <c r="L257" s="13">
        <v>1.648388435031222E19</v>
      </c>
      <c r="M257" s="9">
        <v>1.64838843503122227E18</v>
      </c>
    </row>
    <row r="258" ht="15.75" customHeight="1">
      <c r="A258" s="8"/>
      <c r="B258" s="8"/>
      <c r="C258" s="8"/>
      <c r="D258" s="8">
        <v>27.9026907562088</v>
      </c>
      <c r="E258" s="9" t="s">
        <v>267</v>
      </c>
      <c r="I258" s="12" t="str">
        <f>IFERROR(__xludf.DUMMYFUNCTION("""COMPUTED_VALUE"""),"0x1498937708d5460d6fc84906aeb9b587acb20688")</f>
        <v>0x1498937708d5460d6fc84906aeb9b587acb20688</v>
      </c>
      <c r="J258" s="11">
        <v>27.9026907562088</v>
      </c>
      <c r="K258" s="12">
        <v>62.005979458241775</v>
      </c>
      <c r="L258" s="13">
        <v>6.200597945824177E19</v>
      </c>
      <c r="M258" s="9">
        <v>6.2005979458241782E18</v>
      </c>
    </row>
    <row r="259" ht="15.75" customHeight="1">
      <c r="A259" s="8"/>
      <c r="B259" s="8"/>
      <c r="C259" s="8"/>
      <c r="D259" s="8">
        <v>27.9026907562088</v>
      </c>
      <c r="E259" s="9" t="s">
        <v>268</v>
      </c>
      <c r="I259" s="12" t="str">
        <f>IFERROR(__xludf.DUMMYFUNCTION("""COMPUTED_VALUE"""),"0x14b2d521af631f89c6e846aebebe98ee1af7b7af")</f>
        <v>0x14b2d521af631f89c6e846aebebe98ee1af7b7af</v>
      </c>
      <c r="J259" s="11">
        <v>27.9026907562088</v>
      </c>
      <c r="K259" s="12">
        <v>62.005979458241775</v>
      </c>
      <c r="L259" s="13">
        <v>6.200597945824177E19</v>
      </c>
      <c r="M259" s="9">
        <v>6.2005979458241782E18</v>
      </c>
    </row>
    <row r="260" ht="15.75" customHeight="1">
      <c r="A260" s="8"/>
      <c r="B260" s="8"/>
      <c r="C260" s="8"/>
      <c r="D260" s="8">
        <v>27.9026907562088</v>
      </c>
      <c r="E260" s="9" t="s">
        <v>269</v>
      </c>
      <c r="I260" s="12" t="str">
        <f>IFERROR(__xludf.DUMMYFUNCTION("""COMPUTED_VALUE"""),"0x14cc3d26251c0bb4f4545984210f68c2b59bc00d")</f>
        <v>0x14cc3d26251c0bb4f4545984210f68c2b59bc00d</v>
      </c>
      <c r="J260" s="11">
        <v>27.9026907562088</v>
      </c>
      <c r="K260" s="12">
        <v>62.005979458241775</v>
      </c>
      <c r="L260" s="13">
        <v>6.200597945824177E19</v>
      </c>
      <c r="M260" s="9">
        <v>6.2005979458241782E18</v>
      </c>
    </row>
    <row r="261" ht="15.75" customHeight="1">
      <c r="A261" s="8"/>
      <c r="B261" s="8"/>
      <c r="C261" s="8"/>
      <c r="D261" s="8">
        <v>27.9026907562088</v>
      </c>
      <c r="E261" s="9" t="s">
        <v>270</v>
      </c>
      <c r="I261" s="12" t="str">
        <f>IFERROR(__xludf.DUMMYFUNCTION("""COMPUTED_VALUE"""),"0x14d2da59e2f9069d2f8b1179985e08ba3f10ff15")</f>
        <v>0x14d2da59e2f9069d2f8b1179985e08ba3f10ff15</v>
      </c>
      <c r="J261" s="11">
        <v>29.34020676835396</v>
      </c>
      <c r="K261" s="12">
        <v>65.20045948523102</v>
      </c>
      <c r="L261" s="13">
        <v>6.520045948523102E19</v>
      </c>
      <c r="M261" s="9">
        <v>6.5200459485231022E18</v>
      </c>
    </row>
    <row r="262" ht="15.75" customHeight="1">
      <c r="A262" s="8"/>
      <c r="B262" s="8"/>
      <c r="C262" s="8"/>
      <c r="D262" s="8">
        <v>27.9026907562088</v>
      </c>
      <c r="E262" s="9" t="s">
        <v>271</v>
      </c>
      <c r="I262" s="12" t="str">
        <f>IFERROR(__xludf.DUMMYFUNCTION("""COMPUTED_VALUE"""),"0x14d316262d575e7074491a5e95e69c1fee3e65c2")</f>
        <v>0x14d316262d575e7074491a5e95e69c1fee3e65c2</v>
      </c>
      <c r="J262" s="11">
        <v>91.1199983031448</v>
      </c>
      <c r="K262" s="12">
        <v>202.48888511809955</v>
      </c>
      <c r="L262" s="13">
        <v>2.0248888511809955E20</v>
      </c>
      <c r="M262" s="9">
        <v>2.0248888511809958E19</v>
      </c>
    </row>
    <row r="263" ht="15.75" customHeight="1">
      <c r="A263" s="8"/>
      <c r="B263" s="8"/>
      <c r="C263" s="8"/>
      <c r="D263" s="8">
        <v>27.9026907562088</v>
      </c>
      <c r="E263" s="9" t="s">
        <v>272</v>
      </c>
      <c r="I263" s="12" t="str">
        <f>IFERROR(__xludf.DUMMYFUNCTION("""COMPUTED_VALUE"""),"0x14d7b36c220dce6a8aad540a78adf9d96a30d331")</f>
        <v>0x14d7b36c220dce6a8aad540a78adf9d96a30d331</v>
      </c>
      <c r="J263" s="11">
        <v>91.1199983031448</v>
      </c>
      <c r="K263" s="12">
        <v>202.48888511809955</v>
      </c>
      <c r="L263" s="13">
        <v>2.0248888511809955E20</v>
      </c>
      <c r="M263" s="9">
        <v>2.0248888511809958E19</v>
      </c>
    </row>
    <row r="264" ht="15.75" customHeight="1">
      <c r="A264" s="8"/>
      <c r="B264" s="8"/>
      <c r="C264" s="8"/>
      <c r="D264" s="8">
        <v>27.9026907562088</v>
      </c>
      <c r="E264" s="9" t="s">
        <v>273</v>
      </c>
      <c r="I264" s="12" t="str">
        <f>IFERROR(__xludf.DUMMYFUNCTION("""COMPUTED_VALUE"""),"0x14ea492a75b5f9308d00fdb5da4117ad78ad7176")</f>
        <v>0x14ea492a75b5f9308d00fdb5da4117ad78ad7176</v>
      </c>
      <c r="J264" s="11">
        <v>157.66602785556768</v>
      </c>
      <c r="K264" s="12">
        <v>350.3689507901504</v>
      </c>
      <c r="L264" s="13">
        <v>3.503689507901504E20</v>
      </c>
      <c r="M264" s="9">
        <v>3.5036895079015043E19</v>
      </c>
    </row>
    <row r="265" ht="15.75" customHeight="1">
      <c r="A265" s="8"/>
      <c r="B265" s="8"/>
      <c r="C265" s="8"/>
      <c r="D265" s="8">
        <v>26.6888818221261</v>
      </c>
      <c r="E265" s="9" t="s">
        <v>274</v>
      </c>
      <c r="I265" s="12" t="str">
        <f>IFERROR(__xludf.DUMMYFUNCTION("""COMPUTED_VALUE"""),"0x14ec817cc7854b5b799fa420f04904abd54de6af")</f>
        <v>0x14ec817cc7854b5b799fa420f04904abd54de6af</v>
      </c>
      <c r="J265" s="11">
        <v>26.6888818221261</v>
      </c>
      <c r="K265" s="12">
        <v>59.30862627139133</v>
      </c>
      <c r="L265" s="13">
        <v>5.9308626271391334E19</v>
      </c>
      <c r="M265" s="9">
        <v>5.9308626271391334E18</v>
      </c>
    </row>
    <row r="266" ht="15.75" customHeight="1">
      <c r="A266" s="8"/>
      <c r="B266" s="8"/>
      <c r="C266" s="8"/>
      <c r="D266" s="8">
        <v>27.9026907562088</v>
      </c>
      <c r="E266" s="9" t="s">
        <v>275</v>
      </c>
      <c r="I266" s="12" t="str">
        <f>IFERROR(__xludf.DUMMYFUNCTION("""COMPUTED_VALUE"""),"0x14f103eeff1c6be60fcf9fd5f1fd2bd311fa9d6a")</f>
        <v>0x14f103eeff1c6be60fcf9fd5f1fd2bd311fa9d6a</v>
      </c>
      <c r="J266" s="11">
        <v>42.8219753372857</v>
      </c>
      <c r="K266" s="12">
        <v>95.15994519396823</v>
      </c>
      <c r="L266" s="13">
        <v>9.515994519396822E19</v>
      </c>
      <c r="M266" s="9">
        <v>9.515994519396823E18</v>
      </c>
    </row>
    <row r="267" ht="15.75" customHeight="1">
      <c r="A267" s="8"/>
      <c r="B267" s="8"/>
      <c r="C267" s="8"/>
      <c r="D267" s="8">
        <v>25.8907967106194</v>
      </c>
      <c r="E267" s="9" t="s">
        <v>276</v>
      </c>
      <c r="I267" s="12" t="str">
        <f>IFERROR(__xludf.DUMMYFUNCTION("""COMPUTED_VALUE"""),"0x14f14df95de3e7662e408da7ec87ad8ebd11b0bb")</f>
        <v>0x14f14df95de3e7662e408da7ec87ad8ebd11b0bb</v>
      </c>
      <c r="J267" s="11">
        <v>25.8907967106194</v>
      </c>
      <c r="K267" s="12">
        <v>57.535103801376444</v>
      </c>
      <c r="L267" s="13">
        <v>5.753510380137644E19</v>
      </c>
      <c r="M267" s="9">
        <v>5.753510380137644E18</v>
      </c>
    </row>
    <row r="268" ht="15.75" customHeight="1">
      <c r="A268" s="8"/>
      <c r="B268" s="8"/>
      <c r="C268" s="8"/>
      <c r="D268" s="8">
        <v>26.2781461486283</v>
      </c>
      <c r="E268" s="9" t="s">
        <v>277</v>
      </c>
      <c r="I268" s="12" t="str">
        <f>IFERROR(__xludf.DUMMYFUNCTION("""COMPUTED_VALUE"""),"0x15123bfed2a6d5cf84a329424deb33b5332068d9")</f>
        <v>0x15123bfed2a6d5cf84a329424deb33b5332068d9</v>
      </c>
      <c r="J268" s="11">
        <v>26.2781461486283</v>
      </c>
      <c r="K268" s="12">
        <v>58.39588033028511</v>
      </c>
      <c r="L268" s="13">
        <v>5.839588033028511E19</v>
      </c>
      <c r="M268" s="9">
        <v>5.8395880330285117E18</v>
      </c>
    </row>
    <row r="269" ht="15.75" customHeight="1">
      <c r="A269" s="8"/>
      <c r="B269" s="8"/>
      <c r="C269" s="8"/>
      <c r="D269" s="8">
        <v>18.6628745433826</v>
      </c>
      <c r="E269" s="9" t="s">
        <v>278</v>
      </c>
      <c r="I269" s="12" t="str">
        <f>IFERROR(__xludf.DUMMYFUNCTION("""COMPUTED_VALUE"""),"0x151345e613dec1967b9e8d6666a94a0f17793c6b")</f>
        <v>0x151345e613dec1967b9e8d6666a94a0f17793c6b</v>
      </c>
      <c r="J269" s="11">
        <v>18.6628745433826</v>
      </c>
      <c r="K269" s="12">
        <v>41.47305454085022</v>
      </c>
      <c r="L269" s="13">
        <v>4.147305454085022E19</v>
      </c>
      <c r="M269" s="9">
        <v>4.1473054540850217E18</v>
      </c>
    </row>
    <row r="270" ht="15.75" customHeight="1">
      <c r="A270" s="8"/>
      <c r="B270" s="8"/>
      <c r="C270" s="8"/>
      <c r="D270" s="8">
        <v>27.9026907562088</v>
      </c>
      <c r="E270" s="9" t="s">
        <v>279</v>
      </c>
      <c r="I270" s="12" t="str">
        <f>IFERROR(__xludf.DUMMYFUNCTION("""COMPUTED_VALUE"""),"0x152850ad51ce417eafe684d23e035cab8b28f1f2")</f>
        <v>0x152850ad51ce417eafe684d23e035cab8b28f1f2</v>
      </c>
      <c r="J270" s="11">
        <v>91.1199983031448</v>
      </c>
      <c r="K270" s="12">
        <v>202.48888511809955</v>
      </c>
      <c r="L270" s="13">
        <v>2.0248888511809955E20</v>
      </c>
      <c r="M270" s="9">
        <v>2.0248888511809958E19</v>
      </c>
    </row>
    <row r="271" ht="15.75" customHeight="1">
      <c r="A271" s="8"/>
      <c r="B271" s="8"/>
      <c r="C271" s="8"/>
      <c r="D271" s="8">
        <v>24.7607934214831</v>
      </c>
      <c r="E271" s="9" t="s">
        <v>280</v>
      </c>
      <c r="I271" s="12" t="str">
        <f>IFERROR(__xludf.DUMMYFUNCTION("""COMPUTED_VALUE"""),"0x1533e20c4a9acd54ba03f027f2ab7b28ceba7b97")</f>
        <v>0x1533e20c4a9acd54ba03f027f2ab7b28ceba7b97</v>
      </c>
      <c r="J271" s="11">
        <v>155.5088715025991</v>
      </c>
      <c r="K271" s="12">
        <v>345.5752700057758</v>
      </c>
      <c r="L271" s="13">
        <v>3.455752700057758E20</v>
      </c>
      <c r="M271" s="9">
        <v>3.455752700057758E19</v>
      </c>
    </row>
    <row r="272" ht="15.75" customHeight="1">
      <c r="A272" s="8"/>
      <c r="B272" s="8"/>
      <c r="C272" s="8"/>
      <c r="D272" s="8">
        <v>27.9026907562088</v>
      </c>
      <c r="E272" s="9" t="s">
        <v>281</v>
      </c>
      <c r="I272" s="12" t="str">
        <f>IFERROR(__xludf.DUMMYFUNCTION("""COMPUTED_VALUE"""),"0x153f640c5c5280c647c91569dfb654e9a52e56cc")</f>
        <v>0x153f640c5c5280c647c91569dfb654e9a52e56cc</v>
      </c>
      <c r="J272" s="11">
        <v>27.9026907562088</v>
      </c>
      <c r="K272" s="12">
        <v>62.005979458241775</v>
      </c>
      <c r="L272" s="13">
        <v>6.200597945824177E19</v>
      </c>
      <c r="M272" s="9">
        <v>6.2005979458241782E18</v>
      </c>
    </row>
    <row r="273" ht="15.75" customHeight="1">
      <c r="A273" s="8"/>
      <c r="B273" s="8"/>
      <c r="C273" s="8"/>
      <c r="D273" s="8">
        <v>24.0424973283716</v>
      </c>
      <c r="E273" s="9" t="s">
        <v>282</v>
      </c>
      <c r="I273" s="12" t="str">
        <f>IFERROR(__xludf.DUMMYFUNCTION("""COMPUTED_VALUE"""),"0x154fe8e2b1e309c5c7cff33d192f3e75612d0560")</f>
        <v>0x154fe8e2b1e309c5c7cff33d192f3e75612d0560</v>
      </c>
      <c r="J273" s="11">
        <v>79.0568523162549</v>
      </c>
      <c r="K273" s="12">
        <v>175.681894036122</v>
      </c>
      <c r="L273" s="13">
        <v>1.75681894036122E20</v>
      </c>
      <c r="M273" s="9">
        <v>1.75681894036122E19</v>
      </c>
    </row>
    <row r="274" ht="15.75" customHeight="1">
      <c r="A274" s="8"/>
      <c r="B274" s="8"/>
      <c r="C274" s="8"/>
      <c r="D274" s="8">
        <v>27.9026907562088</v>
      </c>
      <c r="E274" s="9" t="s">
        <v>283</v>
      </c>
      <c r="I274" s="12" t="str">
        <f>IFERROR(__xludf.DUMMYFUNCTION("""COMPUTED_VALUE"""),"0x15551b1de6f723511883231148868df7e4c1abb4")</f>
        <v>0x15551b1de6f723511883231148868df7e4c1abb4</v>
      </c>
      <c r="J274" s="11">
        <v>27.9026907562088</v>
      </c>
      <c r="K274" s="12">
        <v>62.005979458241775</v>
      </c>
      <c r="L274" s="13">
        <v>6.200597945824177E19</v>
      </c>
      <c r="M274" s="9">
        <v>6.2005979458241782E18</v>
      </c>
    </row>
    <row r="275" ht="15.75" customHeight="1">
      <c r="A275" s="8"/>
      <c r="B275" s="8"/>
      <c r="C275" s="8"/>
      <c r="D275" s="8">
        <v>27.9026907562088</v>
      </c>
      <c r="E275" s="9" t="s">
        <v>284</v>
      </c>
      <c r="I275" s="12" t="str">
        <f>IFERROR(__xludf.DUMMYFUNCTION("""COMPUTED_VALUE"""),"0x156601031ab627685ba9a8fae96e7a2fae632cc7")</f>
        <v>0x156601031ab627685ba9a8fae96e7a2fae632cc7</v>
      </c>
      <c r="J275" s="11">
        <v>27.9026907562088</v>
      </c>
      <c r="K275" s="12">
        <v>62.005979458241775</v>
      </c>
      <c r="L275" s="13">
        <v>6.200597945824177E19</v>
      </c>
      <c r="M275" s="9">
        <v>6.2005979458241782E18</v>
      </c>
    </row>
    <row r="276" ht="15.75" customHeight="1">
      <c r="A276" s="8"/>
      <c r="B276" s="8"/>
      <c r="C276" s="8"/>
      <c r="D276" s="8">
        <v>27.9026907562088</v>
      </c>
      <c r="E276" s="9" t="s">
        <v>285</v>
      </c>
      <c r="I276" s="12" t="str">
        <f>IFERROR(__xludf.DUMMYFUNCTION("""COMPUTED_VALUE"""),"0x156e933c4a55375b9b72753dac0d493e4e42f609")</f>
        <v>0x156e933c4a55375b9b72753dac0d493e4e42f609</v>
      </c>
      <c r="J276" s="11">
        <v>27.9026907562088</v>
      </c>
      <c r="K276" s="12">
        <v>62.005979458241775</v>
      </c>
      <c r="L276" s="13">
        <v>6.200597945824177E19</v>
      </c>
      <c r="M276" s="9">
        <v>6.2005979458241782E18</v>
      </c>
    </row>
    <row r="277" ht="15.75" customHeight="1">
      <c r="A277" s="8"/>
      <c r="B277" s="8"/>
      <c r="C277" s="8"/>
      <c r="D277" s="8">
        <v>27.9026907562088</v>
      </c>
      <c r="E277" s="9" t="s">
        <v>286</v>
      </c>
      <c r="I277" s="12" t="str">
        <f>IFERROR(__xludf.DUMMYFUNCTION("""COMPUTED_VALUE"""),"0x15936f3e0a5d962959a1dcf1a76b046ca8af4095")</f>
        <v>0x15936f3e0a5d962959a1dcf1a76b046ca8af4095</v>
      </c>
      <c r="J277" s="11">
        <v>27.9026907562088</v>
      </c>
      <c r="K277" s="12">
        <v>62.005979458241775</v>
      </c>
      <c r="L277" s="13">
        <v>6.200597945824177E19</v>
      </c>
      <c r="M277" s="9">
        <v>6.2005979458241782E18</v>
      </c>
    </row>
    <row r="278" ht="15.75" customHeight="1">
      <c r="A278" s="8"/>
      <c r="B278" s="8"/>
      <c r="C278" s="8"/>
      <c r="D278" s="8">
        <v>27.9026907562088</v>
      </c>
      <c r="E278" s="9" t="s">
        <v>287</v>
      </c>
      <c r="I278" s="12" t="str">
        <f>IFERROR(__xludf.DUMMYFUNCTION("""COMPUTED_VALUE"""),"0x1594a405a5d2d746c1bd11f4397c8bcaeb142026")</f>
        <v>0x1594a405a5d2d746c1bd11f4397c8bcaeb142026</v>
      </c>
      <c r="J278" s="11">
        <v>93.3798508257656</v>
      </c>
      <c r="K278" s="12">
        <v>207.51077961281243</v>
      </c>
      <c r="L278" s="13">
        <v>2.0751077961281244E20</v>
      </c>
      <c r="M278" s="9">
        <v>2.0751077961281245E19</v>
      </c>
    </row>
    <row r="279" ht="15.75" customHeight="1">
      <c r="A279" s="8"/>
      <c r="B279" s="8"/>
      <c r="C279" s="8"/>
      <c r="D279" s="8">
        <v>27.9026907562088</v>
      </c>
      <c r="E279" s="9" t="s">
        <v>288</v>
      </c>
      <c r="I279" s="12" t="str">
        <f>IFERROR(__xludf.DUMMYFUNCTION("""COMPUTED_VALUE"""),"0x15b87edfb7f3f557c2f0ab6f6f1b8e93fec06938")</f>
        <v>0x15b87edfb7f3f557c2f0ab6f6f1b8e93fec06938</v>
      </c>
      <c r="J279" s="11">
        <v>27.9026907562088</v>
      </c>
      <c r="K279" s="12">
        <v>62.005979458241775</v>
      </c>
      <c r="L279" s="13">
        <v>6.200597945824177E19</v>
      </c>
      <c r="M279" s="9">
        <v>6.2005979458241782E18</v>
      </c>
    </row>
    <row r="280" ht="15.75" customHeight="1">
      <c r="A280" s="8"/>
      <c r="B280" s="8"/>
      <c r="C280" s="8"/>
      <c r="D280" s="8">
        <v>27.9026907562088</v>
      </c>
      <c r="E280" s="9" t="s">
        <v>289</v>
      </c>
      <c r="I280" s="12" t="str">
        <f>IFERROR(__xludf.DUMMYFUNCTION("""COMPUTED_VALUE"""),"0x15c2438d7224187f90f921cd90bd551734b537af")</f>
        <v>0x15c2438d7224187f90f921cd90bd551734b537af</v>
      </c>
      <c r="J280" s="11">
        <v>91.1199983031448</v>
      </c>
      <c r="K280" s="12">
        <v>202.48888511809955</v>
      </c>
      <c r="L280" s="13">
        <v>2.0248888511809955E20</v>
      </c>
      <c r="M280" s="9">
        <v>2.0248888511809958E19</v>
      </c>
    </row>
    <row r="281" ht="15.75" customHeight="1">
      <c r="A281" s="8"/>
      <c r="B281" s="8"/>
      <c r="C281" s="8"/>
      <c r="D281" s="8">
        <v>27.9026907562088</v>
      </c>
      <c r="E281" s="9" t="s">
        <v>290</v>
      </c>
      <c r="I281" s="12" t="str">
        <f>IFERROR(__xludf.DUMMYFUNCTION("""COMPUTED_VALUE"""),"0x15cc8e62b1df370d9dccc885866d741c22b0baaf")</f>
        <v>0x15cc8e62b1df370d9dccc885866d741c22b0baaf</v>
      </c>
      <c r="J281" s="11">
        <v>91.1199983031448</v>
      </c>
      <c r="K281" s="12">
        <v>202.48888511809955</v>
      </c>
      <c r="L281" s="13">
        <v>2.0248888511809955E20</v>
      </c>
      <c r="M281" s="9">
        <v>2.0248888511809958E19</v>
      </c>
    </row>
    <row r="282" ht="15.75" customHeight="1">
      <c r="A282" s="8"/>
      <c r="B282" s="8"/>
      <c r="C282" s="8"/>
      <c r="D282" s="8">
        <v>27.9026907562088</v>
      </c>
      <c r="E282" s="9" t="s">
        <v>291</v>
      </c>
      <c r="I282" s="12" t="str">
        <f>IFERROR(__xludf.DUMMYFUNCTION("""COMPUTED_VALUE"""),"0x15f0742df7fabf142a8125f922221c935d06cc9f")</f>
        <v>0x15f0742df7fabf142a8125f922221c935d06cc9f</v>
      </c>
      <c r="J282" s="11">
        <v>27.9026907562088</v>
      </c>
      <c r="K282" s="12">
        <v>62.005979458241775</v>
      </c>
      <c r="L282" s="13">
        <v>6.200597945824177E19</v>
      </c>
      <c r="M282" s="9">
        <v>6.2005979458241782E18</v>
      </c>
    </row>
    <row r="283" ht="15.75" customHeight="1">
      <c r="A283" s="8"/>
      <c r="B283" s="8"/>
      <c r="C283" s="8"/>
      <c r="D283" s="8">
        <v>22.6453078311367</v>
      </c>
      <c r="E283" s="9" t="s">
        <v>292</v>
      </c>
      <c r="I283" s="12" t="str">
        <f>IFERROR(__xludf.DUMMYFUNCTION("""COMPUTED_VALUE"""),"0x15f41bbf265551494dc4a113088dff40c78a6b53")</f>
        <v>0x15f41bbf265551494dc4a113088dff40c78a6b53</v>
      </c>
      <c r="J283" s="11">
        <v>22.6453078311367</v>
      </c>
      <c r="K283" s="12">
        <v>50.32290629141489</v>
      </c>
      <c r="L283" s="13">
        <v>5.0322906291414884E19</v>
      </c>
      <c r="M283" s="9">
        <v>5.0322906291414886E18</v>
      </c>
    </row>
    <row r="284" ht="15.75" customHeight="1">
      <c r="A284" s="8"/>
      <c r="B284" s="8"/>
      <c r="C284" s="8"/>
      <c r="D284" s="8">
        <v>27.9026907562088</v>
      </c>
      <c r="E284" s="9" t="s">
        <v>293</v>
      </c>
      <c r="I284" s="12" t="str">
        <f>IFERROR(__xludf.DUMMYFUNCTION("""COMPUTED_VALUE"""),"0x1609bc551b38eefe1738bce85ecd46797082709a")</f>
        <v>0x1609bc551b38eefe1738bce85ecd46797082709a</v>
      </c>
      <c r="J284" s="11">
        <v>178.2924372749443</v>
      </c>
      <c r="K284" s="12">
        <v>396.2054161665429</v>
      </c>
      <c r="L284" s="13">
        <v>3.962054161665429E20</v>
      </c>
      <c r="M284" s="9">
        <v>3.962054161665429E19</v>
      </c>
    </row>
    <row r="285" ht="15.75" customHeight="1">
      <c r="A285" s="8"/>
      <c r="B285" s="8"/>
      <c r="C285" s="8"/>
      <c r="D285" s="8">
        <v>27.9026907562088</v>
      </c>
      <c r="E285" s="9" t="s">
        <v>294</v>
      </c>
      <c r="I285" s="12" t="str">
        <f>IFERROR(__xludf.DUMMYFUNCTION("""COMPUTED_VALUE"""),"0x160c316c3354db9d497ee958b2da5b72b5803a94")</f>
        <v>0x160c316c3354db9d497ee958b2da5b72b5803a94</v>
      </c>
      <c r="J285" s="11">
        <v>28.618651513500886</v>
      </c>
      <c r="K285" s="12">
        <v>63.597003363335304</v>
      </c>
      <c r="L285" s="13">
        <v>6.359700336333531E19</v>
      </c>
      <c r="M285" s="9">
        <v>6.3597003363335311E18</v>
      </c>
    </row>
    <row r="286" ht="15.75" customHeight="1">
      <c r="A286" s="8"/>
      <c r="B286" s="8"/>
      <c r="C286" s="8"/>
      <c r="D286" s="8">
        <v>27.9026907562088</v>
      </c>
      <c r="E286" s="9" t="s">
        <v>295</v>
      </c>
      <c r="I286" s="12" t="str">
        <f>IFERROR(__xludf.DUMMYFUNCTION("""COMPUTED_VALUE"""),"0x161182660cf5a11453babe220814b6fb4add82b9")</f>
        <v>0x161182660cf5a11453babe220814b6fb4add82b9</v>
      </c>
      <c r="J286" s="11">
        <v>27.9026907562088</v>
      </c>
      <c r="K286" s="12">
        <v>62.005979458241775</v>
      </c>
      <c r="L286" s="13">
        <v>6.200597945824177E19</v>
      </c>
      <c r="M286" s="9">
        <v>6.2005979458241782E18</v>
      </c>
    </row>
    <row r="287" ht="15.75" customHeight="1">
      <c r="A287" s="8"/>
      <c r="B287" s="8"/>
      <c r="C287" s="8"/>
      <c r="D287" s="8">
        <v>27.9026907562088</v>
      </c>
      <c r="E287" s="9" t="s">
        <v>296</v>
      </c>
      <c r="I287" s="12" t="str">
        <f>IFERROR(__xludf.DUMMYFUNCTION("""COMPUTED_VALUE"""),"0x1618d5b89cee5c3e9609aeb5648fb90ad33a4e06")</f>
        <v>0x1618d5b89cee5c3e9609aeb5648fb90ad33a4e06</v>
      </c>
      <c r="J287" s="11">
        <v>27.9026907562088</v>
      </c>
      <c r="K287" s="12">
        <v>62.005979458241775</v>
      </c>
      <c r="L287" s="13">
        <v>6.200597945824177E19</v>
      </c>
      <c r="M287" s="9">
        <v>6.2005979458241782E18</v>
      </c>
    </row>
    <row r="288" ht="15.75" customHeight="1">
      <c r="A288" s="8"/>
      <c r="B288" s="8"/>
      <c r="C288" s="8"/>
      <c r="D288" s="8">
        <v>27.9026907562088</v>
      </c>
      <c r="E288" s="9" t="s">
        <v>297</v>
      </c>
      <c r="I288" s="12" t="str">
        <f>IFERROR(__xludf.DUMMYFUNCTION("""COMPUTED_VALUE"""),"0x16678140d90aaa62d79ea50773f362a7690ea1e0")</f>
        <v>0x16678140d90aaa62d79ea50773f362a7690ea1e0</v>
      </c>
      <c r="J288" s="11">
        <v>27.9026907562088</v>
      </c>
      <c r="K288" s="12">
        <v>62.005979458241775</v>
      </c>
      <c r="L288" s="13">
        <v>6.200597945824177E19</v>
      </c>
      <c r="M288" s="9">
        <v>6.2005979458241782E18</v>
      </c>
    </row>
    <row r="289" ht="15.75" customHeight="1">
      <c r="A289" s="8"/>
      <c r="B289" s="8"/>
      <c r="C289" s="8"/>
      <c r="D289" s="8">
        <v>27.9026907562088</v>
      </c>
      <c r="E289" s="9" t="s">
        <v>298</v>
      </c>
      <c r="I289" s="12" t="str">
        <f>IFERROR(__xludf.DUMMYFUNCTION("""COMPUTED_VALUE"""),"0x1671b592610fb7427ed788b66fa3e9217ff41047")</f>
        <v>0x1671b592610fb7427ed788b66fa3e9217ff41047</v>
      </c>
      <c r="J289" s="11">
        <v>27.9026907562088</v>
      </c>
      <c r="K289" s="12">
        <v>62.005979458241775</v>
      </c>
      <c r="L289" s="13">
        <v>6.200597945824177E19</v>
      </c>
      <c r="M289" s="9">
        <v>6.2005979458241782E18</v>
      </c>
    </row>
    <row r="290" ht="15.75" customHeight="1">
      <c r="A290" s="8"/>
      <c r="B290" s="8"/>
      <c r="C290" s="8"/>
      <c r="D290" s="8">
        <v>25.0462347783135</v>
      </c>
      <c r="E290" s="9" t="s">
        <v>299</v>
      </c>
      <c r="I290" s="12" t="str">
        <f>IFERROR(__xludf.DUMMYFUNCTION("""COMPUTED_VALUE"""),"0x1674eb292c029e006295ef76e55f38867c94be55")</f>
        <v>0x1674eb292c029e006295ef76e55f38867c94be55</v>
      </c>
      <c r="J290" s="11">
        <v>25.0462347783135</v>
      </c>
      <c r="K290" s="12">
        <v>55.65829950736333</v>
      </c>
      <c r="L290" s="13">
        <v>5.565829950736333E19</v>
      </c>
      <c r="M290" s="9">
        <v>5.5658299507363338E18</v>
      </c>
    </row>
    <row r="291" ht="15.75" customHeight="1">
      <c r="A291" s="8"/>
      <c r="B291" s="8"/>
      <c r="C291" s="8"/>
      <c r="D291" s="8">
        <v>27.9026907562088</v>
      </c>
      <c r="E291" s="9" t="s">
        <v>300</v>
      </c>
      <c r="I291" s="12" t="str">
        <f>IFERROR(__xludf.DUMMYFUNCTION("""COMPUTED_VALUE"""),"0x168b761193ad0989ac5fe22b6765a516796aff58")</f>
        <v>0x168b761193ad0989ac5fe22b6765a516796aff58</v>
      </c>
      <c r="J291" s="11">
        <v>91.1199983031448</v>
      </c>
      <c r="K291" s="12">
        <v>202.48888511809955</v>
      </c>
      <c r="L291" s="13">
        <v>2.0248888511809955E20</v>
      </c>
      <c r="M291" s="9">
        <v>2.0248888511809958E19</v>
      </c>
    </row>
    <row r="292" ht="15.75" customHeight="1">
      <c r="A292" s="8"/>
      <c r="B292" s="8"/>
      <c r="C292" s="8"/>
      <c r="D292" s="8">
        <v>27.5285367980534</v>
      </c>
      <c r="E292" s="9" t="s">
        <v>301</v>
      </c>
      <c r="I292" s="12" t="str">
        <f>IFERROR(__xludf.DUMMYFUNCTION("""COMPUTED_VALUE"""),"0x168d8c69c568d6446de4a50f5c0cecec0d9b5d5e")</f>
        <v>0x168d8c69c568d6446de4a50f5c0cecec0d9b5d5e</v>
      </c>
      <c r="J292" s="11">
        <v>89.9806841073802</v>
      </c>
      <c r="K292" s="12">
        <v>199.95707579417822</v>
      </c>
      <c r="L292" s="13">
        <v>1.999570757941782E20</v>
      </c>
      <c r="M292" s="9">
        <v>1.999570757941782E19</v>
      </c>
    </row>
    <row r="293" ht="15.75" customHeight="1">
      <c r="A293" s="8"/>
      <c r="B293" s="8"/>
      <c r="C293" s="8"/>
      <c r="D293" s="8">
        <v>27.9026907562088</v>
      </c>
      <c r="E293" s="9" t="s">
        <v>302</v>
      </c>
      <c r="I293" s="12" t="str">
        <f>IFERROR(__xludf.DUMMYFUNCTION("""COMPUTED_VALUE"""),"0x168e1a7374e73ad1790eebe0256635ef871bd330")</f>
        <v>0x168e1a7374e73ad1790eebe0256635ef871bd330</v>
      </c>
      <c r="J293" s="11">
        <v>102.8336561366414</v>
      </c>
      <c r="K293" s="12">
        <v>228.5192358592031</v>
      </c>
      <c r="L293" s="13">
        <v>2.285192358592031E20</v>
      </c>
      <c r="M293" s="9">
        <v>2.285192358592031E19</v>
      </c>
    </row>
    <row r="294" ht="15.75" customHeight="1">
      <c r="A294" s="8"/>
      <c r="B294" s="8"/>
      <c r="C294" s="8"/>
      <c r="D294" s="8">
        <v>27.9026907562088</v>
      </c>
      <c r="E294" s="9" t="s">
        <v>303</v>
      </c>
      <c r="I294" s="12" t="str">
        <f>IFERROR(__xludf.DUMMYFUNCTION("""COMPUTED_VALUE"""),"0x16a3ff34c0224a819241f184affb20e16de161ae")</f>
        <v>0x16a3ff34c0224a819241f184affb20e16de161ae</v>
      </c>
      <c r="J294" s="11">
        <v>27.9026907562088</v>
      </c>
      <c r="K294" s="12">
        <v>62.005979458241775</v>
      </c>
      <c r="L294" s="13">
        <v>6.200597945824177E19</v>
      </c>
      <c r="M294" s="9">
        <v>6.2005979458241782E18</v>
      </c>
    </row>
    <row r="295" ht="15.75" customHeight="1">
      <c r="A295" s="8"/>
      <c r="B295" s="8"/>
      <c r="C295" s="8"/>
      <c r="D295" s="8">
        <v>26.0601739681694</v>
      </c>
      <c r="E295" s="9" t="s">
        <v>304</v>
      </c>
      <c r="I295" s="12" t="str">
        <f>IFERROR(__xludf.DUMMYFUNCTION("""COMPUTED_VALUE"""),"0x16aea9952f9d308b1a1def3684b0f18111a0aabf")</f>
        <v>0x16aea9952f9d308b1a1def3684b0f18111a0aabf</v>
      </c>
      <c r="J295" s="11">
        <v>26.0601739681694</v>
      </c>
      <c r="K295" s="12">
        <v>57.91149770704311</v>
      </c>
      <c r="L295" s="13">
        <v>5.791149770704311E19</v>
      </c>
      <c r="M295" s="9">
        <v>5.7911497707043113E18</v>
      </c>
    </row>
    <row r="296" ht="15.75" customHeight="1">
      <c r="A296" s="8"/>
      <c r="B296" s="8"/>
      <c r="C296" s="8"/>
      <c r="D296" s="8">
        <v>27.9026907562088</v>
      </c>
      <c r="E296" s="9" t="s">
        <v>305</v>
      </c>
      <c r="I296" s="12" t="str">
        <f>IFERROR(__xludf.DUMMYFUNCTION("""COMPUTED_VALUE"""),"0x16bbd9e4494fa214047b52c3183e371a033252db")</f>
        <v>0x16bbd9e4494fa214047b52c3183e371a033252db</v>
      </c>
      <c r="J296" s="11">
        <v>91.22237587851309</v>
      </c>
      <c r="K296" s="12">
        <v>202.7163908411402</v>
      </c>
      <c r="L296" s="13">
        <v>2.0271639084114018E20</v>
      </c>
      <c r="M296" s="9">
        <v>2.027163908411402E19</v>
      </c>
    </row>
    <row r="297" ht="15.75" customHeight="1">
      <c r="A297" s="8"/>
      <c r="B297" s="8"/>
      <c r="C297" s="8"/>
      <c r="D297" s="8">
        <v>27.1149527095404</v>
      </c>
      <c r="E297" s="9" t="s">
        <v>306</v>
      </c>
      <c r="I297" s="12" t="str">
        <f>IFERROR(__xludf.DUMMYFUNCTION("""COMPUTED_VALUE"""),"0x16c4e68b5ea69af57085b5152065100ba24ad71f")</f>
        <v>0x16c4e68b5ea69af57085b5152065100ba24ad71f</v>
      </c>
      <c r="J297" s="11">
        <v>27.1149527095404</v>
      </c>
      <c r="K297" s="12">
        <v>60.25545046564533</v>
      </c>
      <c r="L297" s="13">
        <v>6.025545046564533E19</v>
      </c>
      <c r="M297" s="9">
        <v>6.0255450465645332E18</v>
      </c>
    </row>
    <row r="298" ht="15.75" customHeight="1">
      <c r="A298" s="8"/>
      <c r="B298" s="8"/>
      <c r="C298" s="8"/>
      <c r="D298" s="8">
        <v>27.9026907562088</v>
      </c>
      <c r="E298" s="9" t="s">
        <v>307</v>
      </c>
      <c r="I298" s="12" t="str">
        <f>IFERROR(__xludf.DUMMYFUNCTION("""COMPUTED_VALUE"""),"0x16c915232ac95a978e2dacca07124608c5c4d1f3")</f>
        <v>0x16c915232ac95a978e2dacca07124608c5c4d1f3</v>
      </c>
      <c r="J298" s="11">
        <v>28.152992181397806</v>
      </c>
      <c r="K298" s="12">
        <v>62.56220484755068</v>
      </c>
      <c r="L298" s="13">
        <v>6.2562204847550685E19</v>
      </c>
      <c r="M298" s="9">
        <v>6.2562204847550689E18</v>
      </c>
    </row>
    <row r="299" ht="15.75" customHeight="1">
      <c r="A299" s="8"/>
      <c r="B299" s="8"/>
      <c r="C299" s="8"/>
      <c r="D299" s="8">
        <v>27.9026907562088</v>
      </c>
      <c r="E299" s="9" t="s">
        <v>308</v>
      </c>
      <c r="I299" s="12" t="str">
        <f>IFERROR(__xludf.DUMMYFUNCTION("""COMPUTED_VALUE"""),"0x16cac53073ea81ec1d23fbcb471dbee4e5d918e2")</f>
        <v>0x16cac53073ea81ec1d23fbcb471dbee4e5d918e2</v>
      </c>
      <c r="J299" s="11">
        <v>27.9026907562088</v>
      </c>
      <c r="K299" s="12">
        <v>62.005979458241775</v>
      </c>
      <c r="L299" s="13">
        <v>6.200597945824177E19</v>
      </c>
      <c r="M299" s="9">
        <v>6.2005979458241782E18</v>
      </c>
    </row>
    <row r="300" ht="15.75" customHeight="1">
      <c r="A300" s="8"/>
      <c r="B300" s="8"/>
      <c r="C300" s="8"/>
      <c r="D300" s="8">
        <v>27.9026907562088</v>
      </c>
      <c r="E300" s="9" t="s">
        <v>309</v>
      </c>
      <c r="I300" s="12" t="str">
        <f>IFERROR(__xludf.DUMMYFUNCTION("""COMPUTED_VALUE"""),"0x16cf641c5f4501e688ea3b149d61c5e3dc8c7392")</f>
        <v>0x16cf641c5f4501e688ea3b149d61c5e3dc8c7392</v>
      </c>
      <c r="J300" s="11">
        <v>27.9026907562088</v>
      </c>
      <c r="K300" s="12">
        <v>62.005979458241775</v>
      </c>
      <c r="L300" s="13">
        <v>6.200597945824177E19</v>
      </c>
      <c r="M300" s="9">
        <v>6.2005979458241782E18</v>
      </c>
    </row>
    <row r="301" ht="15.75" customHeight="1">
      <c r="A301" s="8"/>
      <c r="B301" s="8"/>
      <c r="C301" s="8"/>
      <c r="D301" s="8">
        <v>27.9026907562088</v>
      </c>
      <c r="E301" s="9" t="s">
        <v>310</v>
      </c>
      <c r="I301" s="12" t="str">
        <f>IFERROR(__xludf.DUMMYFUNCTION("""COMPUTED_VALUE"""),"0x16e7161b1fc631da6609ad010012c901e7db8af4")</f>
        <v>0x16e7161b1fc631da6609ad010012c901e7db8af4</v>
      </c>
      <c r="J301" s="11">
        <v>55.310651136158796</v>
      </c>
      <c r="K301" s="12">
        <v>122.91255808035288</v>
      </c>
      <c r="L301" s="13">
        <v>1.2291255808035288E20</v>
      </c>
      <c r="M301" s="9">
        <v>1.229125580803529E19</v>
      </c>
    </row>
    <row r="302" ht="15.75" customHeight="1">
      <c r="A302" s="8"/>
      <c r="B302" s="8"/>
      <c r="C302" s="8"/>
      <c r="D302" s="8">
        <v>27.9026907562088</v>
      </c>
      <c r="E302" s="9" t="s">
        <v>311</v>
      </c>
      <c r="I302" s="12" t="str">
        <f>IFERROR(__xludf.DUMMYFUNCTION("""COMPUTED_VALUE"""),"0x16f4f4f26ad3bb48557d9a044128169a950598a3")</f>
        <v>0x16f4f4f26ad3bb48557d9a044128169a950598a3</v>
      </c>
      <c r="J302" s="11">
        <v>27.9026907562088</v>
      </c>
      <c r="K302" s="12">
        <v>62.005979458241775</v>
      </c>
      <c r="L302" s="13">
        <v>6.200597945824177E19</v>
      </c>
      <c r="M302" s="9">
        <v>6.2005979458241782E18</v>
      </c>
    </row>
    <row r="303" ht="15.75" customHeight="1">
      <c r="A303" s="8"/>
      <c r="B303" s="8"/>
      <c r="C303" s="8"/>
      <c r="D303" s="8">
        <v>26.960492426139</v>
      </c>
      <c r="E303" s="9" t="s">
        <v>312</v>
      </c>
      <c r="I303" s="12" t="str">
        <f>IFERROR(__xludf.DUMMYFUNCTION("""COMPUTED_VALUE"""),"0x1702556622bd5a18761397020d48064d9a6b3ab3")</f>
        <v>0x1702556622bd5a18761397020d48064d9a6b3ab3</v>
      </c>
      <c r="J303" s="11">
        <v>26.960492426139</v>
      </c>
      <c r="K303" s="12">
        <v>59.91220539142</v>
      </c>
      <c r="L303" s="13">
        <v>5.991220539142001E19</v>
      </c>
      <c r="M303" s="9">
        <v>5.9912205391420006E18</v>
      </c>
    </row>
    <row r="304" ht="15.75" customHeight="1">
      <c r="A304" s="8"/>
      <c r="B304" s="8"/>
      <c r="C304" s="8"/>
      <c r="D304" s="8">
        <v>26.5118138617832</v>
      </c>
      <c r="E304" s="9" t="s">
        <v>313</v>
      </c>
      <c r="I304" s="12" t="str">
        <f>IFERROR(__xludf.DUMMYFUNCTION("""COMPUTED_VALUE"""),"0x17186b7f453b46e14ac121496007cc533feae4c0")</f>
        <v>0x17186b7f453b46e14ac121496007cc533feae4c0</v>
      </c>
      <c r="J304" s="11">
        <v>26.5118138617832</v>
      </c>
      <c r="K304" s="12">
        <v>58.915141915073775</v>
      </c>
      <c r="L304" s="13">
        <v>5.891514191507377E19</v>
      </c>
      <c r="M304" s="9">
        <v>5.8915141915073782E18</v>
      </c>
    </row>
    <row r="305" ht="15.75" customHeight="1">
      <c r="A305" s="8"/>
      <c r="B305" s="8"/>
      <c r="C305" s="8"/>
      <c r="D305" s="8">
        <v>27.9026907562088</v>
      </c>
      <c r="E305" s="9" t="s">
        <v>314</v>
      </c>
      <c r="I305" s="12" t="str">
        <f>IFERROR(__xludf.DUMMYFUNCTION("""COMPUTED_VALUE"""),"0x1731cff4a67db8a588b49487f0568a93f08558b8")</f>
        <v>0x1731cff4a67db8a588b49487f0568a93f08558b8</v>
      </c>
      <c r="J305" s="11">
        <v>27.9026907562088</v>
      </c>
      <c r="K305" s="12">
        <v>62.005979458241775</v>
      </c>
      <c r="L305" s="13">
        <v>6.200597945824177E19</v>
      </c>
      <c r="M305" s="9">
        <v>6.2005979458241782E18</v>
      </c>
    </row>
    <row r="306" ht="15.75" customHeight="1">
      <c r="A306" s="8"/>
      <c r="B306" s="8"/>
      <c r="C306" s="8"/>
      <c r="D306" s="8">
        <v>26.2998164811465</v>
      </c>
      <c r="E306" s="9" t="s">
        <v>315</v>
      </c>
      <c r="I306" s="12" t="str">
        <f>IFERROR(__xludf.DUMMYFUNCTION("""COMPUTED_VALUE"""),"0x1737e9c51ea9bed7f2a0def27bcf51770eefd7c4")</f>
        <v>0x1737e9c51ea9bed7f2a0def27bcf51770eefd7c4</v>
      </c>
      <c r="J306" s="11">
        <v>26.2998164811465</v>
      </c>
      <c r="K306" s="12">
        <v>58.44403662477</v>
      </c>
      <c r="L306" s="13">
        <v>5.844403662477E19</v>
      </c>
      <c r="M306" s="9">
        <v>5.8444036624770007E18</v>
      </c>
    </row>
    <row r="307" ht="15.75" customHeight="1">
      <c r="A307" s="8"/>
      <c r="B307" s="8"/>
      <c r="C307" s="8"/>
      <c r="D307" s="8">
        <v>21.0747361097328</v>
      </c>
      <c r="E307" s="9" t="s">
        <v>316</v>
      </c>
      <c r="I307" s="12" t="str">
        <f>IFERROR(__xludf.DUMMYFUNCTION("""COMPUTED_VALUE"""),"0x1740735d7ff5790024d6bcaa69589b14b2c394e9")</f>
        <v>0x1740735d7ff5790024d6bcaa69589b14b2c394e9</v>
      </c>
      <c r="J307" s="11">
        <v>22.56343935662201</v>
      </c>
      <c r="K307" s="12">
        <v>50.14097634804891</v>
      </c>
      <c r="L307" s="13">
        <v>5.014097634804891E19</v>
      </c>
      <c r="M307" s="9">
        <v>5.0140976348048906E18</v>
      </c>
    </row>
    <row r="308" ht="15.75" customHeight="1">
      <c r="A308" s="8"/>
      <c r="B308" s="8"/>
      <c r="C308" s="8"/>
      <c r="D308" s="8">
        <v>27.9026907562088</v>
      </c>
      <c r="E308" s="9" t="s">
        <v>317</v>
      </c>
      <c r="I308" s="12" t="str">
        <f>IFERROR(__xludf.DUMMYFUNCTION("""COMPUTED_VALUE"""),"0x1767d68e82c9a641ce3df93995811cf479b8d499")</f>
        <v>0x1767d68e82c9a641ce3df93995811cf479b8d499</v>
      </c>
      <c r="J308" s="11">
        <v>27.9026907562088</v>
      </c>
      <c r="K308" s="12">
        <v>62.005979458241775</v>
      </c>
      <c r="L308" s="13">
        <v>6.200597945824177E19</v>
      </c>
      <c r="M308" s="9">
        <v>6.2005979458241782E18</v>
      </c>
    </row>
    <row r="309" ht="15.75" customHeight="1">
      <c r="A309" s="8"/>
      <c r="B309" s="8"/>
      <c r="C309" s="8"/>
      <c r="D309" s="8">
        <v>27.9026907562088</v>
      </c>
      <c r="E309" s="9" t="s">
        <v>318</v>
      </c>
      <c r="I309" s="12" t="str">
        <f>IFERROR(__xludf.DUMMYFUNCTION("""COMPUTED_VALUE"""),"0x1769155d575a1f918e3a45b32f9f8858329b3315")</f>
        <v>0x1769155d575a1f918e3a45b32f9f8858329b3315</v>
      </c>
      <c r="J309" s="11">
        <v>27.9026907562088</v>
      </c>
      <c r="K309" s="12">
        <v>62.005979458241775</v>
      </c>
      <c r="L309" s="13">
        <v>6.200597945824177E19</v>
      </c>
      <c r="M309" s="9">
        <v>6.2005979458241782E18</v>
      </c>
    </row>
    <row r="310" ht="15.75" customHeight="1">
      <c r="A310" s="8"/>
      <c r="B310" s="8"/>
      <c r="C310" s="8"/>
      <c r="D310" s="8">
        <v>27.9026907562088</v>
      </c>
      <c r="E310" s="9" t="s">
        <v>319</v>
      </c>
      <c r="I310" s="12" t="str">
        <f>IFERROR(__xludf.DUMMYFUNCTION("""COMPUTED_VALUE"""),"0x1777281a2b6610d40ff726c3e03bbdc3b93d31ad")</f>
        <v>0x1777281a2b6610d40ff726c3e03bbdc3b93d31ad</v>
      </c>
      <c r="J310" s="11">
        <v>109.7796709331431</v>
      </c>
      <c r="K310" s="12">
        <v>243.95482429587355</v>
      </c>
      <c r="L310" s="13">
        <v>2.4395482429587354E20</v>
      </c>
      <c r="M310" s="9">
        <v>2.4395482429587358E19</v>
      </c>
    </row>
    <row r="311" ht="15.75" customHeight="1">
      <c r="A311" s="8"/>
      <c r="B311" s="8"/>
      <c r="C311" s="8"/>
      <c r="D311" s="8">
        <v>27.9026907562088</v>
      </c>
      <c r="E311" s="9" t="s">
        <v>320</v>
      </c>
      <c r="I311" s="12" t="str">
        <f>IFERROR(__xludf.DUMMYFUNCTION("""COMPUTED_VALUE"""),"0x177e1cc973e5605bd4eff27c490f007c95d6ef8e")</f>
        <v>0x177e1cc973e5605bd4eff27c490f007c95d6ef8e</v>
      </c>
      <c r="J311" s="11">
        <v>91.1199983031448</v>
      </c>
      <c r="K311" s="12">
        <v>202.48888511809955</v>
      </c>
      <c r="L311" s="13">
        <v>2.0248888511809955E20</v>
      </c>
      <c r="M311" s="9">
        <v>2.0248888511809958E19</v>
      </c>
    </row>
    <row r="312" ht="15.75" customHeight="1">
      <c r="A312" s="8"/>
      <c r="B312" s="8"/>
      <c r="C312" s="8"/>
      <c r="D312" s="8">
        <v>27.9026907562088</v>
      </c>
      <c r="E312" s="9" t="s">
        <v>321</v>
      </c>
      <c r="I312" s="12" t="str">
        <f>IFERROR(__xludf.DUMMYFUNCTION("""COMPUTED_VALUE"""),"0x1789b8025adcad14a55538ef6d07d699b3bbe7b4")</f>
        <v>0x1789b8025adcad14a55538ef6d07d699b3bbe7b4</v>
      </c>
      <c r="J312" s="11">
        <v>91.1199983031448</v>
      </c>
      <c r="K312" s="12">
        <v>202.48888511809955</v>
      </c>
      <c r="L312" s="13">
        <v>2.0248888511809955E20</v>
      </c>
      <c r="M312" s="9">
        <v>2.0248888511809958E19</v>
      </c>
    </row>
    <row r="313" ht="15.75" customHeight="1">
      <c r="A313" s="8"/>
      <c r="B313" s="8"/>
      <c r="C313" s="8"/>
      <c r="D313" s="8">
        <v>27.9026907562088</v>
      </c>
      <c r="E313" s="9" t="s">
        <v>322</v>
      </c>
      <c r="I313" s="12" t="str">
        <f>IFERROR(__xludf.DUMMYFUNCTION("""COMPUTED_VALUE"""),"0x17a611b844ff9dcd6331f058a118ba2561b0d8ba")</f>
        <v>0x17a611b844ff9dcd6331f058a118ba2561b0d8ba</v>
      </c>
      <c r="J313" s="11">
        <v>98.90315965430537</v>
      </c>
      <c r="K313" s="12">
        <v>219.7847992317897</v>
      </c>
      <c r="L313" s="13">
        <v>2.197847992317897E20</v>
      </c>
      <c r="M313" s="9">
        <v>2.197847992317897E19</v>
      </c>
    </row>
    <row r="314" ht="15.75" customHeight="1">
      <c r="A314" s="8"/>
      <c r="B314" s="8"/>
      <c r="C314" s="8"/>
      <c r="D314" s="8">
        <v>24.8259526226645</v>
      </c>
      <c r="E314" s="9" t="s">
        <v>323</v>
      </c>
      <c r="I314" s="12" t="str">
        <f>IFERROR(__xludf.DUMMYFUNCTION("""COMPUTED_VALUE"""),"0x17b836a24e5688b27a85b4f19ebd44f526333d64")</f>
        <v>0x17b836a24e5688b27a85b4f19ebd44f526333d64</v>
      </c>
      <c r="J314" s="11">
        <v>24.8259526226645</v>
      </c>
      <c r="K314" s="12">
        <v>55.16878360592111</v>
      </c>
      <c r="L314" s="13">
        <v>5.51687836059211E19</v>
      </c>
      <c r="M314" s="9">
        <v>5.5168783605921106E18</v>
      </c>
    </row>
    <row r="315" ht="15.75" customHeight="1">
      <c r="A315" s="8"/>
      <c r="B315" s="8"/>
      <c r="C315" s="8"/>
      <c r="D315" s="8">
        <v>27.9026907562088</v>
      </c>
      <c r="E315" s="9" t="s">
        <v>324</v>
      </c>
      <c r="I315" s="12" t="str">
        <f>IFERROR(__xludf.DUMMYFUNCTION("""COMPUTED_VALUE"""),"0x17c33876f9282f96dc8472ce8c5f94b6dbb4105d")</f>
        <v>0x17c33876f9282f96dc8472ce8c5f94b6dbb4105d</v>
      </c>
      <c r="J315" s="11">
        <v>27.9026907562088</v>
      </c>
      <c r="K315" s="12">
        <v>62.005979458241775</v>
      </c>
      <c r="L315" s="13">
        <v>6.200597945824177E19</v>
      </c>
      <c r="M315" s="9">
        <v>6.2005979458241782E18</v>
      </c>
    </row>
    <row r="316" ht="15.75" customHeight="1">
      <c r="A316" s="8"/>
      <c r="B316" s="8"/>
      <c r="C316" s="8"/>
      <c r="D316" s="8">
        <v>27.9026907562088</v>
      </c>
      <c r="E316" s="9" t="s">
        <v>325</v>
      </c>
      <c r="I316" s="12" t="str">
        <f>IFERROR(__xludf.DUMMYFUNCTION("""COMPUTED_VALUE"""),"0x17c8b56c4c4bce284b8ce67b62fc1dd79212af5b")</f>
        <v>0x17c8b56c4c4bce284b8ce67b62fc1dd79212af5b</v>
      </c>
      <c r="J316" s="11">
        <v>27.9026907562088</v>
      </c>
      <c r="K316" s="12">
        <v>62.005979458241775</v>
      </c>
      <c r="L316" s="13">
        <v>6.200597945824177E19</v>
      </c>
      <c r="M316" s="9">
        <v>6.2005979458241782E18</v>
      </c>
    </row>
    <row r="317" ht="15.75" customHeight="1">
      <c r="A317" s="8"/>
      <c r="B317" s="8"/>
      <c r="C317" s="8"/>
      <c r="D317" s="8">
        <v>27.9026907562088</v>
      </c>
      <c r="E317" s="9" t="s">
        <v>326</v>
      </c>
      <c r="I317" s="12" t="str">
        <f>IFERROR(__xludf.DUMMYFUNCTION("""COMPUTED_VALUE"""),"0x17e251e75cb20c9ae1a8bc7f84680a28b086f120")</f>
        <v>0x17e251e75cb20c9ae1a8bc7f84680a28b086f120</v>
      </c>
      <c r="J317" s="11">
        <v>91.1199983031448</v>
      </c>
      <c r="K317" s="12">
        <v>202.48888511809955</v>
      </c>
      <c r="L317" s="13">
        <v>2.0248888511809955E20</v>
      </c>
      <c r="M317" s="9">
        <v>2.0248888511809958E19</v>
      </c>
    </row>
    <row r="318" ht="15.75" customHeight="1">
      <c r="A318" s="8"/>
      <c r="B318" s="8"/>
      <c r="C318" s="8"/>
      <c r="D318" s="8">
        <v>27.9026907562088</v>
      </c>
      <c r="E318" s="9" t="s">
        <v>327</v>
      </c>
      <c r="I318" s="12" t="str">
        <f>IFERROR(__xludf.DUMMYFUNCTION("""COMPUTED_VALUE"""),"0x17e50acb4125d1a3af86c8180c9218e1d708a5bd")</f>
        <v>0x17e50acb4125d1a3af86c8180c9218e1d708a5bd</v>
      </c>
      <c r="J318" s="11">
        <v>78.47653679375759</v>
      </c>
      <c r="K318" s="12">
        <v>174.39230398612798</v>
      </c>
      <c r="L318" s="13">
        <v>1.74392303986128E20</v>
      </c>
      <c r="M318" s="9">
        <v>1.74392303986128E19</v>
      </c>
    </row>
    <row r="319" ht="15.75" customHeight="1">
      <c r="A319" s="8"/>
      <c r="B319" s="8"/>
      <c r="C319" s="8"/>
      <c r="D319" s="8">
        <v>27.9026907562088</v>
      </c>
      <c r="E319" s="9" t="s">
        <v>328</v>
      </c>
      <c r="I319" s="12" t="str">
        <f>IFERROR(__xludf.DUMMYFUNCTION("""COMPUTED_VALUE"""),"0x17eaa219ea91d78549d85c48c7291793ebf08565")</f>
        <v>0x17eaa219ea91d78549d85c48c7291793ebf08565</v>
      </c>
      <c r="J319" s="11">
        <v>91.1199983031448</v>
      </c>
      <c r="K319" s="12">
        <v>202.48888511809955</v>
      </c>
      <c r="L319" s="13">
        <v>2.0248888511809955E20</v>
      </c>
      <c r="M319" s="9">
        <v>2.0248888511809958E19</v>
      </c>
    </row>
    <row r="320" ht="15.75" customHeight="1">
      <c r="A320" s="8"/>
      <c r="B320" s="8"/>
      <c r="C320" s="8"/>
      <c r="D320" s="8">
        <v>27.9026907562088</v>
      </c>
      <c r="E320" s="9" t="s">
        <v>329</v>
      </c>
      <c r="I320" s="12" t="str">
        <f>IFERROR(__xludf.DUMMYFUNCTION("""COMPUTED_VALUE"""),"0x17ef28a3319c4ef5fbc80b59c69a60016de156a4")</f>
        <v>0x17ef28a3319c4ef5fbc80b59c69a60016de156a4</v>
      </c>
      <c r="J320" s="11">
        <v>27.9026907562088</v>
      </c>
      <c r="K320" s="12">
        <v>62.005979458241775</v>
      </c>
      <c r="L320" s="13">
        <v>6.200597945824177E19</v>
      </c>
      <c r="M320" s="9">
        <v>6.2005979458241782E18</v>
      </c>
    </row>
    <row r="321" ht="15.75" customHeight="1">
      <c r="A321" s="8"/>
      <c r="B321" s="8"/>
      <c r="C321" s="8"/>
      <c r="D321" s="8">
        <v>8.17841636563861</v>
      </c>
      <c r="E321" s="9" t="s">
        <v>330</v>
      </c>
      <c r="I321" s="12" t="str">
        <f>IFERROR(__xludf.DUMMYFUNCTION("""COMPUTED_VALUE"""),"0x17f179daaa349789dd26ba2efac053f10848c0c6")</f>
        <v>0x17f179daaa349789dd26ba2efac053f10848c0c6</v>
      </c>
      <c r="J321" s="11">
        <v>8.17841636563861</v>
      </c>
      <c r="K321" s="12">
        <v>18.17425859030802</v>
      </c>
      <c r="L321" s="13">
        <v>1.817425859030802E19</v>
      </c>
      <c r="M321" s="9">
        <v>1.81742585903080218E18</v>
      </c>
    </row>
    <row r="322" ht="15.75" customHeight="1">
      <c r="A322" s="8"/>
      <c r="B322" s="8"/>
      <c r="C322" s="8"/>
      <c r="D322" s="8">
        <v>25.5311997139472</v>
      </c>
      <c r="E322" s="9" t="s">
        <v>331</v>
      </c>
      <c r="I322" s="12" t="str">
        <f>IFERROR(__xludf.DUMMYFUNCTION("""COMPUTED_VALUE"""),"0x17f41c0df99cba57ac7122d118c49a95afe63799")</f>
        <v>0x17f41c0df99cba57ac7122d118c49a95afe63799</v>
      </c>
      <c r="J322" s="11">
        <v>27.32418383520925</v>
      </c>
      <c r="K322" s="12">
        <v>60.72040852268722</v>
      </c>
      <c r="L322" s="13">
        <v>6.0720408522687226E19</v>
      </c>
      <c r="M322" s="9">
        <v>6.0720408522687232E18</v>
      </c>
    </row>
    <row r="323" ht="15.75" customHeight="1">
      <c r="A323" s="8"/>
      <c r="B323" s="8"/>
      <c r="C323" s="8"/>
      <c r="D323" s="8">
        <v>0.200046260931171</v>
      </c>
      <c r="E323" s="9" t="s">
        <v>332</v>
      </c>
      <c r="I323" s="12" t="str">
        <f>IFERROR(__xludf.DUMMYFUNCTION("""COMPUTED_VALUE"""),"0x181271a84d444b2c16f1def234f349abefd41ef1")</f>
        <v>0x181271a84d444b2c16f1def234f349abefd41ef1</v>
      </c>
      <c r="J323" s="11">
        <v>0.200046260931171</v>
      </c>
      <c r="K323" s="12">
        <v>0.44454724651371336</v>
      </c>
      <c r="L323" s="13">
        <v>4.4454724651371334E17</v>
      </c>
      <c r="M323" s="9">
        <v>4.4454724651371336E16</v>
      </c>
    </row>
    <row r="324" ht="15.75" customHeight="1">
      <c r="A324" s="8"/>
      <c r="B324" s="8"/>
      <c r="C324" s="8"/>
      <c r="D324" s="8">
        <v>27.9026907562088</v>
      </c>
      <c r="E324" s="9" t="s">
        <v>333</v>
      </c>
      <c r="I324" s="12" t="str">
        <f>IFERROR(__xludf.DUMMYFUNCTION("""COMPUTED_VALUE"""),"0x181b04d293b5f087b27d5a461f77771a514e45de")</f>
        <v>0x181b04d293b5f087b27d5a461f77771a514e45de</v>
      </c>
      <c r="J324" s="11">
        <v>91.1199983031448</v>
      </c>
      <c r="K324" s="12">
        <v>202.48888511809955</v>
      </c>
      <c r="L324" s="13">
        <v>2.0248888511809955E20</v>
      </c>
      <c r="M324" s="9">
        <v>2.0248888511809958E19</v>
      </c>
    </row>
    <row r="325" ht="15.75" customHeight="1">
      <c r="A325" s="8"/>
      <c r="B325" s="8"/>
      <c r="C325" s="8"/>
      <c r="D325" s="8">
        <v>27.9026907562088</v>
      </c>
      <c r="E325" s="9" t="s">
        <v>334</v>
      </c>
      <c r="I325" s="12" t="str">
        <f>IFERROR(__xludf.DUMMYFUNCTION("""COMPUTED_VALUE"""),"0x185df3839a57dbdd02f66dd10b54dbdd66c4ce84")</f>
        <v>0x185df3839a57dbdd02f66dd10b54dbdd66c4ce84</v>
      </c>
      <c r="J325" s="11">
        <v>113.3568183295607</v>
      </c>
      <c r="K325" s="12">
        <v>251.9040407323571</v>
      </c>
      <c r="L325" s="13">
        <v>2.519040407323571E20</v>
      </c>
      <c r="M325" s="9">
        <v>2.519040407323571E19</v>
      </c>
    </row>
    <row r="326" ht="15.75" customHeight="1">
      <c r="A326" s="8"/>
      <c r="B326" s="8"/>
      <c r="C326" s="8"/>
      <c r="D326" s="8">
        <v>27.9026907562088</v>
      </c>
      <c r="E326" s="9" t="s">
        <v>335</v>
      </c>
      <c r="I326" s="12" t="str">
        <f>IFERROR(__xludf.DUMMYFUNCTION("""COMPUTED_VALUE"""),"0x18701c88a959212b5a93aaa0a06acede9be273fa")</f>
        <v>0x18701c88a959212b5a93aaa0a06acede9be273fa</v>
      </c>
      <c r="J326" s="11">
        <v>29.848481093998938</v>
      </c>
      <c r="K326" s="12">
        <v>66.32995798666431</v>
      </c>
      <c r="L326" s="13">
        <v>6.632995798666431E19</v>
      </c>
      <c r="M326" s="9">
        <v>6.6329957986664315E18</v>
      </c>
    </row>
    <row r="327" ht="15.75" customHeight="1">
      <c r="A327" s="8"/>
      <c r="B327" s="8"/>
      <c r="C327" s="8"/>
      <c r="D327" s="8">
        <v>0.750533766674635</v>
      </c>
      <c r="E327" s="9" t="s">
        <v>336</v>
      </c>
      <c r="I327" s="12" t="str">
        <f>IFERROR(__xludf.DUMMYFUNCTION("""COMPUTED_VALUE"""),"0x18708ae8b14b2fdf4bd1c097138064b468c5d82c")</f>
        <v>0x18708ae8b14b2fdf4bd1c097138064b468c5d82c</v>
      </c>
      <c r="J327" s="11">
        <v>0.7517387780693303</v>
      </c>
      <c r="K327" s="12">
        <v>1.670530617931845</v>
      </c>
      <c r="L327" s="13">
        <v>1.67053061793184512E18</v>
      </c>
      <c r="M327" s="9">
        <v>1.67053061793184512E17</v>
      </c>
    </row>
    <row r="328" ht="15.75" customHeight="1">
      <c r="A328" s="8"/>
      <c r="B328" s="8"/>
      <c r="C328" s="8"/>
      <c r="D328" s="8">
        <v>27.5989905270748</v>
      </c>
      <c r="E328" s="9" t="s">
        <v>337</v>
      </c>
      <c r="I328" s="12" t="str">
        <f>IFERROR(__xludf.DUMMYFUNCTION("""COMPUTED_VALUE"""),"0x187e4a878480dfceee8fc5e2bbdc2f23d54c89ee")</f>
        <v>0x187e4a878480dfceee8fc5e2bbdc2f23d54c89ee</v>
      </c>
      <c r="J328" s="11">
        <v>27.5989905270748</v>
      </c>
      <c r="K328" s="12">
        <v>61.33109006016622</v>
      </c>
      <c r="L328" s="13">
        <v>6.133109006016622E19</v>
      </c>
      <c r="M328" s="9">
        <v>6.1331090060166226E18</v>
      </c>
    </row>
    <row r="329" ht="15.75" customHeight="1">
      <c r="A329" s="8"/>
      <c r="B329" s="8"/>
      <c r="C329" s="8"/>
      <c r="D329" s="8">
        <v>27.9026907562088</v>
      </c>
      <c r="E329" s="9" t="s">
        <v>338</v>
      </c>
      <c r="I329" s="12" t="str">
        <f>IFERROR(__xludf.DUMMYFUNCTION("""COMPUTED_VALUE"""),"0x18908564c6872d1611836d806c980ee9ebb3892b")</f>
        <v>0x18908564c6872d1611836d806c980ee9ebb3892b</v>
      </c>
      <c r="J329" s="11">
        <v>27.9026907562088</v>
      </c>
      <c r="K329" s="12">
        <v>62.005979458241775</v>
      </c>
      <c r="L329" s="13">
        <v>6.200597945824177E19</v>
      </c>
      <c r="M329" s="9">
        <v>6.2005979458241782E18</v>
      </c>
    </row>
    <row r="330" ht="15.75" customHeight="1">
      <c r="A330" s="8"/>
      <c r="B330" s="8"/>
      <c r="C330" s="8"/>
      <c r="D330" s="8">
        <v>27.9026907562088</v>
      </c>
      <c r="E330" s="9" t="s">
        <v>339</v>
      </c>
      <c r="I330" s="12" t="str">
        <f>IFERROR(__xludf.DUMMYFUNCTION("""COMPUTED_VALUE"""),"0x189de9b7e7e3cc561943fb7f860bc5607b3ad4f9")</f>
        <v>0x189de9b7e7e3cc561943fb7f860bc5607b3ad4f9</v>
      </c>
      <c r="J330" s="11">
        <v>27.9026907562088</v>
      </c>
      <c r="K330" s="12">
        <v>62.005979458241775</v>
      </c>
      <c r="L330" s="13">
        <v>6.200597945824177E19</v>
      </c>
      <c r="M330" s="9">
        <v>6.2005979458241782E18</v>
      </c>
    </row>
    <row r="331" ht="15.75" customHeight="1">
      <c r="A331" s="8"/>
      <c r="B331" s="8"/>
      <c r="C331" s="8"/>
      <c r="D331" s="8">
        <v>27.9026907562088</v>
      </c>
      <c r="E331" s="9" t="s">
        <v>340</v>
      </c>
      <c r="I331" s="12" t="str">
        <f>IFERROR(__xludf.DUMMYFUNCTION("""COMPUTED_VALUE"""),"0x18b9322bac9fc359117b2c3badc175b34ea83888")</f>
        <v>0x18b9322bac9fc359117b2c3badc175b34ea83888</v>
      </c>
      <c r="J331" s="11">
        <v>100.92957223133551</v>
      </c>
      <c r="K331" s="12">
        <v>224.28793829185668</v>
      </c>
      <c r="L331" s="13">
        <v>2.2428793829185667E20</v>
      </c>
      <c r="M331" s="9">
        <v>2.2428793829185667E19</v>
      </c>
    </row>
    <row r="332" ht="15.75" customHeight="1">
      <c r="A332" s="8"/>
      <c r="B332" s="8"/>
      <c r="C332" s="8"/>
      <c r="D332" s="8">
        <v>27.9026907562088</v>
      </c>
      <c r="E332" s="9" t="s">
        <v>341</v>
      </c>
      <c r="I332" s="12" t="str">
        <f>IFERROR(__xludf.DUMMYFUNCTION("""COMPUTED_VALUE"""),"0x18cadf275fe04cf1821e215b00695274d7ef364a")</f>
        <v>0x18cadf275fe04cf1821e215b00695274d7ef364a</v>
      </c>
      <c r="J332" s="11">
        <v>91.1199983031448</v>
      </c>
      <c r="K332" s="12">
        <v>202.48888511809955</v>
      </c>
      <c r="L332" s="13">
        <v>2.0248888511809955E20</v>
      </c>
      <c r="M332" s="9">
        <v>2.0248888511809958E19</v>
      </c>
    </row>
    <row r="333" ht="15.75" customHeight="1">
      <c r="A333" s="8"/>
      <c r="B333" s="8"/>
      <c r="C333" s="8"/>
      <c r="D333" s="8">
        <v>27.9026907562088</v>
      </c>
      <c r="E333" s="9" t="s">
        <v>342</v>
      </c>
      <c r="I333" s="12" t="str">
        <f>IFERROR(__xludf.DUMMYFUNCTION("""COMPUTED_VALUE"""),"0x18d17e24873fb5280c36edfebbf974067dbb85e6")</f>
        <v>0x18d17e24873fb5280c36edfebbf974067dbb85e6</v>
      </c>
      <c r="J333" s="11">
        <v>27.9026907562088</v>
      </c>
      <c r="K333" s="12">
        <v>62.005979458241775</v>
      </c>
      <c r="L333" s="13">
        <v>6.200597945824177E19</v>
      </c>
      <c r="M333" s="9">
        <v>6.2005979458241782E18</v>
      </c>
    </row>
    <row r="334" ht="15.75" customHeight="1">
      <c r="A334" s="8"/>
      <c r="B334" s="8"/>
      <c r="C334" s="8"/>
      <c r="D334" s="8">
        <v>27.9026907562088</v>
      </c>
      <c r="E334" s="9" t="s">
        <v>343</v>
      </c>
      <c r="I334" s="12" t="str">
        <f>IFERROR(__xludf.DUMMYFUNCTION("""COMPUTED_VALUE"""),"0x18d8032f7c11663068d36ca79954b9e28d653ca3")</f>
        <v>0x18d8032f7c11663068d36ca79954b9e28d653ca3</v>
      </c>
      <c r="J334" s="11">
        <v>157.2768697880097</v>
      </c>
      <c r="K334" s="12">
        <v>349.504155084466</v>
      </c>
      <c r="L334" s="13">
        <v>3.4950415508446596E20</v>
      </c>
      <c r="M334" s="9">
        <v>3.4950415508446597E19</v>
      </c>
    </row>
    <row r="335" ht="15.75" customHeight="1">
      <c r="A335" s="8"/>
      <c r="B335" s="8"/>
      <c r="C335" s="8"/>
      <c r="D335" s="8">
        <v>27.9026907562088</v>
      </c>
      <c r="E335" s="9" t="s">
        <v>344</v>
      </c>
      <c r="I335" s="12" t="str">
        <f>IFERROR(__xludf.DUMMYFUNCTION("""COMPUTED_VALUE"""),"0x18da151be0e039e784255889760ce19d2ec58a92")</f>
        <v>0x18da151be0e039e784255889760ce19d2ec58a92</v>
      </c>
      <c r="J335" s="11">
        <v>91.1199983031448</v>
      </c>
      <c r="K335" s="12">
        <v>202.48888511809955</v>
      </c>
      <c r="L335" s="13">
        <v>2.0248888511809955E20</v>
      </c>
      <c r="M335" s="9">
        <v>2.0248888511809958E19</v>
      </c>
    </row>
    <row r="336" ht="15.75" customHeight="1">
      <c r="A336" s="8"/>
      <c r="B336" s="8"/>
      <c r="C336" s="8"/>
      <c r="D336" s="8">
        <v>27.9026907562088</v>
      </c>
      <c r="E336" s="9" t="s">
        <v>345</v>
      </c>
      <c r="I336" s="12" t="str">
        <f>IFERROR(__xludf.DUMMYFUNCTION("""COMPUTED_VALUE"""),"0x18dd27942fa67e6a997f71547655e80e7dfac29f")</f>
        <v>0x18dd27942fa67e6a997f71547655e80e7dfac29f</v>
      </c>
      <c r="J336" s="11">
        <v>91.1199983031448</v>
      </c>
      <c r="K336" s="12">
        <v>202.48888511809955</v>
      </c>
      <c r="L336" s="13">
        <v>2.0248888511809955E20</v>
      </c>
      <c r="M336" s="9">
        <v>2.0248888511809958E19</v>
      </c>
    </row>
    <row r="337" ht="15.75" customHeight="1">
      <c r="A337" s="8"/>
      <c r="B337" s="8"/>
      <c r="C337" s="8"/>
      <c r="D337" s="8">
        <v>27.9026907562088</v>
      </c>
      <c r="E337" s="9" t="s">
        <v>346</v>
      </c>
      <c r="I337" s="12" t="str">
        <f>IFERROR(__xludf.DUMMYFUNCTION("""COMPUTED_VALUE"""),"0x18fdd3197f863e30c0b7654134e681f96e2a7343")</f>
        <v>0x18fdd3197f863e30c0b7654134e681f96e2a7343</v>
      </c>
      <c r="J337" s="11">
        <v>27.9026907562088</v>
      </c>
      <c r="K337" s="12">
        <v>62.005979458241775</v>
      </c>
      <c r="L337" s="13">
        <v>6.200597945824177E19</v>
      </c>
      <c r="M337" s="9">
        <v>6.2005979458241782E18</v>
      </c>
    </row>
    <row r="338" ht="15.75" customHeight="1">
      <c r="A338" s="8"/>
      <c r="B338" s="8"/>
      <c r="C338" s="8"/>
      <c r="D338" s="8">
        <v>27.9026907562088</v>
      </c>
      <c r="E338" s="9" t="s">
        <v>347</v>
      </c>
      <c r="I338" s="12" t="str">
        <f>IFERROR(__xludf.DUMMYFUNCTION("""COMPUTED_VALUE"""),"0x190af7691ce2ce6ba08280b80f43967014259ed9")</f>
        <v>0x190af7691ce2ce6ba08280b80f43967014259ed9</v>
      </c>
      <c r="J338" s="11">
        <v>30.04306012777795</v>
      </c>
      <c r="K338" s="12">
        <v>66.76235583950655</v>
      </c>
      <c r="L338" s="13">
        <v>6.6762355839506555E19</v>
      </c>
      <c r="M338" s="9">
        <v>6.6762355839506555E18</v>
      </c>
    </row>
    <row r="339" ht="15.75" customHeight="1">
      <c r="A339" s="8"/>
      <c r="B339" s="8"/>
      <c r="C339" s="8"/>
      <c r="D339" s="8">
        <v>27.9026907562088</v>
      </c>
      <c r="E339" s="9" t="s">
        <v>348</v>
      </c>
      <c r="I339" s="12" t="str">
        <f>IFERROR(__xludf.DUMMYFUNCTION("""COMPUTED_VALUE"""),"0x1954412daf4759936f4f0d42e1d2d4449a1a22c1")</f>
        <v>0x1954412daf4759936f4f0d42e1d2d4449a1a22c1</v>
      </c>
      <c r="J339" s="11">
        <v>91.84154222500337</v>
      </c>
      <c r="K339" s="12">
        <v>204.09231605556303</v>
      </c>
      <c r="L339" s="13">
        <v>2.0409231605556304E20</v>
      </c>
      <c r="M339" s="9">
        <v>2.0409231605556306E19</v>
      </c>
    </row>
    <row r="340" ht="15.75" customHeight="1">
      <c r="A340" s="8"/>
      <c r="B340" s="8"/>
      <c r="C340" s="8"/>
      <c r="D340" s="8">
        <v>27.9026907562088</v>
      </c>
      <c r="E340" s="9" t="s">
        <v>349</v>
      </c>
      <c r="I340" s="12" t="str">
        <f>IFERROR(__xludf.DUMMYFUNCTION("""COMPUTED_VALUE"""),"0x196a37946c3d93e9a5309f539ae28b774a32411f")</f>
        <v>0x196a37946c3d93e9a5309f539ae28b774a32411f</v>
      </c>
      <c r="J340" s="11">
        <v>349.32708183320676</v>
      </c>
      <c r="K340" s="12">
        <v>776.2824040737928</v>
      </c>
      <c r="L340" s="13">
        <v>7.762824040737929E20</v>
      </c>
      <c r="M340" s="9">
        <v>7.76282404073793E19</v>
      </c>
    </row>
    <row r="341" ht="15.75" customHeight="1">
      <c r="A341" s="8"/>
      <c r="B341" s="8"/>
      <c r="C341" s="8"/>
      <c r="D341" s="8">
        <v>27.9026907562088</v>
      </c>
      <c r="E341" s="9" t="s">
        <v>350</v>
      </c>
      <c r="I341" s="12" t="str">
        <f>IFERROR(__xludf.DUMMYFUNCTION("""COMPUTED_VALUE"""),"0x19775e1817bc7a1e41060f80e0d00eabae2959a7")</f>
        <v>0x19775e1817bc7a1e41060f80e0d00eabae2959a7</v>
      </c>
      <c r="J341" s="11">
        <v>118.40174927549239</v>
      </c>
      <c r="K341" s="12">
        <v>263.1149983899831</v>
      </c>
      <c r="L341" s="13">
        <v>2.631149983899831E20</v>
      </c>
      <c r="M341" s="9">
        <v>2.631149983899831E19</v>
      </c>
    </row>
    <row r="342" ht="15.75" customHeight="1">
      <c r="A342" s="8"/>
      <c r="B342" s="8"/>
      <c r="C342" s="8"/>
      <c r="D342" s="8">
        <v>24.7933520950686</v>
      </c>
      <c r="E342" s="9" t="s">
        <v>351</v>
      </c>
      <c r="I342" s="12" t="str">
        <f>IFERROR(__xludf.DUMMYFUNCTION("""COMPUTED_VALUE"""),"0x199bb8264496bbf4c52126b593c8947de39bd680")</f>
        <v>0x199bb8264496bbf4c52126b593c8947de39bd680</v>
      </c>
      <c r="J342" s="11">
        <v>24.7933520950686</v>
      </c>
      <c r="K342" s="12">
        <v>55.09633798904133</v>
      </c>
      <c r="L342" s="13">
        <v>5.509633798904133E19</v>
      </c>
      <c r="M342" s="9">
        <v>5.5096337989041336E18</v>
      </c>
    </row>
    <row r="343" ht="15.75" customHeight="1">
      <c r="A343" s="8"/>
      <c r="B343" s="8"/>
      <c r="C343" s="8"/>
      <c r="D343" s="8">
        <v>27.9026907562088</v>
      </c>
      <c r="E343" s="9" t="s">
        <v>352</v>
      </c>
      <c r="I343" s="12" t="str">
        <f>IFERROR(__xludf.DUMMYFUNCTION("""COMPUTED_VALUE"""),"0x19a23443e17d1bbfe9726202478ad891cc4f0776")</f>
        <v>0x19a23443e17d1bbfe9726202478ad891cc4f0776</v>
      </c>
      <c r="J343" s="11">
        <v>27.9026907562088</v>
      </c>
      <c r="K343" s="12">
        <v>62.005979458241775</v>
      </c>
      <c r="L343" s="13">
        <v>6.200597945824177E19</v>
      </c>
      <c r="M343" s="9">
        <v>6.2005979458241782E18</v>
      </c>
    </row>
    <row r="344" ht="15.75" customHeight="1">
      <c r="A344" s="8"/>
      <c r="B344" s="8"/>
      <c r="C344" s="8"/>
      <c r="D344" s="8">
        <v>24.3385070776062</v>
      </c>
      <c r="E344" s="9" t="s">
        <v>353</v>
      </c>
      <c r="I344" s="12" t="str">
        <f>IFERROR(__xludf.DUMMYFUNCTION("""COMPUTED_VALUE"""),"0x19b2498465b853ee7fdff06b68f776669e7fce3e")</f>
        <v>0x19b2498465b853ee7fdff06b68f776669e7fce3e</v>
      </c>
      <c r="J344" s="11">
        <v>24.3385070776062</v>
      </c>
      <c r="K344" s="12">
        <v>54.08557128356933</v>
      </c>
      <c r="L344" s="13">
        <v>5.408557128356933E19</v>
      </c>
      <c r="M344" s="9">
        <v>5.4085571283569326E18</v>
      </c>
    </row>
    <row r="345" ht="15.75" customHeight="1">
      <c r="A345" s="8"/>
      <c r="B345" s="8"/>
      <c r="C345" s="8"/>
      <c r="D345" s="8">
        <v>26.9949930031083</v>
      </c>
      <c r="E345" s="9" t="s">
        <v>354</v>
      </c>
      <c r="I345" s="12" t="str">
        <f>IFERROR(__xludf.DUMMYFUNCTION("""COMPUTED_VALUE"""),"0x19e88c8b498e6a20e3af3f7caf0d78278cc98c7d")</f>
        <v>0x19e88c8b498e6a20e3af3f7caf0d78278cc98c7d</v>
      </c>
      <c r="J345" s="11">
        <v>88.3495648024157</v>
      </c>
      <c r="K345" s="12">
        <v>196.33236622759043</v>
      </c>
      <c r="L345" s="13">
        <v>1.963323662275904E20</v>
      </c>
      <c r="M345" s="9">
        <v>1.9633236622759043E19</v>
      </c>
    </row>
    <row r="346" ht="15.75" customHeight="1">
      <c r="A346" s="8"/>
      <c r="B346" s="8"/>
      <c r="C346" s="8"/>
      <c r="D346" s="8">
        <v>27.9026907562088</v>
      </c>
      <c r="E346" s="9" t="s">
        <v>355</v>
      </c>
      <c r="I346" s="12" t="str">
        <f>IFERROR(__xludf.DUMMYFUNCTION("""COMPUTED_VALUE"""),"0x1a1947318d09199c6c198892072b1d0f2f306f87")</f>
        <v>0x1a1947318d09199c6c198892072b1d0f2f306f87</v>
      </c>
      <c r="J346" s="11">
        <v>177.8633315618294</v>
      </c>
      <c r="K346" s="12">
        <v>395.2518479151764</v>
      </c>
      <c r="L346" s="13">
        <v>3.952518479151764E20</v>
      </c>
      <c r="M346" s="9">
        <v>3.952518479151764E19</v>
      </c>
    </row>
    <row r="347" ht="15.75" customHeight="1">
      <c r="A347" s="8"/>
      <c r="B347" s="8"/>
      <c r="C347" s="8"/>
      <c r="D347" s="8">
        <v>27.9026907562088</v>
      </c>
      <c r="E347" s="9" t="s">
        <v>356</v>
      </c>
      <c r="I347" s="12" t="str">
        <f>IFERROR(__xludf.DUMMYFUNCTION("""COMPUTED_VALUE"""),"0x1a19c0475ec0c7adcf67036a887864dfe6067e7d")</f>
        <v>0x1a19c0475ec0c7adcf67036a887864dfe6067e7d</v>
      </c>
      <c r="J347" s="11">
        <v>91.1199983031448</v>
      </c>
      <c r="K347" s="12">
        <v>202.48888511809955</v>
      </c>
      <c r="L347" s="13">
        <v>2.0248888511809955E20</v>
      </c>
      <c r="M347" s="9">
        <v>2.0248888511809958E19</v>
      </c>
    </row>
    <row r="348" ht="15.75" customHeight="1">
      <c r="A348" s="8"/>
      <c r="B348" s="8"/>
      <c r="C348" s="8"/>
      <c r="D348" s="8">
        <v>27.9026907562088</v>
      </c>
      <c r="E348" s="9" t="s">
        <v>357</v>
      </c>
      <c r="I348" s="12" t="str">
        <f>IFERROR(__xludf.DUMMYFUNCTION("""COMPUTED_VALUE"""),"0x1a1d8a4da8d4c67e13c7ab22ea403ba747943cd4")</f>
        <v>0x1a1d8a4da8d4c67e13c7ab22ea403ba747943cd4</v>
      </c>
      <c r="J348" s="11">
        <v>170.5689845243877</v>
      </c>
      <c r="K348" s="12">
        <v>379.0421878319727</v>
      </c>
      <c r="L348" s="13">
        <v>3.7904218783197266E20</v>
      </c>
      <c r="M348" s="9">
        <v>3.790421878319727E19</v>
      </c>
    </row>
    <row r="349" ht="15.75" customHeight="1">
      <c r="A349" s="8"/>
      <c r="B349" s="8"/>
      <c r="C349" s="8"/>
      <c r="D349" s="8">
        <v>19.3525610326991</v>
      </c>
      <c r="E349" s="9" t="s">
        <v>358</v>
      </c>
      <c r="I349" s="12" t="str">
        <f>IFERROR(__xludf.DUMMYFUNCTION("""COMPUTED_VALUE"""),"0x1a260eb4e507c5e77bd69b8bd81cd05258a5a527")</f>
        <v>0x1a260eb4e507c5e77bd69b8bd81cd05258a5a527</v>
      </c>
      <c r="J349" s="11">
        <v>19.3525610326991</v>
      </c>
      <c r="K349" s="12">
        <v>43.005691183775774</v>
      </c>
      <c r="L349" s="13">
        <v>4.300569118377578E19</v>
      </c>
      <c r="M349" s="9">
        <v>4.300569118377578E18</v>
      </c>
    </row>
    <row r="350" ht="15.75" customHeight="1">
      <c r="A350" s="8"/>
      <c r="B350" s="8"/>
      <c r="C350" s="8"/>
      <c r="D350" s="8">
        <v>25.5450262431939</v>
      </c>
      <c r="E350" s="9" t="s">
        <v>359</v>
      </c>
      <c r="I350" s="12" t="str">
        <f>IFERROR(__xludf.DUMMYFUNCTION("""COMPUTED_VALUE"""),"0x1a2a24e8ac0bd22c4f9b4fdf34bfcd30820246bc")</f>
        <v>0x1a2a24e8ac0bd22c4f9b4fdf34bfcd30820246bc</v>
      </c>
      <c r="J350" s="11">
        <v>25.5450262431939</v>
      </c>
      <c r="K350" s="12">
        <v>56.76672498487533</v>
      </c>
      <c r="L350" s="13">
        <v>5.676672498487533E19</v>
      </c>
      <c r="M350" s="9">
        <v>5.6766724984875336E18</v>
      </c>
    </row>
    <row r="351" ht="15.75" customHeight="1">
      <c r="A351" s="8"/>
      <c r="B351" s="8"/>
      <c r="C351" s="8"/>
      <c r="D351" s="8">
        <v>27.9026907562088</v>
      </c>
      <c r="E351" s="9" t="s">
        <v>360</v>
      </c>
      <c r="I351" s="12" t="str">
        <f>IFERROR(__xludf.DUMMYFUNCTION("""COMPUTED_VALUE"""),"0x1a2a6d75bc47eb09b77d49ad71d96aedfd5f2d52")</f>
        <v>0x1a2a6d75bc47eb09b77d49ad71d96aedfd5f2d52</v>
      </c>
      <c r="J351" s="11">
        <v>91.1199983031448</v>
      </c>
      <c r="K351" s="12">
        <v>202.48888511809955</v>
      </c>
      <c r="L351" s="13">
        <v>2.0248888511809955E20</v>
      </c>
      <c r="M351" s="9">
        <v>2.0248888511809958E19</v>
      </c>
    </row>
    <row r="352" ht="15.75" customHeight="1">
      <c r="A352" s="8"/>
      <c r="B352" s="8"/>
      <c r="C352" s="8"/>
      <c r="D352" s="8">
        <v>27.9026907562088</v>
      </c>
      <c r="E352" s="9" t="s">
        <v>361</v>
      </c>
      <c r="I352" s="12" t="str">
        <f>IFERROR(__xludf.DUMMYFUNCTION("""COMPUTED_VALUE"""),"0x1a2cf16941505fed6a60ebbb339096cf4cac8b92")</f>
        <v>0x1a2cf16941505fed6a60ebbb339096cf4cac8b92</v>
      </c>
      <c r="J352" s="11">
        <v>91.1199983031448</v>
      </c>
      <c r="K352" s="12">
        <v>202.48888511809955</v>
      </c>
      <c r="L352" s="13">
        <v>2.0248888511809955E20</v>
      </c>
      <c r="M352" s="9">
        <v>2.0248888511809958E19</v>
      </c>
    </row>
    <row r="353" ht="15.75" customHeight="1">
      <c r="A353" s="8"/>
      <c r="B353" s="8"/>
      <c r="C353" s="8"/>
      <c r="D353" s="8">
        <v>5.48349761359839</v>
      </c>
      <c r="E353" s="9" t="s">
        <v>362</v>
      </c>
      <c r="I353" s="12" t="str">
        <f>IFERROR(__xludf.DUMMYFUNCTION("""COMPUTED_VALUE"""),"0x1a2d54a0050278a4a2eedb5ac014e8615c61b743")</f>
        <v>0x1a2d54a0050278a4a2eedb5ac014e8615c61b743</v>
      </c>
      <c r="J353" s="11">
        <v>5.48349761359839</v>
      </c>
      <c r="K353" s="12">
        <v>12.185550252440866</v>
      </c>
      <c r="L353" s="13">
        <v>1.2185550252440865E19</v>
      </c>
      <c r="M353" s="9">
        <v>1.21855502524408653E18</v>
      </c>
    </row>
    <row r="354" ht="15.75" customHeight="1">
      <c r="A354" s="8"/>
      <c r="B354" s="8"/>
      <c r="C354" s="8"/>
      <c r="D354" s="8">
        <v>18.5491792764772</v>
      </c>
      <c r="E354" s="9" t="s">
        <v>363</v>
      </c>
      <c r="I354" s="12" t="str">
        <f>IFERROR(__xludf.DUMMYFUNCTION("""COMPUTED_VALUE"""),"0x1a38ddd62d0361d5856bae9ff435a8cff34648c6")</f>
        <v>0x1a38ddd62d0361d5856bae9ff435a8cff34648c6</v>
      </c>
      <c r="J354" s="11">
        <v>81.7664868234132</v>
      </c>
      <c r="K354" s="12">
        <v>181.70330405202932</v>
      </c>
      <c r="L354" s="13">
        <v>1.8170330405202933E20</v>
      </c>
      <c r="M354" s="9">
        <v>1.8170330405202934E19</v>
      </c>
    </row>
    <row r="355" ht="15.75" customHeight="1">
      <c r="A355" s="8"/>
      <c r="B355" s="8"/>
      <c r="C355" s="8"/>
      <c r="D355" s="8">
        <v>27.9026907562088</v>
      </c>
      <c r="E355" s="9" t="s">
        <v>364</v>
      </c>
      <c r="I355" s="12" t="str">
        <f>IFERROR(__xludf.DUMMYFUNCTION("""COMPUTED_VALUE"""),"0x1a4013cca60c9d742595cc12f9ccdfb793d23750")</f>
        <v>0x1a4013cca60c9d742595cc12f9ccdfb793d23750</v>
      </c>
      <c r="J355" s="11">
        <v>27.9026907562088</v>
      </c>
      <c r="K355" s="12">
        <v>62.005979458241775</v>
      </c>
      <c r="L355" s="13">
        <v>6.200597945824177E19</v>
      </c>
      <c r="M355" s="9">
        <v>6.2005979458241782E18</v>
      </c>
    </row>
    <row r="356" ht="15.75" customHeight="1">
      <c r="A356" s="8"/>
      <c r="B356" s="8"/>
      <c r="C356" s="8"/>
      <c r="D356" s="8">
        <v>26.5226052352592</v>
      </c>
      <c r="E356" s="9" t="s">
        <v>365</v>
      </c>
      <c r="I356" s="12" t="str">
        <f>IFERROR(__xludf.DUMMYFUNCTION("""COMPUTED_VALUE"""),"0x1a56c628b786f8310b1cf5d3ba37f8732b16983b")</f>
        <v>0x1a56c628b786f8310b1cf5d3ba37f8732b16983b</v>
      </c>
      <c r="J356" s="11">
        <v>26.5226052352592</v>
      </c>
      <c r="K356" s="12">
        <v>58.93912274502044</v>
      </c>
      <c r="L356" s="13">
        <v>5.893912274502044E19</v>
      </c>
      <c r="M356" s="9">
        <v>5.8939122745020447E18</v>
      </c>
    </row>
    <row r="357" ht="15.75" customHeight="1">
      <c r="A357" s="8"/>
      <c r="B357" s="8"/>
      <c r="C357" s="8"/>
      <c r="D357" s="8">
        <v>27.9026907562088</v>
      </c>
      <c r="E357" s="9" t="s">
        <v>366</v>
      </c>
      <c r="I357" s="12" t="str">
        <f>IFERROR(__xludf.DUMMYFUNCTION("""COMPUTED_VALUE"""),"0x1a669bfc13fdaa895c1d917969bcf541081c9e4a")</f>
        <v>0x1a669bfc13fdaa895c1d917969bcf541081c9e4a</v>
      </c>
      <c r="J357" s="11">
        <v>91.1199983031448</v>
      </c>
      <c r="K357" s="12">
        <v>202.48888511809955</v>
      </c>
      <c r="L357" s="13">
        <v>2.0248888511809955E20</v>
      </c>
      <c r="M357" s="9">
        <v>2.0248888511809958E19</v>
      </c>
    </row>
    <row r="358" ht="15.75" customHeight="1">
      <c r="A358" s="8"/>
      <c r="B358" s="8"/>
      <c r="C358" s="8"/>
      <c r="D358" s="8">
        <v>24.669918682868</v>
      </c>
      <c r="E358" s="9" t="s">
        <v>367</v>
      </c>
      <c r="I358" s="12" t="str">
        <f>IFERROR(__xludf.DUMMYFUNCTION("""COMPUTED_VALUE"""),"0x1a842ed15fdbb62be89eaa16e268df33a0a2b4ac")</f>
        <v>0x1a842ed15fdbb62be89eaa16e268df33a0a2b4ac</v>
      </c>
      <c r="J358" s="11">
        <v>24.669918682868</v>
      </c>
      <c r="K358" s="12">
        <v>54.82204151748444</v>
      </c>
      <c r="L358" s="13">
        <v>5.482204151748444E19</v>
      </c>
      <c r="M358" s="9">
        <v>5.4822041517484442E18</v>
      </c>
    </row>
    <row r="359" ht="15.75" customHeight="1">
      <c r="A359" s="8"/>
      <c r="B359" s="8"/>
      <c r="C359" s="8"/>
      <c r="D359" s="8">
        <v>27.9026907562088</v>
      </c>
      <c r="E359" s="9" t="s">
        <v>368</v>
      </c>
      <c r="I359" s="12" t="str">
        <f>IFERROR(__xludf.DUMMYFUNCTION("""COMPUTED_VALUE"""),"0x1a97a59674dff69d3202970762ce3562f885b944")</f>
        <v>0x1a97a59674dff69d3202970762ce3562f885b944</v>
      </c>
      <c r="J359" s="11">
        <v>54.5077753160233</v>
      </c>
      <c r="K359" s="12">
        <v>121.12838959116289</v>
      </c>
      <c r="L359" s="13">
        <v>1.2112838959116288E20</v>
      </c>
      <c r="M359" s="9">
        <v>1.2112838959116288E19</v>
      </c>
    </row>
    <row r="360" ht="15.75" customHeight="1">
      <c r="A360" s="8"/>
      <c r="B360" s="8"/>
      <c r="C360" s="8"/>
      <c r="D360" s="8">
        <v>27.7407689626393</v>
      </c>
      <c r="E360" s="9" t="s">
        <v>369</v>
      </c>
      <c r="I360" s="12" t="str">
        <f>IFERROR(__xludf.DUMMYFUNCTION("""COMPUTED_VALUE"""),"0x1b021d0288fa79ed6004752a552b84dfaac99078")</f>
        <v>0x1b021d0288fa79ed6004752a552b84dfaac99078</v>
      </c>
      <c r="J360" s="11">
        <v>27.7407689626393</v>
      </c>
      <c r="K360" s="12">
        <v>61.64615325030955</v>
      </c>
      <c r="L360" s="13">
        <v>6.1646153250309554E19</v>
      </c>
      <c r="M360" s="9">
        <v>6.164615325030956E18</v>
      </c>
    </row>
    <row r="361" ht="15.75" customHeight="1">
      <c r="A361" s="8"/>
      <c r="B361" s="8"/>
      <c r="C361" s="8"/>
      <c r="D361" s="8">
        <v>26.5584222553118</v>
      </c>
      <c r="E361" s="9" t="s">
        <v>370</v>
      </c>
      <c r="I361" s="12" t="str">
        <f>IFERROR(__xludf.DUMMYFUNCTION("""COMPUTED_VALUE"""),"0x1b142937cfcfd6998a67d864b352f6986aab2a73")</f>
        <v>0x1b142937cfcfd6998a67d864b352f6986aab2a73</v>
      </c>
      <c r="J361" s="11">
        <v>26.5584222553118</v>
      </c>
      <c r="K361" s="12">
        <v>59.01871612291511</v>
      </c>
      <c r="L361" s="13">
        <v>5.901871612291511E19</v>
      </c>
      <c r="M361" s="9">
        <v>5.9018716122915113E18</v>
      </c>
    </row>
    <row r="362" ht="15.75" customHeight="1">
      <c r="A362" s="8"/>
      <c r="B362" s="8"/>
      <c r="C362" s="8"/>
      <c r="D362" s="8">
        <v>20.9056683620558</v>
      </c>
      <c r="E362" s="9" t="s">
        <v>371</v>
      </c>
      <c r="I362" s="12" t="str">
        <f>IFERROR(__xludf.DUMMYFUNCTION("""COMPUTED_VALUE"""),"0x1b3322a993b2d63be6e59cf8cb9a9384d953d8e9")</f>
        <v>0x1b3322a993b2d63be6e59cf8cb9a9384d953d8e9</v>
      </c>
      <c r="J362" s="11">
        <v>20.9056683620558</v>
      </c>
      <c r="K362" s="12">
        <v>46.45704080456844</v>
      </c>
      <c r="L362" s="13">
        <v>4.645704080456844E19</v>
      </c>
      <c r="M362" s="9">
        <v>4.6457040804568443E18</v>
      </c>
    </row>
    <row r="363" ht="15.75" customHeight="1">
      <c r="A363" s="8"/>
      <c r="B363" s="8"/>
      <c r="C363" s="8"/>
      <c r="D363" s="8">
        <v>27.9026907562088</v>
      </c>
      <c r="E363" s="9" t="s">
        <v>372</v>
      </c>
      <c r="I363" s="12" t="str">
        <f>IFERROR(__xludf.DUMMYFUNCTION("""COMPUTED_VALUE"""),"0x1b4b60daff677bee93772c43eae5afaa6b20b046")</f>
        <v>0x1b4b60daff677bee93772c43eae5afaa6b20b046</v>
      </c>
      <c r="J363" s="11">
        <v>27.9026907562088</v>
      </c>
      <c r="K363" s="12">
        <v>62.005979458241775</v>
      </c>
      <c r="L363" s="13">
        <v>6.200597945824177E19</v>
      </c>
      <c r="M363" s="9">
        <v>6.2005979458241782E18</v>
      </c>
    </row>
    <row r="364" ht="15.75" customHeight="1">
      <c r="A364" s="8"/>
      <c r="B364" s="8"/>
      <c r="C364" s="8"/>
      <c r="D364" s="8">
        <v>24.8452073933401</v>
      </c>
      <c r="E364" s="9" t="s">
        <v>373</v>
      </c>
      <c r="I364" s="12" t="str">
        <f>IFERROR(__xludf.DUMMYFUNCTION("""COMPUTED_VALUE"""),"0x1b58ed2c1bb18ca1120f85479f651454f2375cd0")</f>
        <v>0x1b58ed2c1bb18ca1120f85479f651454f2375cd0</v>
      </c>
      <c r="J364" s="11">
        <v>24.8452073933401</v>
      </c>
      <c r="K364" s="12">
        <v>55.21157198520022</v>
      </c>
      <c r="L364" s="13">
        <v>5.521157198520023E19</v>
      </c>
      <c r="M364" s="9">
        <v>5.521157198520023E18</v>
      </c>
    </row>
    <row r="365" ht="15.75" customHeight="1">
      <c r="A365" s="8"/>
      <c r="B365" s="8"/>
      <c r="C365" s="8"/>
      <c r="D365" s="8">
        <v>27.9026907562088</v>
      </c>
      <c r="E365" s="9" t="s">
        <v>374</v>
      </c>
      <c r="I365" s="12" t="str">
        <f>IFERROR(__xludf.DUMMYFUNCTION("""COMPUTED_VALUE"""),"0x1b62825f9d4f218155bf301a066316f8e1039779")</f>
        <v>0x1b62825f9d4f218155bf301a066316f8e1039779</v>
      </c>
      <c r="J365" s="11">
        <v>37.6384893113078</v>
      </c>
      <c r="K365" s="12">
        <v>83.64108735846177</v>
      </c>
      <c r="L365" s="13">
        <v>8.364108735846177E19</v>
      </c>
      <c r="M365" s="9">
        <v>8.3641087358461778E18</v>
      </c>
    </row>
    <row r="366" ht="15.75" customHeight="1">
      <c r="A366" s="8"/>
      <c r="B366" s="8"/>
      <c r="C366" s="8"/>
      <c r="D366" s="8">
        <v>22.1511732172432</v>
      </c>
      <c r="E366" s="9" t="s">
        <v>375</v>
      </c>
      <c r="I366" s="12" t="str">
        <f>IFERROR(__xludf.DUMMYFUNCTION("""COMPUTED_VALUE"""),"0x1bb26a07ddb835ff3a23ed584c68af2629d8f2ae")</f>
        <v>0x1bb26a07ddb835ff3a23ed584c68af2629d8f2ae</v>
      </c>
      <c r="J366" s="11">
        <v>72.9519334272479</v>
      </c>
      <c r="K366" s="12">
        <v>162.11540761610644</v>
      </c>
      <c r="L366" s="13">
        <v>1.6211540761610643E20</v>
      </c>
      <c r="M366" s="9">
        <v>1.6211540761610643E19</v>
      </c>
    </row>
    <row r="367" ht="15.75" customHeight="1">
      <c r="A367" s="8"/>
      <c r="B367" s="8"/>
      <c r="C367" s="8"/>
      <c r="D367" s="8">
        <v>27.9026907562088</v>
      </c>
      <c r="E367" s="9" t="s">
        <v>376</v>
      </c>
      <c r="I367" s="12" t="str">
        <f>IFERROR(__xludf.DUMMYFUNCTION("""COMPUTED_VALUE"""),"0x1bd2e9ca1f7e355fb4ecebe0348a130c3e0351bd")</f>
        <v>0x1bd2e9ca1f7e355fb4ecebe0348a130c3e0351bd</v>
      </c>
      <c r="J367" s="11">
        <v>27.9026907562088</v>
      </c>
      <c r="K367" s="12">
        <v>62.005979458241775</v>
      </c>
      <c r="L367" s="13">
        <v>6.200597945824177E19</v>
      </c>
      <c r="M367" s="9">
        <v>6.2005979458241782E18</v>
      </c>
    </row>
    <row r="368" ht="15.75" customHeight="1">
      <c r="A368" s="8"/>
      <c r="B368" s="8"/>
      <c r="C368" s="8"/>
      <c r="D368" s="8">
        <v>27.9026907562088</v>
      </c>
      <c r="E368" s="9" t="s">
        <v>377</v>
      </c>
      <c r="I368" s="12" t="str">
        <f>IFERROR(__xludf.DUMMYFUNCTION("""COMPUTED_VALUE"""),"0x1bd55b20bb2795fb77d6e07b32e819b97714970b")</f>
        <v>0x1bd55b20bb2795fb77d6e07b32e819b97714970b</v>
      </c>
      <c r="J368" s="11">
        <v>99.77195984043234</v>
      </c>
      <c r="K368" s="12">
        <v>221.71546631207187</v>
      </c>
      <c r="L368" s="13">
        <v>2.2171546631207187E20</v>
      </c>
      <c r="M368" s="9">
        <v>2.217154663120719E19</v>
      </c>
    </row>
    <row r="369" ht="15.75" customHeight="1">
      <c r="A369" s="8"/>
      <c r="B369" s="8"/>
      <c r="C369" s="8"/>
      <c r="D369" s="8">
        <v>25.2880343586371</v>
      </c>
      <c r="E369" s="9" t="s">
        <v>378</v>
      </c>
      <c r="I369" s="12" t="str">
        <f>IFERROR(__xludf.DUMMYFUNCTION("""COMPUTED_VALUE"""),"0x1beb92f16d586d3ecedc6bd0c2d13b316abdb8e3")</f>
        <v>0x1beb92f16d586d3ecedc6bd0c2d13b316abdb8e3</v>
      </c>
      <c r="J369" s="11">
        <v>25.2880343586371</v>
      </c>
      <c r="K369" s="12">
        <v>56.19563190808244</v>
      </c>
      <c r="L369" s="13">
        <v>5.619563190808244E19</v>
      </c>
      <c r="M369" s="9">
        <v>5.6195631908082442E18</v>
      </c>
    </row>
    <row r="370" ht="15.75" customHeight="1">
      <c r="A370" s="8"/>
      <c r="B370" s="8"/>
      <c r="C370" s="8"/>
      <c r="D370" s="8">
        <v>27.9026907562088</v>
      </c>
      <c r="E370" s="9" t="s">
        <v>379</v>
      </c>
      <c r="I370" s="12" t="str">
        <f>IFERROR(__xludf.DUMMYFUNCTION("""COMPUTED_VALUE"""),"0x1c07afc826de3fd733b2128988bbcf0a794a9f62")</f>
        <v>0x1c07afc826de3fd733b2128988bbcf0a794a9f62</v>
      </c>
      <c r="J370" s="11">
        <v>91.1199983031448</v>
      </c>
      <c r="K370" s="12">
        <v>202.48888511809955</v>
      </c>
      <c r="L370" s="13">
        <v>2.0248888511809955E20</v>
      </c>
      <c r="M370" s="9">
        <v>2.0248888511809958E19</v>
      </c>
    </row>
    <row r="371" ht="15.75" customHeight="1">
      <c r="A371" s="8"/>
      <c r="B371" s="8"/>
      <c r="C371" s="8"/>
      <c r="D371" s="8">
        <v>27.9026907562088</v>
      </c>
      <c r="E371" s="9" t="s">
        <v>380</v>
      </c>
      <c r="I371" s="12" t="str">
        <f>IFERROR(__xludf.DUMMYFUNCTION("""COMPUTED_VALUE"""),"0x1c4093a2153ad497e8a85174488083a49b4bbf93")</f>
        <v>0x1c4093a2153ad497e8a85174488083a49b4bbf93</v>
      </c>
      <c r="J371" s="11">
        <v>27.9026907562088</v>
      </c>
      <c r="K371" s="12">
        <v>62.005979458241775</v>
      </c>
      <c r="L371" s="13">
        <v>6.200597945824177E19</v>
      </c>
      <c r="M371" s="9">
        <v>6.2005979458241782E18</v>
      </c>
    </row>
    <row r="372" ht="15.75" customHeight="1">
      <c r="A372" s="8"/>
      <c r="B372" s="8"/>
      <c r="C372" s="8"/>
      <c r="D372" s="8">
        <v>24.5543678654638</v>
      </c>
      <c r="E372" s="9" t="s">
        <v>381</v>
      </c>
      <c r="I372" s="12" t="str">
        <f>IFERROR(__xludf.DUMMYFUNCTION("""COMPUTED_VALUE"""),"0x1c44b867c4e2b0659963f5910838df2f1cd1f11a")</f>
        <v>0x1c44b867c4e2b0659963f5910838df2f1cd1f11a</v>
      </c>
      <c r="J372" s="11">
        <v>37.2325064520916</v>
      </c>
      <c r="K372" s="12">
        <v>82.73890322687022</v>
      </c>
      <c r="L372" s="13">
        <v>8.273890322687022E19</v>
      </c>
      <c r="M372" s="9">
        <v>8.2738903226870221E18</v>
      </c>
    </row>
    <row r="373" ht="15.75" customHeight="1">
      <c r="A373" s="8"/>
      <c r="B373" s="8"/>
      <c r="C373" s="8"/>
      <c r="D373" s="8">
        <v>27.9026907562088</v>
      </c>
      <c r="E373" s="9" t="s">
        <v>382</v>
      </c>
      <c r="I373" s="12" t="str">
        <f>IFERROR(__xludf.DUMMYFUNCTION("""COMPUTED_VALUE"""),"0x1c46718463877607b620aa26d10e75bc771ba24e")</f>
        <v>0x1c46718463877607b620aa26d10e75bc771ba24e</v>
      </c>
      <c r="J373" s="11">
        <v>91.1199983031448</v>
      </c>
      <c r="K373" s="12">
        <v>202.48888511809955</v>
      </c>
      <c r="L373" s="13">
        <v>2.0248888511809955E20</v>
      </c>
      <c r="M373" s="9">
        <v>2.0248888511809958E19</v>
      </c>
    </row>
    <row r="374" ht="15.75" customHeight="1">
      <c r="A374" s="8"/>
      <c r="B374" s="8"/>
      <c r="C374" s="8"/>
      <c r="D374" s="8">
        <v>27.9026907562088</v>
      </c>
      <c r="E374" s="9" t="s">
        <v>383</v>
      </c>
      <c r="I374" s="12" t="str">
        <f>IFERROR(__xludf.DUMMYFUNCTION("""COMPUTED_VALUE"""),"0x1c4fad978f144cebbb7f7aa4fadb05ab90a75311")</f>
        <v>0x1c4fad978f144cebbb7f7aa4fadb05ab90a75311</v>
      </c>
      <c r="J374" s="11">
        <v>27.9026907562088</v>
      </c>
      <c r="K374" s="12">
        <v>62.005979458241775</v>
      </c>
      <c r="L374" s="13">
        <v>6.200597945824177E19</v>
      </c>
      <c r="M374" s="9">
        <v>6.2005979458241782E18</v>
      </c>
    </row>
    <row r="375" ht="15.75" customHeight="1">
      <c r="A375" s="8"/>
      <c r="B375" s="8"/>
      <c r="C375" s="8"/>
      <c r="D375" s="8">
        <v>27.9026907562088</v>
      </c>
      <c r="E375" s="9" t="s">
        <v>384</v>
      </c>
      <c r="I375" s="12" t="str">
        <f>IFERROR(__xludf.DUMMYFUNCTION("""COMPUTED_VALUE"""),"0x1c584c4b2285b88794e6d57927dcb78ceef1d102")</f>
        <v>0x1c584c4b2285b88794e6d57927dcb78ceef1d102</v>
      </c>
      <c r="J375" s="11">
        <v>27.9026907562088</v>
      </c>
      <c r="K375" s="12">
        <v>62.005979458241775</v>
      </c>
      <c r="L375" s="13">
        <v>6.200597945824177E19</v>
      </c>
      <c r="M375" s="9">
        <v>6.2005979458241782E18</v>
      </c>
    </row>
    <row r="376" ht="15.75" customHeight="1">
      <c r="A376" s="8"/>
      <c r="B376" s="8"/>
      <c r="C376" s="8"/>
      <c r="D376" s="8">
        <v>24.8358118746314</v>
      </c>
      <c r="E376" s="9" t="s">
        <v>385</v>
      </c>
      <c r="I376" s="12" t="str">
        <f>IFERROR(__xludf.DUMMYFUNCTION("""COMPUTED_VALUE"""),"0x1c61cc926334dd106733d4b02b7b3a9571529404")</f>
        <v>0x1c61cc926334dd106733d4b02b7b3a9571529404</v>
      </c>
      <c r="J376" s="11">
        <v>53.5641481516238</v>
      </c>
      <c r="K376" s="12">
        <v>119.03144033694177</v>
      </c>
      <c r="L376" s="13">
        <v>1.1903144033694178E20</v>
      </c>
      <c r="M376" s="9">
        <v>1.190314403369418E19</v>
      </c>
    </row>
    <row r="377" ht="15.75" customHeight="1">
      <c r="A377" s="8"/>
      <c r="B377" s="8"/>
      <c r="C377" s="8"/>
      <c r="D377" s="8">
        <v>16.1728476611905</v>
      </c>
      <c r="E377" s="9" t="s">
        <v>386</v>
      </c>
      <c r="I377" s="12" t="str">
        <f>IFERROR(__xludf.DUMMYFUNCTION("""COMPUTED_VALUE"""),"0x1c71dcc97487fc5b2b17085a90dc6c0e8d225641")</f>
        <v>0x1c71dcc97487fc5b2b17085a90dc6c0e8d225641</v>
      </c>
      <c r="J377" s="11">
        <v>16.1728476611905</v>
      </c>
      <c r="K377" s="12">
        <v>35.93966146931222</v>
      </c>
      <c r="L377" s="13">
        <v>3.593966146931222E19</v>
      </c>
      <c r="M377" s="9">
        <v>3.5939661469312225E18</v>
      </c>
    </row>
    <row r="378" ht="15.75" customHeight="1">
      <c r="A378" s="8"/>
      <c r="B378" s="8"/>
      <c r="C378" s="8"/>
      <c r="D378" s="8">
        <v>27.9026907562088</v>
      </c>
      <c r="E378" s="9" t="s">
        <v>387</v>
      </c>
      <c r="I378" s="12" t="str">
        <f>IFERROR(__xludf.DUMMYFUNCTION("""COMPUTED_VALUE"""),"0x1c7d53b09f3010ef20a9b49e7cae409d9e32151f")</f>
        <v>0x1c7d53b09f3010ef20a9b49e7cae409d9e32151f</v>
      </c>
      <c r="J378" s="11">
        <v>102.8088928183682</v>
      </c>
      <c r="K378" s="12">
        <v>228.4642062630404</v>
      </c>
      <c r="L378" s="13">
        <v>2.284642062630404E20</v>
      </c>
      <c r="M378" s="9">
        <v>2.284642062630404E19</v>
      </c>
    </row>
    <row r="379" ht="15.75" customHeight="1">
      <c r="A379" s="8"/>
      <c r="B379" s="8"/>
      <c r="C379" s="8"/>
      <c r="D379" s="8">
        <v>27.9026907562088</v>
      </c>
      <c r="E379" s="9" t="s">
        <v>388</v>
      </c>
      <c r="I379" s="12" t="str">
        <f>IFERROR(__xludf.DUMMYFUNCTION("""COMPUTED_VALUE"""),"0x1c93273e4c684f9a21c17b58f20540719dec77b7")</f>
        <v>0x1c93273e4c684f9a21c17b58f20540719dec77b7</v>
      </c>
      <c r="J379" s="11">
        <v>29.848481093998938</v>
      </c>
      <c r="K379" s="12">
        <v>66.32995798666431</v>
      </c>
      <c r="L379" s="13">
        <v>6.632995798666431E19</v>
      </c>
      <c r="M379" s="9">
        <v>6.6329957986664315E18</v>
      </c>
    </row>
    <row r="380" ht="15.75" customHeight="1">
      <c r="A380" s="8"/>
      <c r="B380" s="8"/>
      <c r="C380" s="8"/>
      <c r="D380" s="8">
        <v>27.9026907562088</v>
      </c>
      <c r="E380" s="9" t="s">
        <v>389</v>
      </c>
      <c r="I380" s="12" t="str">
        <f>IFERROR(__xludf.DUMMYFUNCTION("""COMPUTED_VALUE"""),"0x1c93366672dede29daddb3ab9d888d4d86407eaf")</f>
        <v>0x1c93366672dede29daddb3ab9d888d4d86407eaf</v>
      </c>
      <c r="J380" s="11">
        <v>27.9026907562088</v>
      </c>
      <c r="K380" s="12">
        <v>62.005979458241775</v>
      </c>
      <c r="L380" s="13">
        <v>6.200597945824177E19</v>
      </c>
      <c r="M380" s="9">
        <v>6.2005979458241782E18</v>
      </c>
    </row>
    <row r="381" ht="15.75" customHeight="1">
      <c r="A381" s="8"/>
      <c r="B381" s="8"/>
      <c r="C381" s="8"/>
      <c r="D381" s="8">
        <v>11.5167880352032</v>
      </c>
      <c r="E381" s="9" t="s">
        <v>390</v>
      </c>
      <c r="I381" s="12" t="str">
        <f>IFERROR(__xludf.DUMMYFUNCTION("""COMPUTED_VALUE"""),"0x1cbde09e65706c95ef8b2e153ffedc981078f5f2")</f>
        <v>0x1cbde09e65706c95ef8b2e153ffedc981078f5f2</v>
      </c>
      <c r="J381" s="11">
        <v>11.5167880352032</v>
      </c>
      <c r="K381" s="12">
        <v>25.592862300451557</v>
      </c>
      <c r="L381" s="13">
        <v>2.5592862300451557E19</v>
      </c>
      <c r="M381" s="9">
        <v>2.5592862300451558E18</v>
      </c>
    </row>
    <row r="382" ht="15.75" customHeight="1">
      <c r="A382" s="8"/>
      <c r="B382" s="8"/>
      <c r="C382" s="8"/>
      <c r="D382" s="8">
        <v>27.9026907562088</v>
      </c>
      <c r="E382" s="9" t="s">
        <v>391</v>
      </c>
      <c r="I382" s="12" t="str">
        <f>IFERROR(__xludf.DUMMYFUNCTION("""COMPUTED_VALUE"""),"0x1cc6c272b28e91e5cd6f9d2629b20bbd3279a84d")</f>
        <v>0x1cc6c272b28e91e5cd6f9d2629b20bbd3279a84d</v>
      </c>
      <c r="J382" s="11">
        <v>981.9806465569839</v>
      </c>
      <c r="K382" s="12">
        <v>2182.179214571075</v>
      </c>
      <c r="L382" s="13">
        <v>2.182179214571075E21</v>
      </c>
      <c r="M382" s="9">
        <v>2.182179214571075E20</v>
      </c>
    </row>
    <row r="383" ht="15.75" customHeight="1">
      <c r="A383" s="8"/>
      <c r="B383" s="8"/>
      <c r="C383" s="8"/>
      <c r="D383" s="8">
        <v>27.9026907562088</v>
      </c>
      <c r="E383" s="9" t="s">
        <v>392</v>
      </c>
      <c r="I383" s="12" t="str">
        <f>IFERROR(__xludf.DUMMYFUNCTION("""COMPUTED_VALUE"""),"0x1ce4e4ea21cf83d9606bd13eee5febc3aa910cb3")</f>
        <v>0x1ce4e4ea21cf83d9606bd13eee5febc3aa910cb3</v>
      </c>
      <c r="J383" s="11">
        <v>27.9026907562088</v>
      </c>
      <c r="K383" s="12">
        <v>62.005979458241775</v>
      </c>
      <c r="L383" s="13">
        <v>6.200597945824177E19</v>
      </c>
      <c r="M383" s="9">
        <v>6.2005979458241782E18</v>
      </c>
    </row>
    <row r="384" ht="15.75" customHeight="1">
      <c r="A384" s="8"/>
      <c r="B384" s="8"/>
      <c r="C384" s="8"/>
      <c r="D384" s="8">
        <v>23.5048770592039</v>
      </c>
      <c r="E384" s="9" t="s">
        <v>393</v>
      </c>
      <c r="I384" s="12" t="str">
        <f>IFERROR(__xludf.DUMMYFUNCTION("""COMPUTED_VALUE"""),"0x1cf32ba1ac097ef71164cfa9f6d821343771f6da")</f>
        <v>0x1cf32ba1ac097ef71164cfa9f6d821343771f6da</v>
      </c>
      <c r="J384" s="11">
        <v>23.5048770592039</v>
      </c>
      <c r="K384" s="12">
        <v>52.233060131564216</v>
      </c>
      <c r="L384" s="13">
        <v>5.223306013156422E19</v>
      </c>
      <c r="M384" s="9">
        <v>5.2233060131564216E18</v>
      </c>
    </row>
    <row r="385" ht="15.75" customHeight="1">
      <c r="A385" s="8"/>
      <c r="B385" s="8"/>
      <c r="C385" s="8"/>
      <c r="D385" s="8">
        <v>27.9026907562088</v>
      </c>
      <c r="E385" s="9" t="s">
        <v>394</v>
      </c>
      <c r="I385" s="12" t="str">
        <f>IFERROR(__xludf.DUMMYFUNCTION("""COMPUTED_VALUE"""),"0x1cf673e8e5d30c0aaf34ab875c35a013c0fe105a")</f>
        <v>0x1cf673e8e5d30c0aaf34ab875c35a013c0fe105a</v>
      </c>
      <c r="J385" s="11">
        <v>27.9026907562088</v>
      </c>
      <c r="K385" s="12">
        <v>62.005979458241775</v>
      </c>
      <c r="L385" s="13">
        <v>6.200597945824177E19</v>
      </c>
      <c r="M385" s="9">
        <v>6.2005979458241782E18</v>
      </c>
    </row>
    <row r="386" ht="15.75" customHeight="1">
      <c r="A386" s="8"/>
      <c r="B386" s="8"/>
      <c r="C386" s="8"/>
      <c r="D386" s="8">
        <v>26.766184982173</v>
      </c>
      <c r="E386" s="9" t="s">
        <v>395</v>
      </c>
      <c r="I386" s="12" t="str">
        <f>IFERROR(__xludf.DUMMYFUNCTION("""COMPUTED_VALUE"""),"0x1d0d8e2d2e9ff5db613ed894e13064e99adbc92c")</f>
        <v>0x1d0d8e2d2e9ff5db613ed894e13064e99adbc92c</v>
      </c>
      <c r="J386" s="11">
        <v>26.766184982173</v>
      </c>
      <c r="K386" s="12">
        <v>59.48041107149556</v>
      </c>
      <c r="L386" s="13">
        <v>5.948041107149556E19</v>
      </c>
      <c r="M386" s="9">
        <v>5.9480411071495567E18</v>
      </c>
    </row>
    <row r="387" ht="15.75" customHeight="1">
      <c r="A387" s="8"/>
      <c r="B387" s="8"/>
      <c r="C387" s="8"/>
      <c r="D387" s="8">
        <v>27.8942841014866</v>
      </c>
      <c r="E387" s="9" t="s">
        <v>396</v>
      </c>
      <c r="I387" s="12" t="str">
        <f>IFERROR(__xludf.DUMMYFUNCTION("""COMPUTED_VALUE"""),"0x1d13e810a2dce5de0741a9129914dcf22b7a21af")</f>
        <v>0x1d13e810a2dce5de0741a9129914dcf22b7a21af</v>
      </c>
      <c r="J387" s="11">
        <v>27.8942841014866</v>
      </c>
      <c r="K387" s="12">
        <v>61.98729800330356</v>
      </c>
      <c r="L387" s="13">
        <v>6.1987298003303555E19</v>
      </c>
      <c r="M387" s="9">
        <v>6.1987298003303557E18</v>
      </c>
    </row>
    <row r="388" ht="15.75" customHeight="1">
      <c r="A388" s="8"/>
      <c r="B388" s="8"/>
      <c r="C388" s="8"/>
      <c r="D388" s="8">
        <v>27.9026907562088</v>
      </c>
      <c r="E388" s="9" t="s">
        <v>397</v>
      </c>
      <c r="I388" s="12" t="str">
        <f>IFERROR(__xludf.DUMMYFUNCTION("""COMPUTED_VALUE"""),"0x1d2734c5f375a2956a79ef71cc466c07caf256d6")</f>
        <v>0x1d2734c5f375a2956a79ef71cc466c07caf256d6</v>
      </c>
      <c r="J388" s="11">
        <v>91.1199983031448</v>
      </c>
      <c r="K388" s="12">
        <v>202.48888511809955</v>
      </c>
      <c r="L388" s="13">
        <v>2.0248888511809955E20</v>
      </c>
      <c r="M388" s="9">
        <v>2.0248888511809958E19</v>
      </c>
    </row>
    <row r="389" ht="15.75" customHeight="1">
      <c r="A389" s="8"/>
      <c r="B389" s="8"/>
      <c r="C389" s="8"/>
      <c r="D389" s="8">
        <v>27.9026907562088</v>
      </c>
      <c r="E389" s="9" t="s">
        <v>398</v>
      </c>
      <c r="I389" s="12" t="str">
        <f>IFERROR(__xludf.DUMMYFUNCTION("""COMPUTED_VALUE"""),"0x1d341740703583ec5208b03376455bcb3f8964cd")</f>
        <v>0x1d341740703583ec5208b03376455bcb3f8964cd</v>
      </c>
      <c r="J389" s="11">
        <v>101.7332731349788</v>
      </c>
      <c r="K389" s="12">
        <v>226.07394029995288</v>
      </c>
      <c r="L389" s="13">
        <v>2.2607394029995288E20</v>
      </c>
      <c r="M389" s="9">
        <v>2.260739402999529E19</v>
      </c>
    </row>
    <row r="390" ht="15.75" customHeight="1">
      <c r="A390" s="8"/>
      <c r="B390" s="8"/>
      <c r="C390" s="8"/>
      <c r="D390" s="8">
        <v>25.5714968867507</v>
      </c>
      <c r="E390" s="9" t="s">
        <v>399</v>
      </c>
      <c r="I390" s="12" t="str">
        <f>IFERROR(__xludf.DUMMYFUNCTION("""COMPUTED_VALUE"""),"0x1d39a8d4ca5f5663ec3f5960cdd174ba6849a621")</f>
        <v>0x1d39a8d4ca5f5663ec3f5960cdd174ba6849a621</v>
      </c>
      <c r="J390" s="11">
        <v>25.5714968867507</v>
      </c>
      <c r="K390" s="12">
        <v>56.825548637223775</v>
      </c>
      <c r="L390" s="13">
        <v>5.682554863722377E19</v>
      </c>
      <c r="M390" s="9">
        <v>5.6825548637223772E18</v>
      </c>
    </row>
    <row r="391" ht="15.75" customHeight="1">
      <c r="A391" s="8"/>
      <c r="B391" s="8"/>
      <c r="C391" s="8"/>
      <c r="D391" s="8">
        <v>27.9026907562088</v>
      </c>
      <c r="E391" s="9" t="s">
        <v>400</v>
      </c>
      <c r="I391" s="12" t="str">
        <f>IFERROR(__xludf.DUMMYFUNCTION("""COMPUTED_VALUE"""),"0x1d41cb6b809d25bc3ddd7f51635facfa4a8a3a98")</f>
        <v>0x1d41cb6b809d25bc3ddd7f51635facfa4a8a3a98</v>
      </c>
      <c r="J391" s="11">
        <v>27.9026907562088</v>
      </c>
      <c r="K391" s="12">
        <v>62.005979458241775</v>
      </c>
      <c r="L391" s="13">
        <v>6.200597945824177E19</v>
      </c>
      <c r="M391" s="9">
        <v>6.2005979458241782E18</v>
      </c>
    </row>
    <row r="392" ht="15.75" customHeight="1">
      <c r="A392" s="8"/>
      <c r="B392" s="8"/>
      <c r="C392" s="8"/>
      <c r="D392" s="8">
        <v>27.9026907562088</v>
      </c>
      <c r="E392" s="9" t="s">
        <v>401</v>
      </c>
      <c r="I392" s="12" t="str">
        <f>IFERROR(__xludf.DUMMYFUNCTION("""COMPUTED_VALUE"""),"0x1d47143347ed3d4e494fa8bb3bf7aa5688a58e7d")</f>
        <v>0x1d47143347ed3d4e494fa8bb3bf7aa5688a58e7d</v>
      </c>
      <c r="J392" s="11">
        <v>40.546152265596</v>
      </c>
      <c r="K392" s="12">
        <v>90.10256059021333</v>
      </c>
      <c r="L392" s="13">
        <v>9.010256059021333E19</v>
      </c>
      <c r="M392" s="9">
        <v>9.0102560590213335E18</v>
      </c>
    </row>
    <row r="393" ht="15.75" customHeight="1">
      <c r="A393" s="8"/>
      <c r="B393" s="8"/>
      <c r="C393" s="8"/>
      <c r="D393" s="8">
        <v>27.9026907562088</v>
      </c>
      <c r="E393" s="9" t="s">
        <v>402</v>
      </c>
      <c r="I393" s="12" t="str">
        <f>IFERROR(__xludf.DUMMYFUNCTION("""COMPUTED_VALUE"""),"0x1d4861744eaef76d4cd1c416541977d290c302a8")</f>
        <v>0x1d4861744eaef76d4cd1c416541977d290c302a8</v>
      </c>
      <c r="J393" s="11">
        <v>27.9026907562088</v>
      </c>
      <c r="K393" s="12">
        <v>62.005979458241775</v>
      </c>
      <c r="L393" s="13">
        <v>6.200597945824177E19</v>
      </c>
      <c r="M393" s="9">
        <v>6.2005979458241782E18</v>
      </c>
    </row>
    <row r="394" ht="15.75" customHeight="1">
      <c r="A394" s="8"/>
      <c r="B394" s="8"/>
      <c r="C394" s="8"/>
      <c r="D394" s="8">
        <v>27.9026907562088</v>
      </c>
      <c r="E394" s="9" t="s">
        <v>403</v>
      </c>
      <c r="I394" s="12" t="str">
        <f>IFERROR(__xludf.DUMMYFUNCTION("""COMPUTED_VALUE"""),"0x1d555ed2aa94b75bd33041b6eb8c08f2c74d2721")</f>
        <v>0x1d555ed2aa94b75bd33041b6eb8c08f2c74d2721</v>
      </c>
      <c r="J394" s="11">
        <v>27.9026907562088</v>
      </c>
      <c r="K394" s="12">
        <v>62.005979458241775</v>
      </c>
      <c r="L394" s="13">
        <v>6.200597945824177E19</v>
      </c>
      <c r="M394" s="9">
        <v>6.2005979458241782E18</v>
      </c>
    </row>
    <row r="395" ht="15.75" customHeight="1">
      <c r="A395" s="8"/>
      <c r="B395" s="8"/>
      <c r="C395" s="8"/>
      <c r="D395" s="8">
        <v>27.9026907562088</v>
      </c>
      <c r="E395" s="9" t="s">
        <v>404</v>
      </c>
      <c r="I395" s="12" t="str">
        <f>IFERROR(__xludf.DUMMYFUNCTION("""COMPUTED_VALUE"""),"0x1d8217cb1779a0cefe820d4087fbaa5d44a7c355")</f>
        <v>0x1d8217cb1779a0cefe820d4087fbaa5d44a7c355</v>
      </c>
      <c r="J395" s="11">
        <v>157.2768697880097</v>
      </c>
      <c r="K395" s="12">
        <v>349.504155084466</v>
      </c>
      <c r="L395" s="13">
        <v>3.4950415508446596E20</v>
      </c>
      <c r="M395" s="9">
        <v>3.4950415508446597E19</v>
      </c>
    </row>
    <row r="396" ht="15.75" customHeight="1">
      <c r="A396" s="8"/>
      <c r="B396" s="8"/>
      <c r="C396" s="8"/>
      <c r="D396" s="8">
        <v>18.74941192633</v>
      </c>
      <c r="E396" s="9" t="s">
        <v>405</v>
      </c>
      <c r="I396" s="12" t="str">
        <f>IFERROR(__xludf.DUMMYFUNCTION("""COMPUTED_VALUE"""),"0x1d85ddeb7f73c33802d4e2545ee65a579781e0b6")</f>
        <v>0x1d85ddeb7f73c33802d4e2545ee65a579781e0b6</v>
      </c>
      <c r="J396" s="11">
        <v>61.9285066498649</v>
      </c>
      <c r="K396" s="12">
        <v>137.61890366636644</v>
      </c>
      <c r="L396" s="13">
        <v>1.3761890366636643E20</v>
      </c>
      <c r="M396" s="9">
        <v>1.3761890366636644E19</v>
      </c>
    </row>
    <row r="397" ht="15.75" customHeight="1">
      <c r="A397" s="8"/>
      <c r="B397" s="8"/>
      <c r="C397" s="8"/>
      <c r="D397" s="8">
        <v>27.9026907562088</v>
      </c>
      <c r="E397" s="9" t="s">
        <v>406</v>
      </c>
      <c r="I397" s="12" t="str">
        <f>IFERROR(__xludf.DUMMYFUNCTION("""COMPUTED_VALUE"""),"0x1d90658927c7a6db66c9cddcb07b44e0bfcd4e0b")</f>
        <v>0x1d90658927c7a6db66c9cddcb07b44e0bfcd4e0b</v>
      </c>
      <c r="J397" s="11">
        <v>27.9026907562088</v>
      </c>
      <c r="K397" s="12">
        <v>62.005979458241775</v>
      </c>
      <c r="L397" s="13">
        <v>6.200597945824177E19</v>
      </c>
      <c r="M397" s="9">
        <v>6.2005979458241782E18</v>
      </c>
    </row>
    <row r="398" ht="15.75" customHeight="1">
      <c r="A398" s="8"/>
      <c r="B398" s="8"/>
      <c r="C398" s="8"/>
      <c r="D398" s="8">
        <v>27.9026907562088</v>
      </c>
      <c r="E398" s="9" t="s">
        <v>407</v>
      </c>
      <c r="I398" s="12" t="str">
        <f>IFERROR(__xludf.DUMMYFUNCTION("""COMPUTED_VALUE"""),"0x1da4a17e38372a26668ba87108df97069be66629")</f>
        <v>0x1da4a17e38372a26668ba87108df97069be66629</v>
      </c>
      <c r="J398" s="11">
        <v>27.9026907562088</v>
      </c>
      <c r="K398" s="12">
        <v>62.005979458241775</v>
      </c>
      <c r="L398" s="13">
        <v>6.200597945824177E19</v>
      </c>
      <c r="M398" s="9">
        <v>6.2005979458241782E18</v>
      </c>
    </row>
    <row r="399" ht="15.75" customHeight="1">
      <c r="A399" s="8"/>
      <c r="B399" s="8"/>
      <c r="C399" s="8"/>
      <c r="D399" s="8">
        <v>20.7716132263513</v>
      </c>
      <c r="E399" s="9" t="s">
        <v>408</v>
      </c>
      <c r="I399" s="12" t="str">
        <f>IFERROR(__xludf.DUMMYFUNCTION("""COMPUTED_VALUE"""),"0x1dd68356b7b7d0d8c42d6076e57e5184955cb910")</f>
        <v>0x1dd68356b7b7d0d8c42d6076e57e5184955cb910</v>
      </c>
      <c r="J399" s="11">
        <v>20.7716132263513</v>
      </c>
      <c r="K399" s="12">
        <v>46.15914050300289</v>
      </c>
      <c r="L399" s="13">
        <v>4.615914050300289E19</v>
      </c>
      <c r="M399" s="9">
        <v>4.615914050300289E18</v>
      </c>
    </row>
    <row r="400" ht="15.75" customHeight="1">
      <c r="A400" s="8"/>
      <c r="B400" s="8"/>
      <c r="C400" s="8"/>
      <c r="D400" s="8">
        <v>17.9683766359682</v>
      </c>
      <c r="E400" s="9" t="s">
        <v>409</v>
      </c>
      <c r="I400" s="12" t="str">
        <f>IFERROR(__xludf.DUMMYFUNCTION("""COMPUTED_VALUE"""),"0x1df56fae28cddd2a7db28b00d3a13f4defe40373")</f>
        <v>0x1df56fae28cddd2a7db28b00d3a13f4defe40373</v>
      </c>
      <c r="J400" s="11">
        <v>17.9683766359682</v>
      </c>
      <c r="K400" s="12">
        <v>39.929725857707105</v>
      </c>
      <c r="L400" s="13">
        <v>3.992972585770711E19</v>
      </c>
      <c r="M400" s="9">
        <v>3.992972585770711E18</v>
      </c>
    </row>
    <row r="401" ht="15.75" customHeight="1">
      <c r="A401" s="8"/>
      <c r="B401" s="8"/>
      <c r="C401" s="8"/>
      <c r="D401" s="8">
        <v>27.9026907562088</v>
      </c>
      <c r="E401" s="9" t="s">
        <v>410</v>
      </c>
      <c r="I401" s="12" t="str">
        <f>IFERROR(__xludf.DUMMYFUNCTION("""COMPUTED_VALUE"""),"0x1e02b656c2d8a85c16bafe97ef5a2e496e57d370")</f>
        <v>0x1e02b656c2d8a85c16bafe97ef5a2e496e57d370</v>
      </c>
      <c r="J401" s="11">
        <v>27.9026907562088</v>
      </c>
      <c r="K401" s="12">
        <v>62.005979458241775</v>
      </c>
      <c r="L401" s="13">
        <v>6.200597945824177E19</v>
      </c>
      <c r="M401" s="9">
        <v>6.2005979458241782E18</v>
      </c>
    </row>
    <row r="402" ht="15.75" customHeight="1">
      <c r="A402" s="8"/>
      <c r="B402" s="8"/>
      <c r="C402" s="8"/>
      <c r="D402" s="8">
        <v>27.9026907562088</v>
      </c>
      <c r="E402" s="9" t="s">
        <v>411</v>
      </c>
      <c r="I402" s="12" t="str">
        <f>IFERROR(__xludf.DUMMYFUNCTION("""COMPUTED_VALUE"""),"0x1e1bd10bc1a59c647a1a6377ff063148b6f9aaaf")</f>
        <v>0x1e1bd10bc1a59c647a1a6377ff063148b6f9aaaf</v>
      </c>
      <c r="J402" s="11">
        <v>27.9026907562088</v>
      </c>
      <c r="K402" s="12">
        <v>62.005979458241775</v>
      </c>
      <c r="L402" s="13">
        <v>6.200597945824177E19</v>
      </c>
      <c r="M402" s="9">
        <v>6.2005979458241782E18</v>
      </c>
    </row>
    <row r="403" ht="15.75" customHeight="1">
      <c r="A403" s="8"/>
      <c r="B403" s="8"/>
      <c r="C403" s="8"/>
      <c r="D403" s="8">
        <v>22.5904044917174</v>
      </c>
      <c r="E403" s="9" t="s">
        <v>412</v>
      </c>
      <c r="I403" s="12" t="str">
        <f>IFERROR(__xludf.DUMMYFUNCTION("""COMPUTED_VALUE"""),"0x1e7f998ec49840e4f851b95a28689634d4344e8c")</f>
        <v>0x1e7f998ec49840e4f851b95a28689634d4344e8c</v>
      </c>
      <c r="J403" s="11">
        <v>22.5904044917174</v>
      </c>
      <c r="K403" s="12">
        <v>50.20089887048311</v>
      </c>
      <c r="L403" s="13">
        <v>5.020089887048311E19</v>
      </c>
      <c r="M403" s="9">
        <v>5.0200898870483108E18</v>
      </c>
    </row>
    <row r="404" ht="15.75" customHeight="1">
      <c r="A404" s="8"/>
      <c r="B404" s="8"/>
      <c r="C404" s="8"/>
      <c r="D404" s="8">
        <v>3.14010483560955</v>
      </c>
      <c r="E404" s="9" t="s">
        <v>413</v>
      </c>
      <c r="I404" s="12" t="str">
        <f>IFERROR(__xludf.DUMMYFUNCTION("""COMPUTED_VALUE"""),"0x1e8b708815e7c7282668d6f59bbd6bb1b10faea7")</f>
        <v>0x1e8b708815e7c7282668d6f59bbd6bb1b10faea7</v>
      </c>
      <c r="J404" s="11">
        <v>14.27567482857475</v>
      </c>
      <c r="K404" s="12">
        <v>31.72372184127722</v>
      </c>
      <c r="L404" s="13">
        <v>3.1723721841277223E19</v>
      </c>
      <c r="M404" s="9">
        <v>3.1723721841277225E18</v>
      </c>
    </row>
    <row r="405" ht="15.75" customHeight="1">
      <c r="A405" s="8"/>
      <c r="B405" s="8"/>
      <c r="C405" s="8"/>
      <c r="D405" s="8">
        <v>19.7622519228896</v>
      </c>
      <c r="E405" s="9" t="s">
        <v>414</v>
      </c>
      <c r="I405" s="12" t="str">
        <f>IFERROR(__xludf.DUMMYFUNCTION("""COMPUTED_VALUE"""),"0x1eb05b19369109d7c8df573adf20ed659119196f")</f>
        <v>0x1eb05b19369109d7c8df573adf20ed659119196f</v>
      </c>
      <c r="J405" s="11">
        <v>19.7622519228896</v>
      </c>
      <c r="K405" s="12">
        <v>43.91611538419911</v>
      </c>
      <c r="L405" s="13">
        <v>4.391611538419911E19</v>
      </c>
      <c r="M405" s="9">
        <v>4.3916115384199112E18</v>
      </c>
    </row>
    <row r="406" ht="15.75" customHeight="1">
      <c r="A406" s="8"/>
      <c r="B406" s="8"/>
      <c r="C406" s="8"/>
      <c r="D406" s="8">
        <v>27.9026907562088</v>
      </c>
      <c r="E406" s="9" t="s">
        <v>415</v>
      </c>
      <c r="I406" s="12" t="str">
        <f>IFERROR(__xludf.DUMMYFUNCTION("""COMPUTED_VALUE"""),"0x1eff5a18d20e74c5cc2fc289ddd4bab953b53732")</f>
        <v>0x1eff5a18d20e74c5cc2fc289ddd4bab953b53732</v>
      </c>
      <c r="J406" s="11">
        <v>78.7266280255936</v>
      </c>
      <c r="K406" s="12">
        <v>174.9480622790969</v>
      </c>
      <c r="L406" s="13">
        <v>1.749480622790969E20</v>
      </c>
      <c r="M406" s="9">
        <v>1.749480622790969E19</v>
      </c>
    </row>
    <row r="407" ht="15.75" customHeight="1">
      <c r="A407" s="8"/>
      <c r="B407" s="8"/>
      <c r="C407" s="8"/>
      <c r="D407" s="8">
        <v>26.6230663023194</v>
      </c>
      <c r="E407" s="9" t="s">
        <v>416</v>
      </c>
      <c r="I407" s="12" t="str">
        <f>IFERROR(__xludf.DUMMYFUNCTION("""COMPUTED_VALUE"""),"0x1f05d6453d671f744154f80dcccb6e7f1613d0dd")</f>
        <v>0x1f05d6453d671f744154f80dcccb6e7f1613d0dd</v>
      </c>
      <c r="J407" s="11">
        <v>26.6230663023194</v>
      </c>
      <c r="K407" s="12">
        <v>59.16236956070978</v>
      </c>
      <c r="L407" s="13">
        <v>5.9162369560709775E19</v>
      </c>
      <c r="M407" s="9">
        <v>5.9162369560709775E18</v>
      </c>
    </row>
    <row r="408" ht="15.75" customHeight="1">
      <c r="A408" s="8"/>
      <c r="B408" s="8"/>
      <c r="C408" s="8"/>
      <c r="D408" s="8">
        <v>27.9026907562088</v>
      </c>
      <c r="E408" s="9" t="s">
        <v>417</v>
      </c>
      <c r="I408" s="12" t="str">
        <f>IFERROR(__xludf.DUMMYFUNCTION("""COMPUTED_VALUE"""),"0x1f167d79c3773de066abbca3133a86eea65edbd4")</f>
        <v>0x1f167d79c3773de066abbca3133a86eea65edbd4</v>
      </c>
      <c r="J408" s="11">
        <v>27.9026907562088</v>
      </c>
      <c r="K408" s="12">
        <v>62.005979458241775</v>
      </c>
      <c r="L408" s="13">
        <v>6.200597945824177E19</v>
      </c>
      <c r="M408" s="9">
        <v>6.2005979458241782E18</v>
      </c>
    </row>
    <row r="409" ht="15.75" customHeight="1">
      <c r="A409" s="8"/>
      <c r="B409" s="8"/>
      <c r="C409" s="8"/>
      <c r="D409" s="8">
        <v>27.6896186494881</v>
      </c>
      <c r="E409" s="9" t="s">
        <v>418</v>
      </c>
      <c r="I409" s="12" t="str">
        <f>IFERROR(__xludf.DUMMYFUNCTION("""COMPUTED_VALUE"""),"0x1f34fcf71e88827df9e5bfd49d3caa989b3cf9ba")</f>
        <v>0x1f34fcf71e88827df9e5bfd49d3caa989b3cf9ba</v>
      </c>
      <c r="J409" s="11">
        <v>27.6896186494881</v>
      </c>
      <c r="K409" s="12">
        <v>61.532485887751335</v>
      </c>
      <c r="L409" s="13">
        <v>6.153248588775133E19</v>
      </c>
      <c r="M409" s="9">
        <v>6.1532485887751332E18</v>
      </c>
    </row>
    <row r="410" ht="15.75" customHeight="1">
      <c r="A410" s="8"/>
      <c r="B410" s="8"/>
      <c r="C410" s="8"/>
      <c r="D410" s="8">
        <v>27.9026907562088</v>
      </c>
      <c r="E410" s="9" t="s">
        <v>419</v>
      </c>
      <c r="I410" s="12" t="str">
        <f>IFERROR(__xludf.DUMMYFUNCTION("""COMPUTED_VALUE"""),"0x1fa30bdebaf2ad9f63ec65038d021651c0823d78")</f>
        <v>0x1fa30bdebaf2ad9f63ec65038d021651c0823d78</v>
      </c>
      <c r="J410" s="11">
        <v>91.1199983031448</v>
      </c>
      <c r="K410" s="12">
        <v>202.48888511809955</v>
      </c>
      <c r="L410" s="13">
        <v>2.0248888511809955E20</v>
      </c>
      <c r="M410" s="9">
        <v>2.0248888511809958E19</v>
      </c>
    </row>
    <row r="411" ht="15.75" customHeight="1">
      <c r="A411" s="8"/>
      <c r="B411" s="8"/>
      <c r="C411" s="8"/>
      <c r="D411" s="8">
        <v>27.0646590076924</v>
      </c>
      <c r="E411" s="9" t="s">
        <v>420</v>
      </c>
      <c r="I411" s="12" t="str">
        <f>IFERROR(__xludf.DUMMYFUNCTION("""COMPUTED_VALUE"""),"0x1fba21c3aa6456ec6af68baa905f0f9021c66bd6")</f>
        <v>0x1fba21c3aa6456ec6af68baa905f0f9021c66bd6</v>
      </c>
      <c r="J411" s="11">
        <v>27.0646590076924</v>
      </c>
      <c r="K411" s="12">
        <v>60.14368668376088</v>
      </c>
      <c r="L411" s="13">
        <v>6.0143686683760886E19</v>
      </c>
      <c r="M411" s="9">
        <v>6.0143686683760886E18</v>
      </c>
    </row>
    <row r="412" ht="15.75" customHeight="1">
      <c r="A412" s="8"/>
      <c r="B412" s="8"/>
      <c r="C412" s="8"/>
      <c r="D412" s="8">
        <v>27.9026907562088</v>
      </c>
      <c r="E412" s="9" t="s">
        <v>421</v>
      </c>
      <c r="I412" s="12" t="str">
        <f>IFERROR(__xludf.DUMMYFUNCTION("""COMPUTED_VALUE"""),"0x1fbe7279da134c53fa521f5ee65891948e775e17")</f>
        <v>0x1fbe7279da134c53fa521f5ee65891948e775e17</v>
      </c>
      <c r="J412" s="11">
        <v>89.5833119912939</v>
      </c>
      <c r="K412" s="12">
        <v>199.07402664731976</v>
      </c>
      <c r="L412" s="13">
        <v>1.9907402664731974E20</v>
      </c>
      <c r="M412" s="9">
        <v>1.9907402664731976E19</v>
      </c>
    </row>
    <row r="413" ht="15.75" customHeight="1">
      <c r="A413" s="8"/>
      <c r="B413" s="8"/>
      <c r="C413" s="8"/>
      <c r="D413" s="8">
        <v>27.9026907562088</v>
      </c>
      <c r="E413" s="9" t="s">
        <v>422</v>
      </c>
      <c r="I413" s="12" t="str">
        <f>IFERROR(__xludf.DUMMYFUNCTION("""COMPUTED_VALUE"""),"0x1fd5de9575eacb1f08581ae2bef075fa5444db89")</f>
        <v>0x1fd5de9575eacb1f08581ae2bef075fa5444db89</v>
      </c>
      <c r="J413" s="11">
        <v>27.9026907562088</v>
      </c>
      <c r="K413" s="12">
        <v>62.005979458241775</v>
      </c>
      <c r="L413" s="13">
        <v>6.200597945824177E19</v>
      </c>
      <c r="M413" s="9">
        <v>6.2005979458241782E18</v>
      </c>
    </row>
    <row r="414" ht="15.75" customHeight="1">
      <c r="A414" s="8"/>
      <c r="B414" s="8"/>
      <c r="C414" s="8"/>
      <c r="D414" s="8">
        <v>27.9026907562088</v>
      </c>
      <c r="E414" s="9" t="s">
        <v>423</v>
      </c>
      <c r="I414" s="12" t="str">
        <f>IFERROR(__xludf.DUMMYFUNCTION("""COMPUTED_VALUE"""),"0x2012df147d069eb12dd088c5318d148471f2c9ee")</f>
        <v>0x2012df147d069eb12dd088c5318d148471f2c9ee</v>
      </c>
      <c r="J414" s="11">
        <v>27.9026907562088</v>
      </c>
      <c r="K414" s="12">
        <v>62.005979458241775</v>
      </c>
      <c r="L414" s="13">
        <v>6.200597945824177E19</v>
      </c>
      <c r="M414" s="9">
        <v>6.2005979458241782E18</v>
      </c>
    </row>
    <row r="415" ht="15.75" customHeight="1">
      <c r="A415" s="8"/>
      <c r="B415" s="8"/>
      <c r="C415" s="8"/>
      <c r="D415" s="8">
        <v>27.9026907562088</v>
      </c>
      <c r="E415" s="9" t="s">
        <v>424</v>
      </c>
      <c r="I415" s="12" t="str">
        <f>IFERROR(__xludf.DUMMYFUNCTION("""COMPUTED_VALUE"""),"0x2025153da87998b0886e0247ef60d8c1ea1d1956")</f>
        <v>0x2025153da87998b0886e0247ef60d8c1ea1d1956</v>
      </c>
      <c r="J415" s="11">
        <v>113.2319829799433</v>
      </c>
      <c r="K415" s="12">
        <v>251.62662884431842</v>
      </c>
      <c r="L415" s="13">
        <v>2.5162662884431843E20</v>
      </c>
      <c r="M415" s="9">
        <v>2.5162662884431843E19</v>
      </c>
    </row>
    <row r="416" ht="15.75" customHeight="1">
      <c r="A416" s="8"/>
      <c r="B416" s="8"/>
      <c r="C416" s="8"/>
      <c r="D416" s="8">
        <v>20.3433912518979</v>
      </c>
      <c r="E416" s="9" t="s">
        <v>425</v>
      </c>
      <c r="I416" s="12" t="str">
        <f>IFERROR(__xludf.DUMMYFUNCTION("""COMPUTED_VALUE"""),"0x2029192a80947fdf2d78bb674e31d9ddb6808bf2")</f>
        <v>0x2029192a80947fdf2d78bb674e31d9ddb6808bf2</v>
      </c>
      <c r="J416" s="11">
        <v>20.3433912518979</v>
      </c>
      <c r="K416" s="12">
        <v>45.207536115328665</v>
      </c>
      <c r="L416" s="13">
        <v>4.520753611532866E19</v>
      </c>
      <c r="M416" s="9">
        <v>4.5207536115328666E18</v>
      </c>
    </row>
    <row r="417" ht="15.75" customHeight="1">
      <c r="A417" s="8"/>
      <c r="B417" s="8"/>
      <c r="C417" s="8"/>
      <c r="D417" s="8">
        <v>27.0429975215188</v>
      </c>
      <c r="E417" s="9" t="s">
        <v>426</v>
      </c>
      <c r="I417" s="12" t="str">
        <f>IFERROR(__xludf.DUMMYFUNCTION("""COMPUTED_VALUE"""),"0x20530644c5fef0ca965f3a36678df7988713efc3")</f>
        <v>0x20530644c5fef0ca965f3a36678df7988713efc3</v>
      </c>
      <c r="J417" s="11">
        <v>28.948272343922138</v>
      </c>
      <c r="K417" s="12">
        <v>64.32949409760475</v>
      </c>
      <c r="L417" s="13">
        <v>6.432949409760475E19</v>
      </c>
      <c r="M417" s="9">
        <v>6.4329494097604751E18</v>
      </c>
    </row>
    <row r="418" ht="15.75" customHeight="1">
      <c r="A418" s="8"/>
      <c r="B418" s="8"/>
      <c r="C418" s="8"/>
      <c r="D418" s="8">
        <v>24.7077291248495</v>
      </c>
      <c r="E418" s="9" t="s">
        <v>427</v>
      </c>
      <c r="I418" s="12" t="str">
        <f>IFERROR(__xludf.DUMMYFUNCTION("""COMPUTED_VALUE"""),"0x207230e06e14d1fa94e703f4784f819667472247")</f>
        <v>0x207230e06e14d1fa94e703f4784f819667472247</v>
      </c>
      <c r="J418" s="11">
        <v>26.44795922203582</v>
      </c>
      <c r="K418" s="12">
        <v>58.773242715635156</v>
      </c>
      <c r="L418" s="13">
        <v>5.8773242715635155E19</v>
      </c>
      <c r="M418" s="9">
        <v>5.8773242715635159E18</v>
      </c>
    </row>
    <row r="419" ht="15.75" customHeight="1">
      <c r="A419" s="8"/>
      <c r="B419" s="8"/>
      <c r="C419" s="8"/>
      <c r="D419" s="8">
        <v>25.0587835836149</v>
      </c>
      <c r="E419" s="9" t="s">
        <v>428</v>
      </c>
      <c r="I419" s="12" t="str">
        <f>IFERROR(__xludf.DUMMYFUNCTION("""COMPUTED_VALUE"""),"0x20751093031f6c493dcc65166cda90616fa231b4")</f>
        <v>0x20751093031f6c493dcc65166cda90616fa231b4</v>
      </c>
      <c r="J419" s="11">
        <v>25.0587835836149</v>
      </c>
      <c r="K419" s="12">
        <v>55.686185741366444</v>
      </c>
      <c r="L419" s="13">
        <v>5.568618574136644E19</v>
      </c>
      <c r="M419" s="9">
        <v>5.5686185741366446E18</v>
      </c>
    </row>
    <row r="420" ht="15.75" customHeight="1">
      <c r="A420" s="8"/>
      <c r="B420" s="8"/>
      <c r="C420" s="8"/>
      <c r="D420" s="8">
        <v>27.9026907562088</v>
      </c>
      <c r="E420" s="9" t="s">
        <v>429</v>
      </c>
      <c r="I420" s="12" t="str">
        <f>IFERROR(__xludf.DUMMYFUNCTION("""COMPUTED_VALUE"""),"0x20769d03e13365d0638c826e36d9cd3f13cb889a")</f>
        <v>0x20769d03e13365d0638c826e36d9cd3f13cb889a</v>
      </c>
      <c r="J420" s="11">
        <v>91.1199983031448</v>
      </c>
      <c r="K420" s="12">
        <v>202.48888511809955</v>
      </c>
      <c r="L420" s="13">
        <v>2.0248888511809955E20</v>
      </c>
      <c r="M420" s="9">
        <v>2.0248888511809958E19</v>
      </c>
    </row>
    <row r="421" ht="15.75" customHeight="1">
      <c r="A421" s="8"/>
      <c r="B421" s="8"/>
      <c r="C421" s="8"/>
      <c r="D421" s="8">
        <v>23.8191876181727</v>
      </c>
      <c r="E421" s="9" t="s">
        <v>430</v>
      </c>
      <c r="I421" s="12" t="str">
        <f>IFERROR(__xludf.DUMMYFUNCTION("""COMPUTED_VALUE"""),"0x20870ecec578499b32a6cbd5efa7c3ecc23a54c0")</f>
        <v>0x20870ecec578499b32a6cbd5efa7c3ecc23a54c0</v>
      </c>
      <c r="J421" s="11">
        <v>23.8191876181727</v>
      </c>
      <c r="K421" s="12">
        <v>52.931528040383775</v>
      </c>
      <c r="L421" s="13">
        <v>5.2931528040383775E19</v>
      </c>
      <c r="M421" s="9">
        <v>5.2931528040383775E18</v>
      </c>
    </row>
    <row r="422" ht="15.75" customHeight="1">
      <c r="A422" s="8"/>
      <c r="B422" s="8"/>
      <c r="C422" s="8"/>
      <c r="D422" s="8">
        <v>27.9026907562088</v>
      </c>
      <c r="E422" s="9" t="s">
        <v>431</v>
      </c>
      <c r="I422" s="12" t="str">
        <f>IFERROR(__xludf.DUMMYFUNCTION("""COMPUTED_VALUE"""),"0x2094e9d573c7de072f1c33186b4ef018a12ac6e7")</f>
        <v>0x2094e9d573c7de072f1c33186b4ef018a12ac6e7</v>
      </c>
      <c r="J422" s="11">
        <v>27.9026907562088</v>
      </c>
      <c r="K422" s="12">
        <v>62.005979458241775</v>
      </c>
      <c r="L422" s="13">
        <v>6.200597945824177E19</v>
      </c>
      <c r="M422" s="9">
        <v>6.2005979458241782E18</v>
      </c>
    </row>
    <row r="423" ht="15.75" customHeight="1">
      <c r="A423" s="8"/>
      <c r="B423" s="8"/>
      <c r="C423" s="8"/>
      <c r="D423" s="8">
        <v>27.9026907562088</v>
      </c>
      <c r="E423" s="9" t="s">
        <v>432</v>
      </c>
      <c r="I423" s="12" t="str">
        <f>IFERROR(__xludf.DUMMYFUNCTION("""COMPUTED_VALUE"""),"0x20aea88cbe386117df11eaf1e5d4d85689ab4b2f")</f>
        <v>0x20aea88cbe386117df11eaf1e5d4d85689ab4b2f</v>
      </c>
      <c r="J423" s="11">
        <v>91.1199983031448</v>
      </c>
      <c r="K423" s="12">
        <v>202.48888511809955</v>
      </c>
      <c r="L423" s="13">
        <v>2.0248888511809955E20</v>
      </c>
      <c r="M423" s="9">
        <v>2.0248888511809958E19</v>
      </c>
    </row>
    <row r="424" ht="15.75" customHeight="1">
      <c r="A424" s="8"/>
      <c r="B424" s="8"/>
      <c r="C424" s="8"/>
      <c r="D424" s="8">
        <v>27.9026907562088</v>
      </c>
      <c r="E424" s="9" t="s">
        <v>433</v>
      </c>
      <c r="I424" s="12" t="str">
        <f>IFERROR(__xludf.DUMMYFUNCTION("""COMPUTED_VALUE"""),"0x20c5b7ac6f7ff39d0b07723a415240531eede748")</f>
        <v>0x20c5b7ac6f7ff39d0b07723a415240531eede748</v>
      </c>
      <c r="J424" s="11">
        <v>91.1199983031448</v>
      </c>
      <c r="K424" s="12">
        <v>202.48888511809955</v>
      </c>
      <c r="L424" s="13">
        <v>2.0248888511809955E20</v>
      </c>
      <c r="M424" s="9">
        <v>2.0248888511809958E19</v>
      </c>
    </row>
    <row r="425" ht="15.75" customHeight="1">
      <c r="A425" s="8"/>
      <c r="B425" s="8"/>
      <c r="C425" s="8"/>
      <c r="D425" s="8">
        <v>27.6332194867151</v>
      </c>
      <c r="E425" s="9" t="s">
        <v>434</v>
      </c>
      <c r="I425" s="12" t="str">
        <f>IFERROR(__xludf.DUMMYFUNCTION("""COMPUTED_VALUE"""),"0x20cd8fdbd87a2675878aa0ae4f2573118b39d74d")</f>
        <v>0x20cd8fdbd87a2675878aa0ae4f2573118b39d74d</v>
      </c>
      <c r="J425" s="11">
        <v>27.6332194867151</v>
      </c>
      <c r="K425" s="12">
        <v>61.40715441492244</v>
      </c>
      <c r="L425" s="13">
        <v>6.140715441492244E19</v>
      </c>
      <c r="M425" s="9">
        <v>6.1407154414922445E18</v>
      </c>
    </row>
    <row r="426" ht="15.75" customHeight="1">
      <c r="A426" s="8"/>
      <c r="B426" s="8"/>
      <c r="C426" s="8"/>
      <c r="D426" s="8">
        <v>27.9026907562088</v>
      </c>
      <c r="E426" s="9" t="s">
        <v>435</v>
      </c>
      <c r="I426" s="12" t="str">
        <f>IFERROR(__xludf.DUMMYFUNCTION("""COMPUTED_VALUE"""),"0x210175a3d143cf8419c8a1d364d3cc048dfda6eb")</f>
        <v>0x210175a3d143cf8419c8a1d364d3cc048dfda6eb</v>
      </c>
      <c r="J426" s="11">
        <v>27.9026907562088</v>
      </c>
      <c r="K426" s="12">
        <v>62.005979458241775</v>
      </c>
      <c r="L426" s="13">
        <v>6.200597945824177E19</v>
      </c>
      <c r="M426" s="9">
        <v>6.2005979458241782E18</v>
      </c>
    </row>
    <row r="427" ht="15.75" customHeight="1">
      <c r="A427" s="8"/>
      <c r="B427" s="8"/>
      <c r="C427" s="8"/>
      <c r="D427" s="8">
        <v>27.9026907562088</v>
      </c>
      <c r="E427" s="9" t="s">
        <v>436</v>
      </c>
      <c r="I427" s="12" t="str">
        <f>IFERROR(__xludf.DUMMYFUNCTION("""COMPUTED_VALUE"""),"0x2107d9b498635001c6178e8ec508864d348a7411")</f>
        <v>0x2107d9b498635001c6178e8ec508864d348a7411</v>
      </c>
      <c r="J427" s="11">
        <v>98.92173601799338</v>
      </c>
      <c r="K427" s="12">
        <v>219.8260800399853</v>
      </c>
      <c r="L427" s="13">
        <v>2.198260800399853E20</v>
      </c>
      <c r="M427" s="9">
        <v>2.198260800399853E19</v>
      </c>
    </row>
    <row r="428" ht="15.75" customHeight="1">
      <c r="A428" s="8"/>
      <c r="B428" s="8"/>
      <c r="C428" s="8"/>
      <c r="D428" s="8">
        <v>21.1562650560695</v>
      </c>
      <c r="E428" s="9" t="s">
        <v>437</v>
      </c>
      <c r="I428" s="12" t="str">
        <f>IFERROR(__xludf.DUMMYFUNCTION("""COMPUTED_VALUE"""),"0x211c4e604dfb2c6b3f69d6632fa9cbf30ad5e3ab")</f>
        <v>0x211c4e604dfb2c6b3f69d6632fa9cbf30ad5e3ab</v>
      </c>
      <c r="J428" s="11">
        <v>69.7189242480496</v>
      </c>
      <c r="K428" s="12">
        <v>154.93094277344355</v>
      </c>
      <c r="L428" s="13">
        <v>1.5493094277344356E20</v>
      </c>
      <c r="M428" s="9">
        <v>1.5493094277344356E19</v>
      </c>
    </row>
    <row r="429" ht="15.75" customHeight="1">
      <c r="A429" s="8"/>
      <c r="B429" s="8"/>
      <c r="C429" s="8"/>
      <c r="D429" s="8">
        <v>27.9026907562088</v>
      </c>
      <c r="E429" s="9" t="s">
        <v>438</v>
      </c>
      <c r="I429" s="12" t="str">
        <f>IFERROR(__xludf.DUMMYFUNCTION("""COMPUTED_VALUE"""),"0x211e6fb9bff54e10e3ebc09876027fe349bb106e")</f>
        <v>0x211e6fb9bff54e10e3ebc09876027fe349bb106e</v>
      </c>
      <c r="J429" s="11">
        <v>91.1199983031448</v>
      </c>
      <c r="K429" s="12">
        <v>202.48888511809955</v>
      </c>
      <c r="L429" s="13">
        <v>2.0248888511809955E20</v>
      </c>
      <c r="M429" s="9">
        <v>2.0248888511809958E19</v>
      </c>
    </row>
    <row r="430" ht="15.75" customHeight="1">
      <c r="A430" s="8"/>
      <c r="B430" s="8"/>
      <c r="C430" s="8"/>
      <c r="D430" s="8">
        <v>21.0251599049957</v>
      </c>
      <c r="E430" s="9" t="s">
        <v>439</v>
      </c>
      <c r="I430" s="12" t="str">
        <f>IFERROR(__xludf.DUMMYFUNCTION("""COMPUTED_VALUE"""),"0x213adb059e4b51876107eb198a758a53933e91b6")</f>
        <v>0x213adb059e4b51876107eb198a758a53933e91b6</v>
      </c>
      <c r="J430" s="11">
        <v>69.3005621296262</v>
      </c>
      <c r="K430" s="12">
        <v>154.0012491769471</v>
      </c>
      <c r="L430" s="13">
        <v>1.540012491769471E20</v>
      </c>
      <c r="M430" s="9">
        <v>1.540012491769471E19</v>
      </c>
    </row>
    <row r="431" ht="15.75" customHeight="1">
      <c r="A431" s="8"/>
      <c r="B431" s="8"/>
      <c r="C431" s="8"/>
      <c r="D431" s="8">
        <v>27.9026907562088</v>
      </c>
      <c r="E431" s="9" t="s">
        <v>440</v>
      </c>
      <c r="I431" s="12" t="str">
        <f>IFERROR(__xludf.DUMMYFUNCTION("""COMPUTED_VALUE"""),"0x215f9942a21eb2cd08074395c896cb4b36189553")</f>
        <v>0x215f9942a21eb2cd08074395c896cb4b36189553</v>
      </c>
      <c r="J431" s="11">
        <v>27.9026907562088</v>
      </c>
      <c r="K431" s="12">
        <v>62.005979458241775</v>
      </c>
      <c r="L431" s="13">
        <v>6.200597945824177E19</v>
      </c>
      <c r="M431" s="9">
        <v>6.2005979458241782E18</v>
      </c>
    </row>
    <row r="432" ht="15.75" customHeight="1">
      <c r="A432" s="8"/>
      <c r="B432" s="8"/>
      <c r="C432" s="8"/>
      <c r="D432" s="8">
        <v>27.9026907562088</v>
      </c>
      <c r="E432" s="9" t="s">
        <v>441</v>
      </c>
      <c r="I432" s="12" t="str">
        <f>IFERROR(__xludf.DUMMYFUNCTION("""COMPUTED_VALUE"""),"0x21706465576de87c29da6ec2f5380a194afe7c7d")</f>
        <v>0x21706465576de87c29da6ec2f5380a194afe7c7d</v>
      </c>
      <c r="J432" s="11">
        <v>27.9026907562088</v>
      </c>
      <c r="K432" s="12">
        <v>62.005979458241775</v>
      </c>
      <c r="L432" s="13">
        <v>6.200597945824177E19</v>
      </c>
      <c r="M432" s="9">
        <v>6.2005979458241782E18</v>
      </c>
    </row>
    <row r="433" ht="15.75" customHeight="1">
      <c r="A433" s="8"/>
      <c r="B433" s="8"/>
      <c r="C433" s="8"/>
      <c r="D433" s="8">
        <v>27.9026907562088</v>
      </c>
      <c r="E433" s="9" t="s">
        <v>442</v>
      </c>
      <c r="I433" s="12" t="str">
        <f>IFERROR(__xludf.DUMMYFUNCTION("""COMPUTED_VALUE"""),"0x21b87c773e4aeca81428ff8036880601ec62d148")</f>
        <v>0x21b87c773e4aeca81428ff8036880601ec62d148</v>
      </c>
      <c r="J433" s="11">
        <v>116.5435463372973</v>
      </c>
      <c r="K433" s="12">
        <v>258.9856585273273</v>
      </c>
      <c r="L433" s="13">
        <v>2.589856585273273E20</v>
      </c>
      <c r="M433" s="9">
        <v>2.589856585273273E19</v>
      </c>
    </row>
    <row r="434" ht="15.75" customHeight="1">
      <c r="A434" s="8"/>
      <c r="B434" s="8"/>
      <c r="C434" s="8"/>
      <c r="D434" s="8">
        <v>27.9026907562088</v>
      </c>
      <c r="E434" s="9" t="s">
        <v>443</v>
      </c>
      <c r="I434" s="12" t="str">
        <f>IFERROR(__xludf.DUMMYFUNCTION("""COMPUTED_VALUE"""),"0x21ba29cce1b4a9c8cabc2ecb71070d4cfc6ee263")</f>
        <v>0x21ba29cce1b4a9c8cabc2ecb71070d4cfc6ee263</v>
      </c>
      <c r="J434" s="11">
        <v>27.9026907562088</v>
      </c>
      <c r="K434" s="12">
        <v>62.005979458241775</v>
      </c>
      <c r="L434" s="13">
        <v>6.200597945824177E19</v>
      </c>
      <c r="M434" s="9">
        <v>6.2005979458241782E18</v>
      </c>
    </row>
    <row r="435" ht="15.75" customHeight="1">
      <c r="A435" s="8"/>
      <c r="B435" s="8"/>
      <c r="C435" s="8"/>
      <c r="D435" s="8">
        <v>27.9026907562088</v>
      </c>
      <c r="E435" s="9" t="s">
        <v>444</v>
      </c>
      <c r="I435" s="12" t="str">
        <f>IFERROR(__xludf.DUMMYFUNCTION("""COMPUTED_VALUE"""),"0x221a8a5351df3236a8f2b0f8ac65fc33edc304a8")</f>
        <v>0x221a8a5351df3236a8f2b0f8ac65fc33edc304a8</v>
      </c>
      <c r="J435" s="11">
        <v>96.95736931651523</v>
      </c>
      <c r="K435" s="12">
        <v>215.46082070336718</v>
      </c>
      <c r="L435" s="13">
        <v>2.1546082070336717E20</v>
      </c>
      <c r="M435" s="9">
        <v>2.1546082070336717E19</v>
      </c>
    </row>
    <row r="436" ht="15.75" customHeight="1">
      <c r="A436" s="8"/>
      <c r="B436" s="8"/>
      <c r="C436" s="8"/>
      <c r="D436" s="8">
        <v>27.9026907562088</v>
      </c>
      <c r="E436" s="9" t="s">
        <v>445</v>
      </c>
      <c r="I436" s="12" t="str">
        <f>IFERROR(__xludf.DUMMYFUNCTION("""COMPUTED_VALUE"""),"0x22206b102f5605aa439b64e5fb6284f8b32c527e")</f>
        <v>0x22206b102f5605aa439b64e5fb6284f8b32c527e</v>
      </c>
      <c r="J436" s="11">
        <v>27.9026907562088</v>
      </c>
      <c r="K436" s="12">
        <v>62.005979458241775</v>
      </c>
      <c r="L436" s="13">
        <v>6.200597945824177E19</v>
      </c>
      <c r="M436" s="9">
        <v>6.2005979458241782E18</v>
      </c>
    </row>
    <row r="437" ht="15.75" customHeight="1">
      <c r="A437" s="8"/>
      <c r="B437" s="8"/>
      <c r="C437" s="8"/>
      <c r="D437" s="8">
        <v>17.948564943974</v>
      </c>
      <c r="E437" s="9" t="s">
        <v>446</v>
      </c>
      <c r="I437" s="12" t="str">
        <f>IFERROR(__xludf.DUMMYFUNCTION("""COMPUTED_VALUE"""),"0x2239b198353d8be47f36a2d2c0363f89df793b89")</f>
        <v>0x2239b198353d8be47f36a2d2c0363f89df793b89</v>
      </c>
      <c r="J437" s="11">
        <v>17.948564943974</v>
      </c>
      <c r="K437" s="12">
        <v>39.88569987549777</v>
      </c>
      <c r="L437" s="13">
        <v>3.988569987549777E19</v>
      </c>
      <c r="M437" s="9">
        <v>3.9885699875497774E18</v>
      </c>
    </row>
    <row r="438" ht="15.75" customHeight="1">
      <c r="A438" s="8"/>
      <c r="B438" s="8"/>
      <c r="C438" s="8"/>
      <c r="D438" s="8">
        <v>27.2336228272225</v>
      </c>
      <c r="E438" s="9" t="s">
        <v>447</v>
      </c>
      <c r="I438" s="12" t="str">
        <f>IFERROR(__xludf.DUMMYFUNCTION("""COMPUTED_VALUE"""),"0x22441101146f9a1faa389845a5008e6bd16549df")</f>
        <v>0x22441101146f9a1faa389845a5008e6bd16549df</v>
      </c>
      <c r="J438" s="11">
        <v>29.13823571324921</v>
      </c>
      <c r="K438" s="12">
        <v>64.75163491833158</v>
      </c>
      <c r="L438" s="13">
        <v>6.475163491833157E19</v>
      </c>
      <c r="M438" s="9">
        <v>6.4751634918331576E18</v>
      </c>
    </row>
    <row r="439" ht="15.75" customHeight="1">
      <c r="A439" s="8"/>
      <c r="B439" s="8"/>
      <c r="C439" s="8"/>
      <c r="D439" s="8">
        <v>26.4346386258801</v>
      </c>
      <c r="E439" s="9" t="s">
        <v>448</v>
      </c>
      <c r="I439" s="12" t="str">
        <f>IFERROR(__xludf.DUMMYFUNCTION("""COMPUTED_VALUE"""),"0x2278a28b35565143902f2ab2d6bcb209891b901a")</f>
        <v>0x2278a28b35565143902f2ab2d6bcb209891b901a</v>
      </c>
      <c r="J439" s="11">
        <v>26.4346386258801</v>
      </c>
      <c r="K439" s="12">
        <v>58.743641390844665</v>
      </c>
      <c r="L439" s="13">
        <v>5.8743641390844666E19</v>
      </c>
      <c r="M439" s="9">
        <v>5.8743641390844672E18</v>
      </c>
    </row>
    <row r="440" ht="15.75" customHeight="1">
      <c r="A440" s="8"/>
      <c r="B440" s="8"/>
      <c r="C440" s="8"/>
      <c r="D440" s="8">
        <v>27.9026907562088</v>
      </c>
      <c r="E440" s="9" t="s">
        <v>449</v>
      </c>
      <c r="I440" s="12" t="str">
        <f>IFERROR(__xludf.DUMMYFUNCTION("""COMPUTED_VALUE"""),"0x227ae1d320b68ef0228f67178c9ec6a6b263bf57")</f>
        <v>0x227ae1d320b68ef0228f67178c9ec6a6b263bf57</v>
      </c>
      <c r="J440" s="11">
        <v>130.1712320664578</v>
      </c>
      <c r="K440" s="12">
        <v>289.26940459212847</v>
      </c>
      <c r="L440" s="13">
        <v>2.8926940459212846E20</v>
      </c>
      <c r="M440" s="9">
        <v>2.892694045921285E19</v>
      </c>
    </row>
    <row r="441" ht="15.75" customHeight="1">
      <c r="A441" s="8"/>
      <c r="B441" s="8"/>
      <c r="C441" s="8"/>
      <c r="D441" s="8">
        <v>27.9026907562088</v>
      </c>
      <c r="E441" s="9" t="s">
        <v>450</v>
      </c>
      <c r="I441" s="12" t="str">
        <f>IFERROR(__xludf.DUMMYFUNCTION("""COMPUTED_VALUE"""),"0x22801922544fefc518e1c80fba92f633fe58161b")</f>
        <v>0x22801922544fefc518e1c80fba92f633fe58161b</v>
      </c>
      <c r="J441" s="11">
        <v>157.1501202338223</v>
      </c>
      <c r="K441" s="12">
        <v>349.22248940849397</v>
      </c>
      <c r="L441" s="13">
        <v>3.49222489408494E20</v>
      </c>
      <c r="M441" s="9">
        <v>3.4922248940849398E19</v>
      </c>
    </row>
    <row r="442" ht="15.75" customHeight="1">
      <c r="A442" s="8"/>
      <c r="B442" s="8"/>
      <c r="C442" s="8"/>
      <c r="D442" s="8">
        <v>27.128211852137</v>
      </c>
      <c r="E442" s="9" t="s">
        <v>451</v>
      </c>
      <c r="I442" s="12" t="str">
        <f>IFERROR(__xludf.DUMMYFUNCTION("""COMPUTED_VALUE"""),"0x22b60248c77fb0cdf3f442b328dd5dedf3cbc70c")</f>
        <v>0x22b60248c77fb0cdf3f442b328dd5dedf3cbc70c</v>
      </c>
      <c r="J442" s="11">
        <v>27.128211852137</v>
      </c>
      <c r="K442" s="12">
        <v>60.28491522697111</v>
      </c>
      <c r="L442" s="13">
        <v>6.028491522697111E19</v>
      </c>
      <c r="M442" s="9">
        <v>6.0284915226971116E18</v>
      </c>
    </row>
    <row r="443" ht="15.75" customHeight="1">
      <c r="A443" s="8"/>
      <c r="B443" s="8"/>
      <c r="C443" s="8"/>
      <c r="D443" s="8">
        <v>27.9026907562088</v>
      </c>
      <c r="E443" s="9" t="s">
        <v>452</v>
      </c>
      <c r="I443" s="12" t="str">
        <f>IFERROR(__xludf.DUMMYFUNCTION("""COMPUTED_VALUE"""),"0x22ff41947f54abc453e3c811c6f679c66a73e4e6")</f>
        <v>0x22ff41947f54abc453e3c811c6f679c66a73e4e6</v>
      </c>
      <c r="J443" s="11">
        <v>27.9026907562088</v>
      </c>
      <c r="K443" s="12">
        <v>62.005979458241775</v>
      </c>
      <c r="L443" s="13">
        <v>6.200597945824177E19</v>
      </c>
      <c r="M443" s="9">
        <v>6.2005979458241782E18</v>
      </c>
    </row>
    <row r="444" ht="15.75" customHeight="1">
      <c r="A444" s="8"/>
      <c r="B444" s="8"/>
      <c r="C444" s="8"/>
      <c r="D444" s="8">
        <v>27.9026907562088</v>
      </c>
      <c r="E444" s="9" t="s">
        <v>453</v>
      </c>
      <c r="I444" s="12" t="str">
        <f>IFERROR(__xludf.DUMMYFUNCTION("""COMPUTED_VALUE"""),"0x2307d9ecba596ce9569e779f1e6af80a1abe1b73")</f>
        <v>0x2307d9ecba596ce9569e779f1e6af80a1abe1b73</v>
      </c>
      <c r="J444" s="11">
        <v>27.9026907562088</v>
      </c>
      <c r="K444" s="12">
        <v>62.005979458241775</v>
      </c>
      <c r="L444" s="13">
        <v>6.200597945824177E19</v>
      </c>
      <c r="M444" s="9">
        <v>6.2005979458241782E18</v>
      </c>
    </row>
    <row r="445" ht="15.75" customHeight="1">
      <c r="A445" s="8"/>
      <c r="B445" s="8"/>
      <c r="C445" s="8"/>
      <c r="D445" s="8">
        <v>27.9026907562088</v>
      </c>
      <c r="E445" s="9" t="s">
        <v>454</v>
      </c>
      <c r="I445" s="12" t="str">
        <f>IFERROR(__xludf.DUMMYFUNCTION("""COMPUTED_VALUE"""),"0x23097642e7facb0bc32205ff3ceca5b967f66559")</f>
        <v>0x23097642e7facb0bc32205ff3ceca5b967f66559</v>
      </c>
      <c r="J445" s="11">
        <v>27.9026907562088</v>
      </c>
      <c r="K445" s="12">
        <v>62.005979458241775</v>
      </c>
      <c r="L445" s="13">
        <v>6.200597945824177E19</v>
      </c>
      <c r="M445" s="9">
        <v>6.2005979458241782E18</v>
      </c>
    </row>
    <row r="446" ht="15.75" customHeight="1">
      <c r="A446" s="8"/>
      <c r="B446" s="8"/>
      <c r="C446" s="8"/>
      <c r="D446" s="8">
        <v>27.9026907562088</v>
      </c>
      <c r="E446" s="9" t="s">
        <v>455</v>
      </c>
      <c r="I446" s="12" t="str">
        <f>IFERROR(__xludf.DUMMYFUNCTION("""COMPUTED_VALUE"""),"0x232b8b3f94042d7495a6de2affb25a29a868615b")</f>
        <v>0x232b8b3f94042d7495a6de2affb25a29a868615b</v>
      </c>
      <c r="J446" s="11">
        <v>91.1199983031448</v>
      </c>
      <c r="K446" s="12">
        <v>202.48888511809955</v>
      </c>
      <c r="L446" s="13">
        <v>2.0248888511809955E20</v>
      </c>
      <c r="M446" s="9">
        <v>2.0248888511809958E19</v>
      </c>
    </row>
    <row r="447" ht="15.75" customHeight="1">
      <c r="A447" s="8"/>
      <c r="B447" s="8"/>
      <c r="C447" s="8"/>
      <c r="D447" s="8">
        <v>27.9026907562088</v>
      </c>
      <c r="E447" s="9" t="s">
        <v>456</v>
      </c>
      <c r="I447" s="12" t="str">
        <f>IFERROR(__xludf.DUMMYFUNCTION("""COMPUTED_VALUE"""),"0x23447abbe6027c3848448a8ff28d1ecb8c0dc9d5")</f>
        <v>0x23447abbe6027c3848448a8ff28d1ecb8c0dc9d5</v>
      </c>
      <c r="J447" s="11">
        <v>91.1199983031448</v>
      </c>
      <c r="K447" s="12">
        <v>202.48888511809955</v>
      </c>
      <c r="L447" s="13">
        <v>2.0248888511809955E20</v>
      </c>
      <c r="M447" s="9">
        <v>2.0248888511809958E19</v>
      </c>
    </row>
    <row r="448" ht="15.75" customHeight="1">
      <c r="A448" s="8"/>
      <c r="B448" s="8"/>
      <c r="C448" s="8"/>
      <c r="D448" s="8">
        <v>27.9026907562088</v>
      </c>
      <c r="E448" s="9" t="s">
        <v>457</v>
      </c>
      <c r="I448" s="12" t="str">
        <f>IFERROR(__xludf.DUMMYFUNCTION("""COMPUTED_VALUE"""),"0x237e65879a87a5fbadbbaf20cb5020da0443fb22")</f>
        <v>0x237e65879a87a5fbadbbaf20cb5020da0443fb22</v>
      </c>
      <c r="J448" s="11">
        <v>27.9026907562088</v>
      </c>
      <c r="K448" s="12">
        <v>62.005979458241775</v>
      </c>
      <c r="L448" s="13">
        <v>6.200597945824177E19</v>
      </c>
      <c r="M448" s="9">
        <v>6.2005979458241782E18</v>
      </c>
    </row>
    <row r="449" ht="15.75" customHeight="1">
      <c r="A449" s="8"/>
      <c r="B449" s="8"/>
      <c r="C449" s="8"/>
      <c r="D449" s="8">
        <v>27.9026907562088</v>
      </c>
      <c r="E449" s="9" t="s">
        <v>458</v>
      </c>
      <c r="I449" s="12" t="str">
        <f>IFERROR(__xludf.DUMMYFUNCTION("""COMPUTED_VALUE"""),"0x2382d652609b3c36b468d8b420feb86a546469c5")</f>
        <v>0x2382d652609b3c36b468d8b420feb86a546469c5</v>
      </c>
      <c r="J449" s="11">
        <v>93.61690988588224</v>
      </c>
      <c r="K449" s="12">
        <v>208.03757752418275</v>
      </c>
      <c r="L449" s="13">
        <v>2.0803757752418275E20</v>
      </c>
      <c r="M449" s="9">
        <v>2.0803757752418275E19</v>
      </c>
    </row>
    <row r="450" ht="15.75" customHeight="1">
      <c r="A450" s="8"/>
      <c r="B450" s="8"/>
      <c r="C450" s="8"/>
      <c r="D450" s="8">
        <v>27.9026907562088</v>
      </c>
      <c r="E450" s="9" t="s">
        <v>459</v>
      </c>
      <c r="I450" s="12" t="str">
        <f>IFERROR(__xludf.DUMMYFUNCTION("""COMPUTED_VALUE"""),"0x23b4c21e96bb213c1563f6f189131a570ba94718")</f>
        <v>0x23b4c21e96bb213c1563f6f189131a570ba94718</v>
      </c>
      <c r="J450" s="11">
        <v>27.9026907562088</v>
      </c>
      <c r="K450" s="12">
        <v>62.005979458241775</v>
      </c>
      <c r="L450" s="13">
        <v>6.200597945824177E19</v>
      </c>
      <c r="M450" s="9">
        <v>6.2005979458241782E18</v>
      </c>
    </row>
    <row r="451" ht="15.75" customHeight="1">
      <c r="A451" s="8"/>
      <c r="B451" s="8"/>
      <c r="C451" s="8"/>
      <c r="D451" s="8">
        <v>27.9026907562088</v>
      </c>
      <c r="E451" s="9" t="s">
        <v>460</v>
      </c>
      <c r="I451" s="12" t="str">
        <f>IFERROR(__xludf.DUMMYFUNCTION("""COMPUTED_VALUE"""),"0x23cdf576595ea22461044f6317bb0d4a64c60d01")</f>
        <v>0x23cdf576595ea22461044f6317bb0d4a64c60d01</v>
      </c>
      <c r="J451" s="11">
        <v>27.9026907562088</v>
      </c>
      <c r="K451" s="12">
        <v>62.005979458241775</v>
      </c>
      <c r="L451" s="13">
        <v>6.200597945824177E19</v>
      </c>
      <c r="M451" s="9">
        <v>6.2005979458241782E18</v>
      </c>
    </row>
    <row r="452" ht="15.75" customHeight="1">
      <c r="A452" s="8"/>
      <c r="B452" s="8"/>
      <c r="C452" s="8"/>
      <c r="D452" s="8">
        <v>12.8259531439166</v>
      </c>
      <c r="E452" s="9" t="s">
        <v>461</v>
      </c>
      <c r="I452" s="12" t="str">
        <f>IFERROR(__xludf.DUMMYFUNCTION("""COMPUTED_VALUE"""),"0x23d326bfafbf877d9bede74d3900ba56235cf523")</f>
        <v>0x23d326bfafbf877d9bede74d3900ba56235cf523</v>
      </c>
      <c r="J452" s="11">
        <v>12.8259531439166</v>
      </c>
      <c r="K452" s="12">
        <v>28.502118097592444</v>
      </c>
      <c r="L452" s="13">
        <v>2.8502118097592443E19</v>
      </c>
      <c r="M452" s="9">
        <v>2.8502118097592443E18</v>
      </c>
    </row>
    <row r="453" ht="15.75" customHeight="1">
      <c r="A453" s="8"/>
      <c r="B453" s="8"/>
      <c r="C453" s="8"/>
      <c r="D453" s="8">
        <v>24.2131761044907</v>
      </c>
      <c r="E453" s="9" t="s">
        <v>462</v>
      </c>
      <c r="I453" s="12" t="str">
        <f>IFERROR(__xludf.DUMMYFUNCTION("""COMPUTED_VALUE"""),"0x23dd413e550d84ffe5456e0a95292b2c6b35064c")</f>
        <v>0x23dd413e550d84ffe5456e0a95292b2c6b35064c</v>
      </c>
      <c r="J453" s="11">
        <v>24.2131761044907</v>
      </c>
      <c r="K453" s="12">
        <v>53.80705800997933</v>
      </c>
      <c r="L453" s="13">
        <v>5.380705800997933E19</v>
      </c>
      <c r="M453" s="9">
        <v>5.3807058009979331E18</v>
      </c>
    </row>
    <row r="454" ht="15.75" customHeight="1">
      <c r="A454" s="8"/>
      <c r="B454" s="8"/>
      <c r="C454" s="8"/>
      <c r="D454" s="8">
        <v>12.4990141876503</v>
      </c>
      <c r="E454" s="9" t="s">
        <v>463</v>
      </c>
      <c r="I454" s="12" t="str">
        <f>IFERROR(__xludf.DUMMYFUNCTION("""COMPUTED_VALUE"""),"0x23e9cb31580c55a18fcfe0f97d01fe4e563dfda7")</f>
        <v>0x23e9cb31580c55a18fcfe0f97d01fe4e563dfda7</v>
      </c>
      <c r="J454" s="11">
        <v>12.4990141876503</v>
      </c>
      <c r="K454" s="12">
        <v>27.775587083667332</v>
      </c>
      <c r="L454" s="13">
        <v>2.7775587083667333E19</v>
      </c>
      <c r="M454" s="9">
        <v>2.7775587083667333E18</v>
      </c>
    </row>
    <row r="455" ht="15.75" customHeight="1">
      <c r="A455" s="8"/>
      <c r="B455" s="8"/>
      <c r="C455" s="8"/>
      <c r="D455" s="8">
        <v>27.9026907562088</v>
      </c>
      <c r="E455" s="9" t="s">
        <v>464</v>
      </c>
      <c r="I455" s="12" t="str">
        <f>IFERROR(__xludf.DUMMYFUNCTION("""COMPUTED_VALUE"""),"0x23f39770810a68283581acc62b0f0f5c089a8e8c")</f>
        <v>0x23f39770810a68283581acc62b0f0f5c089a8e8c</v>
      </c>
      <c r="J455" s="11">
        <v>65.83307528437041</v>
      </c>
      <c r="K455" s="12">
        <v>146.29572285415645</v>
      </c>
      <c r="L455" s="13">
        <v>1.4629572285415645E20</v>
      </c>
      <c r="M455" s="9">
        <v>1.4629572285415645E19</v>
      </c>
    </row>
    <row r="456" ht="15.75" customHeight="1">
      <c r="A456" s="8"/>
      <c r="B456" s="8"/>
      <c r="C456" s="8"/>
      <c r="D456" s="8">
        <v>27.9026907562088</v>
      </c>
      <c r="E456" s="9" t="s">
        <v>465</v>
      </c>
      <c r="I456" s="12" t="str">
        <f>IFERROR(__xludf.DUMMYFUNCTION("""COMPUTED_VALUE"""),"0x2450b3152d9b613df2040ff9a6feda97f3d7ab3c")</f>
        <v>0x2450b3152d9b613df2040ff9a6feda97f3d7ab3c</v>
      </c>
      <c r="J456" s="11">
        <v>27.9026907562088</v>
      </c>
      <c r="K456" s="12">
        <v>62.005979458241775</v>
      </c>
      <c r="L456" s="13">
        <v>6.200597945824177E19</v>
      </c>
      <c r="M456" s="9">
        <v>6.2005979458241782E18</v>
      </c>
    </row>
    <row r="457" ht="15.75" customHeight="1">
      <c r="A457" s="8"/>
      <c r="B457" s="8"/>
      <c r="C457" s="8"/>
      <c r="D457" s="8">
        <v>27.9026907562088</v>
      </c>
      <c r="E457" s="9" t="s">
        <v>466</v>
      </c>
      <c r="I457" s="12" t="str">
        <f>IFERROR(__xludf.DUMMYFUNCTION("""COMPUTED_VALUE"""),"0x24656b0065642041ed6f0a173eb6bfd8269957fd")</f>
        <v>0x24656b0065642041ed6f0a173eb6bfd8269957fd</v>
      </c>
      <c r="J457" s="11">
        <v>91.1199983031448</v>
      </c>
      <c r="K457" s="12">
        <v>202.48888511809955</v>
      </c>
      <c r="L457" s="13">
        <v>2.0248888511809955E20</v>
      </c>
      <c r="M457" s="9">
        <v>2.0248888511809958E19</v>
      </c>
    </row>
    <row r="458" ht="15.75" customHeight="1">
      <c r="A458" s="8"/>
      <c r="B458" s="8"/>
      <c r="C458" s="8"/>
      <c r="D458" s="8">
        <v>27.9026907562088</v>
      </c>
      <c r="E458" s="9" t="s">
        <v>467</v>
      </c>
      <c r="I458" s="12" t="str">
        <f>IFERROR(__xludf.DUMMYFUNCTION("""COMPUTED_VALUE"""),"0x247cc82258d1df00a7afca507437e043c6998567")</f>
        <v>0x247cc82258d1df00a7afca507437e043c6998567</v>
      </c>
      <c r="J458" s="11">
        <v>27.9026907562088</v>
      </c>
      <c r="K458" s="12">
        <v>62.005979458241775</v>
      </c>
      <c r="L458" s="13">
        <v>6.200597945824177E19</v>
      </c>
      <c r="M458" s="9">
        <v>6.2005979458241782E18</v>
      </c>
    </row>
    <row r="459" ht="15.75" customHeight="1">
      <c r="A459" s="8"/>
      <c r="B459" s="8"/>
      <c r="C459" s="8"/>
      <c r="D459" s="8">
        <v>27.9026907562088</v>
      </c>
      <c r="E459" s="9" t="s">
        <v>468</v>
      </c>
      <c r="I459" s="12" t="str">
        <f>IFERROR(__xludf.DUMMYFUNCTION("""COMPUTED_VALUE"""),"0x2499d01ed49350e6fbe464502f112d64d5303a9a")</f>
        <v>0x2499d01ed49350e6fbe464502f112d64d5303a9a</v>
      </c>
      <c r="J459" s="11">
        <v>27.9026907562088</v>
      </c>
      <c r="K459" s="12">
        <v>62.005979458241775</v>
      </c>
      <c r="L459" s="13">
        <v>6.200597945824177E19</v>
      </c>
      <c r="M459" s="9">
        <v>6.2005979458241782E18</v>
      </c>
    </row>
    <row r="460" ht="15.75" customHeight="1">
      <c r="A460" s="8"/>
      <c r="B460" s="8"/>
      <c r="C460" s="8"/>
      <c r="D460" s="8">
        <v>18.7682281004289</v>
      </c>
      <c r="E460" s="9" t="s">
        <v>469</v>
      </c>
      <c r="I460" s="12" t="str">
        <f>IFERROR(__xludf.DUMMYFUNCTION("""COMPUTED_VALUE"""),"0x24ba98d7bc70b43598fdcdfd68d21332192058c2")</f>
        <v>0x24ba98d7bc70b43598fdcdfd68d21332192058c2</v>
      </c>
      <c r="J460" s="11">
        <v>18.7682281004289</v>
      </c>
      <c r="K460" s="12">
        <v>41.707173556508664</v>
      </c>
      <c r="L460" s="13">
        <v>4.170717355650866E19</v>
      </c>
      <c r="M460" s="9">
        <v>4.1707173556508667E18</v>
      </c>
    </row>
    <row r="461" ht="15.75" customHeight="1">
      <c r="A461" s="8"/>
      <c r="B461" s="8"/>
      <c r="C461" s="8"/>
      <c r="D461" s="8">
        <v>27.9026907562088</v>
      </c>
      <c r="E461" s="9" t="s">
        <v>470</v>
      </c>
      <c r="I461" s="12" t="str">
        <f>IFERROR(__xludf.DUMMYFUNCTION("""COMPUTED_VALUE"""),"0x24bbff32367f805289f43c9b33a94c7eb7098653")</f>
        <v>0x24bbff32367f805289f43c9b33a94c7eb7098653</v>
      </c>
      <c r="J461" s="11">
        <v>27.9026907562088</v>
      </c>
      <c r="K461" s="12">
        <v>62.005979458241775</v>
      </c>
      <c r="L461" s="13">
        <v>6.200597945824177E19</v>
      </c>
      <c r="M461" s="9">
        <v>6.2005979458241782E18</v>
      </c>
    </row>
    <row r="462" ht="15.75" customHeight="1">
      <c r="A462" s="8"/>
      <c r="B462" s="8"/>
      <c r="C462" s="8"/>
      <c r="D462" s="8">
        <v>27.9026907562088</v>
      </c>
      <c r="E462" s="9" t="s">
        <v>471</v>
      </c>
      <c r="I462" s="12" t="str">
        <f>IFERROR(__xludf.DUMMYFUNCTION("""COMPUTED_VALUE"""),"0x24d85cca75c5bfb55aaa5c5458e1202d9234f446")</f>
        <v>0x24d85cca75c5bfb55aaa5c5458e1202d9234f446</v>
      </c>
      <c r="J462" s="11">
        <v>93.06578864093494</v>
      </c>
      <c r="K462" s="12">
        <v>206.8128636465221</v>
      </c>
      <c r="L462" s="13">
        <v>2.0681286364652208E20</v>
      </c>
      <c r="M462" s="9">
        <v>2.068128636465221E19</v>
      </c>
    </row>
    <row r="463" ht="15.75" customHeight="1">
      <c r="A463" s="8"/>
      <c r="B463" s="8"/>
      <c r="C463" s="8"/>
      <c r="D463" s="8">
        <v>7.01750389756696</v>
      </c>
      <c r="E463" s="9" t="s">
        <v>472</v>
      </c>
      <c r="I463" s="12" t="str">
        <f>IFERROR(__xludf.DUMMYFUNCTION("""COMPUTED_VALUE"""),"0x24e39e7cd8a9c0f0e325a7b1dbd99b71352a77ad")</f>
        <v>0x24e39e7cd8a9c0f0e325a7b1dbd99b71352a77ad</v>
      </c>
      <c r="J463" s="11">
        <v>7.01750389756696</v>
      </c>
      <c r="K463" s="12">
        <v>15.594453105704355</v>
      </c>
      <c r="L463" s="13">
        <v>1.5594453105704356E19</v>
      </c>
      <c r="M463" s="9">
        <v>1.55944531057043558E18</v>
      </c>
    </row>
    <row r="464" ht="15.75" customHeight="1">
      <c r="A464" s="8"/>
      <c r="B464" s="8"/>
      <c r="C464" s="8"/>
      <c r="D464" s="8">
        <v>27.8390554758642</v>
      </c>
      <c r="E464" s="9" t="s">
        <v>473</v>
      </c>
      <c r="I464" s="12" t="str">
        <f>IFERROR(__xludf.DUMMYFUNCTION("""COMPUTED_VALUE"""),"0x24e5195c726c7fcebf97f486c841b1f3e235f966")</f>
        <v>0x24e5195c726c7fcebf97f486c841b1f3e235f966</v>
      </c>
      <c r="J464" s="11">
        <v>27.8390554758642</v>
      </c>
      <c r="K464" s="12">
        <v>61.86456772414267</v>
      </c>
      <c r="L464" s="13">
        <v>6.1864567724142666E19</v>
      </c>
      <c r="M464" s="9">
        <v>6.1864567724142674E18</v>
      </c>
    </row>
    <row r="465" ht="15.75" customHeight="1">
      <c r="A465" s="8"/>
      <c r="B465" s="8"/>
      <c r="C465" s="8"/>
      <c r="D465" s="8">
        <v>27.9026907562088</v>
      </c>
      <c r="E465" s="9" t="s">
        <v>474</v>
      </c>
      <c r="I465" s="12" t="str">
        <f>IFERROR(__xludf.DUMMYFUNCTION("""COMPUTED_VALUE"""),"0x24e98a21aeae5f977ea8f59611e63df8c6af49b0")</f>
        <v>0x24e98a21aeae5f977ea8f59611e63df8c6af49b0</v>
      </c>
      <c r="J465" s="11">
        <v>91.89831443826085</v>
      </c>
      <c r="K465" s="12">
        <v>204.21847652946855</v>
      </c>
      <c r="L465" s="13">
        <v>2.0421847652946854E20</v>
      </c>
      <c r="M465" s="9">
        <v>2.0421847652946854E19</v>
      </c>
    </row>
    <row r="466" ht="15.75" customHeight="1">
      <c r="A466" s="8"/>
      <c r="B466" s="8"/>
      <c r="C466" s="8"/>
      <c r="D466" s="8">
        <v>27.9026907562088</v>
      </c>
      <c r="E466" s="9" t="s">
        <v>475</v>
      </c>
      <c r="I466" s="12" t="str">
        <f>IFERROR(__xludf.DUMMYFUNCTION("""COMPUTED_VALUE"""),"0x24faa0f8d568b0c6497c47fd13cbf67083451913")</f>
        <v>0x24faa0f8d568b0c6497c47fd13cbf67083451913</v>
      </c>
      <c r="J466" s="11">
        <v>27.9026907562088</v>
      </c>
      <c r="K466" s="12">
        <v>62.005979458241775</v>
      </c>
      <c r="L466" s="13">
        <v>6.200597945824177E19</v>
      </c>
      <c r="M466" s="9">
        <v>6.2005979458241782E18</v>
      </c>
    </row>
    <row r="467" ht="15.75" customHeight="1">
      <c r="A467" s="8"/>
      <c r="B467" s="8"/>
      <c r="C467" s="8"/>
      <c r="D467" s="8">
        <v>27.9026907562088</v>
      </c>
      <c r="E467" s="9" t="s">
        <v>476</v>
      </c>
      <c r="I467" s="12" t="str">
        <f>IFERROR(__xludf.DUMMYFUNCTION("""COMPUTED_VALUE"""),"0x24fbb3ccee91409bd6ec559c50660215aa35e04c")</f>
        <v>0x24fbb3ccee91409bd6ec559c50660215aa35e04c</v>
      </c>
      <c r="J467" s="11">
        <v>27.9026907562088</v>
      </c>
      <c r="K467" s="12">
        <v>62.005979458241775</v>
      </c>
      <c r="L467" s="13">
        <v>6.200597945824177E19</v>
      </c>
      <c r="M467" s="9">
        <v>6.2005979458241782E18</v>
      </c>
    </row>
    <row r="468" ht="15.75" customHeight="1">
      <c r="A468" s="8"/>
      <c r="B468" s="8"/>
      <c r="C468" s="8"/>
      <c r="D468" s="8">
        <v>27.9026907562088</v>
      </c>
      <c r="E468" s="9" t="s">
        <v>477</v>
      </c>
      <c r="I468" s="12" t="str">
        <f>IFERROR(__xludf.DUMMYFUNCTION("""COMPUTED_VALUE"""),"0x2533aa210319896799afdc5c111b3a737848a83a")</f>
        <v>0x2533aa210319896799afdc5c111b3a737848a83a</v>
      </c>
      <c r="J468" s="11">
        <v>27.912099427902227</v>
      </c>
      <c r="K468" s="12">
        <v>62.026887617560504</v>
      </c>
      <c r="L468" s="13">
        <v>6.20268876175605E19</v>
      </c>
      <c r="M468" s="9">
        <v>6.2026887617560504E18</v>
      </c>
    </row>
    <row r="469" ht="15.75" customHeight="1">
      <c r="A469" s="8"/>
      <c r="B469" s="8"/>
      <c r="C469" s="8"/>
      <c r="D469" s="8">
        <v>27.9026907562088</v>
      </c>
      <c r="E469" s="9" t="s">
        <v>478</v>
      </c>
      <c r="I469" s="12" t="str">
        <f>IFERROR(__xludf.DUMMYFUNCTION("""COMPUTED_VALUE"""),"0x25681b4ed236fbb1b28731902d40536cc4b08ef1")</f>
        <v>0x25681b4ed236fbb1b28731902d40536cc4b08ef1</v>
      </c>
      <c r="J469" s="11">
        <v>91.1199983031448</v>
      </c>
      <c r="K469" s="12">
        <v>202.48888511809955</v>
      </c>
      <c r="L469" s="13">
        <v>2.0248888511809955E20</v>
      </c>
      <c r="M469" s="9">
        <v>2.0248888511809958E19</v>
      </c>
    </row>
    <row r="470" ht="15.75" customHeight="1">
      <c r="A470" s="8"/>
      <c r="B470" s="8"/>
      <c r="C470" s="8"/>
      <c r="D470" s="8">
        <v>27.9026907562088</v>
      </c>
      <c r="E470" s="9" t="s">
        <v>479</v>
      </c>
      <c r="I470" s="12" t="str">
        <f>IFERROR(__xludf.DUMMYFUNCTION("""COMPUTED_VALUE"""),"0x25904c20f1cd3c74befefed3d2ab6566d845c8b5")</f>
        <v>0x25904c20f1cd3c74befefed3d2ab6566d845c8b5</v>
      </c>
      <c r="J470" s="11">
        <v>93.3544602244163</v>
      </c>
      <c r="K470" s="12">
        <v>207.45435605425843</v>
      </c>
      <c r="L470" s="13">
        <v>2.0745435605425842E20</v>
      </c>
      <c r="M470" s="9">
        <v>2.0745435605425844E19</v>
      </c>
    </row>
    <row r="471" ht="15.75" customHeight="1">
      <c r="A471" s="8"/>
      <c r="B471" s="8"/>
      <c r="C471" s="8"/>
      <c r="D471" s="8">
        <v>27.9026907562088</v>
      </c>
      <c r="E471" s="9" t="s">
        <v>480</v>
      </c>
      <c r="I471" s="12" t="str">
        <f>IFERROR(__xludf.DUMMYFUNCTION("""COMPUTED_VALUE"""),"0x25935dd64142509b70e2e70c8bf112529f3f8af1")</f>
        <v>0x25935dd64142509b70e2e70c8bf112529f3f8af1</v>
      </c>
      <c r="J471" s="11">
        <v>28.08272116124078</v>
      </c>
      <c r="K471" s="12">
        <v>62.40604702497951</v>
      </c>
      <c r="L471" s="13">
        <v>6.240604702497951E19</v>
      </c>
      <c r="M471" s="9">
        <v>6.2406047024979517E18</v>
      </c>
    </row>
    <row r="472" ht="15.75" customHeight="1">
      <c r="A472" s="8"/>
      <c r="B472" s="8"/>
      <c r="C472" s="8"/>
      <c r="D472" s="8">
        <v>27.9026907562088</v>
      </c>
      <c r="E472" s="9" t="s">
        <v>481</v>
      </c>
      <c r="I472" s="12" t="str">
        <f>IFERROR(__xludf.DUMMYFUNCTION("""COMPUTED_VALUE"""),"0x259573080654871f261c3e639c09bc03a7146558")</f>
        <v>0x259573080654871f261c3e639c09bc03a7146558</v>
      </c>
      <c r="J472" s="11">
        <v>27.9026907562088</v>
      </c>
      <c r="K472" s="12">
        <v>62.005979458241775</v>
      </c>
      <c r="L472" s="13">
        <v>6.200597945824177E19</v>
      </c>
      <c r="M472" s="9">
        <v>6.2005979458241782E18</v>
      </c>
    </row>
    <row r="473" ht="15.75" customHeight="1">
      <c r="A473" s="8"/>
      <c r="B473" s="8"/>
      <c r="C473" s="8"/>
      <c r="D473" s="8">
        <v>27.4841722318912</v>
      </c>
      <c r="E473" s="9" t="s">
        <v>482</v>
      </c>
      <c r="I473" s="12" t="str">
        <f>IFERROR(__xludf.DUMMYFUNCTION("""COMPUTED_VALUE"""),"0x259d90836030e4d672b4264389adcfed713f7629")</f>
        <v>0x259d90836030e4d672b4264389adcfed713f7629</v>
      </c>
      <c r="J473" s="11">
        <v>27.4841722318912</v>
      </c>
      <c r="K473" s="12">
        <v>61.07593829309155</v>
      </c>
      <c r="L473" s="13">
        <v>6.107593829309156E19</v>
      </c>
      <c r="M473" s="9">
        <v>6.1075938293091564E18</v>
      </c>
    </row>
    <row r="474" ht="15.75" customHeight="1">
      <c r="A474" s="8"/>
      <c r="B474" s="8"/>
      <c r="C474" s="8"/>
      <c r="D474" s="8">
        <v>27.9026907562088</v>
      </c>
      <c r="E474" s="9" t="s">
        <v>483</v>
      </c>
      <c r="I474" s="12" t="str">
        <f>IFERROR(__xludf.DUMMYFUNCTION("""COMPUTED_VALUE"""),"0x25c8196dbdf8eeb6fb7e0ceddd891f709bb26c3b")</f>
        <v>0x25c8196dbdf8eeb6fb7e0ceddd891f709bb26c3b</v>
      </c>
      <c r="J474" s="11">
        <v>177.20616379412138</v>
      </c>
      <c r="K474" s="12">
        <v>393.7914750980475</v>
      </c>
      <c r="L474" s="13">
        <v>3.937914750980475E20</v>
      </c>
      <c r="M474" s="9">
        <v>3.937914750980475E19</v>
      </c>
    </row>
    <row r="475" ht="15.75" customHeight="1">
      <c r="A475" s="8"/>
      <c r="B475" s="8"/>
      <c r="C475" s="8"/>
      <c r="D475" s="8">
        <v>26.503348010887</v>
      </c>
      <c r="E475" s="9" t="s">
        <v>484</v>
      </c>
      <c r="I475" s="12" t="str">
        <f>IFERROR(__xludf.DUMMYFUNCTION("""COMPUTED_VALUE"""),"0x25c9af57507c67966edd16e54b5784b7845fc889")</f>
        <v>0x25c9af57507c67966edd16e54b5784b7845fc889</v>
      </c>
      <c r="J475" s="11">
        <v>86.842580415656</v>
      </c>
      <c r="K475" s="12">
        <v>192.98351203479112</v>
      </c>
      <c r="L475" s="13">
        <v>1.9298351203479113E20</v>
      </c>
      <c r="M475" s="9">
        <v>1.9298351203479114E19</v>
      </c>
    </row>
    <row r="476" ht="15.75" customHeight="1">
      <c r="A476" s="8"/>
      <c r="B476" s="8"/>
      <c r="C476" s="8"/>
      <c r="D476" s="8">
        <v>27.9026907562088</v>
      </c>
      <c r="E476" s="9" t="s">
        <v>485</v>
      </c>
      <c r="I476" s="12" t="str">
        <f>IFERROR(__xludf.DUMMYFUNCTION("""COMPUTED_VALUE"""),"0x25d0423d8b4b57c7d39462d2ae3990ac6266397c")</f>
        <v>0x25d0423d8b4b57c7d39462d2ae3990ac6266397c</v>
      </c>
      <c r="J476" s="11">
        <v>27.9026907562088</v>
      </c>
      <c r="K476" s="12">
        <v>62.005979458241775</v>
      </c>
      <c r="L476" s="13">
        <v>6.200597945824177E19</v>
      </c>
      <c r="M476" s="9">
        <v>6.2005979458241782E18</v>
      </c>
    </row>
    <row r="477" ht="15.75" customHeight="1">
      <c r="A477" s="8"/>
      <c r="B477" s="8"/>
      <c r="C477" s="8"/>
      <c r="D477" s="8">
        <v>27.9026907562088</v>
      </c>
      <c r="E477" s="9" t="s">
        <v>486</v>
      </c>
      <c r="I477" s="12" t="str">
        <f>IFERROR(__xludf.DUMMYFUNCTION("""COMPUTED_VALUE"""),"0x25eae14113d4fa2ef209358019f6c2e78f0f2aba")</f>
        <v>0x25eae14113d4fa2ef209358019f6c2e78f0f2aba</v>
      </c>
      <c r="J477" s="11">
        <v>27.9026907562088</v>
      </c>
      <c r="K477" s="12">
        <v>62.005979458241775</v>
      </c>
      <c r="L477" s="13">
        <v>6.200597945824177E19</v>
      </c>
      <c r="M477" s="9">
        <v>6.2005979458241782E18</v>
      </c>
    </row>
    <row r="478" ht="15.75" customHeight="1">
      <c r="A478" s="8"/>
      <c r="B478" s="8"/>
      <c r="C478" s="8"/>
      <c r="D478" s="8">
        <v>27.9026907562088</v>
      </c>
      <c r="E478" s="9" t="s">
        <v>487</v>
      </c>
      <c r="I478" s="12" t="str">
        <f>IFERROR(__xludf.DUMMYFUNCTION("""COMPUTED_VALUE"""),"0x261da2ed0bae15cae458c39fbb0687a3ecaea813")</f>
        <v>0x261da2ed0bae15cae458c39fbb0687a3ecaea813</v>
      </c>
      <c r="J478" s="11">
        <v>91.1199983031448</v>
      </c>
      <c r="K478" s="12">
        <v>202.48888511809955</v>
      </c>
      <c r="L478" s="13">
        <v>2.0248888511809955E20</v>
      </c>
      <c r="M478" s="9">
        <v>2.0248888511809958E19</v>
      </c>
    </row>
    <row r="479" ht="15.75" customHeight="1">
      <c r="A479" s="8"/>
      <c r="B479" s="8"/>
      <c r="C479" s="8"/>
      <c r="D479" s="8">
        <v>27.9026907562088</v>
      </c>
      <c r="E479" s="9" t="s">
        <v>488</v>
      </c>
      <c r="I479" s="12" t="str">
        <f>IFERROR(__xludf.DUMMYFUNCTION("""COMPUTED_VALUE"""),"0x26331fdb8e6cd9e99f81c4dc4412045295048152")</f>
        <v>0x26331fdb8e6cd9e99f81c4dc4412045295048152</v>
      </c>
      <c r="J479" s="11">
        <v>27.9026907562088</v>
      </c>
      <c r="K479" s="12">
        <v>62.005979458241775</v>
      </c>
      <c r="L479" s="13">
        <v>6.200597945824177E19</v>
      </c>
      <c r="M479" s="9">
        <v>6.2005979458241782E18</v>
      </c>
    </row>
    <row r="480" ht="15.75" customHeight="1">
      <c r="A480" s="8"/>
      <c r="B480" s="8"/>
      <c r="C480" s="8"/>
      <c r="D480" s="8">
        <v>27.6416505023681</v>
      </c>
      <c r="E480" s="9" t="s">
        <v>489</v>
      </c>
      <c r="I480" s="12" t="str">
        <f>IFERROR(__xludf.DUMMYFUNCTION("""COMPUTED_VALUE"""),"0x2635547f04c9811705e69fd46a0aa8df044071b1")</f>
        <v>0x2635547f04c9811705e69fd46a0aa8df044071b1</v>
      </c>
      <c r="J480" s="11">
        <v>27.6416505023681</v>
      </c>
      <c r="K480" s="12">
        <v>61.425890005262445</v>
      </c>
      <c r="L480" s="13">
        <v>6.142589000526244E19</v>
      </c>
      <c r="M480" s="9">
        <v>6.1425890005262449E18</v>
      </c>
    </row>
    <row r="481" ht="15.75" customHeight="1">
      <c r="A481" s="8"/>
      <c r="B481" s="8"/>
      <c r="C481" s="8"/>
      <c r="D481" s="8">
        <v>27.9026907562088</v>
      </c>
      <c r="E481" s="9" t="s">
        <v>490</v>
      </c>
      <c r="I481" s="12" t="str">
        <f>IFERROR(__xludf.DUMMYFUNCTION("""COMPUTED_VALUE"""),"0x263ad805f71ce011a00c241799f93cc9a7ba52f8")</f>
        <v>0x263ad805f71ce011a00c241799f93cc9a7ba52f8</v>
      </c>
      <c r="J481" s="11">
        <v>27.9026907562088</v>
      </c>
      <c r="K481" s="12">
        <v>62.005979458241775</v>
      </c>
      <c r="L481" s="13">
        <v>6.200597945824177E19</v>
      </c>
      <c r="M481" s="9">
        <v>6.2005979458241782E18</v>
      </c>
    </row>
    <row r="482" ht="15.75" customHeight="1">
      <c r="A482" s="8"/>
      <c r="B482" s="8"/>
      <c r="C482" s="8"/>
      <c r="D482" s="8">
        <v>27.2435098967092</v>
      </c>
      <c r="E482" s="9" t="s">
        <v>491</v>
      </c>
      <c r="I482" s="12" t="str">
        <f>IFERROR(__xludf.DUMMYFUNCTION("""COMPUTED_VALUE"""),"0x265f0e32b8730d42dc3dfb862cce6404198ae36f")</f>
        <v>0x265f0e32b8730d42dc3dfb862cce6404198ae36f</v>
      </c>
      <c r="J482" s="11">
        <v>27.2435098967092</v>
      </c>
      <c r="K482" s="12">
        <v>60.54113310379822</v>
      </c>
      <c r="L482" s="13">
        <v>6.0541133103798215E19</v>
      </c>
      <c r="M482" s="9">
        <v>6.0541133103798221E18</v>
      </c>
    </row>
    <row r="483" ht="15.75" customHeight="1">
      <c r="A483" s="8"/>
      <c r="B483" s="8"/>
      <c r="C483" s="8"/>
      <c r="D483" s="8">
        <v>27.9026907562088</v>
      </c>
      <c r="E483" s="9" t="s">
        <v>492</v>
      </c>
      <c r="I483" s="12" t="str">
        <f>IFERROR(__xludf.DUMMYFUNCTION("""COMPUTED_VALUE"""),"0x2697ed814eac3dfb51ec7529154d601b3cc8c2d7")</f>
        <v>0x2697ed814eac3dfb51ec7529154d601b3cc8c2d7</v>
      </c>
      <c r="J483" s="11">
        <v>91.1199983031448</v>
      </c>
      <c r="K483" s="12">
        <v>202.48888511809955</v>
      </c>
      <c r="L483" s="13">
        <v>2.0248888511809955E20</v>
      </c>
      <c r="M483" s="9">
        <v>2.0248888511809958E19</v>
      </c>
    </row>
    <row r="484" ht="15.75" customHeight="1">
      <c r="A484" s="8"/>
      <c r="B484" s="8"/>
      <c r="C484" s="8"/>
      <c r="D484" s="8">
        <v>27.9026907562088</v>
      </c>
      <c r="E484" s="9" t="s">
        <v>493</v>
      </c>
      <c r="I484" s="12" t="str">
        <f>IFERROR(__xludf.DUMMYFUNCTION("""COMPUTED_VALUE"""),"0x26b19ad87d76cf2f78fd83b35a1e5b71c55d220d")</f>
        <v>0x26b19ad87d76cf2f78fd83b35a1e5b71c55d220d</v>
      </c>
      <c r="J484" s="11">
        <v>27.9026907562088</v>
      </c>
      <c r="K484" s="12">
        <v>62.005979458241775</v>
      </c>
      <c r="L484" s="13">
        <v>6.200597945824177E19</v>
      </c>
      <c r="M484" s="9">
        <v>6.2005979458241782E18</v>
      </c>
    </row>
    <row r="485" ht="15.75" customHeight="1">
      <c r="A485" s="8"/>
      <c r="B485" s="8"/>
      <c r="C485" s="8"/>
      <c r="D485" s="8">
        <v>27.9026907562088</v>
      </c>
      <c r="E485" s="9" t="s">
        <v>494</v>
      </c>
      <c r="I485" s="12" t="str">
        <f>IFERROR(__xludf.DUMMYFUNCTION("""COMPUTED_VALUE"""),"0x26b7b6ef9b17411920c02efcbbfbae32c305fac3")</f>
        <v>0x26b7b6ef9b17411920c02efcbbfbae32c305fac3</v>
      </c>
      <c r="J485" s="11">
        <v>27.9026907562088</v>
      </c>
      <c r="K485" s="12">
        <v>62.005979458241775</v>
      </c>
      <c r="L485" s="13">
        <v>6.200597945824177E19</v>
      </c>
      <c r="M485" s="9">
        <v>6.2005979458241782E18</v>
      </c>
    </row>
    <row r="486" ht="15.75" customHeight="1">
      <c r="A486" s="8"/>
      <c r="B486" s="8"/>
      <c r="C486" s="8"/>
      <c r="D486" s="8">
        <v>27.7426989642802</v>
      </c>
      <c r="E486" s="9" t="s">
        <v>495</v>
      </c>
      <c r="I486" s="12" t="str">
        <f>IFERROR(__xludf.DUMMYFUNCTION("""COMPUTED_VALUE"""),"0x26c530c226b32068a7c8863a8134bd3eb410c648")</f>
        <v>0x26c530c226b32068a7c8863a8134bd3eb410c648</v>
      </c>
      <c r="J486" s="11">
        <v>29.68407165339115</v>
      </c>
      <c r="K486" s="12">
        <v>65.96460367420255</v>
      </c>
      <c r="L486" s="13">
        <v>6.596460367420255E19</v>
      </c>
      <c r="M486" s="9">
        <v>6.5964603674202552E18</v>
      </c>
    </row>
    <row r="487" ht="15.75" customHeight="1">
      <c r="A487" s="8"/>
      <c r="B487" s="8"/>
      <c r="C487" s="8"/>
      <c r="D487" s="8">
        <v>27.7589732284567</v>
      </c>
      <c r="E487" s="9" t="s">
        <v>496</v>
      </c>
      <c r="I487" s="12" t="str">
        <f>IFERROR(__xludf.DUMMYFUNCTION("""COMPUTED_VALUE"""),"0x26cbe27c2e3d3f73ef9f83c01e1adf8d006b488c")</f>
        <v>0x26cbe27c2e3d3f73ef9f83c01e1adf8d006b488c</v>
      </c>
      <c r="J487" s="11">
        <v>27.7589732284567</v>
      </c>
      <c r="K487" s="12">
        <v>61.68660717434822</v>
      </c>
      <c r="L487" s="13">
        <v>6.168660717434822E19</v>
      </c>
      <c r="M487" s="9">
        <v>6.1686607174348227E18</v>
      </c>
    </row>
    <row r="488" ht="15.75" customHeight="1">
      <c r="A488" s="8"/>
      <c r="B488" s="8"/>
      <c r="C488" s="8"/>
      <c r="D488" s="8">
        <v>27.9026907562088</v>
      </c>
      <c r="E488" s="9" t="s">
        <v>497</v>
      </c>
      <c r="I488" s="12" t="str">
        <f>IFERROR(__xludf.DUMMYFUNCTION("""COMPUTED_VALUE"""),"0x27169dab45dcce0ae89b890eb507cb7c99fd192e")</f>
        <v>0x27169dab45dcce0ae89b890eb507cb7c99fd192e</v>
      </c>
      <c r="J488" s="11">
        <v>138.016323846939</v>
      </c>
      <c r="K488" s="12">
        <v>306.7029418820867</v>
      </c>
      <c r="L488" s="13">
        <v>3.067029418820867E20</v>
      </c>
      <c r="M488" s="9">
        <v>3.0670294188208673E19</v>
      </c>
    </row>
    <row r="489" ht="15.75" customHeight="1">
      <c r="A489" s="8"/>
      <c r="B489" s="8"/>
      <c r="C489" s="8"/>
      <c r="D489" s="8">
        <v>11.7047144653524</v>
      </c>
      <c r="E489" s="9" t="s">
        <v>498</v>
      </c>
      <c r="I489" s="12" t="str">
        <f>IFERROR(__xludf.DUMMYFUNCTION("""COMPUTED_VALUE"""),"0x27226b6a0e3cd2e8b38eb84a6a6acdf409516b2f")</f>
        <v>0x27226b6a0e3cd2e8b38eb84a6a6acdf409516b2f</v>
      </c>
      <c r="J489" s="11">
        <v>11.7047144653524</v>
      </c>
      <c r="K489" s="12">
        <v>26.010476589672</v>
      </c>
      <c r="L489" s="13">
        <v>2.6010476589671997E19</v>
      </c>
      <c r="M489" s="9">
        <v>2.6010476589671997E18</v>
      </c>
    </row>
    <row r="490" ht="15.75" customHeight="1">
      <c r="A490" s="8"/>
      <c r="B490" s="8"/>
      <c r="C490" s="8"/>
      <c r="D490" s="8">
        <v>27.9026907562088</v>
      </c>
      <c r="E490" s="9" t="s">
        <v>499</v>
      </c>
      <c r="I490" s="12" t="str">
        <f>IFERROR(__xludf.DUMMYFUNCTION("""COMPUTED_VALUE"""),"0x2725a80f72c5090bbf4999ba2ea3ca408f7100ab")</f>
        <v>0x2725a80f72c5090bbf4999ba2ea3ca408f7100ab</v>
      </c>
      <c r="J490" s="11">
        <v>27.9026907562088</v>
      </c>
      <c r="K490" s="12">
        <v>62.005979458241775</v>
      </c>
      <c r="L490" s="13">
        <v>6.200597945824177E19</v>
      </c>
      <c r="M490" s="9">
        <v>6.2005979458241782E18</v>
      </c>
    </row>
    <row r="491" ht="15.75" customHeight="1">
      <c r="A491" s="8"/>
      <c r="B491" s="8"/>
      <c r="C491" s="8"/>
      <c r="D491" s="8">
        <v>27.9026907562088</v>
      </c>
      <c r="E491" s="9" t="s">
        <v>500</v>
      </c>
      <c r="I491" s="12" t="str">
        <f>IFERROR(__xludf.DUMMYFUNCTION("""COMPUTED_VALUE"""),"0x275108c2f501aeb491a131e3445e2d0b16eaf2a5")</f>
        <v>0x275108c2f501aeb491a131e3445e2d0b16eaf2a5</v>
      </c>
      <c r="J491" s="11">
        <v>27.9026907562088</v>
      </c>
      <c r="K491" s="12">
        <v>62.005979458241775</v>
      </c>
      <c r="L491" s="13">
        <v>6.200597945824177E19</v>
      </c>
      <c r="M491" s="9">
        <v>6.2005979458241782E18</v>
      </c>
    </row>
    <row r="492" ht="15.75" customHeight="1">
      <c r="A492" s="8"/>
      <c r="B492" s="8"/>
      <c r="C492" s="8"/>
      <c r="D492" s="8">
        <v>23.4561149659806</v>
      </c>
      <c r="E492" s="9" t="s">
        <v>501</v>
      </c>
      <c r="I492" s="12" t="str">
        <f>IFERROR(__xludf.DUMMYFUNCTION("""COMPUTED_VALUE"""),"0x27575ee2781c8a85cb4470411e28100d1501780a")</f>
        <v>0x27575ee2781c8a85cb4470411e28100d1501780a</v>
      </c>
      <c r="J492" s="11">
        <v>23.4561149659806</v>
      </c>
      <c r="K492" s="12">
        <v>52.124699924401334</v>
      </c>
      <c r="L492" s="13">
        <v>5.212469992440133E19</v>
      </c>
      <c r="M492" s="9">
        <v>5.2124699924401336E18</v>
      </c>
    </row>
    <row r="493" ht="15.75" customHeight="1">
      <c r="A493" s="8"/>
      <c r="B493" s="8"/>
      <c r="C493" s="8"/>
      <c r="D493" s="8">
        <v>27.9026907562088</v>
      </c>
      <c r="E493" s="9" t="s">
        <v>502</v>
      </c>
      <c r="I493" s="12" t="str">
        <f>IFERROR(__xludf.DUMMYFUNCTION("""COMPUTED_VALUE"""),"0x2757af367e344010b14362e59b4d9f5ddbb0ae1a")</f>
        <v>0x2757af367e344010b14362e59b4d9f5ddbb0ae1a</v>
      </c>
      <c r="J493" s="11">
        <v>27.9026907562088</v>
      </c>
      <c r="K493" s="12">
        <v>62.005979458241775</v>
      </c>
      <c r="L493" s="13">
        <v>6.200597945824177E19</v>
      </c>
      <c r="M493" s="9">
        <v>6.2005979458241782E18</v>
      </c>
    </row>
    <row r="494" ht="15.75" customHeight="1">
      <c r="A494" s="8"/>
      <c r="B494" s="8"/>
      <c r="C494" s="8"/>
      <c r="D494" s="8">
        <v>27.9026907562088</v>
      </c>
      <c r="E494" s="9" t="s">
        <v>503</v>
      </c>
      <c r="I494" s="12" t="str">
        <f>IFERROR(__xludf.DUMMYFUNCTION("""COMPUTED_VALUE"""),"0x27ae4fa8f8a51cb76930623879bd531f18e4817e")</f>
        <v>0x27ae4fa8f8a51cb76930623879bd531f18e4817e</v>
      </c>
      <c r="J494" s="11">
        <v>78.47653679375759</v>
      </c>
      <c r="K494" s="12">
        <v>174.39230398612798</v>
      </c>
      <c r="L494" s="13">
        <v>1.74392303986128E20</v>
      </c>
      <c r="M494" s="9">
        <v>1.74392303986128E19</v>
      </c>
    </row>
    <row r="495" ht="15.75" customHeight="1">
      <c r="A495" s="8"/>
      <c r="B495" s="8"/>
      <c r="C495" s="8"/>
      <c r="D495" s="8">
        <v>27.9026907562088</v>
      </c>
      <c r="E495" s="9" t="s">
        <v>504</v>
      </c>
      <c r="I495" s="12" t="str">
        <f>IFERROR(__xludf.DUMMYFUNCTION("""COMPUTED_VALUE"""),"0x27b6bf1ede4c887e4795a78335730a08dcf314a4")</f>
        <v>0x27b6bf1ede4c887e4795a78335730a08dcf314a4</v>
      </c>
      <c r="J495" s="11">
        <v>27.9026907562088</v>
      </c>
      <c r="K495" s="12">
        <v>62.005979458241775</v>
      </c>
      <c r="L495" s="13">
        <v>6.200597945824177E19</v>
      </c>
      <c r="M495" s="9">
        <v>6.2005979458241782E18</v>
      </c>
    </row>
    <row r="496" ht="15.75" customHeight="1">
      <c r="A496" s="8"/>
      <c r="B496" s="8"/>
      <c r="C496" s="8"/>
      <c r="D496" s="8">
        <v>27.9026907562088</v>
      </c>
      <c r="E496" s="9" t="s">
        <v>505</v>
      </c>
      <c r="I496" s="12" t="str">
        <f>IFERROR(__xludf.DUMMYFUNCTION("""COMPUTED_VALUE"""),"0x27b747d72588493fb5397813b368581e7b13a7d0")</f>
        <v>0x27b747d72588493fb5397813b368581e7b13a7d0</v>
      </c>
      <c r="J496" s="11">
        <v>91.1199983031448</v>
      </c>
      <c r="K496" s="12">
        <v>202.48888511809955</v>
      </c>
      <c r="L496" s="13">
        <v>2.0248888511809955E20</v>
      </c>
      <c r="M496" s="9">
        <v>2.0248888511809958E19</v>
      </c>
    </row>
    <row r="497" ht="15.75" customHeight="1">
      <c r="A497" s="8"/>
      <c r="B497" s="8"/>
      <c r="C497" s="8"/>
      <c r="D497" s="8">
        <v>24.6575579941334</v>
      </c>
      <c r="E497" s="9" t="s">
        <v>506</v>
      </c>
      <c r="I497" s="12" t="str">
        <f>IFERROR(__xludf.DUMMYFUNCTION("""COMPUTED_VALUE"""),"0x282bb01bda10456f022af337a6e00195a41c2782")</f>
        <v>0x282bb01bda10456f022af337a6e00195a41c2782</v>
      </c>
      <c r="J497" s="11">
        <v>26.603348331923538</v>
      </c>
      <c r="K497" s="12">
        <v>59.11855184871897</v>
      </c>
      <c r="L497" s="13">
        <v>5.9118551848718975E19</v>
      </c>
      <c r="M497" s="9">
        <v>5.9118551848718981E18</v>
      </c>
    </row>
    <row r="498" ht="15.75" customHeight="1">
      <c r="A498" s="8"/>
      <c r="B498" s="8"/>
      <c r="C498" s="8"/>
      <c r="D498" s="8">
        <v>27.9026907562088</v>
      </c>
      <c r="E498" s="9" t="s">
        <v>507</v>
      </c>
      <c r="I498" s="12" t="str">
        <f>IFERROR(__xludf.DUMMYFUNCTION("""COMPUTED_VALUE"""),"0x2841b0731d0946934002c1a37379b9243eae64df")</f>
        <v>0x2841b0731d0946934002c1a37379b9243eae64df</v>
      </c>
      <c r="J498" s="11">
        <v>91.1199983031448</v>
      </c>
      <c r="K498" s="12">
        <v>202.48888511809955</v>
      </c>
      <c r="L498" s="13">
        <v>2.0248888511809955E20</v>
      </c>
      <c r="M498" s="9">
        <v>2.0248888511809958E19</v>
      </c>
    </row>
    <row r="499" ht="15.75" customHeight="1">
      <c r="A499" s="8"/>
      <c r="B499" s="8"/>
      <c r="C499" s="8"/>
      <c r="D499" s="8">
        <v>27.9026907562088</v>
      </c>
      <c r="E499" s="9" t="s">
        <v>508</v>
      </c>
      <c r="I499" s="12" t="str">
        <f>IFERROR(__xludf.DUMMYFUNCTION("""COMPUTED_VALUE"""),"0x2845da05fdc16cdd4778005d6b144b429098beed")</f>
        <v>0x2845da05fdc16cdd4778005d6b144b429098beed</v>
      </c>
      <c r="J499" s="11">
        <v>27.9026907562088</v>
      </c>
      <c r="K499" s="12">
        <v>62.005979458241775</v>
      </c>
      <c r="L499" s="13">
        <v>6.200597945824177E19</v>
      </c>
      <c r="M499" s="9">
        <v>6.2005979458241782E18</v>
      </c>
    </row>
    <row r="500" ht="15.75" customHeight="1">
      <c r="A500" s="8"/>
      <c r="B500" s="8"/>
      <c r="C500" s="8"/>
      <c r="D500" s="8">
        <v>0.880837343495042</v>
      </c>
      <c r="E500" s="9" t="s">
        <v>509</v>
      </c>
      <c r="I500" s="12" t="str">
        <f>IFERROR(__xludf.DUMMYFUNCTION("""COMPUTED_VALUE"""),"0x287ce9f5893a9a157eebe3054d73694f53e282f4")</f>
        <v>0x287ce9f5893a9a157eebe3054d73694f53e282f4</v>
      </c>
      <c r="J500" s="11">
        <v>0.880837343495042</v>
      </c>
      <c r="K500" s="12">
        <v>1.957416318877871</v>
      </c>
      <c r="L500" s="13">
        <v>1.9574163188778711E18</v>
      </c>
      <c r="M500" s="9">
        <v>1.95741631887787136E17</v>
      </c>
    </row>
    <row r="501" ht="15.75" customHeight="1">
      <c r="A501" s="8"/>
      <c r="B501" s="8"/>
      <c r="C501" s="8"/>
      <c r="D501" s="8">
        <v>25.3605158380292</v>
      </c>
      <c r="E501" s="9" t="s">
        <v>510</v>
      </c>
      <c r="I501" s="12" t="str">
        <f>IFERROR(__xludf.DUMMYFUNCTION("""COMPUTED_VALUE"""),"0x28da154e7b2d9e3daeec7d36e8e9677f53834e6a")</f>
        <v>0x28da154e7b2d9e3daeec7d36e8e9677f53834e6a</v>
      </c>
      <c r="J501" s="11">
        <v>25.3605158380292</v>
      </c>
      <c r="K501" s="12">
        <v>56.35670186228711</v>
      </c>
      <c r="L501" s="13">
        <v>5.6356701862287114E19</v>
      </c>
      <c r="M501" s="9">
        <v>5.6356701862287114E18</v>
      </c>
    </row>
    <row r="502" ht="15.75" customHeight="1">
      <c r="A502" s="8"/>
      <c r="B502" s="8"/>
      <c r="C502" s="8"/>
      <c r="D502" s="8">
        <v>27.9026907562088</v>
      </c>
      <c r="E502" s="9" t="s">
        <v>511</v>
      </c>
      <c r="I502" s="12" t="str">
        <f>IFERROR(__xludf.DUMMYFUNCTION("""COMPUTED_VALUE"""),"0x28e68b92dd41d3aa2a469cb385a7bc04e85647e4")</f>
        <v>0x28e68b92dd41d3aa2a469cb385a7bc04e85647e4</v>
      </c>
      <c r="J502" s="11">
        <v>91.1199983031448</v>
      </c>
      <c r="K502" s="12">
        <v>202.48888511809955</v>
      </c>
      <c r="L502" s="13">
        <v>2.0248888511809955E20</v>
      </c>
      <c r="M502" s="9">
        <v>2.0248888511809958E19</v>
      </c>
    </row>
    <row r="503" ht="15.75" customHeight="1">
      <c r="A503" s="8"/>
      <c r="B503" s="8"/>
      <c r="C503" s="8"/>
      <c r="D503" s="8">
        <v>24.1384703027105</v>
      </c>
      <c r="E503" s="9" t="s">
        <v>512</v>
      </c>
      <c r="I503" s="12" t="str">
        <f>IFERROR(__xludf.DUMMYFUNCTION("""COMPUTED_VALUE"""),"0x28ecb8cc08fd3ad7041173e63fe15cc93fb9fa83")</f>
        <v>0x28ecb8cc08fd3ad7041173e63fe15cc93fb9fa83</v>
      </c>
      <c r="J503" s="11">
        <v>79.3525111178011</v>
      </c>
      <c r="K503" s="12">
        <v>176.33891359511355</v>
      </c>
      <c r="L503" s="13">
        <v>1.7633891359511354E20</v>
      </c>
      <c r="M503" s="9">
        <v>1.7633891359511355E19</v>
      </c>
    </row>
    <row r="504" ht="15.75" customHeight="1">
      <c r="A504" s="8"/>
      <c r="B504" s="8"/>
      <c r="C504" s="8"/>
      <c r="D504" s="8">
        <v>18.2736481686035</v>
      </c>
      <c r="E504" s="9" t="s">
        <v>513</v>
      </c>
      <c r="I504" s="12" t="str">
        <f>IFERROR(__xludf.DUMMYFUNCTION("""COMPUTED_VALUE"""),"0x28efa493ae326a0b27f08149347636e909b14cbe")</f>
        <v>0x28efa493ae326a0b27f08149347636e909b14cbe</v>
      </c>
      <c r="J504" s="11">
        <v>18.2736481686035</v>
      </c>
      <c r="K504" s="12">
        <v>40.608107041341114</v>
      </c>
      <c r="L504" s="13">
        <v>4.060810704134111E19</v>
      </c>
      <c r="M504" s="9">
        <v>4.0608107041341112E18</v>
      </c>
    </row>
    <row r="505" ht="15.75" customHeight="1">
      <c r="A505" s="8"/>
      <c r="B505" s="8"/>
      <c r="C505" s="8"/>
      <c r="D505" s="8">
        <v>27.9026907562088</v>
      </c>
      <c r="E505" s="9" t="s">
        <v>514</v>
      </c>
      <c r="I505" s="12" t="str">
        <f>IFERROR(__xludf.DUMMYFUNCTION("""COMPUTED_VALUE"""),"0x29022acb1c0e306b7a18fc3572b40244671ed9a6")</f>
        <v>0x29022acb1c0e306b7a18fc3572b40244671ed9a6</v>
      </c>
      <c r="J505" s="11">
        <v>274.8706899757778</v>
      </c>
      <c r="K505" s="12">
        <v>610.8237555017284</v>
      </c>
      <c r="L505" s="13">
        <v>6.108237555017284E20</v>
      </c>
      <c r="M505" s="9">
        <v>6.108237555017285E19</v>
      </c>
    </row>
    <row r="506" ht="15.75" customHeight="1">
      <c r="A506" s="8"/>
      <c r="B506" s="8"/>
      <c r="C506" s="8"/>
      <c r="D506" s="8">
        <v>7.29512802961709</v>
      </c>
      <c r="E506" s="9" t="s">
        <v>515</v>
      </c>
      <c r="I506" s="12" t="str">
        <f>IFERROR(__xludf.DUMMYFUNCTION("""COMPUTED_VALUE"""),"0x2947e2ac5dcf9f1410051ca7bebeab9362e44e25")</f>
        <v>0x2947e2ac5dcf9f1410051ca7bebeab9362e44e25</v>
      </c>
      <c r="J506" s="11">
        <v>7.29512802961709</v>
      </c>
      <c r="K506" s="12">
        <v>16.21139562137131</v>
      </c>
      <c r="L506" s="13">
        <v>1.621139562137131E19</v>
      </c>
      <c r="M506" s="9">
        <v>1.62113956213713101E18</v>
      </c>
    </row>
    <row r="507" ht="15.75" customHeight="1">
      <c r="A507" s="8"/>
      <c r="B507" s="8"/>
      <c r="C507" s="8"/>
      <c r="D507" s="8">
        <v>27.9026907562088</v>
      </c>
      <c r="E507" s="9" t="s">
        <v>516</v>
      </c>
      <c r="I507" s="12" t="str">
        <f>IFERROR(__xludf.DUMMYFUNCTION("""COMPUTED_VALUE"""),"0x294a41635000977404c6a9a51b388bbe7722fbc1")</f>
        <v>0x294a41635000977404c6a9a51b388bbe7722fbc1</v>
      </c>
      <c r="J507" s="11">
        <v>91.1199983031448</v>
      </c>
      <c r="K507" s="12">
        <v>202.48888511809955</v>
      </c>
      <c r="L507" s="13">
        <v>2.0248888511809955E20</v>
      </c>
      <c r="M507" s="9">
        <v>2.0248888511809958E19</v>
      </c>
    </row>
    <row r="508" ht="15.75" customHeight="1">
      <c r="A508" s="8"/>
      <c r="B508" s="8"/>
      <c r="C508" s="8"/>
      <c r="D508" s="8">
        <v>6.00174701146282</v>
      </c>
      <c r="E508" s="9" t="s">
        <v>517</v>
      </c>
      <c r="I508" s="12" t="str">
        <f>IFERROR(__xludf.DUMMYFUNCTION("""COMPUTED_VALUE"""),"0x2962f0fff2302291c4d202f1c3e35df980c5baca")</f>
        <v>0x2962f0fff2302291c4d202f1c3e35df980c5baca</v>
      </c>
      <c r="J508" s="11">
        <v>6.00174701146282</v>
      </c>
      <c r="K508" s="12">
        <v>13.337215581028488</v>
      </c>
      <c r="L508" s="13">
        <v>1.3337215581028487E19</v>
      </c>
      <c r="M508" s="9">
        <v>1.33372155810284877E18</v>
      </c>
    </row>
    <row r="509" ht="15.75" customHeight="1">
      <c r="A509" s="8"/>
      <c r="B509" s="8"/>
      <c r="C509" s="8"/>
      <c r="D509" s="8">
        <v>27.9026907562088</v>
      </c>
      <c r="E509" s="9" t="s">
        <v>518</v>
      </c>
      <c r="I509" s="12" t="str">
        <f>IFERROR(__xludf.DUMMYFUNCTION("""COMPUTED_VALUE"""),"0x2967ca89c96792e938d8475d81fc66c8180490e0")</f>
        <v>0x2967ca89c96792e938d8475d81fc66c8180490e0</v>
      </c>
      <c r="J509" s="11">
        <v>102.7947403298856</v>
      </c>
      <c r="K509" s="12">
        <v>228.43275628863466</v>
      </c>
      <c r="L509" s="13">
        <v>2.2843275628863465E20</v>
      </c>
      <c r="M509" s="9">
        <v>2.2843275628863468E19</v>
      </c>
    </row>
    <row r="510" ht="15.75" customHeight="1">
      <c r="A510" s="8"/>
      <c r="B510" s="8"/>
      <c r="C510" s="8"/>
      <c r="D510" s="8">
        <v>27.6356238044116</v>
      </c>
      <c r="E510" s="9" t="s">
        <v>519</v>
      </c>
      <c r="I510" s="12" t="str">
        <f>IFERROR(__xludf.DUMMYFUNCTION("""COMPUTED_VALUE"""),"0x29d6d6d84c9662486198667b5a9fbda3e698b23f")</f>
        <v>0x29d6d6d84c9662486198667b5a9fbda3e698b23f</v>
      </c>
      <c r="J510" s="11">
        <v>182.1687304507721</v>
      </c>
      <c r="K510" s="12">
        <v>404.8194010017158</v>
      </c>
      <c r="L510" s="13">
        <v>4.0481940100171576E20</v>
      </c>
      <c r="M510" s="9">
        <v>4.048194010017158E19</v>
      </c>
    </row>
    <row r="511" ht="15.75" customHeight="1">
      <c r="A511" s="8"/>
      <c r="B511" s="8"/>
      <c r="C511" s="8"/>
      <c r="D511" s="8">
        <v>26.333651517393</v>
      </c>
      <c r="E511" s="9" t="s">
        <v>520</v>
      </c>
      <c r="I511" s="12" t="str">
        <f>IFERROR(__xludf.DUMMYFUNCTION("""COMPUTED_VALUE"""),"0x29dcdfaf425f546b9885469df01313ccc2786db8")</f>
        <v>0x29dcdfaf425f546b9885469df01313ccc2786db8</v>
      </c>
      <c r="J511" s="11">
        <v>26.333651517393</v>
      </c>
      <c r="K511" s="12">
        <v>58.51922559420667</v>
      </c>
      <c r="L511" s="13">
        <v>5.851922559420667E19</v>
      </c>
      <c r="M511" s="9">
        <v>5.8519225594206669E18</v>
      </c>
    </row>
    <row r="512" ht="15.75" customHeight="1">
      <c r="A512" s="8"/>
      <c r="B512" s="8"/>
      <c r="C512" s="8"/>
      <c r="D512" s="8">
        <v>27.9026907562088</v>
      </c>
      <c r="E512" s="9" t="s">
        <v>521</v>
      </c>
      <c r="I512" s="12" t="str">
        <f>IFERROR(__xludf.DUMMYFUNCTION("""COMPUTED_VALUE"""),"0x29e433a7da5ed6cdb2678bb0b4bda234ea2703fa")</f>
        <v>0x29e433a7da5ed6cdb2678bb0b4bda234ea2703fa</v>
      </c>
      <c r="J512" s="11">
        <v>65.83307528437041</v>
      </c>
      <c r="K512" s="12">
        <v>146.29572285415645</v>
      </c>
      <c r="L512" s="13">
        <v>1.4629572285415645E20</v>
      </c>
      <c r="M512" s="9">
        <v>1.4629572285415645E19</v>
      </c>
    </row>
    <row r="513" ht="15.75" customHeight="1">
      <c r="A513" s="8"/>
      <c r="B513" s="8"/>
      <c r="C513" s="8"/>
      <c r="D513" s="8">
        <v>27.9026907562088</v>
      </c>
      <c r="E513" s="9" t="s">
        <v>522</v>
      </c>
      <c r="I513" s="12" t="str">
        <f>IFERROR(__xludf.DUMMYFUNCTION("""COMPUTED_VALUE"""),"0x29f15a56cea8877a6a68e03f4ba3bc154ba2cd45")</f>
        <v>0x29f15a56cea8877a6a68e03f4ba3bc154ba2cd45</v>
      </c>
      <c r="J513" s="11">
        <v>27.9026907562088</v>
      </c>
      <c r="K513" s="12">
        <v>62.005979458241775</v>
      </c>
      <c r="L513" s="13">
        <v>6.200597945824177E19</v>
      </c>
      <c r="M513" s="9">
        <v>6.2005979458241782E18</v>
      </c>
    </row>
    <row r="514" ht="15.75" customHeight="1">
      <c r="A514" s="8"/>
      <c r="B514" s="8"/>
      <c r="C514" s="8"/>
      <c r="D514" s="8">
        <v>27.9026907562088</v>
      </c>
      <c r="E514" s="9" t="s">
        <v>523</v>
      </c>
      <c r="I514" s="12" t="str">
        <f>IFERROR(__xludf.DUMMYFUNCTION("""COMPUTED_VALUE"""),"0x2a01080ca422d64b226dd0874650b45336da5dbf")</f>
        <v>0x2a01080ca422d64b226dd0874650b45336da5dbf</v>
      </c>
      <c r="J514" s="11">
        <v>27.9026907562088</v>
      </c>
      <c r="K514" s="12">
        <v>62.005979458241775</v>
      </c>
      <c r="L514" s="13">
        <v>6.200597945824177E19</v>
      </c>
      <c r="M514" s="9">
        <v>6.2005979458241782E18</v>
      </c>
    </row>
    <row r="515" ht="15.75" customHeight="1">
      <c r="A515" s="8"/>
      <c r="B515" s="8"/>
      <c r="C515" s="8"/>
      <c r="D515" s="8">
        <v>27.9026907562088</v>
      </c>
      <c r="E515" s="9" t="s">
        <v>524</v>
      </c>
      <c r="I515" s="12" t="str">
        <f>IFERROR(__xludf.DUMMYFUNCTION("""COMPUTED_VALUE"""),"0x2a05187a88527934bf8cbbeb2da0b034a7ffceca")</f>
        <v>0x2a05187a88527934bf8cbbeb2da0b034a7ffceca</v>
      </c>
      <c r="J515" s="11">
        <v>27.9026907562088</v>
      </c>
      <c r="K515" s="12">
        <v>62.005979458241775</v>
      </c>
      <c r="L515" s="13">
        <v>6.200597945824177E19</v>
      </c>
      <c r="M515" s="9">
        <v>6.2005979458241782E18</v>
      </c>
    </row>
    <row r="516" ht="15.75" customHeight="1">
      <c r="A516" s="8"/>
      <c r="B516" s="8"/>
      <c r="C516" s="8"/>
      <c r="D516" s="8">
        <v>14.0705280419145</v>
      </c>
      <c r="E516" s="9" t="s">
        <v>525</v>
      </c>
      <c r="I516" s="12" t="str">
        <f>IFERROR(__xludf.DUMMYFUNCTION("""COMPUTED_VALUE"""),"0x2a39fd94e139952c3958e69172ba918d8f533571")</f>
        <v>0x2a39fd94e139952c3958e69172ba918d8f533571</v>
      </c>
      <c r="J516" s="11">
        <v>14.0705280419145</v>
      </c>
      <c r="K516" s="12">
        <v>31.26784009314333</v>
      </c>
      <c r="L516" s="13">
        <v>3.126784009314333E19</v>
      </c>
      <c r="M516" s="9">
        <v>3.1267840093143332E18</v>
      </c>
    </row>
    <row r="517" ht="15.75" customHeight="1">
      <c r="A517" s="8"/>
      <c r="B517" s="8"/>
      <c r="C517" s="8"/>
      <c r="D517" s="8">
        <v>27.9026907562088</v>
      </c>
      <c r="E517" s="9" t="s">
        <v>526</v>
      </c>
      <c r="I517" s="12" t="str">
        <f>IFERROR(__xludf.DUMMYFUNCTION("""COMPUTED_VALUE"""),"0x2a5e72f7dc1b03624a0644279731f2deb760887d")</f>
        <v>0x2a5e72f7dc1b03624a0644279731f2deb760887d</v>
      </c>
      <c r="J517" s="11">
        <v>27.9026907562088</v>
      </c>
      <c r="K517" s="12">
        <v>62.005979458241775</v>
      </c>
      <c r="L517" s="13">
        <v>6.200597945824177E19</v>
      </c>
      <c r="M517" s="9">
        <v>6.2005979458241782E18</v>
      </c>
    </row>
    <row r="518" ht="15.75" customHeight="1">
      <c r="A518" s="8"/>
      <c r="B518" s="8"/>
      <c r="C518" s="8"/>
      <c r="D518" s="8">
        <v>27.9026907562088</v>
      </c>
      <c r="E518" s="9" t="s">
        <v>527</v>
      </c>
      <c r="I518" s="12" t="str">
        <f>IFERROR(__xludf.DUMMYFUNCTION("""COMPUTED_VALUE"""),"0x2a7b3760651334bdc5020394a5a9536b5e904da8")</f>
        <v>0x2a7b3760651334bdc5020394a5a9536b5e904da8</v>
      </c>
      <c r="J518" s="11">
        <v>91.1199983031448</v>
      </c>
      <c r="K518" s="12">
        <v>202.48888511809955</v>
      </c>
      <c r="L518" s="13">
        <v>2.0248888511809955E20</v>
      </c>
      <c r="M518" s="9">
        <v>2.0248888511809958E19</v>
      </c>
    </row>
    <row r="519" ht="15.75" customHeight="1">
      <c r="A519" s="8"/>
      <c r="B519" s="8"/>
      <c r="C519" s="8"/>
      <c r="D519" s="8">
        <v>0.989763758186188</v>
      </c>
      <c r="E519" s="9" t="s">
        <v>528</v>
      </c>
      <c r="I519" s="12" t="str">
        <f>IFERROR(__xludf.DUMMYFUNCTION("""COMPUTED_VALUE"""),"0x2a800cc466e71c9529d0742f8945c4beb1e99e5a")</f>
        <v>0x2a800cc466e71c9529d0742f8945c4beb1e99e5a</v>
      </c>
      <c r="J519" s="11">
        <v>2.897618378204718</v>
      </c>
      <c r="K519" s="12">
        <v>6.439151951566039</v>
      </c>
      <c r="L519" s="13">
        <v>6.439151951566039E18</v>
      </c>
      <c r="M519" s="9">
        <v>6.439151951566039E17</v>
      </c>
    </row>
    <row r="520" ht="15.75" customHeight="1">
      <c r="A520" s="8"/>
      <c r="B520" s="8"/>
      <c r="C520" s="8"/>
      <c r="D520" s="8">
        <v>27.9026907562088</v>
      </c>
      <c r="E520" s="9" t="s">
        <v>529</v>
      </c>
      <c r="I520" s="12" t="str">
        <f>IFERROR(__xludf.DUMMYFUNCTION("""COMPUTED_VALUE"""),"0x2ab831fcefff1cfbd897047d88ccc9481ddaf728")</f>
        <v>0x2ab831fcefff1cfbd897047d88ccc9481ddaf728</v>
      </c>
      <c r="J520" s="11">
        <v>27.9026907562088</v>
      </c>
      <c r="K520" s="12">
        <v>62.005979458241775</v>
      </c>
      <c r="L520" s="13">
        <v>6.200597945824177E19</v>
      </c>
      <c r="M520" s="9">
        <v>6.2005979458241782E18</v>
      </c>
    </row>
    <row r="521" ht="15.75" customHeight="1">
      <c r="A521" s="8"/>
      <c r="B521" s="8"/>
      <c r="C521" s="8"/>
      <c r="D521" s="8">
        <v>14.0403274036299</v>
      </c>
      <c r="E521" s="9" t="s">
        <v>530</v>
      </c>
      <c r="I521" s="12" t="str">
        <f>IFERROR(__xludf.DUMMYFUNCTION("""COMPUTED_VALUE"""),"0x2ad3fc16a77205def19eee18ccd92dac5ee71ebb")</f>
        <v>0x2ad3fc16a77205def19eee18ccd92dac5ee71ebb</v>
      </c>
      <c r="J521" s="11">
        <v>14.0403274036299</v>
      </c>
      <c r="K521" s="12">
        <v>31.200727563622</v>
      </c>
      <c r="L521" s="13">
        <v>3.1200727563622E19</v>
      </c>
      <c r="M521" s="9">
        <v>3.1200727563622001E18</v>
      </c>
    </row>
    <row r="522" ht="15.75" customHeight="1">
      <c r="A522" s="8"/>
      <c r="B522" s="8"/>
      <c r="C522" s="8"/>
      <c r="D522" s="8">
        <v>27.9026907562088</v>
      </c>
      <c r="E522" s="9" t="s">
        <v>531</v>
      </c>
      <c r="I522" s="12" t="str">
        <f>IFERROR(__xludf.DUMMYFUNCTION("""COMPUTED_VALUE"""),"0x2ad550f8d6de71a8acaa69319458d66d5acb8dc6")</f>
        <v>0x2ad550f8d6de71a8acaa69319458d66d5acb8dc6</v>
      </c>
      <c r="J522" s="11">
        <v>27.9026907562088</v>
      </c>
      <c r="K522" s="12">
        <v>62.005979458241775</v>
      </c>
      <c r="L522" s="13">
        <v>6.200597945824177E19</v>
      </c>
      <c r="M522" s="9">
        <v>6.2005979458241782E18</v>
      </c>
    </row>
    <row r="523" ht="15.75" customHeight="1">
      <c r="A523" s="8"/>
      <c r="B523" s="8"/>
      <c r="C523" s="8"/>
      <c r="D523" s="8">
        <v>27.9026907562088</v>
      </c>
      <c r="E523" s="9" t="s">
        <v>532</v>
      </c>
      <c r="I523" s="12" t="str">
        <f>IFERROR(__xludf.DUMMYFUNCTION("""COMPUTED_VALUE"""),"0x2ae42274c4e0a45b39c3934cfcc83a66776afc0b")</f>
        <v>0x2ae42274c4e0a45b39c3934cfcc83a66776afc0b</v>
      </c>
      <c r="J523" s="11">
        <v>141.7105470856885</v>
      </c>
      <c r="K523" s="12">
        <v>314.91232685708553</v>
      </c>
      <c r="L523" s="13">
        <v>3.1491232685708555E20</v>
      </c>
      <c r="M523" s="9">
        <v>3.149123268570856E19</v>
      </c>
    </row>
    <row r="524" ht="15.75" customHeight="1">
      <c r="A524" s="8"/>
      <c r="B524" s="8"/>
      <c r="C524" s="8"/>
      <c r="D524" s="8">
        <v>25.8843568482815</v>
      </c>
      <c r="E524" s="9" t="s">
        <v>533</v>
      </c>
      <c r="I524" s="12" t="str">
        <f>IFERROR(__xludf.DUMMYFUNCTION("""COMPUTED_VALUE"""),"0x2aff04392c35df7d4e4ebbe6560d4092f5933c65")</f>
        <v>0x2aff04392c35df7d4e4ebbe6560d4092f5933c65</v>
      </c>
      <c r="J524" s="11">
        <v>25.8843568482815</v>
      </c>
      <c r="K524" s="12">
        <v>57.52079299618111</v>
      </c>
      <c r="L524" s="13">
        <v>5.752079299618111E19</v>
      </c>
      <c r="M524" s="9">
        <v>5.7520792996181115E18</v>
      </c>
    </row>
    <row r="525" ht="15.75" customHeight="1">
      <c r="A525" s="8"/>
      <c r="B525" s="8"/>
      <c r="C525" s="8"/>
      <c r="D525" s="8">
        <v>12.0991811313857</v>
      </c>
      <c r="E525" s="9" t="s">
        <v>534</v>
      </c>
      <c r="I525" s="12" t="str">
        <f>IFERROR(__xludf.DUMMYFUNCTION("""COMPUTED_VALUE"""),"0x2b5b05eca777a2c4440bc8ee3cdcd1e55f1fd2f7")</f>
        <v>0x2b5b05eca777a2c4440bc8ee3cdcd1e55f1fd2f7</v>
      </c>
      <c r="J525" s="11">
        <v>12.0991811313857</v>
      </c>
      <c r="K525" s="12">
        <v>26.88706918085711</v>
      </c>
      <c r="L525" s="13">
        <v>2.688706918085711E19</v>
      </c>
      <c r="M525" s="9">
        <v>2.6887069180857114E18</v>
      </c>
    </row>
    <row r="526" ht="15.75" customHeight="1">
      <c r="A526" s="8"/>
      <c r="B526" s="8"/>
      <c r="C526" s="8"/>
      <c r="D526" s="8">
        <v>3.93848928716296</v>
      </c>
      <c r="E526" s="9" t="s">
        <v>535</v>
      </c>
      <c r="I526" s="12" t="str">
        <f>IFERROR(__xludf.DUMMYFUNCTION("""COMPUTED_VALUE"""),"0x2b78772b7e54a05015bf0faaac98f0449a44511e")</f>
        <v>0x2b78772b7e54a05015bf0faaac98f0449a44511e</v>
      </c>
      <c r="J526" s="11">
        <v>3.93848928716296</v>
      </c>
      <c r="K526" s="12">
        <v>8.75219841591769</v>
      </c>
      <c r="L526" s="13">
        <v>8.7521984159176899E18</v>
      </c>
      <c r="M526" s="9">
        <v>8.7521984159176909E17</v>
      </c>
    </row>
    <row r="527" ht="15.75" customHeight="1">
      <c r="A527" s="8"/>
      <c r="B527" s="8"/>
      <c r="C527" s="8"/>
      <c r="D527" s="8">
        <v>2.68417334696535</v>
      </c>
      <c r="E527" s="9" t="s">
        <v>536</v>
      </c>
      <c r="I527" s="12" t="str">
        <f>IFERROR(__xludf.DUMMYFUNCTION("""COMPUTED_VALUE"""),"0x2b79a0356c5947080af926dfdccd8524e899d51c")</f>
        <v>0x2b79a0356c5947080af926dfdccd8524e899d51c</v>
      </c>
      <c r="J527" s="11">
        <v>2.68417334696535</v>
      </c>
      <c r="K527" s="12">
        <v>5.964829659923001</v>
      </c>
      <c r="L527" s="13">
        <v>5.9648296599230003E18</v>
      </c>
      <c r="M527" s="9">
        <v>5.9648296599230003E17</v>
      </c>
    </row>
    <row r="528" ht="15.75" customHeight="1">
      <c r="A528" s="8"/>
      <c r="B528" s="8"/>
      <c r="C528" s="8"/>
      <c r="D528" s="8">
        <v>27.9026907562088</v>
      </c>
      <c r="E528" s="9" t="s">
        <v>537</v>
      </c>
      <c r="I528" s="12" t="str">
        <f>IFERROR(__xludf.DUMMYFUNCTION("""COMPUTED_VALUE"""),"0x2b9cc8553a0530e4d5bc21196e56b9e0e1f3792d")</f>
        <v>0x2b9cc8553a0530e4d5bc21196e56b9e0e1f3792d</v>
      </c>
      <c r="J528" s="11">
        <v>27.9026907562088</v>
      </c>
      <c r="K528" s="12">
        <v>62.005979458241775</v>
      </c>
      <c r="L528" s="13">
        <v>6.200597945824177E19</v>
      </c>
      <c r="M528" s="9">
        <v>6.2005979458241782E18</v>
      </c>
    </row>
    <row r="529" ht="15.75" customHeight="1">
      <c r="A529" s="8"/>
      <c r="B529" s="8"/>
      <c r="C529" s="8"/>
      <c r="D529" s="8">
        <v>0.965261235819455</v>
      </c>
      <c r="E529" s="9" t="s">
        <v>538</v>
      </c>
      <c r="I529" s="12" t="str">
        <f>IFERROR(__xludf.DUMMYFUNCTION("""COMPUTED_VALUE"""),"0x2bbc8b952f8c55a8d5a535a648f6346fef3abe50")</f>
        <v>0x2bbc8b952f8c55a8d5a535a648f6346fef3abe50</v>
      </c>
      <c r="J529" s="11">
        <v>0.965261235819455</v>
      </c>
      <c r="K529" s="12">
        <v>2.145024968487678</v>
      </c>
      <c r="L529" s="13">
        <v>2.14502496848767795E18</v>
      </c>
      <c r="M529" s="9">
        <v>2.14502496848767808E17</v>
      </c>
    </row>
    <row r="530" ht="15.75" customHeight="1">
      <c r="A530" s="8"/>
      <c r="B530" s="8"/>
      <c r="C530" s="8"/>
      <c r="D530" s="8">
        <v>27.9026907562088</v>
      </c>
      <c r="E530" s="9" t="s">
        <v>539</v>
      </c>
      <c r="I530" s="12" t="str">
        <f>IFERROR(__xludf.DUMMYFUNCTION("""COMPUTED_VALUE"""),"0x2bfc1a3af4dffd6362b185bda271efb9c603652e")</f>
        <v>0x2bfc1a3af4dffd6362b185bda271efb9c603652e</v>
      </c>
      <c r="J530" s="11">
        <v>27.9026907562088</v>
      </c>
      <c r="K530" s="12">
        <v>62.005979458241775</v>
      </c>
      <c r="L530" s="13">
        <v>6.200597945824177E19</v>
      </c>
      <c r="M530" s="9">
        <v>6.2005979458241782E18</v>
      </c>
    </row>
    <row r="531" ht="15.75" customHeight="1">
      <c r="A531" s="8"/>
      <c r="B531" s="8"/>
      <c r="C531" s="8"/>
      <c r="D531" s="8">
        <v>27.9026907562088</v>
      </c>
      <c r="E531" s="9" t="s">
        <v>540</v>
      </c>
      <c r="I531" s="12" t="str">
        <f>IFERROR(__xludf.DUMMYFUNCTION("""COMPUTED_VALUE"""),"0x2c02f4e22b9737c93ab83b4e479893d53b492fd0")</f>
        <v>0x2c02f4e22b9737c93ab83b4e479893d53b492fd0</v>
      </c>
      <c r="J531" s="11">
        <v>91.1199983031448</v>
      </c>
      <c r="K531" s="12">
        <v>202.48888511809955</v>
      </c>
      <c r="L531" s="13">
        <v>2.0248888511809955E20</v>
      </c>
      <c r="M531" s="9">
        <v>2.0248888511809958E19</v>
      </c>
    </row>
    <row r="532" ht="15.75" customHeight="1">
      <c r="A532" s="8"/>
      <c r="B532" s="8"/>
      <c r="C532" s="8"/>
      <c r="D532" s="8">
        <v>27.9026907562088</v>
      </c>
      <c r="E532" s="9" t="s">
        <v>541</v>
      </c>
      <c r="I532" s="12" t="str">
        <f>IFERROR(__xludf.DUMMYFUNCTION("""COMPUTED_VALUE"""),"0x2c1fcbc10f6d84ec856ac619a0badcf68be9ee96")</f>
        <v>0x2c1fcbc10f6d84ec856ac619a0badcf68be9ee96</v>
      </c>
      <c r="J532" s="11">
        <v>27.9026907562088</v>
      </c>
      <c r="K532" s="12">
        <v>62.005979458241775</v>
      </c>
      <c r="L532" s="13">
        <v>6.200597945824177E19</v>
      </c>
      <c r="M532" s="9">
        <v>6.2005979458241782E18</v>
      </c>
    </row>
    <row r="533" ht="15.75" customHeight="1">
      <c r="A533" s="8"/>
      <c r="B533" s="8"/>
      <c r="C533" s="8"/>
      <c r="D533" s="8">
        <v>13.9513453781044</v>
      </c>
      <c r="E533" s="9" t="s">
        <v>542</v>
      </c>
      <c r="I533" s="12" t="str">
        <f>IFERROR(__xludf.DUMMYFUNCTION("""COMPUTED_VALUE"""),"0x2c5acd0d7ed19a54d27787600ba6aa3797e10201")</f>
        <v>0x2c5acd0d7ed19a54d27787600ba6aa3797e10201</v>
      </c>
      <c r="J533" s="11">
        <v>39.238268396878794</v>
      </c>
      <c r="K533" s="12">
        <v>87.19615199306399</v>
      </c>
      <c r="L533" s="13">
        <v>8.7196151993064E19</v>
      </c>
      <c r="M533" s="9">
        <v>8.7196151993063997E18</v>
      </c>
    </row>
    <row r="534" ht="15.75" customHeight="1">
      <c r="A534" s="8"/>
      <c r="B534" s="8"/>
      <c r="C534" s="8"/>
      <c r="D534" s="8">
        <v>27.9026907562088</v>
      </c>
      <c r="E534" s="9" t="s">
        <v>543</v>
      </c>
      <c r="I534" s="12" t="str">
        <f>IFERROR(__xludf.DUMMYFUNCTION("""COMPUTED_VALUE"""),"0x2c6e587277f2b1f4dd7f325b7905580554da3bc2")</f>
        <v>0x2c6e587277f2b1f4dd7f325b7905580554da3bc2</v>
      </c>
      <c r="J534" s="11">
        <v>42.779465205509396</v>
      </c>
      <c r="K534" s="12">
        <v>95.06547823446532</v>
      </c>
      <c r="L534" s="13">
        <v>9.506547823446532E19</v>
      </c>
      <c r="M534" s="9">
        <v>9.506547823446532E18</v>
      </c>
    </row>
    <row r="535" ht="15.75" customHeight="1">
      <c r="A535" s="8"/>
      <c r="B535" s="8"/>
      <c r="C535" s="8"/>
      <c r="D535" s="8">
        <v>26.4277609375992</v>
      </c>
      <c r="E535" s="9" t="s">
        <v>544</v>
      </c>
      <c r="I535" s="12" t="str">
        <f>IFERROR(__xludf.DUMMYFUNCTION("""COMPUTED_VALUE"""),"0x2c963589fb5127a72a7319fa9112dae397d4cd2c")</f>
        <v>0x2c963589fb5127a72a7319fa9112dae397d4cd2c</v>
      </c>
      <c r="J535" s="11">
        <v>26.4277609375992</v>
      </c>
      <c r="K535" s="12">
        <v>58.72835763910933</v>
      </c>
      <c r="L535" s="13">
        <v>5.872835763910934E19</v>
      </c>
      <c r="M535" s="9">
        <v>5.8728357639109345E18</v>
      </c>
    </row>
    <row r="536" ht="15.75" customHeight="1">
      <c r="A536" s="8"/>
      <c r="B536" s="8"/>
      <c r="C536" s="8"/>
      <c r="D536" s="8">
        <v>27.9026907562088</v>
      </c>
      <c r="E536" s="9" t="s">
        <v>545</v>
      </c>
      <c r="I536" s="12" t="str">
        <f>IFERROR(__xludf.DUMMYFUNCTION("""COMPUTED_VALUE"""),"0x2c96d1b1fdc07fa23b9274150b9022f1b7945dcd")</f>
        <v>0x2c96d1b1fdc07fa23b9274150b9022f1b7945dcd</v>
      </c>
      <c r="J536" s="11">
        <v>29.848481093998938</v>
      </c>
      <c r="K536" s="12">
        <v>66.32995798666431</v>
      </c>
      <c r="L536" s="13">
        <v>6.632995798666431E19</v>
      </c>
      <c r="M536" s="9">
        <v>6.6329957986664315E18</v>
      </c>
    </row>
    <row r="537" ht="15.75" customHeight="1">
      <c r="A537" s="8"/>
      <c r="B537" s="8"/>
      <c r="C537" s="8"/>
      <c r="D537" s="8">
        <v>27.9026907562088</v>
      </c>
      <c r="E537" s="9" t="s">
        <v>546</v>
      </c>
      <c r="I537" s="12" t="str">
        <f>IFERROR(__xludf.DUMMYFUNCTION("""COMPUTED_VALUE"""),"0x2c994a5d895a25f0d48d31155a39facc31c6cea3")</f>
        <v>0x2c994a5d895a25f0d48d31155a39facc31c6cea3</v>
      </c>
      <c r="J537" s="11">
        <v>27.9026907562088</v>
      </c>
      <c r="K537" s="12">
        <v>62.005979458241775</v>
      </c>
      <c r="L537" s="13">
        <v>6.200597945824177E19</v>
      </c>
      <c r="M537" s="9">
        <v>6.2005979458241782E18</v>
      </c>
    </row>
    <row r="538" ht="15.75" customHeight="1">
      <c r="A538" s="8"/>
      <c r="B538" s="8"/>
      <c r="C538" s="8"/>
      <c r="D538" s="8">
        <v>27.9026907562088</v>
      </c>
      <c r="E538" s="9" t="s">
        <v>547</v>
      </c>
      <c r="I538" s="12" t="str">
        <f>IFERROR(__xludf.DUMMYFUNCTION("""COMPUTED_VALUE"""),"0x2ca01e0b8c77dc90f2d99cc6aad5989bda6f78c7")</f>
        <v>0x2ca01e0b8c77dc90f2d99cc6aad5989bda6f78c7</v>
      </c>
      <c r="J538" s="11">
        <v>93.06578864093494</v>
      </c>
      <c r="K538" s="12">
        <v>206.8128636465221</v>
      </c>
      <c r="L538" s="13">
        <v>2.0681286364652208E20</v>
      </c>
      <c r="M538" s="9">
        <v>2.068128636465221E19</v>
      </c>
    </row>
    <row r="539" ht="15.75" customHeight="1">
      <c r="A539" s="8"/>
      <c r="B539" s="8"/>
      <c r="C539" s="8"/>
      <c r="D539" s="8">
        <v>24.6179624608858</v>
      </c>
      <c r="E539" s="9" t="s">
        <v>548</v>
      </c>
      <c r="I539" s="12" t="str">
        <f>IFERROR(__xludf.DUMMYFUNCTION("""COMPUTED_VALUE"""),"0x2ca580eb6c276f3292903f986f2268d27491d5c3")</f>
        <v>0x2ca580eb6c276f3292903f986f2268d27491d5c3</v>
      </c>
      <c r="J539" s="11">
        <v>82.38284990871428</v>
      </c>
      <c r="K539" s="12">
        <v>183.07299979714284</v>
      </c>
      <c r="L539" s="13">
        <v>1.8307299979714285E20</v>
      </c>
      <c r="M539" s="9">
        <v>1.8307299979714286E19</v>
      </c>
    </row>
    <row r="540" ht="15.75" customHeight="1">
      <c r="A540" s="8"/>
      <c r="B540" s="8"/>
      <c r="C540" s="8"/>
      <c r="D540" s="8">
        <v>25.7589823914726</v>
      </c>
      <c r="E540" s="9" t="s">
        <v>549</v>
      </c>
      <c r="I540" s="12" t="str">
        <f>IFERROR(__xludf.DUMMYFUNCTION("""COMPUTED_VALUE"""),"0x2ca6cbca20034eb5b871ec0e8bbe1993c82a6024")</f>
        <v>0x2ca6cbca20034eb5b871ec0e8bbe1993c82a6024</v>
      </c>
      <c r="J540" s="11">
        <v>25.7589823914726</v>
      </c>
      <c r="K540" s="12">
        <v>57.24218309216133</v>
      </c>
      <c r="L540" s="13">
        <v>5.724218309216133E19</v>
      </c>
      <c r="M540" s="9">
        <v>5.7242183092161331E18</v>
      </c>
    </row>
    <row r="541" ht="15.75" customHeight="1">
      <c r="A541" s="8"/>
      <c r="B541" s="8"/>
      <c r="C541" s="8"/>
      <c r="D541" s="8">
        <v>27.9026907562088</v>
      </c>
      <c r="E541" s="9" t="s">
        <v>550</v>
      </c>
      <c r="I541" s="12" t="str">
        <f>IFERROR(__xludf.DUMMYFUNCTION("""COMPUTED_VALUE"""),"0x2ca9cd8c977aa3eceb277fe0fd686dbc3b63eb5a")</f>
        <v>0x2ca9cd8c977aa3eceb277fe0fd686dbc3b63eb5a</v>
      </c>
      <c r="J541" s="11">
        <v>92.43101578737037</v>
      </c>
      <c r="K541" s="12">
        <v>205.40225730526748</v>
      </c>
      <c r="L541" s="13">
        <v>2.0540225730526747E20</v>
      </c>
      <c r="M541" s="9">
        <v>2.054022573052675E19</v>
      </c>
    </row>
    <row r="542" ht="15.75" customHeight="1">
      <c r="A542" s="8"/>
      <c r="B542" s="8"/>
      <c r="C542" s="8"/>
      <c r="D542" s="8">
        <v>18.7624522225008</v>
      </c>
      <c r="E542" s="9" t="s">
        <v>551</v>
      </c>
      <c r="I542" s="12" t="str">
        <f>IFERROR(__xludf.DUMMYFUNCTION("""COMPUTED_VALUE"""),"0x2ce1e46ccf824d1b09a24b7964be3f99101b01ac")</f>
        <v>0x2ce1e46ccf824d1b09a24b7964be3f99101b01ac</v>
      </c>
      <c r="J542" s="11">
        <v>18.7624522225008</v>
      </c>
      <c r="K542" s="12">
        <v>41.694338272224</v>
      </c>
      <c r="L542" s="13">
        <v>4.1694338272224E19</v>
      </c>
      <c r="M542" s="9">
        <v>4.1694338272224005E18</v>
      </c>
    </row>
    <row r="543" ht="15.75" customHeight="1">
      <c r="A543" s="8"/>
      <c r="B543" s="8"/>
      <c r="C543" s="8"/>
      <c r="D543" s="8">
        <v>20.6629849515396</v>
      </c>
      <c r="E543" s="9" t="s">
        <v>552</v>
      </c>
      <c r="I543" s="12" t="str">
        <f>IFERROR(__xludf.DUMMYFUNCTION("""COMPUTED_VALUE"""),"0x2ceb2fa25524529150ad0e32419629288cff65ef")</f>
        <v>0x2ceb2fa25524529150ad0e32419629288cff65ef</v>
      </c>
      <c r="J543" s="11">
        <v>20.6629849515396</v>
      </c>
      <c r="K543" s="12">
        <v>45.917744336754666</v>
      </c>
      <c r="L543" s="13">
        <v>4.591774433675466E19</v>
      </c>
      <c r="M543" s="9">
        <v>4.5917744336754668E18</v>
      </c>
    </row>
    <row r="544" ht="15.75" customHeight="1">
      <c r="A544" s="8"/>
      <c r="B544" s="8"/>
      <c r="C544" s="8"/>
      <c r="D544" s="8">
        <v>25.8290355070116</v>
      </c>
      <c r="E544" s="9" t="s">
        <v>553</v>
      </c>
      <c r="I544" s="12" t="str">
        <f>IFERROR(__xludf.DUMMYFUNCTION("""COMPUTED_VALUE"""),"0x2cfa322f54402c8e0a1cf05e8ad7a2a5ee9b0ec6")</f>
        <v>0x2cfa322f54402c8e0a1cf05e8ad7a2a5ee9b0ec6</v>
      </c>
      <c r="J544" s="11">
        <v>25.8290355070116</v>
      </c>
      <c r="K544" s="12">
        <v>57.397856682248</v>
      </c>
      <c r="L544" s="13">
        <v>5.7397856682247995E19</v>
      </c>
      <c r="M544" s="9">
        <v>5.7397856682247997E18</v>
      </c>
    </row>
    <row r="545" ht="15.75" customHeight="1">
      <c r="A545" s="8"/>
      <c r="B545" s="8"/>
      <c r="C545" s="8"/>
      <c r="D545" s="8">
        <v>24.5952362954005</v>
      </c>
      <c r="E545" s="9" t="s">
        <v>554</v>
      </c>
      <c r="I545" s="12" t="str">
        <f>IFERROR(__xludf.DUMMYFUNCTION("""COMPUTED_VALUE"""),"0x2cfe001ab3a17ddf4bb8572836e37d3ca71024b9")</f>
        <v>0x2cfe001ab3a17ddf4bb8572836e37d3ca71024b9</v>
      </c>
      <c r="J545" s="11">
        <v>24.5952362954005</v>
      </c>
      <c r="K545" s="12">
        <v>54.65608065644555</v>
      </c>
      <c r="L545" s="13">
        <v>5.4656080656445555E19</v>
      </c>
      <c r="M545" s="9">
        <v>5.4656080656445553E18</v>
      </c>
    </row>
    <row r="546" ht="15.75" customHeight="1">
      <c r="A546" s="8"/>
      <c r="B546" s="8"/>
      <c r="C546" s="8"/>
      <c r="D546" s="8">
        <v>27.9026907562088</v>
      </c>
      <c r="E546" s="9" t="s">
        <v>555</v>
      </c>
      <c r="I546" s="12" t="str">
        <f>IFERROR(__xludf.DUMMYFUNCTION("""COMPUTED_VALUE"""),"0x2d39c7c5c8ed46f374b6dd8b13d80d39debf32f9")</f>
        <v>0x2d39c7c5c8ed46f374b6dd8b13d80d39debf32f9</v>
      </c>
      <c r="J546" s="11">
        <v>27.9026907562088</v>
      </c>
      <c r="K546" s="12">
        <v>62.005979458241775</v>
      </c>
      <c r="L546" s="13">
        <v>6.200597945824177E19</v>
      </c>
      <c r="M546" s="9">
        <v>6.2005979458241782E18</v>
      </c>
    </row>
    <row r="547" ht="15.75" customHeight="1">
      <c r="A547" s="8"/>
      <c r="B547" s="8"/>
      <c r="C547" s="8"/>
      <c r="D547" s="8">
        <v>27.9026907562088</v>
      </c>
      <c r="E547" s="9" t="s">
        <v>556</v>
      </c>
      <c r="I547" s="12" t="str">
        <f>IFERROR(__xludf.DUMMYFUNCTION("""COMPUTED_VALUE"""),"0x2d631b3043cb87fee23d9dc25c0b6aa4610ce018")</f>
        <v>0x2d631b3043cb87fee23d9dc25c0b6aa4610ce018</v>
      </c>
      <c r="J547" s="11">
        <v>27.9026907562088</v>
      </c>
      <c r="K547" s="12">
        <v>62.005979458241775</v>
      </c>
      <c r="L547" s="13">
        <v>6.200597945824177E19</v>
      </c>
      <c r="M547" s="9">
        <v>6.2005979458241782E18</v>
      </c>
    </row>
    <row r="548" ht="15.75" customHeight="1">
      <c r="A548" s="8"/>
      <c r="B548" s="8"/>
      <c r="C548" s="8"/>
      <c r="D548" s="8">
        <v>27.9026907562088</v>
      </c>
      <c r="E548" s="9" t="s">
        <v>557</v>
      </c>
      <c r="I548" s="12" t="str">
        <f>IFERROR(__xludf.DUMMYFUNCTION("""COMPUTED_VALUE"""),"0x2d7b356cc7ae278c50918ee0cb95abe3ec56452e")</f>
        <v>0x2d7b356cc7ae278c50918ee0cb95abe3ec56452e</v>
      </c>
      <c r="J548" s="11">
        <v>119.5285372348809</v>
      </c>
      <c r="K548" s="12">
        <v>265.61897163306867</v>
      </c>
      <c r="L548" s="13">
        <v>2.6561897163306867E20</v>
      </c>
      <c r="M548" s="9">
        <v>2.656189716330687E19</v>
      </c>
    </row>
    <row r="549" ht="15.75" customHeight="1">
      <c r="A549" s="8"/>
      <c r="B549" s="8"/>
      <c r="C549" s="8"/>
      <c r="D549" s="8">
        <v>27.9026907562088</v>
      </c>
      <c r="E549" s="9" t="s">
        <v>558</v>
      </c>
      <c r="I549" s="12" t="str">
        <f>IFERROR(__xludf.DUMMYFUNCTION("""COMPUTED_VALUE"""),"0x2d8d44a96c75c3561be46984a90eca3d9475448d")</f>
        <v>0x2d8d44a96c75c3561be46984a90eca3d9475448d</v>
      </c>
      <c r="J549" s="11">
        <v>27.9026907562088</v>
      </c>
      <c r="K549" s="12">
        <v>62.005979458241775</v>
      </c>
      <c r="L549" s="13">
        <v>6.200597945824177E19</v>
      </c>
      <c r="M549" s="9">
        <v>6.2005979458241782E18</v>
      </c>
    </row>
    <row r="550" ht="15.75" customHeight="1">
      <c r="A550" s="8"/>
      <c r="B550" s="8"/>
      <c r="C550" s="8"/>
      <c r="D550" s="8">
        <v>23.3736733771858</v>
      </c>
      <c r="E550" s="9" t="s">
        <v>559</v>
      </c>
      <c r="I550" s="12" t="str">
        <f>IFERROR(__xludf.DUMMYFUNCTION("""COMPUTED_VALUE"""),"0x2dae2613a5f99984e87a2d8adce9cd679230ca0e")</f>
        <v>0x2dae2613a5f99984e87a2d8adce9cd679230ca0e</v>
      </c>
      <c r="J550" s="11">
        <v>23.3736733771858</v>
      </c>
      <c r="K550" s="12">
        <v>51.94149639374622</v>
      </c>
      <c r="L550" s="13">
        <v>5.194149639374622E19</v>
      </c>
      <c r="M550" s="9">
        <v>5.1941496393746217E18</v>
      </c>
    </row>
    <row r="551" ht="15.75" customHeight="1">
      <c r="A551" s="8"/>
      <c r="B551" s="8"/>
      <c r="C551" s="8"/>
      <c r="D551" s="8">
        <v>27.9026907562088</v>
      </c>
      <c r="E551" s="9" t="s">
        <v>560</v>
      </c>
      <c r="I551" s="12" t="str">
        <f>IFERROR(__xludf.DUMMYFUNCTION("""COMPUTED_VALUE"""),"0x2dd24caff87f2d4ee625d4b9fcbf83e46246cdd0")</f>
        <v>0x2dd24caff87f2d4ee625d4b9fcbf83e46246cdd0</v>
      </c>
      <c r="J551" s="11">
        <v>27.9026907562088</v>
      </c>
      <c r="K551" s="12">
        <v>62.005979458241775</v>
      </c>
      <c r="L551" s="13">
        <v>6.200597945824177E19</v>
      </c>
      <c r="M551" s="9">
        <v>6.2005979458241782E18</v>
      </c>
    </row>
    <row r="552" ht="15.75" customHeight="1">
      <c r="A552" s="8"/>
      <c r="B552" s="8"/>
      <c r="C552" s="8"/>
      <c r="D552" s="8">
        <v>27.9026907562088</v>
      </c>
      <c r="E552" s="9" t="s">
        <v>561</v>
      </c>
      <c r="I552" s="12" t="str">
        <f>IFERROR(__xludf.DUMMYFUNCTION("""COMPUTED_VALUE"""),"0x2dd3de1c1c57ba08ff5dafc06b1c92ebc58bce7f")</f>
        <v>0x2dd3de1c1c57ba08ff5dafc06b1c92ebc58bce7f</v>
      </c>
      <c r="J552" s="11">
        <v>27.9026907562088</v>
      </c>
      <c r="K552" s="12">
        <v>62.005979458241775</v>
      </c>
      <c r="L552" s="13">
        <v>6.200597945824177E19</v>
      </c>
      <c r="M552" s="9">
        <v>6.2005979458241782E18</v>
      </c>
    </row>
    <row r="553" ht="15.75" customHeight="1">
      <c r="A553" s="8"/>
      <c r="B553" s="8"/>
      <c r="C553" s="8"/>
      <c r="D553" s="8">
        <v>13.6796136662725</v>
      </c>
      <c r="E553" s="9" t="s">
        <v>562</v>
      </c>
      <c r="I553" s="12" t="str">
        <f>IFERROR(__xludf.DUMMYFUNCTION("""COMPUTED_VALUE"""),"0x2dd437ed80a0528bbc2e7c316faf347c72135204")</f>
        <v>0x2dd437ed80a0528bbc2e7c316faf347c72135204</v>
      </c>
      <c r="J553" s="11">
        <v>13.6796136662725</v>
      </c>
      <c r="K553" s="12">
        <v>30.399141480605554</v>
      </c>
      <c r="L553" s="13">
        <v>3.0399141480605553E19</v>
      </c>
      <c r="M553" s="9">
        <v>3.0399141480605553E18</v>
      </c>
    </row>
    <row r="554" ht="15.75" customHeight="1">
      <c r="A554" s="8"/>
      <c r="B554" s="8"/>
      <c r="C554" s="8"/>
      <c r="D554" s="8">
        <v>27.6811137113632</v>
      </c>
      <c r="E554" s="9" t="s">
        <v>563</v>
      </c>
      <c r="I554" s="12" t="str">
        <f>IFERROR(__xludf.DUMMYFUNCTION("""COMPUTED_VALUE"""),"0x2de1ca87dbb4abe06df995c3ad185aedd7c6ef73")</f>
        <v>0x2de1ca87dbb4abe06df995c3ad185aedd7c6ef73</v>
      </c>
      <c r="J554" s="11">
        <v>27.6811137113632</v>
      </c>
      <c r="K554" s="12">
        <v>61.513586025251556</v>
      </c>
      <c r="L554" s="13">
        <v>6.151358602525155E19</v>
      </c>
      <c r="M554" s="9">
        <v>6.1513586025251553E18</v>
      </c>
    </row>
    <row r="555" ht="15.75" customHeight="1">
      <c r="A555" s="8"/>
      <c r="B555" s="8"/>
      <c r="C555" s="8"/>
      <c r="D555" s="8">
        <v>27.9026907562088</v>
      </c>
      <c r="E555" s="9" t="s">
        <v>564</v>
      </c>
      <c r="I555" s="12" t="str">
        <f>IFERROR(__xludf.DUMMYFUNCTION("""COMPUTED_VALUE"""),"0x2dfbf075bbf541744f946ed97be710f5f12747b8")</f>
        <v>0x2dfbf075bbf541744f946ed97be710f5f12747b8</v>
      </c>
      <c r="J555" s="11">
        <v>102.7947403298856</v>
      </c>
      <c r="K555" s="12">
        <v>228.43275628863466</v>
      </c>
      <c r="L555" s="13">
        <v>2.2843275628863465E20</v>
      </c>
      <c r="M555" s="9">
        <v>2.2843275628863468E19</v>
      </c>
    </row>
    <row r="556" ht="15.75" customHeight="1">
      <c r="A556" s="8"/>
      <c r="B556" s="8"/>
      <c r="C556" s="8"/>
      <c r="D556" s="8">
        <v>27.9026907562088</v>
      </c>
      <c r="E556" s="9" t="s">
        <v>565</v>
      </c>
      <c r="I556" s="12" t="str">
        <f>IFERROR(__xludf.DUMMYFUNCTION("""COMPUTED_VALUE"""),"0x2dfd904cf2d0823fd0f503c3271c444cac2132ab")</f>
        <v>0x2dfd904cf2d0823fd0f503c3271c444cac2132ab</v>
      </c>
      <c r="J556" s="11">
        <v>29.848481093998938</v>
      </c>
      <c r="K556" s="12">
        <v>66.32995798666431</v>
      </c>
      <c r="L556" s="13">
        <v>6.632995798666431E19</v>
      </c>
      <c r="M556" s="9">
        <v>6.6329957986664315E18</v>
      </c>
    </row>
    <row r="557" ht="15.75" customHeight="1">
      <c r="A557" s="8"/>
      <c r="B557" s="8"/>
      <c r="C557" s="8"/>
      <c r="D557" s="8">
        <v>27.8874346865915</v>
      </c>
      <c r="E557" s="9" t="s">
        <v>566</v>
      </c>
      <c r="I557" s="12" t="str">
        <f>IFERROR(__xludf.DUMMYFUNCTION("""COMPUTED_VALUE"""),"0x2e1a3e79c5fbfa72d5bf42ebdd4cbca7b3da5cb1")</f>
        <v>0x2e1a3e79c5fbfa72d5bf42ebdd4cbca7b3da5cb1</v>
      </c>
      <c r="J557" s="11">
        <v>78.4612807241403</v>
      </c>
      <c r="K557" s="12">
        <v>174.35840160920066</v>
      </c>
      <c r="L557" s="13">
        <v>1.7435840160920066E20</v>
      </c>
      <c r="M557" s="9">
        <v>1.7435840160920068E19</v>
      </c>
    </row>
    <row r="558" ht="15.75" customHeight="1">
      <c r="A558" s="8"/>
      <c r="B558" s="8"/>
      <c r="C558" s="8"/>
      <c r="D558" s="8">
        <v>25.7668250948044</v>
      </c>
      <c r="E558" s="9" t="s">
        <v>567</v>
      </c>
      <c r="I558" s="12" t="str">
        <f>IFERROR(__xludf.DUMMYFUNCTION("""COMPUTED_VALUE"""),"0x2e210253fb6382366bd29d885201e9c08531a5e3")</f>
        <v>0x2e210253fb6382366bd29d885201e9c08531a5e3</v>
      </c>
      <c r="J558" s="11">
        <v>25.7668250948044</v>
      </c>
      <c r="K558" s="12">
        <v>57.25961132178755</v>
      </c>
      <c r="L558" s="13">
        <v>5.7259611321787556E19</v>
      </c>
      <c r="M558" s="9">
        <v>5.7259611321787556E18</v>
      </c>
    </row>
    <row r="559" ht="15.75" customHeight="1">
      <c r="A559" s="8"/>
      <c r="B559" s="8"/>
      <c r="C559" s="8"/>
      <c r="D559" s="8">
        <v>27.9026907562088</v>
      </c>
      <c r="E559" s="9" t="s">
        <v>568</v>
      </c>
      <c r="I559" s="12" t="str">
        <f>IFERROR(__xludf.DUMMYFUNCTION("""COMPUTED_VALUE"""),"0x2e354d027924b000ba3dcdbdb458104cc2cc0fae")</f>
        <v>0x2e354d027924b000ba3dcdbdb458104cc2cc0fae</v>
      </c>
      <c r="J559" s="11">
        <v>91.1199983031448</v>
      </c>
      <c r="K559" s="12">
        <v>202.48888511809955</v>
      </c>
      <c r="L559" s="13">
        <v>2.0248888511809955E20</v>
      </c>
      <c r="M559" s="9">
        <v>2.0248888511809958E19</v>
      </c>
    </row>
    <row r="560" ht="15.75" customHeight="1">
      <c r="A560" s="8"/>
      <c r="B560" s="8"/>
      <c r="C560" s="8"/>
      <c r="D560" s="8">
        <v>27.9026907562088</v>
      </c>
      <c r="E560" s="9" t="s">
        <v>569</v>
      </c>
      <c r="I560" s="12" t="str">
        <f>IFERROR(__xludf.DUMMYFUNCTION("""COMPUTED_VALUE"""),"0x2e45597368f090bd88b154a88d03a65b014bb6da")</f>
        <v>0x2e45597368f090bd88b154a88d03a65b014bb6da</v>
      </c>
      <c r="J560" s="11">
        <v>27.9026907562088</v>
      </c>
      <c r="K560" s="12">
        <v>62.005979458241775</v>
      </c>
      <c r="L560" s="13">
        <v>6.200597945824177E19</v>
      </c>
      <c r="M560" s="9">
        <v>6.2005979458241782E18</v>
      </c>
    </row>
    <row r="561" ht="15.75" customHeight="1">
      <c r="A561" s="8"/>
      <c r="B561" s="8"/>
      <c r="C561" s="8"/>
      <c r="D561" s="8">
        <v>26.5491352719108</v>
      </c>
      <c r="E561" s="9" t="s">
        <v>570</v>
      </c>
      <c r="I561" s="12" t="str">
        <f>IFERROR(__xludf.DUMMYFUNCTION("""COMPUTED_VALUE"""),"0x2e4d4a45640a9c76540555e441e70066e72cd55d")</f>
        <v>0x2e4d4a45640a9c76540555e441e70066e72cd55d</v>
      </c>
      <c r="J561" s="11">
        <v>26.5491352719108</v>
      </c>
      <c r="K561" s="12">
        <v>58.998078382024</v>
      </c>
      <c r="L561" s="13">
        <v>5.8998078382024E19</v>
      </c>
      <c r="M561" s="9">
        <v>5.8998078382024008E18</v>
      </c>
    </row>
    <row r="562" ht="15.75" customHeight="1">
      <c r="A562" s="8"/>
      <c r="B562" s="8"/>
      <c r="C562" s="8"/>
      <c r="D562" s="8">
        <v>22.3636629477369</v>
      </c>
      <c r="E562" s="9" t="s">
        <v>571</v>
      </c>
      <c r="I562" s="12" t="str">
        <f>IFERROR(__xludf.DUMMYFUNCTION("""COMPUTED_VALUE"""),"0x2e771628e765c04a06252801177332d078a19a21")</f>
        <v>0x2e771628e765c04a06252801177332d078a19a21</v>
      </c>
      <c r="J562" s="11">
        <v>132.1154994200026</v>
      </c>
      <c r="K562" s="12">
        <v>293.5899987111169</v>
      </c>
      <c r="L562" s="13">
        <v>2.935899987111169E20</v>
      </c>
      <c r="M562" s="9">
        <v>2.9358999871111692E19</v>
      </c>
    </row>
    <row r="563" ht="15.75" customHeight="1">
      <c r="A563" s="8"/>
      <c r="B563" s="8"/>
      <c r="C563" s="8"/>
      <c r="D563" s="8">
        <v>27.9026907562088</v>
      </c>
      <c r="E563" s="9" t="s">
        <v>572</v>
      </c>
      <c r="I563" s="12" t="str">
        <f>IFERROR(__xludf.DUMMYFUNCTION("""COMPUTED_VALUE"""),"0x2e7bfe7b1689070b282bf96f79ae7fd2db7f790f")</f>
        <v>0x2e7bfe7b1689070b282bf96f79ae7fd2db7f790f</v>
      </c>
      <c r="J563" s="11">
        <v>91.1199983031448</v>
      </c>
      <c r="K563" s="12">
        <v>202.48888511809955</v>
      </c>
      <c r="L563" s="13">
        <v>2.0248888511809955E20</v>
      </c>
      <c r="M563" s="9">
        <v>2.0248888511809958E19</v>
      </c>
    </row>
    <row r="564" ht="15.75" customHeight="1">
      <c r="A564" s="8"/>
      <c r="B564" s="8"/>
      <c r="C564" s="8"/>
      <c r="D564" s="8">
        <v>27.9026907562088</v>
      </c>
      <c r="E564" s="9" t="s">
        <v>573</v>
      </c>
      <c r="I564" s="12" t="str">
        <f>IFERROR(__xludf.DUMMYFUNCTION("""COMPUTED_VALUE"""),"0x2e9303c2787d04ffcc1e504327eeb2280a3e0513")</f>
        <v>0x2e9303c2787d04ffcc1e504327eeb2280a3e0513</v>
      </c>
      <c r="J564" s="11">
        <v>27.9026907562088</v>
      </c>
      <c r="K564" s="12">
        <v>62.005979458241775</v>
      </c>
      <c r="L564" s="13">
        <v>6.200597945824177E19</v>
      </c>
      <c r="M564" s="9">
        <v>6.2005979458241782E18</v>
      </c>
    </row>
    <row r="565" ht="15.75" customHeight="1">
      <c r="A565" s="8"/>
      <c r="B565" s="8"/>
      <c r="C565" s="8"/>
      <c r="D565" s="8">
        <v>27.9026907562088</v>
      </c>
      <c r="E565" s="9" t="s">
        <v>574</v>
      </c>
      <c r="I565" s="12" t="str">
        <f>IFERROR(__xludf.DUMMYFUNCTION("""COMPUTED_VALUE"""),"0x2ec48f301c6d99217ccfa3209beb7e192533d504")</f>
        <v>0x2ec48f301c6d99217ccfa3209beb7e192533d504</v>
      </c>
      <c r="J565" s="11">
        <v>78.47653679375759</v>
      </c>
      <c r="K565" s="12">
        <v>174.39230398612798</v>
      </c>
      <c r="L565" s="13">
        <v>1.74392303986128E20</v>
      </c>
      <c r="M565" s="9">
        <v>1.74392303986128E19</v>
      </c>
    </row>
    <row r="566" ht="15.75" customHeight="1">
      <c r="A566" s="8"/>
      <c r="B566" s="8"/>
      <c r="C566" s="8"/>
      <c r="D566" s="8">
        <v>27.9026907562088</v>
      </c>
      <c r="E566" s="9" t="s">
        <v>575</v>
      </c>
      <c r="I566" s="12" t="str">
        <f>IFERROR(__xludf.DUMMYFUNCTION("""COMPUTED_VALUE"""),"0x2ee8332e3fb1f300ce46d8d92b874a48d00e99bf")</f>
        <v>0x2ee8332e3fb1f300ce46d8d92b874a48d00e99bf</v>
      </c>
      <c r="J566" s="11">
        <v>27.9026907562088</v>
      </c>
      <c r="K566" s="12">
        <v>62.005979458241775</v>
      </c>
      <c r="L566" s="13">
        <v>6.200597945824177E19</v>
      </c>
      <c r="M566" s="9">
        <v>6.2005979458241782E18</v>
      </c>
    </row>
    <row r="567" ht="15.75" customHeight="1">
      <c r="A567" s="8"/>
      <c r="B567" s="8"/>
      <c r="C567" s="8"/>
      <c r="D567" s="8">
        <v>27.9026907562088</v>
      </c>
      <c r="E567" s="9" t="s">
        <v>576</v>
      </c>
      <c r="I567" s="12" t="str">
        <f>IFERROR(__xludf.DUMMYFUNCTION("""COMPUTED_VALUE"""),"0x2efe273a26021ebad0bd1f74ff5fd12128460077")</f>
        <v>0x2efe273a26021ebad0bd1f74ff5fd12128460077</v>
      </c>
      <c r="J567" s="11">
        <v>91.1199983031448</v>
      </c>
      <c r="K567" s="12">
        <v>202.48888511809955</v>
      </c>
      <c r="L567" s="13">
        <v>2.0248888511809955E20</v>
      </c>
      <c r="M567" s="9">
        <v>2.0248888511809958E19</v>
      </c>
    </row>
    <row r="568" ht="15.75" customHeight="1">
      <c r="A568" s="8"/>
      <c r="B568" s="8"/>
      <c r="C568" s="8"/>
      <c r="D568" s="8">
        <v>27.9026907562088</v>
      </c>
      <c r="E568" s="9" t="s">
        <v>577</v>
      </c>
      <c r="I568" s="12" t="str">
        <f>IFERROR(__xludf.DUMMYFUNCTION("""COMPUTED_VALUE"""),"0x2f35ebc7a51413677cb52194138c222eea6404f0")</f>
        <v>0x2f35ebc7a51413677cb52194138c222eea6404f0</v>
      </c>
      <c r="J568" s="11">
        <v>102.7947403298856</v>
      </c>
      <c r="K568" s="12">
        <v>228.43275628863466</v>
      </c>
      <c r="L568" s="13">
        <v>2.2843275628863465E20</v>
      </c>
      <c r="M568" s="9">
        <v>2.2843275628863468E19</v>
      </c>
    </row>
    <row r="569" ht="15.75" customHeight="1">
      <c r="A569" s="8"/>
      <c r="B569" s="8"/>
      <c r="C569" s="8"/>
      <c r="D569" s="8">
        <v>27.9026907562088</v>
      </c>
      <c r="E569" s="9" t="s">
        <v>578</v>
      </c>
      <c r="I569" s="12" t="str">
        <f>IFERROR(__xludf.DUMMYFUNCTION("""COMPUTED_VALUE"""),"0x2f380ab9deeba3b7b7649833406f82bce122b2e9")</f>
        <v>0x2f380ab9deeba3b7b7649833406f82bce122b2e9</v>
      </c>
      <c r="J569" s="11">
        <v>27.9026907562088</v>
      </c>
      <c r="K569" s="12">
        <v>62.005979458241775</v>
      </c>
      <c r="L569" s="13">
        <v>6.200597945824177E19</v>
      </c>
      <c r="M569" s="9">
        <v>6.2005979458241782E18</v>
      </c>
    </row>
    <row r="570" ht="15.75" customHeight="1">
      <c r="A570" s="8"/>
      <c r="B570" s="8"/>
      <c r="C570" s="8"/>
      <c r="D570" s="8">
        <v>27.9026907562088</v>
      </c>
      <c r="E570" s="9" t="s">
        <v>579</v>
      </c>
      <c r="I570" s="12" t="str">
        <f>IFERROR(__xludf.DUMMYFUNCTION("""COMPUTED_VALUE"""),"0x2f595c056e785e13579128df27cad2968d034ba4")</f>
        <v>0x2f595c056e785e13579128df27cad2968d034ba4</v>
      </c>
      <c r="J570" s="11">
        <v>91.1199983031448</v>
      </c>
      <c r="K570" s="12">
        <v>202.48888511809955</v>
      </c>
      <c r="L570" s="13">
        <v>2.0248888511809955E20</v>
      </c>
      <c r="M570" s="9">
        <v>2.0248888511809958E19</v>
      </c>
    </row>
    <row r="571" ht="15.75" customHeight="1">
      <c r="A571" s="8"/>
      <c r="B571" s="8"/>
      <c r="C571" s="8"/>
      <c r="D571" s="8">
        <v>27.9026907562088</v>
      </c>
      <c r="E571" s="9" t="s">
        <v>580</v>
      </c>
      <c r="I571" s="12" t="str">
        <f>IFERROR(__xludf.DUMMYFUNCTION("""COMPUTED_VALUE"""),"0x2f5b3356123d3f620013c1dbf4cebd1b5f65f36f")</f>
        <v>0x2f5b3356123d3f620013c1dbf4cebd1b5f65f36f</v>
      </c>
      <c r="J571" s="11">
        <v>102.7947403298856</v>
      </c>
      <c r="K571" s="12">
        <v>228.43275628863466</v>
      </c>
      <c r="L571" s="13">
        <v>2.2843275628863465E20</v>
      </c>
      <c r="M571" s="9">
        <v>2.2843275628863468E19</v>
      </c>
    </row>
    <row r="572" ht="15.75" customHeight="1">
      <c r="A572" s="8"/>
      <c r="B572" s="8"/>
      <c r="C572" s="8"/>
      <c r="D572" s="8">
        <v>27.9026907562088</v>
      </c>
      <c r="E572" s="9" t="s">
        <v>581</v>
      </c>
      <c r="I572" s="12" t="str">
        <f>IFERROR(__xludf.DUMMYFUNCTION("""COMPUTED_VALUE"""),"0x2f657a6221f6ef146d11da02bd29388888ff4491")</f>
        <v>0x2f657a6221f6ef146d11da02bd29388888ff4491</v>
      </c>
      <c r="J572" s="11">
        <v>27.9026907562088</v>
      </c>
      <c r="K572" s="12">
        <v>62.005979458241775</v>
      </c>
      <c r="L572" s="13">
        <v>6.200597945824177E19</v>
      </c>
      <c r="M572" s="9">
        <v>6.2005979458241782E18</v>
      </c>
    </row>
    <row r="573" ht="15.75" customHeight="1">
      <c r="A573" s="8"/>
      <c r="B573" s="8"/>
      <c r="C573" s="8"/>
      <c r="D573" s="8">
        <v>27.9026907562088</v>
      </c>
      <c r="E573" s="9" t="s">
        <v>582</v>
      </c>
      <c r="I573" s="12" t="str">
        <f>IFERROR(__xludf.DUMMYFUNCTION("""COMPUTED_VALUE"""),"0x2f866300cdbe379df062cf499b3d6ba6644d7d25")</f>
        <v>0x2f866300cdbe379df062cf499b3d6ba6644d7d25</v>
      </c>
      <c r="J573" s="11">
        <v>157.2768697880097</v>
      </c>
      <c r="K573" s="12">
        <v>349.504155084466</v>
      </c>
      <c r="L573" s="13">
        <v>3.4950415508446596E20</v>
      </c>
      <c r="M573" s="9">
        <v>3.4950415508446597E19</v>
      </c>
    </row>
    <row r="574" ht="15.75" customHeight="1">
      <c r="A574" s="8"/>
      <c r="B574" s="8"/>
      <c r="C574" s="8"/>
      <c r="D574" s="8">
        <v>27.7709830305001</v>
      </c>
      <c r="E574" s="9" t="s">
        <v>583</v>
      </c>
      <c r="I574" s="12" t="str">
        <f>IFERROR(__xludf.DUMMYFUNCTION("""COMPUTED_VALUE"""),"0x2f8b7c1691fc37de234f5f5da6000e13fdcd361d")</f>
        <v>0x2f8b7c1691fc37de234f5f5da6000e13fdcd361d</v>
      </c>
      <c r="J574" s="11">
        <v>90.9882905774361</v>
      </c>
      <c r="K574" s="12">
        <v>202.19620128319133</v>
      </c>
      <c r="L574" s="13">
        <v>2.0219620128319134E20</v>
      </c>
      <c r="M574" s="9">
        <v>2.0219620128319136E19</v>
      </c>
    </row>
    <row r="575" ht="15.75" customHeight="1">
      <c r="A575" s="8"/>
      <c r="B575" s="8"/>
      <c r="C575" s="8"/>
      <c r="D575" s="8">
        <v>27.9026907562088</v>
      </c>
      <c r="E575" s="9" t="s">
        <v>584</v>
      </c>
      <c r="I575" s="12" t="str">
        <f>IFERROR(__xludf.DUMMYFUNCTION("""COMPUTED_VALUE"""),"0x2f9652c7a88eef7927d5314dcfe5478c56a1b0ec")</f>
        <v>0x2f9652c7a88eef7927d5314dcfe5478c56a1b0ec</v>
      </c>
      <c r="J575" s="11">
        <v>27.9026907562088</v>
      </c>
      <c r="K575" s="12">
        <v>62.005979458241775</v>
      </c>
      <c r="L575" s="13">
        <v>6.200597945824177E19</v>
      </c>
      <c r="M575" s="9">
        <v>6.2005979458241782E18</v>
      </c>
    </row>
    <row r="576" ht="15.75" customHeight="1">
      <c r="A576" s="8"/>
      <c r="B576" s="8"/>
      <c r="C576" s="8"/>
      <c r="D576" s="8">
        <v>27.9026907562088</v>
      </c>
      <c r="E576" s="9" t="s">
        <v>585</v>
      </c>
      <c r="I576" s="12" t="str">
        <f>IFERROR(__xludf.DUMMYFUNCTION("""COMPUTED_VALUE"""),"0x2fa2e0f5b613999e00513ffde9aa1ff80ecc86fc")</f>
        <v>0x2fa2e0f5b613999e00513ffde9aa1ff80ecc86fc</v>
      </c>
      <c r="J576" s="11">
        <v>91.1199983031448</v>
      </c>
      <c r="K576" s="12">
        <v>202.48888511809955</v>
      </c>
      <c r="L576" s="13">
        <v>2.0248888511809955E20</v>
      </c>
      <c r="M576" s="9">
        <v>2.0248888511809958E19</v>
      </c>
    </row>
    <row r="577" ht="15.75" customHeight="1">
      <c r="A577" s="8"/>
      <c r="B577" s="8"/>
      <c r="C577" s="8"/>
      <c r="D577" s="8">
        <v>27.9026907562088</v>
      </c>
      <c r="E577" s="9" t="s">
        <v>586</v>
      </c>
      <c r="I577" s="12" t="str">
        <f>IFERROR(__xludf.DUMMYFUNCTION("""COMPUTED_VALUE"""),"0x2fbf15c83b0b714dd8a0ec3a2616a74376a4246e")</f>
        <v>0x2fbf15c83b0b714dd8a0ec3a2616a74376a4246e</v>
      </c>
      <c r="J577" s="11">
        <v>80.79927418798559</v>
      </c>
      <c r="K577" s="12">
        <v>179.55394263996797</v>
      </c>
      <c r="L577" s="13">
        <v>1.7955394263996796E20</v>
      </c>
      <c r="M577" s="9">
        <v>1.7955394263996797E19</v>
      </c>
    </row>
    <row r="578" ht="15.75" customHeight="1">
      <c r="A578" s="8"/>
      <c r="B578" s="8"/>
      <c r="C578" s="8"/>
      <c r="D578" s="8">
        <v>27.9026907562088</v>
      </c>
      <c r="E578" s="9" t="s">
        <v>587</v>
      </c>
      <c r="I578" s="12" t="str">
        <f>IFERROR(__xludf.DUMMYFUNCTION("""COMPUTED_VALUE"""),"0x2fc34e7091cac94903ebfab2f4cddb5183fa567a")</f>
        <v>0x2fc34e7091cac94903ebfab2f4cddb5183fa567a</v>
      </c>
      <c r="J578" s="11">
        <v>27.9026907562088</v>
      </c>
      <c r="K578" s="12">
        <v>62.005979458241775</v>
      </c>
      <c r="L578" s="13">
        <v>6.200597945824177E19</v>
      </c>
      <c r="M578" s="9">
        <v>6.2005979458241782E18</v>
      </c>
    </row>
    <row r="579" ht="15.75" customHeight="1">
      <c r="A579" s="8"/>
      <c r="B579" s="8"/>
      <c r="C579" s="8"/>
      <c r="D579" s="8">
        <v>27.9026907562088</v>
      </c>
      <c r="E579" s="9" t="s">
        <v>588</v>
      </c>
      <c r="I579" s="12" t="str">
        <f>IFERROR(__xludf.DUMMYFUNCTION("""COMPUTED_VALUE"""),"0x2fdae8f8c93c00a010d2ef401ab9a17889c293af")</f>
        <v>0x2fdae8f8c93c00a010d2ef401ab9a17889c293af</v>
      </c>
      <c r="J579" s="11">
        <v>91.1199983031448</v>
      </c>
      <c r="K579" s="12">
        <v>202.48888511809955</v>
      </c>
      <c r="L579" s="13">
        <v>2.0248888511809955E20</v>
      </c>
      <c r="M579" s="9">
        <v>2.0248888511809958E19</v>
      </c>
    </row>
    <row r="580" ht="15.75" customHeight="1">
      <c r="A580" s="8"/>
      <c r="B580" s="8"/>
      <c r="C580" s="8"/>
      <c r="D580" s="8">
        <v>0.678983970456737</v>
      </c>
      <c r="E580" s="9" t="s">
        <v>589</v>
      </c>
      <c r="I580" s="12" t="str">
        <f>IFERROR(__xludf.DUMMYFUNCTION("""COMPUTED_VALUE"""),"0x2fe16a67a1bee772091de87504571ead62461b5b")</f>
        <v>0x2fe16a67a1bee772091de87504571ead62461b5b</v>
      </c>
      <c r="J580" s="11">
        <v>2.229643026901737</v>
      </c>
      <c r="K580" s="12">
        <v>4.95476228200386</v>
      </c>
      <c r="L580" s="13">
        <v>4.9547622820038595E18</v>
      </c>
      <c r="M580" s="9">
        <v>4.9547622820038598E17</v>
      </c>
    </row>
    <row r="581" ht="15.75" customHeight="1">
      <c r="A581" s="8"/>
      <c r="B581" s="8"/>
      <c r="C581" s="8"/>
      <c r="D581" s="8">
        <v>27.5554064460332</v>
      </c>
      <c r="E581" s="9" t="s">
        <v>590</v>
      </c>
      <c r="I581" s="12" t="str">
        <f>IFERROR(__xludf.DUMMYFUNCTION("""COMPUTED_VALUE"""),"0x3021f88ed12051f74798d0a115ff2b9becd1a687")</f>
        <v>0x3021f88ed12051f74798d0a115ff2b9becd1a687</v>
      </c>
      <c r="J581" s="11">
        <v>27.5554064460332</v>
      </c>
      <c r="K581" s="12">
        <v>61.23423654674044</v>
      </c>
      <c r="L581" s="13">
        <v>6.123423654674044E19</v>
      </c>
      <c r="M581" s="9">
        <v>6.1234236546740439E18</v>
      </c>
    </row>
    <row r="582" ht="15.75" customHeight="1">
      <c r="A582" s="8"/>
      <c r="B582" s="8"/>
      <c r="C582" s="8"/>
      <c r="D582" s="8">
        <v>27.9026907562088</v>
      </c>
      <c r="E582" s="9" t="s">
        <v>591</v>
      </c>
      <c r="I582" s="12" t="str">
        <f>IFERROR(__xludf.DUMMYFUNCTION("""COMPUTED_VALUE"""),"0x3024ed33d6be2cc4f5173e3f8384e17de279336f")</f>
        <v>0x3024ed33d6be2cc4f5173e3f8384e17de279336f</v>
      </c>
      <c r="J582" s="11">
        <v>303.71705061009584</v>
      </c>
      <c r="K582" s="12">
        <v>674.9267791335463</v>
      </c>
      <c r="L582" s="13">
        <v>6.749267791335463E20</v>
      </c>
      <c r="M582" s="9">
        <v>6.749267791335463E19</v>
      </c>
    </row>
    <row r="583" ht="15.75" customHeight="1">
      <c r="A583" s="8"/>
      <c r="B583" s="8"/>
      <c r="C583" s="8"/>
      <c r="D583" s="8">
        <v>24.0661834447639</v>
      </c>
      <c r="E583" s="9" t="s">
        <v>592</v>
      </c>
      <c r="I583" s="12" t="str">
        <f>IFERROR(__xludf.DUMMYFUNCTION("""COMPUTED_VALUE"""),"0x30352bbce30379e46f28205826ec672622b3572b")</f>
        <v>0x30352bbce30379e46f28205826ec672622b3572b</v>
      </c>
      <c r="J583" s="11">
        <v>24.0661834447639</v>
      </c>
      <c r="K583" s="12">
        <v>53.48040765503089</v>
      </c>
      <c r="L583" s="13">
        <v>5.348040765503089E19</v>
      </c>
      <c r="M583" s="9">
        <v>5.3480407655030897E18</v>
      </c>
    </row>
    <row r="584" ht="15.75" customHeight="1">
      <c r="A584" s="8"/>
      <c r="B584" s="8"/>
      <c r="C584" s="8"/>
      <c r="D584" s="8">
        <v>27.9026907562088</v>
      </c>
      <c r="E584" s="9" t="s">
        <v>593</v>
      </c>
      <c r="I584" s="12" t="str">
        <f>IFERROR(__xludf.DUMMYFUNCTION("""COMPUTED_VALUE"""),"0x303be27a459b6855197052e4526994116ce3c3b1")</f>
        <v>0x303be27a459b6855197052e4526994116ce3c3b1</v>
      </c>
      <c r="J584" s="11">
        <v>27.9026907562088</v>
      </c>
      <c r="K584" s="12">
        <v>62.005979458241775</v>
      </c>
      <c r="L584" s="13">
        <v>6.200597945824177E19</v>
      </c>
      <c r="M584" s="9">
        <v>6.2005979458241782E18</v>
      </c>
    </row>
    <row r="585" ht="15.75" customHeight="1">
      <c r="A585" s="8"/>
      <c r="B585" s="8"/>
      <c r="C585" s="8"/>
      <c r="D585" s="8">
        <v>27.9026907562088</v>
      </c>
      <c r="E585" s="9" t="s">
        <v>594</v>
      </c>
      <c r="I585" s="12" t="str">
        <f>IFERROR(__xludf.DUMMYFUNCTION("""COMPUTED_VALUE"""),"0x3048ec9806174f8ca951248c0d12ded9cda58cda")</f>
        <v>0x3048ec9806174f8ca951248c0d12ded9cda58cda</v>
      </c>
      <c r="J585" s="11">
        <v>98.16331837043286</v>
      </c>
      <c r="K585" s="12">
        <v>218.1407074898508</v>
      </c>
      <c r="L585" s="13">
        <v>2.181407074898508E20</v>
      </c>
      <c r="M585" s="9">
        <v>2.1814070748985078E19</v>
      </c>
    </row>
    <row r="586" ht="15.75" customHeight="1">
      <c r="A586" s="8"/>
      <c r="B586" s="8"/>
      <c r="C586" s="8"/>
      <c r="D586" s="8">
        <v>27.9026907562088</v>
      </c>
      <c r="E586" s="9" t="s">
        <v>595</v>
      </c>
      <c r="I586" s="12" t="str">
        <f>IFERROR(__xludf.DUMMYFUNCTION("""COMPUTED_VALUE"""),"0x3073a49de168ed966d7672733debaaee9f44e0bc")</f>
        <v>0x3073a49de168ed966d7672733debaaee9f44e0bc</v>
      </c>
      <c r="J586" s="11">
        <v>27.9026907562088</v>
      </c>
      <c r="K586" s="12">
        <v>62.005979458241775</v>
      </c>
      <c r="L586" s="13">
        <v>6.200597945824177E19</v>
      </c>
      <c r="M586" s="9">
        <v>6.2005979458241782E18</v>
      </c>
    </row>
    <row r="587" ht="15.75" customHeight="1">
      <c r="A587" s="8"/>
      <c r="B587" s="8"/>
      <c r="C587" s="8"/>
      <c r="D587" s="8">
        <v>27.9026907562088</v>
      </c>
      <c r="E587" s="9" t="s">
        <v>596</v>
      </c>
      <c r="I587" s="12" t="str">
        <f>IFERROR(__xludf.DUMMYFUNCTION("""COMPUTED_VALUE"""),"0x309156fcb6d32e6a117e578553df76b326b62e28")</f>
        <v>0x309156fcb6d32e6a117e578553df76b326b62e28</v>
      </c>
      <c r="J587" s="11">
        <v>91.1035399590742</v>
      </c>
      <c r="K587" s="12">
        <v>202.45231102016487</v>
      </c>
      <c r="L587" s="13">
        <v>2.0245231102016487E20</v>
      </c>
      <c r="M587" s="9">
        <v>2.0245231102016487E19</v>
      </c>
    </row>
    <row r="588" ht="15.75" customHeight="1">
      <c r="A588" s="8"/>
      <c r="B588" s="8"/>
      <c r="C588" s="8"/>
      <c r="D588" s="8">
        <v>27.9026907562088</v>
      </c>
      <c r="E588" s="9" t="s">
        <v>597</v>
      </c>
      <c r="I588" s="12" t="str">
        <f>IFERROR(__xludf.DUMMYFUNCTION("""COMPUTED_VALUE"""),"0x30a6a0931195ec35aeea531e74015a959ca73f9e")</f>
        <v>0x30a6a0931195ec35aeea531e74015a959ca73f9e</v>
      </c>
      <c r="J588" s="11">
        <v>91.1199983031448</v>
      </c>
      <c r="K588" s="12">
        <v>202.48888511809955</v>
      </c>
      <c r="L588" s="13">
        <v>2.0248888511809955E20</v>
      </c>
      <c r="M588" s="9">
        <v>2.0248888511809958E19</v>
      </c>
    </row>
    <row r="589" ht="15.75" customHeight="1">
      <c r="A589" s="8"/>
      <c r="B589" s="8"/>
      <c r="C589" s="8"/>
      <c r="D589" s="8">
        <v>27.9026907562088</v>
      </c>
      <c r="E589" s="9" t="s">
        <v>598</v>
      </c>
      <c r="I589" s="12" t="str">
        <f>IFERROR(__xludf.DUMMYFUNCTION("""COMPUTED_VALUE"""),"0x30b0c1f43dcf5783f21ec888be8709d98509b0d3")</f>
        <v>0x30b0c1f43dcf5783f21ec888be8709d98509b0d3</v>
      </c>
      <c r="J589" s="11">
        <v>145.2230477041919</v>
      </c>
      <c r="K589" s="12">
        <v>322.7178837870931</v>
      </c>
      <c r="L589" s="13">
        <v>3.227178837870931E20</v>
      </c>
      <c r="M589" s="9">
        <v>3.227178837870931E19</v>
      </c>
    </row>
    <row r="590" ht="15.75" customHeight="1">
      <c r="A590" s="8"/>
      <c r="B590" s="8"/>
      <c r="C590" s="8"/>
      <c r="D590" s="8">
        <v>27.9026907562088</v>
      </c>
      <c r="E590" s="9" t="s">
        <v>599</v>
      </c>
      <c r="I590" s="12" t="str">
        <f>IFERROR(__xludf.DUMMYFUNCTION("""COMPUTED_VALUE"""),"0x30d835d1abe9a88fbd4ff7ef2e221a372688258e")</f>
        <v>0x30d835d1abe9a88fbd4ff7ef2e221a372688258e</v>
      </c>
      <c r="J590" s="11">
        <v>27.9026907562088</v>
      </c>
      <c r="K590" s="12">
        <v>62.005979458241775</v>
      </c>
      <c r="L590" s="13">
        <v>6.200597945824177E19</v>
      </c>
      <c r="M590" s="9">
        <v>6.2005979458241782E18</v>
      </c>
    </row>
    <row r="591" ht="15.75" customHeight="1">
      <c r="A591" s="8"/>
      <c r="B591" s="8"/>
      <c r="C591" s="8"/>
      <c r="D591" s="8">
        <v>27.9026907562088</v>
      </c>
      <c r="E591" s="9" t="s">
        <v>600</v>
      </c>
      <c r="I591" s="12" t="str">
        <f>IFERROR(__xludf.DUMMYFUNCTION("""COMPUTED_VALUE"""),"0x30e996409627d6b820a5f7c9ff413680aad694cd")</f>
        <v>0x30e996409627d6b820a5f7c9ff413680aad694cd</v>
      </c>
      <c r="J591" s="11">
        <v>91.1199983031448</v>
      </c>
      <c r="K591" s="12">
        <v>202.48888511809955</v>
      </c>
      <c r="L591" s="13">
        <v>2.0248888511809955E20</v>
      </c>
      <c r="M591" s="9">
        <v>2.0248888511809958E19</v>
      </c>
    </row>
    <row r="592" ht="15.75" customHeight="1">
      <c r="A592" s="8"/>
      <c r="B592" s="8"/>
      <c r="C592" s="8"/>
      <c r="D592" s="8">
        <v>20.9834973299018</v>
      </c>
      <c r="E592" s="9" t="s">
        <v>601</v>
      </c>
      <c r="I592" s="12" t="str">
        <f>IFERROR(__xludf.DUMMYFUNCTION("""COMPUTED_VALUE"""),"0x30f0a1c19b1b0103cf23603951edd18788ea2a7e")</f>
        <v>0x30f0a1c19b1b0103cf23603951edd18788ea2a7e</v>
      </c>
      <c r="J592" s="11">
        <v>20.9834973299018</v>
      </c>
      <c r="K592" s="12">
        <v>46.62999406644845</v>
      </c>
      <c r="L592" s="13">
        <v>4.662999406644845E19</v>
      </c>
      <c r="M592" s="9">
        <v>4.6629994066448456E18</v>
      </c>
    </row>
    <row r="593" ht="15.75" customHeight="1">
      <c r="A593" s="8"/>
      <c r="B593" s="8"/>
      <c r="C593" s="8"/>
      <c r="D593" s="8">
        <v>27.9026907562088</v>
      </c>
      <c r="E593" s="9" t="s">
        <v>602</v>
      </c>
      <c r="I593" s="12" t="str">
        <f>IFERROR(__xludf.DUMMYFUNCTION("""COMPUTED_VALUE"""),"0x30f0e0eb6f2888562974740c343bca1a2f1961fe")</f>
        <v>0x30f0e0eb6f2888562974740c343bca1a2f1961fe</v>
      </c>
      <c r="J593" s="11">
        <v>91.1199983031448</v>
      </c>
      <c r="K593" s="12">
        <v>202.48888511809955</v>
      </c>
      <c r="L593" s="13">
        <v>2.0248888511809955E20</v>
      </c>
      <c r="M593" s="9">
        <v>2.0248888511809958E19</v>
      </c>
    </row>
    <row r="594" ht="15.75" customHeight="1">
      <c r="A594" s="8"/>
      <c r="B594" s="8"/>
      <c r="C594" s="8"/>
      <c r="D594" s="8">
        <v>27.9026907562088</v>
      </c>
      <c r="E594" s="9" t="s">
        <v>603</v>
      </c>
      <c r="I594" s="12" t="str">
        <f>IFERROR(__xludf.DUMMYFUNCTION("""COMPUTED_VALUE"""),"0x30f967d437538a2b589f76c10abb43e035444065")</f>
        <v>0x30f967d437538a2b589f76c10abb43e035444065</v>
      </c>
      <c r="J594" s="11">
        <v>27.9026907562088</v>
      </c>
      <c r="K594" s="12">
        <v>62.005979458241775</v>
      </c>
      <c r="L594" s="13">
        <v>6.200597945824177E19</v>
      </c>
      <c r="M594" s="9">
        <v>6.2005979458241782E18</v>
      </c>
    </row>
    <row r="595" ht="15.75" customHeight="1">
      <c r="A595" s="8"/>
      <c r="B595" s="8"/>
      <c r="C595" s="8"/>
      <c r="D595" s="8">
        <v>22.5782648506706</v>
      </c>
      <c r="E595" s="9" t="s">
        <v>604</v>
      </c>
      <c r="I595" s="12" t="str">
        <f>IFERROR(__xludf.DUMMYFUNCTION("""COMPUTED_VALUE"""),"0x30fe0d8d2d81ea568ff60b6e28ab74eb7e548cb0")</f>
        <v>0x30fe0d8d2d81ea568ff60b6e28ab74eb7e548cb0</v>
      </c>
      <c r="J595" s="11">
        <v>287.3044709306126</v>
      </c>
      <c r="K595" s="12">
        <v>638.4543798458058</v>
      </c>
      <c r="L595" s="13">
        <v>6.384543798458058E20</v>
      </c>
      <c r="M595" s="9">
        <v>6.384543798458058E19</v>
      </c>
    </row>
    <row r="596" ht="15.75" customHeight="1">
      <c r="A596" s="8"/>
      <c r="B596" s="8"/>
      <c r="C596" s="8"/>
      <c r="D596" s="8">
        <v>27.9026907562088</v>
      </c>
      <c r="E596" s="9" t="s">
        <v>605</v>
      </c>
      <c r="I596" s="12" t="str">
        <f>IFERROR(__xludf.DUMMYFUNCTION("""COMPUTED_VALUE"""),"0x311e49cff57111a7fe2e6d7bdd03874dafa2efac")</f>
        <v>0x311e49cff57111a7fe2e6d7bdd03874dafa2efac</v>
      </c>
      <c r="J596" s="11">
        <v>27.9026907562088</v>
      </c>
      <c r="K596" s="12">
        <v>62.005979458241775</v>
      </c>
      <c r="L596" s="13">
        <v>6.200597945824177E19</v>
      </c>
      <c r="M596" s="9">
        <v>6.2005979458241782E18</v>
      </c>
    </row>
    <row r="597" ht="15.75" customHeight="1">
      <c r="A597" s="8"/>
      <c r="B597" s="8"/>
      <c r="C597" s="8"/>
      <c r="D597" s="8">
        <v>27.9026907562088</v>
      </c>
      <c r="E597" s="9" t="s">
        <v>606</v>
      </c>
      <c r="I597" s="12" t="str">
        <f>IFERROR(__xludf.DUMMYFUNCTION("""COMPUTED_VALUE"""),"0x3136bf1ebc4f6225d2b7aa2965a7498948596bb5")</f>
        <v>0x3136bf1ebc4f6225d2b7aa2965a7498948596bb5</v>
      </c>
      <c r="J597" s="11">
        <v>91.1199983031448</v>
      </c>
      <c r="K597" s="12">
        <v>202.48888511809955</v>
      </c>
      <c r="L597" s="13">
        <v>2.0248888511809955E20</v>
      </c>
      <c r="M597" s="9">
        <v>2.0248888511809958E19</v>
      </c>
    </row>
    <row r="598" ht="15.75" customHeight="1">
      <c r="A598" s="8"/>
      <c r="B598" s="8"/>
      <c r="C598" s="8"/>
      <c r="D598" s="8">
        <v>27.9026907562088</v>
      </c>
      <c r="E598" s="9" t="s">
        <v>607</v>
      </c>
      <c r="I598" s="12" t="str">
        <f>IFERROR(__xludf.DUMMYFUNCTION("""COMPUTED_VALUE"""),"0x313a0b647c5e05347e25d92c17866a8bb486332f")</f>
        <v>0x313a0b647c5e05347e25d92c17866a8bb486332f</v>
      </c>
      <c r="J598" s="11">
        <v>91.1199983031448</v>
      </c>
      <c r="K598" s="12">
        <v>202.48888511809955</v>
      </c>
      <c r="L598" s="13">
        <v>2.0248888511809955E20</v>
      </c>
      <c r="M598" s="9">
        <v>2.0248888511809958E19</v>
      </c>
    </row>
    <row r="599" ht="15.75" customHeight="1">
      <c r="A599" s="8"/>
      <c r="B599" s="8"/>
      <c r="C599" s="8"/>
      <c r="D599" s="8">
        <v>26.2549922023321</v>
      </c>
      <c r="E599" s="9" t="s">
        <v>608</v>
      </c>
      <c r="I599" s="12" t="str">
        <f>IFERROR(__xludf.DUMMYFUNCTION("""COMPUTED_VALUE"""),"0x31713c913399dc88808b64e86429a0c748a060c7")</f>
        <v>0x31713c913399dc88808b64e86429a0c748a060c7</v>
      </c>
      <c r="J599" s="11">
        <v>86.0877130633926</v>
      </c>
      <c r="K599" s="12">
        <v>191.30602902976133</v>
      </c>
      <c r="L599" s="13">
        <v>1.9130602902976132E20</v>
      </c>
      <c r="M599" s="9">
        <v>1.913060290297613E19</v>
      </c>
    </row>
    <row r="600" ht="15.75" customHeight="1">
      <c r="A600" s="8"/>
      <c r="B600" s="8"/>
      <c r="C600" s="8"/>
      <c r="D600" s="8">
        <v>27.9026907562088</v>
      </c>
      <c r="E600" s="9" t="s">
        <v>609</v>
      </c>
      <c r="I600" s="12" t="str">
        <f>IFERROR(__xludf.DUMMYFUNCTION("""COMPUTED_VALUE"""),"0x3180c70a403ec1e65de4eeb1a7ca23a5c11c4171")</f>
        <v>0x3180c70a403ec1e65de4eeb1a7ca23a5c11c4171</v>
      </c>
      <c r="J600" s="11">
        <v>27.9026907562088</v>
      </c>
      <c r="K600" s="12">
        <v>62.005979458241775</v>
      </c>
      <c r="L600" s="13">
        <v>6.200597945824177E19</v>
      </c>
      <c r="M600" s="9">
        <v>6.2005979458241782E18</v>
      </c>
    </row>
    <row r="601" ht="15.75" customHeight="1">
      <c r="A601" s="8"/>
      <c r="B601" s="8"/>
      <c r="C601" s="8"/>
      <c r="D601" s="8">
        <v>27.9026907562088</v>
      </c>
      <c r="E601" s="9" t="s">
        <v>610</v>
      </c>
      <c r="I601" s="12" t="str">
        <f>IFERROR(__xludf.DUMMYFUNCTION("""COMPUTED_VALUE"""),"0x31973ce340bba4b5711e637e658696472e4384e7")</f>
        <v>0x31973ce340bba4b5711e637e658696472e4384e7</v>
      </c>
      <c r="J601" s="11">
        <v>91.1199983031448</v>
      </c>
      <c r="K601" s="12">
        <v>202.48888511809955</v>
      </c>
      <c r="L601" s="13">
        <v>2.0248888511809955E20</v>
      </c>
      <c r="M601" s="9">
        <v>2.0248888511809958E19</v>
      </c>
    </row>
    <row r="602" ht="15.75" customHeight="1">
      <c r="A602" s="8"/>
      <c r="B602" s="8"/>
      <c r="C602" s="8"/>
      <c r="D602" s="8">
        <v>27.9026907562088</v>
      </c>
      <c r="E602" s="9" t="s">
        <v>611</v>
      </c>
      <c r="I602" s="12" t="str">
        <f>IFERROR(__xludf.DUMMYFUNCTION("""COMPUTED_VALUE"""),"0x31c919723c29f5efe10cee0c28789f85946ac6b9")</f>
        <v>0x31c919723c29f5efe10cee0c28789f85946ac6b9</v>
      </c>
      <c r="J602" s="11">
        <v>118.4623373025801</v>
      </c>
      <c r="K602" s="12">
        <v>263.249638450178</v>
      </c>
      <c r="L602" s="13">
        <v>2.63249638450178E20</v>
      </c>
      <c r="M602" s="9">
        <v>2.63249638450178E19</v>
      </c>
    </row>
    <row r="603" ht="15.75" customHeight="1">
      <c r="A603" s="8"/>
      <c r="B603" s="8"/>
      <c r="C603" s="8"/>
      <c r="D603" s="8">
        <v>7.01150289255772</v>
      </c>
      <c r="E603" s="9" t="s">
        <v>612</v>
      </c>
      <c r="I603" s="12" t="str">
        <f>IFERROR(__xludf.DUMMYFUNCTION("""COMPUTED_VALUE"""),"0x31d106ae61c02c937386d8110f9dd497d623a049")</f>
        <v>0x31d106ae61c02c937386d8110f9dd497d623a049</v>
      </c>
      <c r="J603" s="11">
        <v>27.137073521671056</v>
      </c>
      <c r="K603" s="12">
        <v>60.304607825935676</v>
      </c>
      <c r="L603" s="13">
        <v>6.030460782593568E19</v>
      </c>
      <c r="M603" s="9">
        <v>6.0304607825935688E18</v>
      </c>
    </row>
    <row r="604" ht="15.75" customHeight="1">
      <c r="A604" s="8"/>
      <c r="B604" s="8"/>
      <c r="C604" s="8"/>
      <c r="D604" s="8">
        <v>27.9026907562088</v>
      </c>
      <c r="E604" s="9" t="s">
        <v>613</v>
      </c>
      <c r="I604" s="12" t="str">
        <f>IFERROR(__xludf.DUMMYFUNCTION("""COMPUTED_VALUE"""),"0x31dd3bceb6f8fd6d944c851c963ddc7145046f16")</f>
        <v>0x31dd3bceb6f8fd6d944c851c963ddc7145046f16</v>
      </c>
      <c r="J604" s="11">
        <v>27.9026907562088</v>
      </c>
      <c r="K604" s="12">
        <v>62.005979458241775</v>
      </c>
      <c r="L604" s="13">
        <v>6.200597945824177E19</v>
      </c>
      <c r="M604" s="9">
        <v>6.2005979458241782E18</v>
      </c>
    </row>
    <row r="605" ht="15.75" customHeight="1">
      <c r="A605" s="8"/>
      <c r="B605" s="8"/>
      <c r="C605" s="8"/>
      <c r="D605" s="8">
        <v>27.5815333172871</v>
      </c>
      <c r="E605" s="9" t="s">
        <v>614</v>
      </c>
      <c r="I605" s="12" t="str">
        <f>IFERROR(__xludf.DUMMYFUNCTION("""COMPUTED_VALUE"""),"0x31f0e0142067f74dde6166ce03d6b007f29a2da5")</f>
        <v>0x31f0e0142067f74dde6166ce03d6b007f29a2da5</v>
      </c>
      <c r="J605" s="11">
        <v>27.5815333172871</v>
      </c>
      <c r="K605" s="12">
        <v>61.292296260638</v>
      </c>
      <c r="L605" s="13">
        <v>6.1292296260638E19</v>
      </c>
      <c r="M605" s="9">
        <v>6.1292296260638003E18</v>
      </c>
    </row>
    <row r="606" ht="15.75" customHeight="1">
      <c r="A606" s="8"/>
      <c r="B606" s="8"/>
      <c r="C606" s="8"/>
      <c r="D606" s="8">
        <v>27.9026907562088</v>
      </c>
      <c r="E606" s="9" t="s">
        <v>615</v>
      </c>
      <c r="I606" s="12" t="str">
        <f>IFERROR(__xludf.DUMMYFUNCTION("""COMPUTED_VALUE"""),"0x3202b6139dc9c991cdb8a3acea318872b92af1b6")</f>
        <v>0x3202b6139dc9c991cdb8a3acea318872b92af1b6</v>
      </c>
      <c r="J606" s="11">
        <v>27.9026907562088</v>
      </c>
      <c r="K606" s="12">
        <v>62.005979458241775</v>
      </c>
      <c r="L606" s="13">
        <v>6.200597945824177E19</v>
      </c>
      <c r="M606" s="9">
        <v>6.2005979458241782E18</v>
      </c>
    </row>
    <row r="607" ht="15.75" customHeight="1">
      <c r="A607" s="8"/>
      <c r="B607" s="8"/>
      <c r="C607" s="8"/>
      <c r="D607" s="8">
        <v>18.781283035464</v>
      </c>
      <c r="E607" s="9" t="s">
        <v>616</v>
      </c>
      <c r="I607" s="12" t="str">
        <f>IFERROR(__xludf.DUMMYFUNCTION("""COMPUTED_VALUE"""),"0x321dcbb52282dfb4304d12e431c095095e1d8807")</f>
        <v>0x321dcbb52282dfb4304d12e431c095095e1d8807</v>
      </c>
      <c r="J607" s="11">
        <v>18.781283035464</v>
      </c>
      <c r="K607" s="12">
        <v>41.736184523253335</v>
      </c>
      <c r="L607" s="13">
        <v>4.173618452325333E19</v>
      </c>
      <c r="M607" s="9">
        <v>4.1736184523253335E18</v>
      </c>
    </row>
    <row r="608" ht="15.75" customHeight="1">
      <c r="A608" s="8"/>
      <c r="B608" s="8"/>
      <c r="C608" s="8"/>
      <c r="D608" s="8">
        <v>27.5418222447211</v>
      </c>
      <c r="E608" s="9" t="s">
        <v>617</v>
      </c>
      <c r="I608" s="12" t="str">
        <f>IFERROR(__xludf.DUMMYFUNCTION("""COMPUTED_VALUE"""),"0x3249c72d2dabf00f8d2083de9852f0900da5b3d4")</f>
        <v>0x3249c72d2dabf00f8d2083de9852f0900da5b3d4</v>
      </c>
      <c r="J608" s="11">
        <v>31.36160096912092</v>
      </c>
      <c r="K608" s="12">
        <v>69.69244659804649</v>
      </c>
      <c r="L608" s="13">
        <v>6.969244659804649E19</v>
      </c>
      <c r="M608" s="9">
        <v>6.9692446598046495E18</v>
      </c>
    </row>
    <row r="609" ht="15.75" customHeight="1">
      <c r="A609" s="8"/>
      <c r="B609" s="8"/>
      <c r="C609" s="8"/>
      <c r="D609" s="8">
        <v>27.9026907562088</v>
      </c>
      <c r="E609" s="9" t="s">
        <v>618</v>
      </c>
      <c r="I609" s="12" t="str">
        <f>IFERROR(__xludf.DUMMYFUNCTION("""COMPUTED_VALUE"""),"0x32527ca6ec2b85abaca0fb2dd3878e5b7bb5b370")</f>
        <v>0x32527ca6ec2b85abaca0fb2dd3878e5b7bb5b370</v>
      </c>
      <c r="J609" s="11">
        <v>91.1199983031448</v>
      </c>
      <c r="K609" s="12">
        <v>202.48888511809955</v>
      </c>
      <c r="L609" s="13">
        <v>2.0248888511809955E20</v>
      </c>
      <c r="M609" s="9">
        <v>2.0248888511809958E19</v>
      </c>
    </row>
    <row r="610" ht="15.75" customHeight="1">
      <c r="A610" s="8"/>
      <c r="B610" s="8"/>
      <c r="C610" s="8"/>
      <c r="D610" s="8">
        <v>3.68914645853803</v>
      </c>
      <c r="E610" s="9" t="s">
        <v>619</v>
      </c>
      <c r="I610" s="12" t="str">
        <f>IFERROR(__xludf.DUMMYFUNCTION("""COMPUTED_VALUE"""),"0x325409632bccffac706d378a2eca57cafa21ab11")</f>
        <v>0x325409632bccffac706d378a2eca57cafa21ab11</v>
      </c>
      <c r="J610" s="11">
        <v>3.68914645853803</v>
      </c>
      <c r="K610" s="12">
        <v>8.198103241195621</v>
      </c>
      <c r="L610" s="13">
        <v>8.1981032411956214E18</v>
      </c>
      <c r="M610" s="9">
        <v>8.1981032411956224E17</v>
      </c>
    </row>
    <row r="611" ht="15.75" customHeight="1">
      <c r="A611" s="8"/>
      <c r="B611" s="8"/>
      <c r="C611" s="8"/>
      <c r="D611" s="8">
        <v>27.9026907562088</v>
      </c>
      <c r="E611" s="9" t="s">
        <v>620</v>
      </c>
      <c r="I611" s="12" t="str">
        <f>IFERROR(__xludf.DUMMYFUNCTION("""COMPUTED_VALUE"""),"0x3273b47cd24f798735e9d6e4a0fb853055873ecb")</f>
        <v>0x3273b47cd24f798735e9d6e4a0fb853055873ecb</v>
      </c>
      <c r="J611" s="11">
        <v>91.1199983031448</v>
      </c>
      <c r="K611" s="12">
        <v>202.48888511809955</v>
      </c>
      <c r="L611" s="13">
        <v>2.0248888511809955E20</v>
      </c>
      <c r="M611" s="9">
        <v>2.0248888511809958E19</v>
      </c>
    </row>
    <row r="612" ht="15.75" customHeight="1">
      <c r="A612" s="8"/>
      <c r="B612" s="8"/>
      <c r="C612" s="8"/>
      <c r="D612" s="8">
        <v>27.9026907562088</v>
      </c>
      <c r="E612" s="9" t="s">
        <v>621</v>
      </c>
      <c r="I612" s="12" t="str">
        <f>IFERROR(__xludf.DUMMYFUNCTION("""COMPUTED_VALUE"""),"0x327df7dc9cd89ac4928217d715ee7a074be13c64")</f>
        <v>0x327df7dc9cd89ac4928217d715ee7a074be13c64</v>
      </c>
      <c r="J612" s="11">
        <v>27.9026907562088</v>
      </c>
      <c r="K612" s="12">
        <v>62.005979458241775</v>
      </c>
      <c r="L612" s="13">
        <v>6.200597945824177E19</v>
      </c>
      <c r="M612" s="9">
        <v>6.2005979458241782E18</v>
      </c>
    </row>
    <row r="613" ht="15.75" customHeight="1">
      <c r="A613" s="8"/>
      <c r="B613" s="8"/>
      <c r="C613" s="8"/>
      <c r="D613" s="8">
        <v>26.3931793115035</v>
      </c>
      <c r="E613" s="9" t="s">
        <v>622</v>
      </c>
      <c r="I613" s="12" t="str">
        <f>IFERROR(__xludf.DUMMYFUNCTION("""COMPUTED_VALUE"""),"0x32bb6d2fdf96b7dafd506bb06d2dcb64cf75b3a7")</f>
        <v>0x32bb6d2fdf96b7dafd506bb06d2dcb64cf75b3a7</v>
      </c>
      <c r="J613" s="11">
        <v>26.3931793115035</v>
      </c>
      <c r="K613" s="12">
        <v>58.65150958111889</v>
      </c>
      <c r="L613" s="13">
        <v>5.865150958111889E19</v>
      </c>
      <c r="M613" s="9">
        <v>5.8651509581118894E18</v>
      </c>
    </row>
    <row r="614" ht="15.75" customHeight="1">
      <c r="A614" s="8"/>
      <c r="B614" s="8"/>
      <c r="C614" s="8"/>
      <c r="D614" s="8">
        <v>27.9026907562088</v>
      </c>
      <c r="E614" s="9" t="s">
        <v>623</v>
      </c>
      <c r="I614" s="12" t="str">
        <f>IFERROR(__xludf.DUMMYFUNCTION("""COMPUTED_VALUE"""),"0x32c51b4497fb063bdc899f24efd376bf9390f9f8")</f>
        <v>0x32c51b4497fb063bdc899f24efd376bf9390f9f8</v>
      </c>
      <c r="J614" s="11">
        <v>27.9026907562088</v>
      </c>
      <c r="K614" s="12">
        <v>62.005979458241775</v>
      </c>
      <c r="L614" s="13">
        <v>6.200597945824177E19</v>
      </c>
      <c r="M614" s="9">
        <v>6.2005979458241782E18</v>
      </c>
    </row>
    <row r="615" ht="15.75" customHeight="1">
      <c r="A615" s="8"/>
      <c r="B615" s="8"/>
      <c r="C615" s="8"/>
      <c r="D615" s="8">
        <v>12.5615760434776</v>
      </c>
      <c r="E615" s="9" t="s">
        <v>624</v>
      </c>
      <c r="I615" s="12" t="str">
        <f>IFERROR(__xludf.DUMMYFUNCTION("""COMPUTED_VALUE"""),"0x32de0d22b267c84655c1cb103d25a7d076491ea5")</f>
        <v>0x32de0d22b267c84655c1cb103d25a7d076491ea5</v>
      </c>
      <c r="J615" s="11">
        <v>41.6069230586931</v>
      </c>
      <c r="K615" s="12">
        <v>92.459829019318</v>
      </c>
      <c r="L615" s="13">
        <v>9.2459829019318E19</v>
      </c>
      <c r="M615" s="9">
        <v>9.2459829019318E18</v>
      </c>
    </row>
    <row r="616" ht="15.75" customHeight="1">
      <c r="A616" s="8"/>
      <c r="B616" s="8"/>
      <c r="C616" s="8"/>
      <c r="D616" s="8">
        <v>24.6995571766293</v>
      </c>
      <c r="E616" s="9" t="s">
        <v>625</v>
      </c>
      <c r="I616" s="12" t="str">
        <f>IFERROR(__xludf.DUMMYFUNCTION("""COMPUTED_VALUE"""),"0x32ebe13827da21d1b3e0ed39d5ac19877ba8c03d")</f>
        <v>0x32ebe13827da21d1b3e0ed39d5ac19877ba8c03d</v>
      </c>
      <c r="J616" s="11">
        <v>24.6995571766293</v>
      </c>
      <c r="K616" s="12">
        <v>54.88790483695399</v>
      </c>
      <c r="L616" s="13">
        <v>5.488790483695399E19</v>
      </c>
      <c r="M616" s="9">
        <v>5.4887904836953989E18</v>
      </c>
    </row>
    <row r="617" ht="15.75" customHeight="1">
      <c r="A617" s="8"/>
      <c r="B617" s="8"/>
      <c r="C617" s="8"/>
      <c r="D617" s="8">
        <v>27.9026907562088</v>
      </c>
      <c r="E617" s="9" t="s">
        <v>626</v>
      </c>
      <c r="I617" s="12" t="str">
        <f>IFERROR(__xludf.DUMMYFUNCTION("""COMPUTED_VALUE"""),"0x32f15512417160a2bcf2b188bc52759e710bb701")</f>
        <v>0x32f15512417160a2bcf2b188bc52759e710bb701</v>
      </c>
      <c r="J617" s="11">
        <v>128.695662244962</v>
      </c>
      <c r="K617" s="12">
        <v>285.99036054436</v>
      </c>
      <c r="L617" s="13">
        <v>2.8599036054435997E20</v>
      </c>
      <c r="M617" s="9">
        <v>2.8599036054436E19</v>
      </c>
    </row>
    <row r="618" ht="15.75" customHeight="1">
      <c r="A618" s="8"/>
      <c r="B618" s="8"/>
      <c r="C618" s="8"/>
      <c r="D618" s="8">
        <v>24.2524306025925</v>
      </c>
      <c r="E618" s="9" t="s">
        <v>627</v>
      </c>
      <c r="I618" s="12" t="str">
        <f>IFERROR(__xludf.DUMMYFUNCTION("""COMPUTED_VALUE"""),"0x32fa4c9ec4c70ef1287474d4332e24c35a6dae30")</f>
        <v>0x32fa4c9ec4c70ef1287474d4332e24c35a6dae30</v>
      </c>
      <c r="J618" s="11">
        <v>35.3612738835278</v>
      </c>
      <c r="K618" s="12">
        <v>78.58060863006177</v>
      </c>
      <c r="L618" s="13">
        <v>7.858060863006178E19</v>
      </c>
      <c r="M618" s="9">
        <v>7.8580608630061783E18</v>
      </c>
    </row>
    <row r="619" ht="15.75" customHeight="1">
      <c r="A619" s="8"/>
      <c r="B619" s="8"/>
      <c r="C619" s="8"/>
      <c r="D619" s="8">
        <v>25.309902982893</v>
      </c>
      <c r="E619" s="9" t="s">
        <v>628</v>
      </c>
      <c r="I619" s="12" t="str">
        <f>IFERROR(__xludf.DUMMYFUNCTION("""COMPUTED_VALUE"""),"0x331ce0086f3f27e328ea7c236fc5ff22cb777433")</f>
        <v>0x331ce0086f3f27e328ea7c236fc5ff22cb777433</v>
      </c>
      <c r="J619" s="11">
        <v>91.81883318653627</v>
      </c>
      <c r="K619" s="12">
        <v>204.04185152563613</v>
      </c>
      <c r="L619" s="13">
        <v>2.0404185152563613E20</v>
      </c>
      <c r="M619" s="9">
        <v>2.0404185152563614E19</v>
      </c>
    </row>
    <row r="620" ht="15.75" customHeight="1">
      <c r="A620" s="8"/>
      <c r="B620" s="8"/>
      <c r="C620" s="8"/>
      <c r="D620" s="8">
        <v>26.2610299286191</v>
      </c>
      <c r="E620" s="9" t="s">
        <v>629</v>
      </c>
      <c r="I620" s="12" t="str">
        <f>IFERROR(__xludf.DUMMYFUNCTION("""COMPUTED_VALUE"""),"0x33246dc26eededa2aa9f6ffe7f1425b7ce4a0b5a")</f>
        <v>0x33246dc26eededa2aa9f6ffe7f1425b7ce4a0b5a</v>
      </c>
      <c r="J620" s="11">
        <v>26.2610299286191</v>
      </c>
      <c r="K620" s="12">
        <v>58.35784428582022</v>
      </c>
      <c r="L620" s="13">
        <v>5.835784428582022E19</v>
      </c>
      <c r="M620" s="9">
        <v>5.8357844285820232E18</v>
      </c>
    </row>
    <row r="621" ht="15.75" customHeight="1">
      <c r="A621" s="8"/>
      <c r="B621" s="8"/>
      <c r="C621" s="8"/>
      <c r="D621" s="8">
        <v>27.9026907562088</v>
      </c>
      <c r="E621" s="9" t="s">
        <v>630</v>
      </c>
      <c r="I621" s="12" t="str">
        <f>IFERROR(__xludf.DUMMYFUNCTION("""COMPUTED_VALUE"""),"0x33606a65801be4cdd0c40c1e6b59f13165352e50")</f>
        <v>0x33606a65801be4cdd0c40c1e6b59f13165352e50</v>
      </c>
      <c r="J621" s="11">
        <v>27.9026907562088</v>
      </c>
      <c r="K621" s="12">
        <v>62.005979458241775</v>
      </c>
      <c r="L621" s="13">
        <v>6.200597945824177E19</v>
      </c>
      <c r="M621" s="9">
        <v>6.2005979458241782E18</v>
      </c>
    </row>
    <row r="622" ht="15.75" customHeight="1">
      <c r="A622" s="8"/>
      <c r="B622" s="8"/>
      <c r="C622" s="8"/>
      <c r="D622" s="8">
        <v>27.9026907562088</v>
      </c>
      <c r="E622" s="9" t="s">
        <v>631</v>
      </c>
      <c r="I622" s="12" t="str">
        <f>IFERROR(__xludf.DUMMYFUNCTION("""COMPUTED_VALUE"""),"0x33612de43472ba67bb8d25675cf0d9fcf7cc64a6")</f>
        <v>0x33612de43472ba67bb8d25675cf0d9fcf7cc64a6</v>
      </c>
      <c r="J622" s="11">
        <v>27.9026907562088</v>
      </c>
      <c r="K622" s="12">
        <v>62.005979458241775</v>
      </c>
      <c r="L622" s="13">
        <v>6.200597945824177E19</v>
      </c>
      <c r="M622" s="9">
        <v>6.2005979458241782E18</v>
      </c>
    </row>
    <row r="623" ht="15.75" customHeight="1">
      <c r="A623" s="8"/>
      <c r="B623" s="8"/>
      <c r="C623" s="8"/>
      <c r="D623" s="8">
        <v>27.9026907562088</v>
      </c>
      <c r="E623" s="9" t="s">
        <v>632</v>
      </c>
      <c r="I623" s="12" t="str">
        <f>IFERROR(__xludf.DUMMYFUNCTION("""COMPUTED_VALUE"""),"0x337b9a57187d7c80a7ba8f773512403a0edcc14b")</f>
        <v>0x337b9a57187d7c80a7ba8f773512403a0edcc14b</v>
      </c>
      <c r="J623" s="11">
        <v>286.62172586033876</v>
      </c>
      <c r="K623" s="12">
        <v>636.9371685785305</v>
      </c>
      <c r="L623" s="13">
        <v>6.369371685785305E20</v>
      </c>
      <c r="M623" s="9">
        <v>6.369371685785305E19</v>
      </c>
    </row>
    <row r="624" ht="15.75" customHeight="1">
      <c r="A624" s="8"/>
      <c r="B624" s="8"/>
      <c r="C624" s="8"/>
      <c r="D624" s="8">
        <v>23.1855205288211</v>
      </c>
      <c r="E624" s="9" t="s">
        <v>633</v>
      </c>
      <c r="I624" s="12" t="str">
        <f>IFERROR(__xludf.DUMMYFUNCTION("""COMPUTED_VALUE"""),"0x33822df32268e7befb00775cb808278e53eb4341")</f>
        <v>0x33822df32268e7befb00775cb808278e53eb4341</v>
      </c>
      <c r="J624" s="11">
        <v>23.1855205288211</v>
      </c>
      <c r="K624" s="12">
        <v>51.52337895293578</v>
      </c>
      <c r="L624" s="13">
        <v>5.152337895293578E19</v>
      </c>
      <c r="M624" s="9">
        <v>5.1523378952935782E18</v>
      </c>
    </row>
    <row r="625" ht="15.75" customHeight="1">
      <c r="A625" s="8"/>
      <c r="B625" s="8"/>
      <c r="C625" s="8"/>
      <c r="D625" s="8">
        <v>27.9026907562088</v>
      </c>
      <c r="E625" s="9" t="s">
        <v>634</v>
      </c>
      <c r="I625" s="12" t="str">
        <f>IFERROR(__xludf.DUMMYFUNCTION("""COMPUTED_VALUE"""),"0x33bf568ef0f436b009a81520f9bccf8e2124d18d")</f>
        <v>0x33bf568ef0f436b009a81520f9bccf8e2124d18d</v>
      </c>
      <c r="J625" s="11">
        <v>91.1199983031448</v>
      </c>
      <c r="K625" s="12">
        <v>202.48888511809955</v>
      </c>
      <c r="L625" s="13">
        <v>2.0248888511809955E20</v>
      </c>
      <c r="M625" s="9">
        <v>2.0248888511809958E19</v>
      </c>
    </row>
    <row r="626" ht="15.75" customHeight="1">
      <c r="A626" s="8"/>
      <c r="B626" s="8"/>
      <c r="C626" s="8"/>
      <c r="D626" s="8">
        <v>27.9026907562088</v>
      </c>
      <c r="E626" s="9" t="s">
        <v>635</v>
      </c>
      <c r="I626" s="12" t="str">
        <f>IFERROR(__xludf.DUMMYFUNCTION("""COMPUTED_VALUE"""),"0x33c08a350b61e200e9838bb20a216ca9cdff8852")</f>
        <v>0x33c08a350b61e200e9838bb20a216ca9cdff8852</v>
      </c>
      <c r="J626" s="11">
        <v>91.1199983031448</v>
      </c>
      <c r="K626" s="12">
        <v>202.48888511809955</v>
      </c>
      <c r="L626" s="13">
        <v>2.0248888511809955E20</v>
      </c>
      <c r="M626" s="9">
        <v>2.0248888511809958E19</v>
      </c>
    </row>
    <row r="627" ht="15.75" customHeight="1">
      <c r="A627" s="8"/>
      <c r="B627" s="8"/>
      <c r="C627" s="8"/>
      <c r="D627" s="8">
        <v>6.14349515519944</v>
      </c>
      <c r="E627" s="9" t="s">
        <v>636</v>
      </c>
      <c r="I627" s="12" t="str">
        <f>IFERROR(__xludf.DUMMYFUNCTION("""COMPUTED_VALUE"""),"0x33c605544d15d8530a85509cf343ca50d8850439")</f>
        <v>0x33c605544d15d8530a85509cf343ca50d8850439</v>
      </c>
      <c r="J627" s="11">
        <v>6.14349515519944</v>
      </c>
      <c r="K627" s="12">
        <v>13.652211455998755</v>
      </c>
      <c r="L627" s="13">
        <v>1.3652211455998755E19</v>
      </c>
      <c r="M627" s="9">
        <v>1.36522114559987558E18</v>
      </c>
    </row>
    <row r="628" ht="15.75" customHeight="1">
      <c r="A628" s="8"/>
      <c r="B628" s="8"/>
      <c r="C628" s="8"/>
      <c r="D628" s="8">
        <v>24.5705650943976</v>
      </c>
      <c r="E628" s="9" t="s">
        <v>637</v>
      </c>
      <c r="I628" s="12" t="str">
        <f>IFERROR(__xludf.DUMMYFUNCTION("""COMPUTED_VALUE"""),"0x3403911edcfb7cab9269b7f20ccb489f9e309d38")</f>
        <v>0x3403911edcfb7cab9269b7f20ccb489f9e309d38</v>
      </c>
      <c r="J628" s="11">
        <v>24.5705650943976</v>
      </c>
      <c r="K628" s="12">
        <v>54.601255765328</v>
      </c>
      <c r="L628" s="13">
        <v>5.4601255765327995E19</v>
      </c>
      <c r="M628" s="9">
        <v>5.4601255765327995E18</v>
      </c>
    </row>
    <row r="629" ht="15.75" customHeight="1">
      <c r="A629" s="8"/>
      <c r="B629" s="8"/>
      <c r="C629" s="8"/>
      <c r="D629" s="8">
        <v>27.9026907562088</v>
      </c>
      <c r="E629" s="9" t="s">
        <v>638</v>
      </c>
      <c r="I629" s="12" t="str">
        <f>IFERROR(__xludf.DUMMYFUNCTION("""COMPUTED_VALUE"""),"0x3410d98a5a36684f588aaab92d2babd1b6a544fe")</f>
        <v>0x3410d98a5a36684f588aaab92d2babd1b6a544fe</v>
      </c>
      <c r="J629" s="11">
        <v>27.9026907562088</v>
      </c>
      <c r="K629" s="12">
        <v>62.005979458241775</v>
      </c>
      <c r="L629" s="13">
        <v>6.200597945824177E19</v>
      </c>
      <c r="M629" s="9">
        <v>6.2005979458241782E18</v>
      </c>
    </row>
    <row r="630" ht="15.75" customHeight="1">
      <c r="A630" s="8"/>
      <c r="B630" s="8"/>
      <c r="C630" s="8"/>
      <c r="D630" s="8">
        <v>7.3193781855717</v>
      </c>
      <c r="E630" s="9" t="s">
        <v>639</v>
      </c>
      <c r="I630" s="12" t="str">
        <f>IFERROR(__xludf.DUMMYFUNCTION("""COMPUTED_VALUE"""),"0x34307ab8a2503663fe882433f2ebd07d6fd52685")</f>
        <v>0x34307ab8a2503663fe882433f2ebd07d6fd52685</v>
      </c>
      <c r="J630" s="11">
        <v>7.3193781855717</v>
      </c>
      <c r="K630" s="12">
        <v>16.265284856826</v>
      </c>
      <c r="L630" s="13">
        <v>1.6265284856826E19</v>
      </c>
      <c r="M630" s="9">
        <v>1.62652848568259994E18</v>
      </c>
    </row>
    <row r="631" ht="15.75" customHeight="1">
      <c r="A631" s="8"/>
      <c r="B631" s="8"/>
      <c r="C631" s="8"/>
      <c r="D631" s="8">
        <v>27.9026907562088</v>
      </c>
      <c r="E631" s="9" t="s">
        <v>640</v>
      </c>
      <c r="I631" s="12" t="str">
        <f>IFERROR(__xludf.DUMMYFUNCTION("""COMPUTED_VALUE"""),"0x345fa4f148bfdca72ad3590f7986c537e8067ea3")</f>
        <v>0x345fa4f148bfdca72ad3590f7986c537e8067ea3</v>
      </c>
      <c r="J631" s="11">
        <v>118.3610630322068</v>
      </c>
      <c r="K631" s="12">
        <v>263.0245845160151</v>
      </c>
      <c r="L631" s="13">
        <v>2.6302458451601513E20</v>
      </c>
      <c r="M631" s="9">
        <v>2.6302458451601514E19</v>
      </c>
    </row>
    <row r="632" ht="15.75" customHeight="1">
      <c r="A632" s="8"/>
      <c r="B632" s="8"/>
      <c r="C632" s="8"/>
      <c r="D632" s="8">
        <v>27.9026907562088</v>
      </c>
      <c r="E632" s="9" t="s">
        <v>641</v>
      </c>
      <c r="I632" s="12" t="str">
        <f>IFERROR(__xludf.DUMMYFUNCTION("""COMPUTED_VALUE"""),"0x347545b9406a0732f570a82e0de918ea36a1508c")</f>
        <v>0x347545b9406a0732f570a82e0de918ea36a1508c</v>
      </c>
      <c r="J632" s="11">
        <v>27.9026907562088</v>
      </c>
      <c r="K632" s="12">
        <v>62.005979458241775</v>
      </c>
      <c r="L632" s="13">
        <v>6.200597945824177E19</v>
      </c>
      <c r="M632" s="9">
        <v>6.2005979458241782E18</v>
      </c>
    </row>
    <row r="633" ht="15.75" customHeight="1">
      <c r="A633" s="8"/>
      <c r="B633" s="8"/>
      <c r="C633" s="8"/>
      <c r="D633" s="8">
        <v>27.9026907562088</v>
      </c>
      <c r="E633" s="9" t="s">
        <v>642</v>
      </c>
      <c r="I633" s="12" t="str">
        <f>IFERROR(__xludf.DUMMYFUNCTION("""COMPUTED_VALUE"""),"0x34beda774efa7c62db9f5ef6154995ab02975e42")</f>
        <v>0x34beda774efa7c62db9f5ef6154995ab02975e42</v>
      </c>
      <c r="J633" s="11">
        <v>27.9026907562088</v>
      </c>
      <c r="K633" s="12">
        <v>62.005979458241775</v>
      </c>
      <c r="L633" s="13">
        <v>6.200597945824177E19</v>
      </c>
      <c r="M633" s="9">
        <v>6.2005979458241782E18</v>
      </c>
    </row>
    <row r="634" ht="15.75" customHeight="1">
      <c r="A634" s="8"/>
      <c r="B634" s="8"/>
      <c r="C634" s="8"/>
      <c r="D634" s="8">
        <v>27.9026907562088</v>
      </c>
      <c r="E634" s="9" t="s">
        <v>643</v>
      </c>
      <c r="I634" s="12" t="str">
        <f>IFERROR(__xludf.DUMMYFUNCTION("""COMPUTED_VALUE"""),"0x34dc8eebb875219b7f1971d3d4039300e93ce5de")</f>
        <v>0x34dc8eebb875219b7f1971d3d4039300e93ce5de</v>
      </c>
      <c r="J634" s="11">
        <v>582.1596479478648</v>
      </c>
      <c r="K634" s="12">
        <v>1293.6881065508105</v>
      </c>
      <c r="L634" s="13">
        <v>1.2936881065508106E21</v>
      </c>
      <c r="M634" s="9">
        <v>1.2936881065508107E20</v>
      </c>
    </row>
    <row r="635" ht="15.75" customHeight="1">
      <c r="A635" s="8"/>
      <c r="B635" s="8"/>
      <c r="C635" s="8"/>
      <c r="D635" s="8">
        <v>27.9026907562088</v>
      </c>
      <c r="E635" s="9" t="s">
        <v>644</v>
      </c>
      <c r="I635" s="12" t="str">
        <f>IFERROR(__xludf.DUMMYFUNCTION("""COMPUTED_VALUE"""),"0x35228063121561186590b07c3dd15722f7b14833")</f>
        <v>0x35228063121561186590b07c3dd15722f7b14833</v>
      </c>
      <c r="J635" s="11">
        <v>27.9026907562088</v>
      </c>
      <c r="K635" s="12">
        <v>62.005979458241775</v>
      </c>
      <c r="L635" s="13">
        <v>6.200597945824177E19</v>
      </c>
      <c r="M635" s="9">
        <v>6.2005979458241782E18</v>
      </c>
    </row>
    <row r="636" ht="15.75" customHeight="1">
      <c r="A636" s="8"/>
      <c r="B636" s="8"/>
      <c r="C636" s="8"/>
      <c r="D636" s="8">
        <v>27.9026907562088</v>
      </c>
      <c r="E636" s="9" t="s">
        <v>645</v>
      </c>
      <c r="I636" s="12" t="str">
        <f>IFERROR(__xludf.DUMMYFUNCTION("""COMPUTED_VALUE"""),"0x352689065c1c31e1af5a005be49fdb25ebaa06e4")</f>
        <v>0x352689065c1c31e1af5a005be49fdb25ebaa06e4</v>
      </c>
      <c r="J636" s="11">
        <v>91.1199983031448</v>
      </c>
      <c r="K636" s="12">
        <v>202.48888511809955</v>
      </c>
      <c r="L636" s="13">
        <v>2.0248888511809955E20</v>
      </c>
      <c r="M636" s="9">
        <v>2.0248888511809958E19</v>
      </c>
    </row>
    <row r="637" ht="15.75" customHeight="1">
      <c r="A637" s="8"/>
      <c r="B637" s="8"/>
      <c r="C637" s="8"/>
      <c r="D637" s="8">
        <v>27.9026907562088</v>
      </c>
      <c r="E637" s="9" t="s">
        <v>646</v>
      </c>
      <c r="I637" s="12" t="str">
        <f>IFERROR(__xludf.DUMMYFUNCTION("""COMPUTED_VALUE"""),"0x353651a9e88ac04dc0aaffbc24c7770e85adf36d")</f>
        <v>0x353651a9e88ac04dc0aaffbc24c7770e85adf36d</v>
      </c>
      <c r="J637" s="11">
        <v>27.9026907562088</v>
      </c>
      <c r="K637" s="12">
        <v>62.005979458241775</v>
      </c>
      <c r="L637" s="13">
        <v>6.200597945824177E19</v>
      </c>
      <c r="M637" s="9">
        <v>6.2005979458241782E18</v>
      </c>
    </row>
    <row r="638" ht="15.75" customHeight="1">
      <c r="A638" s="8"/>
      <c r="B638" s="8"/>
      <c r="C638" s="8"/>
      <c r="D638" s="8">
        <v>27.9026907562088</v>
      </c>
      <c r="E638" s="9" t="s">
        <v>647</v>
      </c>
      <c r="I638" s="12" t="str">
        <f>IFERROR(__xludf.DUMMYFUNCTION("""COMPUTED_VALUE"""),"0x35706dfbe28425dc831af3517b41b176e009cd0d")</f>
        <v>0x35706dfbe28425dc831af3517b41b176e009cd0d</v>
      </c>
      <c r="J638" s="11">
        <v>27.9026907562088</v>
      </c>
      <c r="K638" s="12">
        <v>62.005979458241775</v>
      </c>
      <c r="L638" s="13">
        <v>6.200597945824177E19</v>
      </c>
      <c r="M638" s="9">
        <v>6.2005979458241782E18</v>
      </c>
    </row>
    <row r="639" ht="15.75" customHeight="1">
      <c r="A639" s="8"/>
      <c r="B639" s="8"/>
      <c r="C639" s="8"/>
      <c r="D639" s="8">
        <v>27.9026907562088</v>
      </c>
      <c r="E639" s="9" t="s">
        <v>648</v>
      </c>
      <c r="I639" s="12" t="str">
        <f>IFERROR(__xludf.DUMMYFUNCTION("""COMPUTED_VALUE"""),"0x357a403636a6a95bb31b4be3a798a49a87502a8f")</f>
        <v>0x357a403636a6a95bb31b4be3a798a49a87502a8f</v>
      </c>
      <c r="J639" s="11">
        <v>91.1199983031448</v>
      </c>
      <c r="K639" s="12">
        <v>202.48888511809955</v>
      </c>
      <c r="L639" s="13">
        <v>2.0248888511809955E20</v>
      </c>
      <c r="M639" s="9">
        <v>2.0248888511809958E19</v>
      </c>
    </row>
    <row r="640" ht="15.75" customHeight="1">
      <c r="A640" s="8"/>
      <c r="B640" s="8"/>
      <c r="C640" s="8"/>
      <c r="D640" s="8">
        <v>27.9026907562088</v>
      </c>
      <c r="E640" s="9" t="s">
        <v>649</v>
      </c>
      <c r="I640" s="12" t="str">
        <f>IFERROR(__xludf.DUMMYFUNCTION("""COMPUTED_VALUE"""),"0x358a9b19154586a4475966ef33b088f68df6ea7e")</f>
        <v>0x358a9b19154586a4475966ef33b088f68df6ea7e</v>
      </c>
      <c r="J640" s="11">
        <v>352.3379789740468</v>
      </c>
      <c r="K640" s="12">
        <v>782.9732866089928</v>
      </c>
      <c r="L640" s="13">
        <v>7.829732866089927E20</v>
      </c>
      <c r="M640" s="9">
        <v>7.829732866089928E19</v>
      </c>
    </row>
    <row r="641" ht="15.75" customHeight="1">
      <c r="A641" s="8"/>
      <c r="B641" s="8"/>
      <c r="C641" s="8"/>
      <c r="D641" s="8">
        <v>27.9026907562088</v>
      </c>
      <c r="E641" s="9" t="s">
        <v>650</v>
      </c>
      <c r="I641" s="12" t="str">
        <f>IFERROR(__xludf.DUMMYFUNCTION("""COMPUTED_VALUE"""),"0x358c64ccba390b01c06324c8140e928ddfc824ff")</f>
        <v>0x358c64ccba390b01c06324c8140e928ddfc824ff</v>
      </c>
      <c r="J641" s="11">
        <v>27.9026907562088</v>
      </c>
      <c r="K641" s="12">
        <v>62.005979458241775</v>
      </c>
      <c r="L641" s="13">
        <v>6.200597945824177E19</v>
      </c>
      <c r="M641" s="9">
        <v>6.2005979458241782E18</v>
      </c>
    </row>
    <row r="642" ht="15.75" customHeight="1">
      <c r="A642" s="8"/>
      <c r="B642" s="8"/>
      <c r="C642" s="8"/>
      <c r="D642" s="8">
        <v>27.9026907562088</v>
      </c>
      <c r="E642" s="9" t="s">
        <v>651</v>
      </c>
      <c r="I642" s="12" t="str">
        <f>IFERROR(__xludf.DUMMYFUNCTION("""COMPUTED_VALUE"""),"0x35a53dec7c72eae9dece3250d13a8dbfdba51919")</f>
        <v>0x35a53dec7c72eae9dece3250d13a8dbfdba51919</v>
      </c>
      <c r="J642" s="11">
        <v>91.1199983031448</v>
      </c>
      <c r="K642" s="12">
        <v>202.48888511809955</v>
      </c>
      <c r="L642" s="13">
        <v>2.0248888511809955E20</v>
      </c>
      <c r="M642" s="9">
        <v>2.0248888511809958E19</v>
      </c>
    </row>
    <row r="643" ht="15.75" customHeight="1">
      <c r="A643" s="8"/>
      <c r="B643" s="8"/>
      <c r="C643" s="8"/>
      <c r="D643" s="8">
        <v>6.20852811020727</v>
      </c>
      <c r="E643" s="9" t="s">
        <v>652</v>
      </c>
      <c r="I643" s="12" t="str">
        <f>IFERROR(__xludf.DUMMYFUNCTION("""COMPUTED_VALUE"""),"0x35b6f51bf7891088d67e7d82d3474bb2a928b2d5")</f>
        <v>0x35b6f51bf7891088d67e7d82d3474bb2a928b2d5</v>
      </c>
      <c r="J643" s="11">
        <v>6.20852811020727</v>
      </c>
      <c r="K643" s="12">
        <v>13.796729133793933</v>
      </c>
      <c r="L643" s="13">
        <v>1.3796729133793933E19</v>
      </c>
      <c r="M643" s="9">
        <v>1.37967291337939328E18</v>
      </c>
    </row>
    <row r="644" ht="15.75" customHeight="1">
      <c r="A644" s="8"/>
      <c r="B644" s="8"/>
      <c r="C644" s="8"/>
      <c r="D644" s="8">
        <v>26.7935950885291</v>
      </c>
      <c r="E644" s="9" t="s">
        <v>653</v>
      </c>
      <c r="I644" s="12" t="str">
        <f>IFERROR(__xludf.DUMMYFUNCTION("""COMPUTED_VALUE"""),"0x35da32b2539ea48388a2824c16355ad13f5d25f7")</f>
        <v>0x35da32b2539ea48388a2824c16355ad13f5d25f7</v>
      </c>
      <c r="J644" s="11">
        <v>104.36040309243799</v>
      </c>
      <c r="K644" s="12">
        <v>231.91200687208442</v>
      </c>
      <c r="L644" s="13">
        <v>2.319120068720844E20</v>
      </c>
      <c r="M644" s="9">
        <v>2.3191200687208444E19</v>
      </c>
    </row>
    <row r="645" ht="15.75" customHeight="1">
      <c r="A645" s="8"/>
      <c r="B645" s="8"/>
      <c r="C645" s="8"/>
      <c r="D645" s="8">
        <v>16.8296597069655</v>
      </c>
      <c r="E645" s="9" t="s">
        <v>654</v>
      </c>
      <c r="I645" s="12" t="str">
        <f>IFERROR(__xludf.DUMMYFUNCTION("""COMPUTED_VALUE"""),"0x35dcc3066117ff6b93855caec5fcfea5efa9acb0")</f>
        <v>0x35dcc3066117ff6b93855caec5fcfea5efa9acb0</v>
      </c>
      <c r="J645" s="11">
        <v>16.8296597069655</v>
      </c>
      <c r="K645" s="12">
        <v>37.399243793256666</v>
      </c>
      <c r="L645" s="13">
        <v>3.739924379325667E19</v>
      </c>
      <c r="M645" s="9">
        <v>3.7399243793256673E18</v>
      </c>
    </row>
    <row r="646" ht="15.75" customHeight="1">
      <c r="A646" s="8"/>
      <c r="B646" s="8"/>
      <c r="C646" s="8"/>
      <c r="D646" s="8">
        <v>27.9026907562088</v>
      </c>
      <c r="E646" s="9" t="s">
        <v>655</v>
      </c>
      <c r="I646" s="12" t="str">
        <f>IFERROR(__xludf.DUMMYFUNCTION("""COMPUTED_VALUE"""),"0x35e721cea643f8b26ade40770801408120b4ab68")</f>
        <v>0x35e721cea643f8b26ade40770801408120b4ab68</v>
      </c>
      <c r="J646" s="11">
        <v>27.9026907562088</v>
      </c>
      <c r="K646" s="12">
        <v>62.005979458241775</v>
      </c>
      <c r="L646" s="13">
        <v>6.200597945824177E19</v>
      </c>
      <c r="M646" s="9">
        <v>6.2005979458241782E18</v>
      </c>
    </row>
    <row r="647" ht="15.75" customHeight="1">
      <c r="A647" s="8"/>
      <c r="B647" s="8"/>
      <c r="C647" s="8"/>
      <c r="D647" s="8">
        <v>27.9026907562088</v>
      </c>
      <c r="E647" s="9" t="s">
        <v>656</v>
      </c>
      <c r="I647" s="12" t="str">
        <f>IFERROR(__xludf.DUMMYFUNCTION("""COMPUTED_VALUE"""),"0x3607d9c44ecace1f2fbfd7360cc1112bed30f4e2")</f>
        <v>0x3607d9c44ecace1f2fbfd7360cc1112bed30f4e2</v>
      </c>
      <c r="J647" s="11">
        <v>27.9026907562088</v>
      </c>
      <c r="K647" s="12">
        <v>62.005979458241775</v>
      </c>
      <c r="L647" s="13">
        <v>6.200597945824177E19</v>
      </c>
      <c r="M647" s="9">
        <v>6.2005979458241782E18</v>
      </c>
    </row>
    <row r="648" ht="15.75" customHeight="1">
      <c r="A648" s="8"/>
      <c r="B648" s="8"/>
      <c r="C648" s="8"/>
      <c r="D648" s="8">
        <v>27.9026907562088</v>
      </c>
      <c r="E648" s="9" t="s">
        <v>657</v>
      </c>
      <c r="I648" s="12" t="str">
        <f>IFERROR(__xludf.DUMMYFUNCTION("""COMPUTED_VALUE"""),"0x36488ef176ce7cd3bce35ab0f3461a15d7aab593")</f>
        <v>0x36488ef176ce7cd3bce35ab0f3461a15d7aab593</v>
      </c>
      <c r="J648" s="11">
        <v>27.9026907562088</v>
      </c>
      <c r="K648" s="12">
        <v>62.005979458241775</v>
      </c>
      <c r="L648" s="13">
        <v>6.200597945824177E19</v>
      </c>
      <c r="M648" s="9">
        <v>6.2005979458241782E18</v>
      </c>
    </row>
    <row r="649" ht="15.75" customHeight="1">
      <c r="A649" s="8"/>
      <c r="B649" s="8"/>
      <c r="C649" s="8"/>
      <c r="D649" s="8">
        <v>27.9026907562088</v>
      </c>
      <c r="E649" s="9" t="s">
        <v>658</v>
      </c>
      <c r="I649" s="12" t="str">
        <f>IFERROR(__xludf.DUMMYFUNCTION("""COMPUTED_VALUE"""),"0x3673348670de83fb61f65bf4eda6270e92c41c60")</f>
        <v>0x3673348670de83fb61f65bf4eda6270e92c41c60</v>
      </c>
      <c r="J649" s="11">
        <v>91.1199983031448</v>
      </c>
      <c r="K649" s="12">
        <v>202.48888511809955</v>
      </c>
      <c r="L649" s="13">
        <v>2.0248888511809955E20</v>
      </c>
      <c r="M649" s="9">
        <v>2.0248888511809958E19</v>
      </c>
    </row>
    <row r="650" ht="15.75" customHeight="1">
      <c r="A650" s="8"/>
      <c r="B650" s="8"/>
      <c r="C650" s="8"/>
      <c r="D650" s="8">
        <v>27.9026907562088</v>
      </c>
      <c r="E650" s="9" t="s">
        <v>659</v>
      </c>
      <c r="I650" s="12" t="str">
        <f>IFERROR(__xludf.DUMMYFUNCTION("""COMPUTED_VALUE"""),"0x3673cf19b6efb296e29d9b07666e9625ed63cfe1")</f>
        <v>0x3673cf19b6efb296e29d9b07666e9625ed63cfe1</v>
      </c>
      <c r="J650" s="11">
        <v>254.6700425098818</v>
      </c>
      <c r="K650" s="12">
        <v>565.9334277997373</v>
      </c>
      <c r="L650" s="13">
        <v>5.659334277997373E20</v>
      </c>
      <c r="M650" s="9">
        <v>5.659334277997373E19</v>
      </c>
    </row>
    <row r="651" ht="15.75" customHeight="1">
      <c r="A651" s="8"/>
      <c r="B651" s="8"/>
      <c r="C651" s="8"/>
      <c r="D651" s="8">
        <v>3.09054580991214</v>
      </c>
      <c r="E651" s="9" t="s">
        <v>660</v>
      </c>
      <c r="I651" s="12" t="str">
        <f>IFERROR(__xludf.DUMMYFUNCTION("""COMPUTED_VALUE"""),"0x36764dc553427b6b4832911c31fe78df19bf0b4e")</f>
        <v>0x36764dc553427b6b4832911c31fe78df19bf0b4e</v>
      </c>
      <c r="J651" s="11">
        <v>3.09054580991214</v>
      </c>
      <c r="K651" s="12">
        <v>6.867879577582533</v>
      </c>
      <c r="L651" s="13">
        <v>6.8678795775825336E18</v>
      </c>
      <c r="M651" s="9">
        <v>6.8678795775825344E17</v>
      </c>
    </row>
    <row r="652" ht="15.75" customHeight="1">
      <c r="A652" s="8"/>
      <c r="B652" s="8"/>
      <c r="C652" s="8"/>
      <c r="D652" s="8">
        <v>25.048600652121</v>
      </c>
      <c r="E652" s="9" t="s">
        <v>661</v>
      </c>
      <c r="I652" s="12" t="str">
        <f>IFERROR(__xludf.DUMMYFUNCTION("""COMPUTED_VALUE"""),"0x369905fd5b412050943484d268a682b2893025f1")</f>
        <v>0x369905fd5b412050943484d268a682b2893025f1</v>
      </c>
      <c r="J652" s="11">
        <v>25.048600652121</v>
      </c>
      <c r="K652" s="12">
        <v>55.66355700471333</v>
      </c>
      <c r="L652" s="13">
        <v>5.566355700471334E19</v>
      </c>
      <c r="M652" s="9">
        <v>5.5663557004713339E18</v>
      </c>
    </row>
    <row r="653" ht="15.75" customHeight="1">
      <c r="A653" s="8"/>
      <c r="B653" s="8"/>
      <c r="C653" s="8"/>
      <c r="D653" s="8">
        <v>26.1507500454106</v>
      </c>
      <c r="E653" s="9" t="s">
        <v>662</v>
      </c>
      <c r="I653" s="12" t="str">
        <f>IFERROR(__xludf.DUMMYFUNCTION("""COMPUTED_VALUE"""),"0x36ba12ed18d97c8897243f85693459b5d00c3246")</f>
        <v>0x36ba12ed18d97c8897243f85693459b5d00c3246</v>
      </c>
      <c r="J653" s="11">
        <v>26.1507500454106</v>
      </c>
      <c r="K653" s="12">
        <v>58.112777878690224</v>
      </c>
      <c r="L653" s="13">
        <v>5.811277787869023E19</v>
      </c>
      <c r="M653" s="9">
        <v>5.8112777878690232E18</v>
      </c>
    </row>
    <row r="654" ht="15.75" customHeight="1">
      <c r="A654" s="8"/>
      <c r="B654" s="8"/>
      <c r="C654" s="8"/>
      <c r="D654" s="8">
        <v>27.9026907562088</v>
      </c>
      <c r="E654" s="9" t="s">
        <v>663</v>
      </c>
      <c r="I654" s="12" t="str">
        <f>IFERROR(__xludf.DUMMYFUNCTION("""COMPUTED_VALUE"""),"0x36cc35145dbea5a020ddde8c37818996c0f3480c")</f>
        <v>0x36cc35145dbea5a020ddde8c37818996c0f3480c</v>
      </c>
      <c r="J654" s="11">
        <v>157.7893396181297</v>
      </c>
      <c r="K654" s="12">
        <v>350.6429769291771</v>
      </c>
      <c r="L654" s="13">
        <v>3.5064297692917714E20</v>
      </c>
      <c r="M654" s="9">
        <v>3.5064297692917715E19</v>
      </c>
    </row>
    <row r="655" ht="15.75" customHeight="1">
      <c r="A655" s="8"/>
      <c r="B655" s="8"/>
      <c r="C655" s="8"/>
      <c r="D655" s="8">
        <v>27.9026907562088</v>
      </c>
      <c r="E655" s="9" t="s">
        <v>664</v>
      </c>
      <c r="I655" s="12" t="str">
        <f>IFERROR(__xludf.DUMMYFUNCTION("""COMPUTED_VALUE"""),"0x36eb310613f00539fe8ffe6f9b54edeee36fb69d")</f>
        <v>0x36eb310613f00539fe8ffe6f9b54edeee36fb69d</v>
      </c>
      <c r="J655" s="11">
        <v>27.9026907562088</v>
      </c>
      <c r="K655" s="12">
        <v>62.005979458241775</v>
      </c>
      <c r="L655" s="13">
        <v>6.200597945824177E19</v>
      </c>
      <c r="M655" s="9">
        <v>6.2005979458241782E18</v>
      </c>
    </row>
    <row r="656" ht="15.75" customHeight="1">
      <c r="A656" s="8"/>
      <c r="B656" s="8"/>
      <c r="C656" s="8"/>
      <c r="D656" s="8">
        <v>27.9026907562088</v>
      </c>
      <c r="E656" s="9" t="s">
        <v>665</v>
      </c>
      <c r="I656" s="12" t="str">
        <f>IFERROR(__xludf.DUMMYFUNCTION("""COMPUTED_VALUE"""),"0x36f9b4dbd230350181fce5ddf63a7bdd293d1dc0")</f>
        <v>0x36f9b4dbd230350181fce5ddf63a7bdd293d1dc0</v>
      </c>
      <c r="J656" s="11">
        <v>27.9026907562088</v>
      </c>
      <c r="K656" s="12">
        <v>62.005979458241775</v>
      </c>
      <c r="L656" s="13">
        <v>6.200597945824177E19</v>
      </c>
      <c r="M656" s="9">
        <v>6.2005979458241782E18</v>
      </c>
    </row>
    <row r="657" ht="15.75" customHeight="1">
      <c r="A657" s="8"/>
      <c r="B657" s="8"/>
      <c r="C657" s="8"/>
      <c r="D657" s="8">
        <v>13.275433906041</v>
      </c>
      <c r="E657" s="9" t="s">
        <v>666</v>
      </c>
      <c r="I657" s="12" t="str">
        <f>IFERROR(__xludf.DUMMYFUNCTION("""COMPUTED_VALUE"""),"0x37035e0720d7d230eb763dac8226debdcf22cedd")</f>
        <v>0x37035e0720d7d230eb763dac8226debdcf22cedd</v>
      </c>
      <c r="J657" s="11">
        <v>13.275433906041</v>
      </c>
      <c r="K657" s="12">
        <v>29.500964235646666</v>
      </c>
      <c r="L657" s="13">
        <v>2.9500964235646665E19</v>
      </c>
      <c r="M657" s="9">
        <v>2.9500964235646669E18</v>
      </c>
    </row>
    <row r="658" ht="15.75" customHeight="1">
      <c r="A658" s="8"/>
      <c r="B658" s="8"/>
      <c r="C658" s="8"/>
      <c r="D658" s="8">
        <v>27.9026907562088</v>
      </c>
      <c r="E658" s="9" t="s">
        <v>667</v>
      </c>
      <c r="I658" s="12" t="str">
        <f>IFERROR(__xludf.DUMMYFUNCTION("""COMPUTED_VALUE"""),"0x3706e52e54904265f9fb1dda9918c143d619dce4")</f>
        <v>0x3706e52e54904265f9fb1dda9918c143d619dce4</v>
      </c>
      <c r="J658" s="11">
        <v>91.1199983031448</v>
      </c>
      <c r="K658" s="12">
        <v>202.48888511809955</v>
      </c>
      <c r="L658" s="13">
        <v>2.0248888511809955E20</v>
      </c>
      <c r="M658" s="9">
        <v>2.0248888511809958E19</v>
      </c>
    </row>
    <row r="659" ht="15.75" customHeight="1">
      <c r="A659" s="8"/>
      <c r="B659" s="8"/>
      <c r="C659" s="8"/>
      <c r="D659" s="8">
        <v>27.9026907562088</v>
      </c>
      <c r="E659" s="9" t="s">
        <v>668</v>
      </c>
      <c r="I659" s="12" t="str">
        <f>IFERROR(__xludf.DUMMYFUNCTION("""COMPUTED_VALUE"""),"0x3721c97e0282a1fba7dab91fd570813fb4e9df2a")</f>
        <v>0x3721c97e0282a1fba7dab91fd570813fb4e9df2a</v>
      </c>
      <c r="J659" s="11">
        <v>117.6216627038465</v>
      </c>
      <c r="K659" s="12">
        <v>261.3814726752144</v>
      </c>
      <c r="L659" s="13">
        <v>2.6138147267521443E20</v>
      </c>
      <c r="M659" s="9">
        <v>2.6138147267521446E19</v>
      </c>
    </row>
    <row r="660" ht="15.75" customHeight="1">
      <c r="A660" s="8"/>
      <c r="B660" s="8"/>
      <c r="C660" s="8"/>
      <c r="D660" s="8">
        <v>27.9026907562088</v>
      </c>
      <c r="E660" s="9" t="s">
        <v>669</v>
      </c>
      <c r="I660" s="12" t="str">
        <f>IFERROR(__xludf.DUMMYFUNCTION("""COMPUTED_VALUE"""),"0x372a16e8c538666e333d33a6d5cdaa0d76a4057e")</f>
        <v>0x372a16e8c538666e333d33a6d5cdaa0d76a4057e</v>
      </c>
      <c r="J660" s="11">
        <v>98.90329585962901</v>
      </c>
      <c r="K660" s="12">
        <v>219.7851019102867</v>
      </c>
      <c r="L660" s="13">
        <v>2.197851019102867E20</v>
      </c>
      <c r="M660" s="9">
        <v>2.197851019102867E19</v>
      </c>
    </row>
    <row r="661" ht="15.75" customHeight="1">
      <c r="A661" s="8"/>
      <c r="B661" s="8"/>
      <c r="C661" s="8"/>
      <c r="D661" s="8">
        <v>27.9026907562088</v>
      </c>
      <c r="E661" s="9" t="s">
        <v>670</v>
      </c>
      <c r="I661" s="12" t="str">
        <f>IFERROR(__xludf.DUMMYFUNCTION("""COMPUTED_VALUE"""),"0x372a78286ce48462102976f81b28529aaca45c7e")</f>
        <v>0x372a78286ce48462102976f81b28529aaca45c7e</v>
      </c>
      <c r="J661" s="11">
        <v>27.9026907562088</v>
      </c>
      <c r="K661" s="12">
        <v>62.005979458241775</v>
      </c>
      <c r="L661" s="13">
        <v>6.200597945824177E19</v>
      </c>
      <c r="M661" s="9">
        <v>6.2005979458241782E18</v>
      </c>
    </row>
    <row r="662" ht="15.75" customHeight="1">
      <c r="A662" s="8"/>
      <c r="B662" s="8"/>
      <c r="C662" s="8"/>
      <c r="D662" s="8">
        <v>27.9026907562088</v>
      </c>
      <c r="E662" s="9" t="s">
        <v>671</v>
      </c>
      <c r="I662" s="12" t="str">
        <f>IFERROR(__xludf.DUMMYFUNCTION("""COMPUTED_VALUE"""),"0x3731696c9b5098beacf8dd03ac00c30bba979806")</f>
        <v>0x3731696c9b5098beacf8dd03ac00c30bba979806</v>
      </c>
      <c r="J662" s="11">
        <v>165.0600311391703</v>
      </c>
      <c r="K662" s="12">
        <v>366.8000691981562</v>
      </c>
      <c r="L662" s="13">
        <v>3.668000691981562E20</v>
      </c>
      <c r="M662" s="9">
        <v>3.6680006919815623E19</v>
      </c>
    </row>
    <row r="663" ht="15.75" customHeight="1">
      <c r="A663" s="8"/>
      <c r="B663" s="8"/>
      <c r="C663" s="8"/>
      <c r="D663" s="8">
        <v>27.9026907562088</v>
      </c>
      <c r="E663" s="9" t="s">
        <v>672</v>
      </c>
      <c r="I663" s="12" t="str">
        <f>IFERROR(__xludf.DUMMYFUNCTION("""COMPUTED_VALUE"""),"0x37378245d4c1167e05c9e3755864350a07005a43")</f>
        <v>0x37378245d4c1167e05c9e3755864350a07005a43</v>
      </c>
      <c r="J663" s="11">
        <v>45.6035368693509</v>
      </c>
      <c r="K663" s="12">
        <v>101.341193043002</v>
      </c>
      <c r="L663" s="13">
        <v>1.01341193043002E20</v>
      </c>
      <c r="M663" s="9">
        <v>1.01341193043002E19</v>
      </c>
    </row>
    <row r="664" ht="15.75" customHeight="1">
      <c r="A664" s="8"/>
      <c r="B664" s="8"/>
      <c r="C664" s="8"/>
      <c r="D664" s="8">
        <v>27.9026907562088</v>
      </c>
      <c r="E664" s="9" t="s">
        <v>673</v>
      </c>
      <c r="I664" s="12" t="str">
        <f>IFERROR(__xludf.DUMMYFUNCTION("""COMPUTED_VALUE"""),"0x374e0a3b92c09466268e8070a47d34a1277e4207")</f>
        <v>0x374e0a3b92c09466268e8070a47d34a1277e4207</v>
      </c>
      <c r="J664" s="11">
        <v>91.1199983031448</v>
      </c>
      <c r="K664" s="12">
        <v>202.48888511809955</v>
      </c>
      <c r="L664" s="13">
        <v>2.0248888511809955E20</v>
      </c>
      <c r="M664" s="9">
        <v>2.0248888511809958E19</v>
      </c>
    </row>
    <row r="665" ht="15.75" customHeight="1">
      <c r="A665" s="8"/>
      <c r="B665" s="8"/>
      <c r="C665" s="8"/>
      <c r="D665" s="8">
        <v>27.9026907562088</v>
      </c>
      <c r="E665" s="9" t="s">
        <v>674</v>
      </c>
      <c r="I665" s="12" t="str">
        <f>IFERROR(__xludf.DUMMYFUNCTION("""COMPUTED_VALUE"""),"0x3796b96c3807d0469db00638e405f8d469d0b76d")</f>
        <v>0x3796b96c3807d0469db00638e405f8d469d0b76d</v>
      </c>
      <c r="J665" s="11">
        <v>245.3919852348358</v>
      </c>
      <c r="K665" s="12">
        <v>545.3155227440795</v>
      </c>
      <c r="L665" s="13">
        <v>5.4531552274407955E20</v>
      </c>
      <c r="M665" s="9">
        <v>5.453155227440796E19</v>
      </c>
    </row>
    <row r="666" ht="15.75" customHeight="1">
      <c r="A666" s="8"/>
      <c r="B666" s="8"/>
      <c r="C666" s="8"/>
      <c r="D666" s="8">
        <v>10.8651503892019</v>
      </c>
      <c r="E666" s="9" t="s">
        <v>675</v>
      </c>
      <c r="I666" s="12" t="str">
        <f>IFERROR(__xludf.DUMMYFUNCTION("""COMPUTED_VALUE"""),"0x37b7116cf75cdd38a8673e6e8db02920fe7faa1c")</f>
        <v>0x37b7116cf75cdd38a8673e6e8db02920fe7faa1c</v>
      </c>
      <c r="J666" s="11">
        <v>10.8651503892019</v>
      </c>
      <c r="K666" s="12">
        <v>24.14477864267089</v>
      </c>
      <c r="L666" s="13">
        <v>2.414477864267089E19</v>
      </c>
      <c r="M666" s="9">
        <v>2.4144778642670894E18</v>
      </c>
    </row>
    <row r="667" ht="15.75" customHeight="1">
      <c r="A667" s="8"/>
      <c r="B667" s="8"/>
      <c r="C667" s="8"/>
      <c r="D667" s="8">
        <v>27.9026907562088</v>
      </c>
      <c r="E667" s="9" t="s">
        <v>676</v>
      </c>
      <c r="I667" s="12" t="str">
        <f>IFERROR(__xludf.DUMMYFUNCTION("""COMPUTED_VALUE"""),"0x37fa2d0167b3bcb5327ea54449da1734c1436454")</f>
        <v>0x37fa2d0167b3bcb5327ea54449da1734c1436454</v>
      </c>
      <c r="J667" s="11">
        <v>35.13621664880408</v>
      </c>
      <c r="K667" s="12">
        <v>78.08048144178684</v>
      </c>
      <c r="L667" s="13">
        <v>7.808048144178684E19</v>
      </c>
      <c r="M667" s="9">
        <v>7.8080481441786839E18</v>
      </c>
    </row>
    <row r="668" ht="15.75" customHeight="1">
      <c r="A668" s="8"/>
      <c r="B668" s="8"/>
      <c r="C668" s="8"/>
      <c r="D668" s="8">
        <v>27.9026907562088</v>
      </c>
      <c r="E668" s="9" t="s">
        <v>677</v>
      </c>
      <c r="I668" s="12" t="str">
        <f>IFERROR(__xludf.DUMMYFUNCTION("""COMPUTED_VALUE"""),"0x381dcd13738d9347b84bc5fd67acab6edfde341f")</f>
        <v>0x381dcd13738d9347b84bc5fd67acab6edfde341f</v>
      </c>
      <c r="J668" s="11">
        <v>91.1199983031448</v>
      </c>
      <c r="K668" s="12">
        <v>202.48888511809955</v>
      </c>
      <c r="L668" s="13">
        <v>2.0248888511809955E20</v>
      </c>
      <c r="M668" s="9">
        <v>2.0248888511809958E19</v>
      </c>
    </row>
    <row r="669" ht="15.75" customHeight="1">
      <c r="A669" s="8"/>
      <c r="B669" s="8"/>
      <c r="C669" s="8"/>
      <c r="D669" s="8">
        <v>12.3077422025239</v>
      </c>
      <c r="E669" s="9" t="s">
        <v>678</v>
      </c>
      <c r="I669" s="12" t="str">
        <f>IFERROR(__xludf.DUMMYFUNCTION("""COMPUTED_VALUE"""),"0x384594b5542636194ae9b775d36a4609523daee1")</f>
        <v>0x384594b5542636194ae9b775d36a4609523daee1</v>
      </c>
      <c r="J669" s="11">
        <v>12.3077422025239</v>
      </c>
      <c r="K669" s="12">
        <v>27.350538227830885</v>
      </c>
      <c r="L669" s="13">
        <v>2.7350538227830886E19</v>
      </c>
      <c r="M669" s="9">
        <v>2.7350538227830886E18</v>
      </c>
    </row>
    <row r="670" ht="15.75" customHeight="1">
      <c r="A670" s="8"/>
      <c r="B670" s="8"/>
      <c r="C670" s="8"/>
      <c r="D670" s="8">
        <v>27.9026907562088</v>
      </c>
      <c r="E670" s="9" t="s">
        <v>679</v>
      </c>
      <c r="I670" s="12" t="str">
        <f>IFERROR(__xludf.DUMMYFUNCTION("""COMPUTED_VALUE"""),"0x38850b7e965f2ae3bf3cc6429f041267bb753a0b")</f>
        <v>0x38850b7e965f2ae3bf3cc6429f041267bb753a0b</v>
      </c>
      <c r="J670" s="11">
        <v>27.9026907562088</v>
      </c>
      <c r="K670" s="12">
        <v>62.005979458241775</v>
      </c>
      <c r="L670" s="13">
        <v>6.200597945824177E19</v>
      </c>
      <c r="M670" s="9">
        <v>6.2005979458241782E18</v>
      </c>
    </row>
    <row r="671" ht="15.75" customHeight="1">
      <c r="A671" s="8"/>
      <c r="B671" s="8"/>
      <c r="C671" s="8"/>
      <c r="D671" s="8">
        <v>27.9026907562088</v>
      </c>
      <c r="E671" s="9" t="s">
        <v>680</v>
      </c>
      <c r="I671" s="12" t="str">
        <f>IFERROR(__xludf.DUMMYFUNCTION("""COMPUTED_VALUE"""),"0x389b8bd4fac72ff9aa5fd888a4b3283ac4c14b28")</f>
        <v>0x389b8bd4fac72ff9aa5fd888a4b3283ac4c14b28</v>
      </c>
      <c r="J671" s="11">
        <v>175.7289659137388</v>
      </c>
      <c r="K671" s="12">
        <v>390.5088131416417</v>
      </c>
      <c r="L671" s="13">
        <v>3.905088131416417E20</v>
      </c>
      <c r="M671" s="9">
        <v>3.905088131416417E19</v>
      </c>
    </row>
    <row r="672" ht="15.75" customHeight="1">
      <c r="A672" s="8"/>
      <c r="B672" s="8"/>
      <c r="C672" s="8"/>
      <c r="D672" s="8">
        <v>25.5464917258664</v>
      </c>
      <c r="E672" s="9" t="s">
        <v>681</v>
      </c>
      <c r="I672" s="12" t="str">
        <f>IFERROR(__xludf.DUMMYFUNCTION("""COMPUTED_VALUE"""),"0x38a1744b93a7c5737324eb64990c1b2ffc133954")</f>
        <v>0x38a1744b93a7c5737324eb64990c1b2ffc133954</v>
      </c>
      <c r="J672" s="11">
        <v>25.5464917258664</v>
      </c>
      <c r="K672" s="12">
        <v>56.76998161303644</v>
      </c>
      <c r="L672" s="13">
        <v>5.6769981613036446E19</v>
      </c>
      <c r="M672" s="9">
        <v>5.6769981613036452E18</v>
      </c>
    </row>
    <row r="673" ht="15.75" customHeight="1">
      <c r="A673" s="8"/>
      <c r="B673" s="8"/>
      <c r="C673" s="8"/>
      <c r="D673" s="8">
        <v>27.9026907562088</v>
      </c>
      <c r="E673" s="9" t="s">
        <v>682</v>
      </c>
      <c r="I673" s="12" t="str">
        <f>IFERROR(__xludf.DUMMYFUNCTION("""COMPUTED_VALUE"""),"0x38b3782990c30c47a2db8622c06f1924eeaef825")</f>
        <v>0x38b3782990c30c47a2db8622c06f1924eeaef825</v>
      </c>
      <c r="J673" s="11">
        <v>27.9026907562088</v>
      </c>
      <c r="K673" s="12">
        <v>62.005979458241775</v>
      </c>
      <c r="L673" s="13">
        <v>6.200597945824177E19</v>
      </c>
      <c r="M673" s="9">
        <v>6.2005979458241782E18</v>
      </c>
    </row>
    <row r="674" ht="15.75" customHeight="1">
      <c r="A674" s="8"/>
      <c r="B674" s="8"/>
      <c r="C674" s="8"/>
      <c r="D674" s="8">
        <v>0.505459454357224</v>
      </c>
      <c r="E674" s="9" t="s">
        <v>683</v>
      </c>
      <c r="I674" s="12" t="str">
        <f>IFERROR(__xludf.DUMMYFUNCTION("""COMPUTED_VALUE"""),"0x38b41dd55280b70a517e5a0c62645631252014b1")</f>
        <v>0x38b41dd55280b70a517e5a0c62645631252014b1</v>
      </c>
      <c r="J674" s="11">
        <v>51.92762731694642</v>
      </c>
      <c r="K674" s="12">
        <v>115.39472737099204</v>
      </c>
      <c r="L674" s="13">
        <v>1.1539472737099204E20</v>
      </c>
      <c r="M674" s="9">
        <v>1.1539472737099205E19</v>
      </c>
    </row>
    <row r="675" ht="15.75" customHeight="1">
      <c r="A675" s="8"/>
      <c r="B675" s="8"/>
      <c r="C675" s="8"/>
      <c r="D675" s="8">
        <v>27.9026907562088</v>
      </c>
      <c r="E675" s="9" t="s">
        <v>684</v>
      </c>
      <c r="I675" s="12" t="str">
        <f>IFERROR(__xludf.DUMMYFUNCTION("""COMPUTED_VALUE"""),"0x38c1649b72fd245e434b9db29f6148a90aa7ca12")</f>
        <v>0x38c1649b72fd245e434b9db29f6148a90aa7ca12</v>
      </c>
      <c r="J675" s="11">
        <v>188.37059938589618</v>
      </c>
      <c r="K675" s="12">
        <v>418.6013319686582</v>
      </c>
      <c r="L675" s="13">
        <v>4.186013319686582E20</v>
      </c>
      <c r="M675" s="9">
        <v>4.186013319686582E19</v>
      </c>
    </row>
    <row r="676" ht="15.75" customHeight="1">
      <c r="A676" s="8"/>
      <c r="B676" s="8"/>
      <c r="C676" s="8"/>
      <c r="D676" s="8">
        <v>27.9026907562088</v>
      </c>
      <c r="E676" s="9" t="s">
        <v>685</v>
      </c>
      <c r="I676" s="12" t="str">
        <f>IFERROR(__xludf.DUMMYFUNCTION("""COMPUTED_VALUE"""),"0x38d24dc0a7d2e703bfce8b42ff736b8d9f2a15a9")</f>
        <v>0x38d24dc0a7d2e703bfce8b42ff736b8d9f2a15a9</v>
      </c>
      <c r="J676" s="11">
        <v>91.1199983031448</v>
      </c>
      <c r="K676" s="12">
        <v>202.48888511809955</v>
      </c>
      <c r="L676" s="13">
        <v>2.0248888511809955E20</v>
      </c>
      <c r="M676" s="9">
        <v>2.0248888511809958E19</v>
      </c>
    </row>
    <row r="677" ht="15.75" customHeight="1">
      <c r="A677" s="8"/>
      <c r="B677" s="8"/>
      <c r="C677" s="8"/>
      <c r="D677" s="8">
        <v>27.9026907562088</v>
      </c>
      <c r="E677" s="9" t="s">
        <v>686</v>
      </c>
      <c r="I677" s="12" t="str">
        <f>IFERROR(__xludf.DUMMYFUNCTION("""COMPUTED_VALUE"""),"0x38e1b51903bab685e36db62a09195c78bb432fd1")</f>
        <v>0x38e1b51903bab685e36db62a09195c78bb432fd1</v>
      </c>
      <c r="J677" s="11">
        <v>27.9026907562088</v>
      </c>
      <c r="K677" s="12">
        <v>62.005979458241775</v>
      </c>
      <c r="L677" s="13">
        <v>6.200597945824177E19</v>
      </c>
      <c r="M677" s="9">
        <v>6.2005979458241782E18</v>
      </c>
    </row>
    <row r="678" ht="15.75" customHeight="1">
      <c r="A678" s="8"/>
      <c r="B678" s="8"/>
      <c r="C678" s="8"/>
      <c r="D678" s="8">
        <v>26.3109162061915</v>
      </c>
      <c r="E678" s="9" t="s">
        <v>687</v>
      </c>
      <c r="I678" s="12" t="str">
        <f>IFERROR(__xludf.DUMMYFUNCTION("""COMPUTED_VALUE"""),"0x38fa477204ee95af2c944ee54b48195eb3eb2ca0")</f>
        <v>0x38fa477204ee95af2c944ee54b48195eb3eb2ca0</v>
      </c>
      <c r="J678" s="11">
        <v>26.3109162061915</v>
      </c>
      <c r="K678" s="12">
        <v>58.46870268042555</v>
      </c>
      <c r="L678" s="13">
        <v>5.846870268042555E19</v>
      </c>
      <c r="M678" s="9">
        <v>5.8468702680425554E18</v>
      </c>
    </row>
    <row r="679" ht="15.75" customHeight="1">
      <c r="A679" s="8"/>
      <c r="B679" s="8"/>
      <c r="C679" s="8"/>
      <c r="D679" s="8">
        <v>27.9026907562088</v>
      </c>
      <c r="E679" s="9" t="s">
        <v>688</v>
      </c>
      <c r="I679" s="12" t="str">
        <f>IFERROR(__xludf.DUMMYFUNCTION("""COMPUTED_VALUE"""),"0x38fe68f5bd22ed1fe79f3c66705530d4fccd1a2e")</f>
        <v>0x38fe68f5bd22ed1fe79f3c66705530d4fccd1a2e</v>
      </c>
      <c r="J679" s="11">
        <v>27.9026907562088</v>
      </c>
      <c r="K679" s="12">
        <v>62.005979458241775</v>
      </c>
      <c r="L679" s="13">
        <v>6.200597945824177E19</v>
      </c>
      <c r="M679" s="9">
        <v>6.2005979458241782E18</v>
      </c>
    </row>
    <row r="680" ht="15.75" customHeight="1">
      <c r="A680" s="8"/>
      <c r="B680" s="8"/>
      <c r="C680" s="8"/>
      <c r="D680" s="8">
        <v>27.9026907562088</v>
      </c>
      <c r="E680" s="9" t="s">
        <v>689</v>
      </c>
      <c r="I680" s="12" t="str">
        <f>IFERROR(__xludf.DUMMYFUNCTION("""COMPUTED_VALUE"""),"0x3917f177e33cf15341e2b5d993bece88086497f8")</f>
        <v>0x3917f177e33cf15341e2b5d993bece88086497f8</v>
      </c>
      <c r="J680" s="11">
        <v>91.1199983031448</v>
      </c>
      <c r="K680" s="12">
        <v>202.48888511809955</v>
      </c>
      <c r="L680" s="13">
        <v>2.0248888511809955E20</v>
      </c>
      <c r="M680" s="9">
        <v>2.0248888511809958E19</v>
      </c>
    </row>
    <row r="681" ht="15.75" customHeight="1">
      <c r="A681" s="8"/>
      <c r="B681" s="8"/>
      <c r="C681" s="8"/>
      <c r="D681" s="8">
        <v>27.9026907562088</v>
      </c>
      <c r="E681" s="9" t="s">
        <v>690</v>
      </c>
      <c r="I681" s="12" t="str">
        <f>IFERROR(__xludf.DUMMYFUNCTION("""COMPUTED_VALUE"""),"0x391fed3582e2cbb40a3c6eb45a8cd34e3b01c360")</f>
        <v>0x391fed3582e2cbb40a3c6eb45a8cd34e3b01c360</v>
      </c>
      <c r="J681" s="11">
        <v>151.570353401151</v>
      </c>
      <c r="K681" s="12">
        <v>336.8230075581134</v>
      </c>
      <c r="L681" s="13">
        <v>3.3682300755811336E20</v>
      </c>
      <c r="M681" s="9">
        <v>3.3682300755811336E19</v>
      </c>
    </row>
    <row r="682" ht="15.75" customHeight="1">
      <c r="A682" s="8"/>
      <c r="B682" s="8"/>
      <c r="C682" s="8"/>
      <c r="D682" s="8">
        <v>27.836552258442</v>
      </c>
      <c r="E682" s="9" t="s">
        <v>691</v>
      </c>
      <c r="I682" s="12" t="str">
        <f>IFERROR(__xludf.DUMMYFUNCTION("""COMPUTED_VALUE"""),"0x3951e4b34abcc8d39882f396cd9334109e8b3cba")</f>
        <v>0x3951e4b34abcc8d39882f396cd9334109e8b3cba</v>
      </c>
      <c r="J682" s="11">
        <v>130.21522308105222</v>
      </c>
      <c r="K682" s="12">
        <v>289.36716240233824</v>
      </c>
      <c r="L682" s="13">
        <v>2.8936716240233824E20</v>
      </c>
      <c r="M682" s="9">
        <v>2.8936716240233824E19</v>
      </c>
    </row>
    <row r="683" ht="15.75" customHeight="1">
      <c r="A683" s="8"/>
      <c r="B683" s="8"/>
      <c r="C683" s="8"/>
      <c r="D683" s="8">
        <v>27.9026907562088</v>
      </c>
      <c r="E683" s="9" t="s">
        <v>692</v>
      </c>
      <c r="I683" s="12" t="str">
        <f>IFERROR(__xludf.DUMMYFUNCTION("""COMPUTED_VALUE"""),"0x39592f004b111a777e7634f033afb350f0565812")</f>
        <v>0x39592f004b111a777e7634f033afb350f0565812</v>
      </c>
      <c r="J683" s="11">
        <v>27.9026907562088</v>
      </c>
      <c r="K683" s="12">
        <v>62.005979458241775</v>
      </c>
      <c r="L683" s="13">
        <v>6.200597945824177E19</v>
      </c>
      <c r="M683" s="9">
        <v>6.2005979458241782E18</v>
      </c>
    </row>
    <row r="684" ht="15.75" customHeight="1">
      <c r="A684" s="8"/>
      <c r="B684" s="8"/>
      <c r="C684" s="8"/>
      <c r="D684" s="8">
        <v>27.9026907562088</v>
      </c>
      <c r="E684" s="9" t="s">
        <v>693</v>
      </c>
      <c r="I684" s="12" t="str">
        <f>IFERROR(__xludf.DUMMYFUNCTION("""COMPUTED_VALUE"""),"0x396f7fc0888ed32fa32a2c359227ba609c69c369")</f>
        <v>0x396f7fc0888ed32fa32a2c359227ba609c69c369</v>
      </c>
      <c r="J684" s="11">
        <v>27.9026907562088</v>
      </c>
      <c r="K684" s="12">
        <v>62.005979458241775</v>
      </c>
      <c r="L684" s="13">
        <v>6.200597945824177E19</v>
      </c>
      <c r="M684" s="9">
        <v>6.2005979458241782E18</v>
      </c>
    </row>
    <row r="685" ht="15.75" customHeight="1">
      <c r="A685" s="8"/>
      <c r="B685" s="8"/>
      <c r="C685" s="8"/>
      <c r="D685" s="8">
        <v>18.7235683987577</v>
      </c>
      <c r="E685" s="9" t="s">
        <v>694</v>
      </c>
      <c r="I685" s="12" t="str">
        <f>IFERROR(__xludf.DUMMYFUNCTION("""COMPUTED_VALUE"""),"0x397dc37a7871a32552bc27668a3333750139f3bf")</f>
        <v>0x397dc37a7871a32552bc27668a3333750139f3bf</v>
      </c>
      <c r="J685" s="11">
        <v>18.7235683987577</v>
      </c>
      <c r="K685" s="12">
        <v>41.607929775017105</v>
      </c>
      <c r="L685" s="13">
        <v>4.160792977501711E19</v>
      </c>
      <c r="M685" s="9">
        <v>4.1607929775017108E18</v>
      </c>
    </row>
    <row r="686" ht="15.75" customHeight="1">
      <c r="A686" s="8"/>
      <c r="B686" s="8"/>
      <c r="C686" s="8"/>
      <c r="D686" s="8">
        <v>26.9828750170628</v>
      </c>
      <c r="E686" s="9" t="s">
        <v>695</v>
      </c>
      <c r="I686" s="12" t="str">
        <f>IFERROR(__xludf.DUMMYFUNCTION("""COMPUTED_VALUE"""),"0x39983c280c4bc6c3801d3317f817bb4cbb562927")</f>
        <v>0x39983c280c4bc6c3801d3317f817bb4cbb562927</v>
      </c>
      <c r="J686" s="11">
        <v>26.9828750170628</v>
      </c>
      <c r="K686" s="12">
        <v>59.96194448236177</v>
      </c>
      <c r="L686" s="13">
        <v>5.996194448236177E19</v>
      </c>
      <c r="M686" s="9">
        <v>5.9961944482361774E18</v>
      </c>
    </row>
    <row r="687" ht="15.75" customHeight="1">
      <c r="A687" s="8"/>
      <c r="B687" s="8"/>
      <c r="C687" s="8"/>
      <c r="D687" s="8">
        <v>27.9026907562088</v>
      </c>
      <c r="E687" s="9" t="s">
        <v>696</v>
      </c>
      <c r="I687" s="12" t="str">
        <f>IFERROR(__xludf.DUMMYFUNCTION("""COMPUTED_VALUE"""),"0x39a0720326a58e5353d008e15d317a834f8ab2a4")</f>
        <v>0x39a0720326a58e5353d008e15d317a834f8ab2a4</v>
      </c>
      <c r="J687" s="11">
        <v>27.9026907562088</v>
      </c>
      <c r="K687" s="12">
        <v>62.005979458241775</v>
      </c>
      <c r="L687" s="13">
        <v>6.200597945824177E19</v>
      </c>
      <c r="M687" s="9">
        <v>6.2005979458241782E18</v>
      </c>
    </row>
    <row r="688" ht="15.75" customHeight="1">
      <c r="A688" s="8"/>
      <c r="B688" s="8"/>
      <c r="C688" s="8"/>
      <c r="D688" s="8">
        <v>27.9026907562088</v>
      </c>
      <c r="E688" s="9" t="s">
        <v>697</v>
      </c>
      <c r="I688" s="12" t="str">
        <f>IFERROR(__xludf.DUMMYFUNCTION("""COMPUTED_VALUE"""),"0x39bbb8c321fdf88804c4f82487cb91115f1ec780")</f>
        <v>0x39bbb8c321fdf88804c4f82487cb91115f1ec780</v>
      </c>
      <c r="J688" s="11">
        <v>910.8757660332889</v>
      </c>
      <c r="K688" s="12">
        <v>2024.1683689628642</v>
      </c>
      <c r="L688" s="13">
        <v>2.0241683689628642E21</v>
      </c>
      <c r="M688" s="9">
        <v>2.0241683689628644E20</v>
      </c>
    </row>
    <row r="689" ht="15.75" customHeight="1">
      <c r="A689" s="8"/>
      <c r="B689" s="8"/>
      <c r="C689" s="8"/>
      <c r="D689" s="8">
        <v>27.9026907562088</v>
      </c>
      <c r="E689" s="9" t="s">
        <v>698</v>
      </c>
      <c r="I689" s="12" t="str">
        <f>IFERROR(__xludf.DUMMYFUNCTION("""COMPUTED_VALUE"""),"0x39c68804479053acc2f410113ee7dfa0c85b16ba")</f>
        <v>0x39c68804479053acc2f410113ee7dfa0c85b16ba</v>
      </c>
      <c r="J689" s="11">
        <v>27.9026907562088</v>
      </c>
      <c r="K689" s="12">
        <v>62.005979458241775</v>
      </c>
      <c r="L689" s="13">
        <v>6.200597945824177E19</v>
      </c>
      <c r="M689" s="9">
        <v>6.2005979458241782E18</v>
      </c>
    </row>
    <row r="690" ht="15.75" customHeight="1">
      <c r="A690" s="8"/>
      <c r="B690" s="8"/>
      <c r="C690" s="8"/>
      <c r="D690" s="8">
        <v>27.9026907562088</v>
      </c>
      <c r="E690" s="9" t="s">
        <v>699</v>
      </c>
      <c r="I690" s="12" t="str">
        <f>IFERROR(__xludf.DUMMYFUNCTION("""COMPUTED_VALUE"""),"0x39ebba0b14518e53bdf8d36fd71e2cb1c54640e3")</f>
        <v>0x39ebba0b14518e53bdf8d36fd71e2cb1c54640e3</v>
      </c>
      <c r="J690" s="11">
        <v>91.15891410990059</v>
      </c>
      <c r="K690" s="12">
        <v>202.57536468866797</v>
      </c>
      <c r="L690" s="13">
        <v>2.0257536468866797E20</v>
      </c>
      <c r="M690" s="9">
        <v>2.0257536468866798E19</v>
      </c>
    </row>
    <row r="691" ht="15.75" customHeight="1">
      <c r="A691" s="8"/>
      <c r="B691" s="8"/>
      <c r="C691" s="8"/>
      <c r="D691" s="8">
        <v>27.9026907562088</v>
      </c>
      <c r="E691" s="9" t="s">
        <v>700</v>
      </c>
      <c r="I691" s="12" t="str">
        <f>IFERROR(__xludf.DUMMYFUNCTION("""COMPUTED_VALUE"""),"0x39f58878f8d09d417547fec123f76bf7c800d055")</f>
        <v>0x39f58878f8d09d417547fec123f76bf7c800d055</v>
      </c>
      <c r="J691" s="11">
        <v>27.9026907562088</v>
      </c>
      <c r="K691" s="12">
        <v>62.005979458241775</v>
      </c>
      <c r="L691" s="13">
        <v>6.200597945824177E19</v>
      </c>
      <c r="M691" s="9">
        <v>6.2005979458241782E18</v>
      </c>
    </row>
    <row r="692" ht="15.75" customHeight="1">
      <c r="A692" s="8"/>
      <c r="B692" s="8"/>
      <c r="C692" s="8"/>
      <c r="D692" s="8">
        <v>27.9026907562088</v>
      </c>
      <c r="E692" s="9" t="s">
        <v>701</v>
      </c>
      <c r="I692" s="12" t="str">
        <f>IFERROR(__xludf.DUMMYFUNCTION("""COMPUTED_VALUE"""),"0x3a056727016942d5a74979cafdef96b87cb69ed3")</f>
        <v>0x3a056727016942d5a74979cafdef96b87cb69ed3</v>
      </c>
      <c r="J692" s="11">
        <v>27.9026907562088</v>
      </c>
      <c r="K692" s="12">
        <v>62.005979458241775</v>
      </c>
      <c r="L692" s="13">
        <v>6.200597945824177E19</v>
      </c>
      <c r="M692" s="9">
        <v>6.2005979458241782E18</v>
      </c>
    </row>
    <row r="693" ht="15.75" customHeight="1">
      <c r="A693" s="8"/>
      <c r="B693" s="8"/>
      <c r="C693" s="8"/>
      <c r="D693" s="8">
        <v>19.9876569419624</v>
      </c>
      <c r="E693" s="9" t="s">
        <v>702</v>
      </c>
      <c r="I693" s="12" t="str">
        <f>IFERROR(__xludf.DUMMYFUNCTION("""COMPUTED_VALUE"""),"0x3a1361363559a8d968b2540cc9046eead5193823")</f>
        <v>0x3a1361363559a8d968b2540cc9046eead5193823</v>
      </c>
      <c r="J693" s="11">
        <v>19.9876569419624</v>
      </c>
      <c r="K693" s="12">
        <v>44.417015426583106</v>
      </c>
      <c r="L693" s="13">
        <v>4.441701542658311E19</v>
      </c>
      <c r="M693" s="9">
        <v>4.4417015426583112E18</v>
      </c>
    </row>
    <row r="694" ht="15.75" customHeight="1">
      <c r="A694" s="8"/>
      <c r="B694" s="8"/>
      <c r="C694" s="8"/>
      <c r="D694" s="8">
        <v>3.79846192167021</v>
      </c>
      <c r="E694" s="9" t="s">
        <v>703</v>
      </c>
      <c r="I694" s="12" t="str">
        <f>IFERROR(__xludf.DUMMYFUNCTION("""COMPUTED_VALUE"""),"0x3a13de9db34b6f333504fc669b12c63cfdf48d1a")</f>
        <v>0x3a13de9db34b6f333504fc669b12c63cfdf48d1a</v>
      </c>
      <c r="J694" s="11">
        <v>3.79846192167021</v>
      </c>
      <c r="K694" s="12">
        <v>8.441026492600466</v>
      </c>
      <c r="L694" s="13">
        <v>8.4410264926004664E18</v>
      </c>
      <c r="M694" s="9">
        <v>8.4410264926004672E17</v>
      </c>
    </row>
    <row r="695" ht="15.75" customHeight="1">
      <c r="A695" s="8"/>
      <c r="B695" s="8"/>
      <c r="C695" s="8"/>
      <c r="D695" s="8">
        <v>27.9026907562088</v>
      </c>
      <c r="E695" s="9" t="s">
        <v>704</v>
      </c>
      <c r="I695" s="12" t="str">
        <f>IFERROR(__xludf.DUMMYFUNCTION("""COMPUTED_VALUE"""),"0x3a1711bce829e721c83a20dd05dee70b8a4bb644")</f>
        <v>0x3a1711bce829e721c83a20dd05dee70b8a4bb644</v>
      </c>
      <c r="J695" s="11">
        <v>103.3155959697112</v>
      </c>
      <c r="K695" s="12">
        <v>229.59021326602488</v>
      </c>
      <c r="L695" s="13">
        <v>2.295902132660249E20</v>
      </c>
      <c r="M695" s="9">
        <v>2.295902132660249E19</v>
      </c>
    </row>
    <row r="696" ht="15.75" customHeight="1">
      <c r="A696" s="8"/>
      <c r="B696" s="8"/>
      <c r="C696" s="8"/>
      <c r="D696" s="8">
        <v>0.214855144824695</v>
      </c>
      <c r="E696" s="9" t="s">
        <v>705</v>
      </c>
      <c r="I696" s="12" t="str">
        <f>IFERROR(__xludf.DUMMYFUNCTION("""COMPUTED_VALUE"""),"0x3a22e50f41f0d14be1793adcd37c300d4172b1f3")</f>
        <v>0x3a22e50f41f0d14be1793adcd37c300d4172b1f3</v>
      </c>
      <c r="J696" s="11">
        <v>0.938909144605172</v>
      </c>
      <c r="K696" s="12">
        <v>2.086464765789271</v>
      </c>
      <c r="L696" s="13">
        <v>2.08646476578927104E18</v>
      </c>
      <c r="M696" s="9">
        <v>2.08646476578927104E17</v>
      </c>
    </row>
    <row r="697" ht="15.75" customHeight="1">
      <c r="A697" s="8"/>
      <c r="B697" s="8"/>
      <c r="C697" s="8"/>
      <c r="D697" s="8">
        <v>27.9026907562088</v>
      </c>
      <c r="E697" s="9" t="s">
        <v>706</v>
      </c>
      <c r="I697" s="12" t="str">
        <f>IFERROR(__xludf.DUMMYFUNCTION("""COMPUTED_VALUE"""),"0x3a3421f7d6c7a6c51f514db6afa497421f585bf6")</f>
        <v>0x3a3421f7d6c7a6c51f514db6afa497421f585bf6</v>
      </c>
      <c r="J697" s="11">
        <v>27.9026907562088</v>
      </c>
      <c r="K697" s="12">
        <v>62.005979458241775</v>
      </c>
      <c r="L697" s="13">
        <v>6.200597945824177E19</v>
      </c>
      <c r="M697" s="9">
        <v>6.2005979458241782E18</v>
      </c>
    </row>
    <row r="698" ht="15.75" customHeight="1">
      <c r="A698" s="8"/>
      <c r="B698" s="8"/>
      <c r="C698" s="8"/>
      <c r="D698" s="8">
        <v>27.9026907562088</v>
      </c>
      <c r="E698" s="9" t="s">
        <v>707</v>
      </c>
      <c r="I698" s="12" t="str">
        <f>IFERROR(__xludf.DUMMYFUNCTION("""COMPUTED_VALUE"""),"0x3a7d9c281bae8b67c951a28fb443c04d99cd03ef")</f>
        <v>0x3a7d9c281bae8b67c951a28fb443c04d99cd03ef</v>
      </c>
      <c r="J698" s="11">
        <v>91.1199983031448</v>
      </c>
      <c r="K698" s="12">
        <v>202.48888511809955</v>
      </c>
      <c r="L698" s="13">
        <v>2.0248888511809955E20</v>
      </c>
      <c r="M698" s="9">
        <v>2.0248888511809958E19</v>
      </c>
    </row>
    <row r="699" ht="15.75" customHeight="1">
      <c r="A699" s="8"/>
      <c r="B699" s="8"/>
      <c r="C699" s="8"/>
      <c r="D699" s="8">
        <v>26.333213898985</v>
      </c>
      <c r="E699" s="9" t="s">
        <v>708</v>
      </c>
      <c r="I699" s="12" t="str">
        <f>IFERROR(__xludf.DUMMYFUNCTION("""COMPUTED_VALUE"""),"0x3a933dd7a1f6de612ff51482685725401eab5c22")</f>
        <v>0x3a933dd7a1f6de612ff51482685725401eab5c22</v>
      </c>
      <c r="J699" s="11">
        <v>28.25295254840308</v>
      </c>
      <c r="K699" s="12">
        <v>62.78433899645129</v>
      </c>
      <c r="L699" s="13">
        <v>6.278433899645129E19</v>
      </c>
      <c r="M699" s="9">
        <v>6.2784338996451287E18</v>
      </c>
    </row>
    <row r="700" ht="15.75" customHeight="1">
      <c r="A700" s="8"/>
      <c r="B700" s="8"/>
      <c r="C700" s="8"/>
      <c r="D700" s="8">
        <v>26.1095390744753</v>
      </c>
      <c r="E700" s="9" t="s">
        <v>709</v>
      </c>
      <c r="I700" s="12" t="str">
        <f>IFERROR(__xludf.DUMMYFUNCTION("""COMPUTED_VALUE"""),"0x3aa15fccb853bd7fd2ecfcaed576e42e36baea12")</f>
        <v>0x3aa15fccb853bd7fd2ecfcaed576e42e36baea12</v>
      </c>
      <c r="J700" s="11">
        <v>26.1095390744753</v>
      </c>
      <c r="K700" s="12">
        <v>58.021197943278445</v>
      </c>
      <c r="L700" s="13">
        <v>5.8021197943278445E19</v>
      </c>
      <c r="M700" s="9">
        <v>5.8021197943278449E18</v>
      </c>
    </row>
    <row r="701" ht="15.75" customHeight="1">
      <c r="A701" s="8"/>
      <c r="B701" s="8"/>
      <c r="C701" s="8"/>
      <c r="D701" s="8">
        <v>27.9026907562088</v>
      </c>
      <c r="E701" s="9" t="s">
        <v>710</v>
      </c>
      <c r="I701" s="12" t="str">
        <f>IFERROR(__xludf.DUMMYFUNCTION("""COMPUTED_VALUE"""),"0x3ab2ef1c5ed8d5479d38a32b36e7609a3bc48893")</f>
        <v>0x3ab2ef1c5ed8d5479d38a32b36e7609a3bc48893</v>
      </c>
      <c r="J701" s="11">
        <v>91.1199983031448</v>
      </c>
      <c r="K701" s="12">
        <v>202.48888511809955</v>
      </c>
      <c r="L701" s="13">
        <v>2.0248888511809955E20</v>
      </c>
      <c r="M701" s="9">
        <v>2.0248888511809958E19</v>
      </c>
    </row>
    <row r="702" ht="15.75" customHeight="1">
      <c r="A702" s="8"/>
      <c r="B702" s="8"/>
      <c r="C702" s="8"/>
      <c r="D702" s="8">
        <v>27.9026907562088</v>
      </c>
      <c r="E702" s="9" t="s">
        <v>711</v>
      </c>
      <c r="I702" s="12" t="str">
        <f>IFERROR(__xludf.DUMMYFUNCTION("""COMPUTED_VALUE"""),"0x3abfb638d0e33e053034e32701c7f8576f53119f")</f>
        <v>0x3abfb638d0e33e053034e32701c7f8576f53119f</v>
      </c>
      <c r="J702" s="11">
        <v>132.9426355903397</v>
      </c>
      <c r="K702" s="12">
        <v>295.4280790896438</v>
      </c>
      <c r="L702" s="13">
        <v>2.954280790896438E20</v>
      </c>
      <c r="M702" s="9">
        <v>2.9542807908964385E19</v>
      </c>
    </row>
    <row r="703" ht="15.75" customHeight="1">
      <c r="A703" s="8"/>
      <c r="B703" s="8"/>
      <c r="C703" s="8"/>
      <c r="D703" s="8">
        <v>27.3233565661678</v>
      </c>
      <c r="E703" s="9" t="s">
        <v>712</v>
      </c>
      <c r="I703" s="12" t="str">
        <f>IFERROR(__xludf.DUMMYFUNCTION("""COMPUTED_VALUE"""),"0x3acc67ec260be0ec8d5c0d327f6eb5d5e8dd9553")</f>
        <v>0x3acc67ec260be0ec8d5c0d327f6eb5d5e8dd9553</v>
      </c>
      <c r="J703" s="11">
        <v>27.3233565661678</v>
      </c>
      <c r="K703" s="12">
        <v>60.71857014703955</v>
      </c>
      <c r="L703" s="13">
        <v>6.071857014703955E19</v>
      </c>
      <c r="M703" s="9">
        <v>6.071857014703956E18</v>
      </c>
    </row>
    <row r="704" ht="15.75" customHeight="1">
      <c r="A704" s="8"/>
      <c r="B704" s="8"/>
      <c r="C704" s="8"/>
      <c r="D704" s="8">
        <v>27.9026907562088</v>
      </c>
      <c r="E704" s="9" t="s">
        <v>713</v>
      </c>
      <c r="I704" s="12" t="str">
        <f>IFERROR(__xludf.DUMMYFUNCTION("""COMPUTED_VALUE"""),"0x3ad2f5c9e75fc49c7c894190560af4e706ba9abb")</f>
        <v>0x3ad2f5c9e75fc49c7c894190560af4e706ba9abb</v>
      </c>
      <c r="J704" s="11">
        <v>27.9026907562088</v>
      </c>
      <c r="K704" s="12">
        <v>62.005979458241775</v>
      </c>
      <c r="L704" s="13">
        <v>6.200597945824177E19</v>
      </c>
      <c r="M704" s="9">
        <v>6.2005979458241782E18</v>
      </c>
    </row>
    <row r="705" ht="15.75" customHeight="1">
      <c r="A705" s="8"/>
      <c r="B705" s="8"/>
      <c r="C705" s="8"/>
      <c r="D705" s="8">
        <v>27.9026907562088</v>
      </c>
      <c r="E705" s="9" t="s">
        <v>714</v>
      </c>
      <c r="I705" s="12" t="str">
        <f>IFERROR(__xludf.DUMMYFUNCTION("""COMPUTED_VALUE"""),"0x3adbab7cd849abad03e3d27feb514adcab6cd5e3")</f>
        <v>0x3adbab7cd849abad03e3d27feb514adcab6cd5e3</v>
      </c>
      <c r="J705" s="11">
        <v>47.4092628663999</v>
      </c>
      <c r="K705" s="12">
        <v>105.35391748088867</v>
      </c>
      <c r="L705" s="13">
        <v>1.0535391748088866E20</v>
      </c>
      <c r="M705" s="9">
        <v>1.0535391748088867E19</v>
      </c>
    </row>
    <row r="706" ht="15.75" customHeight="1">
      <c r="A706" s="8"/>
      <c r="B706" s="8"/>
      <c r="C706" s="8"/>
      <c r="D706" s="8">
        <v>4.62590415448877</v>
      </c>
      <c r="E706" s="9" t="s">
        <v>715</v>
      </c>
      <c r="I706" s="12" t="str">
        <f>IFERROR(__xludf.DUMMYFUNCTION("""COMPUTED_VALUE"""),"0x3ae000d762c5ae37f518b6cb45b9ea0d919bbb68")</f>
        <v>0x3ae000d762c5ae37f518b6cb45b9ea0d919bbb68</v>
      </c>
      <c r="J706" s="11">
        <v>4.62590415448877</v>
      </c>
      <c r="K706" s="12">
        <v>10.279787009975044</v>
      </c>
      <c r="L706" s="13">
        <v>1.0279787009975044E19</v>
      </c>
      <c r="M706" s="9">
        <v>1.02797870099750451E18</v>
      </c>
    </row>
    <row r="707" ht="15.75" customHeight="1">
      <c r="A707" s="8"/>
      <c r="B707" s="8"/>
      <c r="C707" s="8"/>
      <c r="D707" s="8">
        <v>27.9026907562088</v>
      </c>
      <c r="E707" s="9" t="s">
        <v>716</v>
      </c>
      <c r="I707" s="12" t="str">
        <f>IFERROR(__xludf.DUMMYFUNCTION("""COMPUTED_VALUE"""),"0x3afab880ef505402ce08125ecbf886f3a7480a55")</f>
        <v>0x3afab880ef505402ce08125ecbf886f3a7480a55</v>
      </c>
      <c r="J707" s="11">
        <v>29.848481093998938</v>
      </c>
      <c r="K707" s="12">
        <v>66.32995798666431</v>
      </c>
      <c r="L707" s="13">
        <v>6.632995798666431E19</v>
      </c>
      <c r="M707" s="9">
        <v>6.6329957986664315E18</v>
      </c>
    </row>
    <row r="708" ht="15.75" customHeight="1">
      <c r="A708" s="8"/>
      <c r="B708" s="8"/>
      <c r="C708" s="8"/>
      <c r="D708" s="8">
        <v>19.5412682019123</v>
      </c>
      <c r="E708" s="9" t="s">
        <v>717</v>
      </c>
      <c r="I708" s="12" t="str">
        <f>IFERROR(__xludf.DUMMYFUNCTION("""COMPUTED_VALUE"""),"0x3afba67d4cc53d9b401bd202d7ceeb20c5c46215")</f>
        <v>0x3afba67d4cc53d9b401bd202d7ceeb20c5c46215</v>
      </c>
      <c r="J708" s="11">
        <v>19.5412682019123</v>
      </c>
      <c r="K708" s="12">
        <v>43.425040448694</v>
      </c>
      <c r="L708" s="13">
        <v>4.3425040448694E19</v>
      </c>
      <c r="M708" s="9">
        <v>4.3425040448694006E18</v>
      </c>
    </row>
    <row r="709" ht="15.75" customHeight="1">
      <c r="A709" s="8"/>
      <c r="B709" s="8"/>
      <c r="C709" s="8"/>
      <c r="D709" s="8">
        <v>27.9026907562088</v>
      </c>
      <c r="E709" s="9" t="s">
        <v>718</v>
      </c>
      <c r="I709" s="12" t="str">
        <f>IFERROR(__xludf.DUMMYFUNCTION("""COMPUTED_VALUE"""),"0x3b0377a4a8d7d3dc4c283d0fcfa297e98bb30f9a")</f>
        <v>0x3b0377a4a8d7d3dc4c283d0fcfa297e98bb30f9a</v>
      </c>
      <c r="J709" s="11">
        <v>37.63164244515952</v>
      </c>
      <c r="K709" s="12">
        <v>83.62587210035448</v>
      </c>
      <c r="L709" s="13">
        <v>8.362587210035449E19</v>
      </c>
      <c r="M709" s="9">
        <v>8.3625872100354499E18</v>
      </c>
    </row>
    <row r="710" ht="15.75" customHeight="1">
      <c r="A710" s="8"/>
      <c r="B710" s="8"/>
      <c r="C710" s="8"/>
      <c r="D710" s="8">
        <v>27.9026907562088</v>
      </c>
      <c r="E710" s="9" t="s">
        <v>719</v>
      </c>
      <c r="I710" s="12" t="str">
        <f>IFERROR(__xludf.DUMMYFUNCTION("""COMPUTED_VALUE"""),"0x3b06e12c22462e978d6018921f3f4a6457816842")</f>
        <v>0x3b06e12c22462e978d6018921f3f4a6457816842</v>
      </c>
      <c r="J710" s="11">
        <v>27.9026907562088</v>
      </c>
      <c r="K710" s="12">
        <v>62.005979458241775</v>
      </c>
      <c r="L710" s="13">
        <v>6.200597945824177E19</v>
      </c>
      <c r="M710" s="9">
        <v>6.2005979458241782E18</v>
      </c>
    </row>
    <row r="711" ht="15.75" customHeight="1">
      <c r="A711" s="8"/>
      <c r="B711" s="8"/>
      <c r="C711" s="8"/>
      <c r="D711" s="8">
        <v>27.5916212239612</v>
      </c>
      <c r="E711" s="9" t="s">
        <v>720</v>
      </c>
      <c r="I711" s="12" t="str">
        <f>IFERROR(__xludf.DUMMYFUNCTION("""COMPUTED_VALUE"""),"0x3b0dd9d44d85614995fb30b0a5ff5b40d414d456")</f>
        <v>0x3b0dd9d44d85614995fb30b0a5ff5b40d414d456</v>
      </c>
      <c r="J711" s="11">
        <v>27.5916212239612</v>
      </c>
      <c r="K711" s="12">
        <v>61.31471383102489</v>
      </c>
      <c r="L711" s="13">
        <v>6.1314713831024886E19</v>
      </c>
      <c r="M711" s="9">
        <v>6.1314713831024886E18</v>
      </c>
    </row>
    <row r="712" ht="15.75" customHeight="1">
      <c r="A712" s="8"/>
      <c r="B712" s="8"/>
      <c r="C712" s="8"/>
      <c r="D712" s="8">
        <v>27.9026907562088</v>
      </c>
      <c r="E712" s="9" t="s">
        <v>721</v>
      </c>
      <c r="I712" s="12" t="str">
        <f>IFERROR(__xludf.DUMMYFUNCTION("""COMPUTED_VALUE"""),"0x3b4979f93bc513c64c85877b62262c2a4bb91847")</f>
        <v>0x3b4979f93bc513c64c85877b62262c2a4bb91847</v>
      </c>
      <c r="J712" s="11">
        <v>98.90315965430537</v>
      </c>
      <c r="K712" s="12">
        <v>219.7847992317897</v>
      </c>
      <c r="L712" s="13">
        <v>2.197847992317897E20</v>
      </c>
      <c r="M712" s="9">
        <v>2.197847992317897E19</v>
      </c>
    </row>
    <row r="713" ht="15.75" customHeight="1">
      <c r="A713" s="8"/>
      <c r="B713" s="8"/>
      <c r="C713" s="8"/>
      <c r="D713" s="8">
        <v>27.9026907562088</v>
      </c>
      <c r="E713" s="9" t="s">
        <v>722</v>
      </c>
      <c r="I713" s="12" t="str">
        <f>IFERROR(__xludf.DUMMYFUNCTION("""COMPUTED_VALUE"""),"0x3b4eaa66d0b49298052a9c875adc671be39d38c4")</f>
        <v>0x3b4eaa66d0b49298052a9c875adc671be39d38c4</v>
      </c>
      <c r="J713" s="11">
        <v>102.7947403298856</v>
      </c>
      <c r="K713" s="12">
        <v>228.43275628863466</v>
      </c>
      <c r="L713" s="13">
        <v>2.2843275628863465E20</v>
      </c>
      <c r="M713" s="9">
        <v>2.2843275628863468E19</v>
      </c>
    </row>
    <row r="714" ht="15.75" customHeight="1">
      <c r="A714" s="8"/>
      <c r="B714" s="8"/>
      <c r="C714" s="8"/>
      <c r="D714" s="8">
        <v>27.9026907562088</v>
      </c>
      <c r="E714" s="9" t="s">
        <v>723</v>
      </c>
      <c r="I714" s="12" t="str">
        <f>IFERROR(__xludf.DUMMYFUNCTION("""COMPUTED_VALUE"""),"0x3b6a7981738c0634002b3a8790b313d96ac6c33b")</f>
        <v>0x3b6a7981738c0634002b3a8790b313d96ac6c33b</v>
      </c>
      <c r="J714" s="11">
        <v>102.8336561366414</v>
      </c>
      <c r="K714" s="12">
        <v>228.5192358592031</v>
      </c>
      <c r="L714" s="13">
        <v>2.285192358592031E20</v>
      </c>
      <c r="M714" s="9">
        <v>2.285192358592031E19</v>
      </c>
    </row>
    <row r="715" ht="15.75" customHeight="1">
      <c r="A715" s="8"/>
      <c r="B715" s="8"/>
      <c r="C715" s="8"/>
      <c r="D715" s="8">
        <v>26.1802631950936</v>
      </c>
      <c r="E715" s="9" t="s">
        <v>724</v>
      </c>
      <c r="I715" s="12" t="str">
        <f>IFERROR(__xludf.DUMMYFUNCTION("""COMPUTED_VALUE"""),"0x3b85a5e3f0d41559298e3fb9604e6877c5652bd5")</f>
        <v>0x3b85a5e3f0d41559298e3fb9604e6877c5652bd5</v>
      </c>
      <c r="J715" s="11">
        <v>26.1802631950936</v>
      </c>
      <c r="K715" s="12">
        <v>58.17836265576355</v>
      </c>
      <c r="L715" s="13">
        <v>5.817836265576355E19</v>
      </c>
      <c r="M715" s="9">
        <v>5.8178362655763548E18</v>
      </c>
    </row>
    <row r="716" ht="15.75" customHeight="1">
      <c r="A716" s="8"/>
      <c r="B716" s="8"/>
      <c r="C716" s="8"/>
      <c r="D716" s="8">
        <v>27.9026907562088</v>
      </c>
      <c r="E716" s="9" t="s">
        <v>725</v>
      </c>
      <c r="I716" s="12" t="str">
        <f>IFERROR(__xludf.DUMMYFUNCTION("""COMPUTED_VALUE"""),"0x3b865a84b35402b0f7fbaf9c06e6acdf9d08b134")</f>
        <v>0x3b865a84b35402b0f7fbaf9c06e6acdf9d08b134</v>
      </c>
      <c r="J716" s="11">
        <v>98.96590864353085</v>
      </c>
      <c r="K716" s="12">
        <v>219.92424143006855</v>
      </c>
      <c r="L716" s="13">
        <v>2.1992424143006856E20</v>
      </c>
      <c r="M716" s="9">
        <v>2.1992424143006855E19</v>
      </c>
    </row>
    <row r="717" ht="15.75" customHeight="1">
      <c r="A717" s="8"/>
      <c r="B717" s="8"/>
      <c r="C717" s="8"/>
      <c r="D717" s="8">
        <v>27.9026907562088</v>
      </c>
      <c r="E717" s="9" t="s">
        <v>726</v>
      </c>
      <c r="I717" s="12" t="str">
        <f>IFERROR(__xludf.DUMMYFUNCTION("""COMPUTED_VALUE"""),"0x3b8ebf0f799d3ae4b3fa3408f5f549a9c8e3f9e6")</f>
        <v>0x3b8ebf0f799d3ae4b3fa3408f5f549a9c8e3f9e6</v>
      </c>
      <c r="J717" s="11">
        <v>91.1199983031448</v>
      </c>
      <c r="K717" s="12">
        <v>202.48888511809955</v>
      </c>
      <c r="L717" s="13">
        <v>2.0248888511809955E20</v>
      </c>
      <c r="M717" s="9">
        <v>2.0248888511809958E19</v>
      </c>
    </row>
    <row r="718" ht="15.75" customHeight="1">
      <c r="A718" s="8"/>
      <c r="B718" s="8"/>
      <c r="C718" s="8"/>
      <c r="D718" s="8">
        <v>27.9026907562088</v>
      </c>
      <c r="E718" s="9" t="s">
        <v>727</v>
      </c>
      <c r="I718" s="12" t="str">
        <f>IFERROR(__xludf.DUMMYFUNCTION("""COMPUTED_VALUE"""),"0x3bd601e09450aaf250b68f43910013f5ee62c596")</f>
        <v>0x3bd601e09450aaf250b68f43910013f5ee62c596</v>
      </c>
      <c r="J718" s="11">
        <v>91.1199983031448</v>
      </c>
      <c r="K718" s="12">
        <v>202.48888511809955</v>
      </c>
      <c r="L718" s="13">
        <v>2.0248888511809955E20</v>
      </c>
      <c r="M718" s="9">
        <v>2.0248888511809958E19</v>
      </c>
    </row>
    <row r="719" ht="15.75" customHeight="1">
      <c r="A719" s="8"/>
      <c r="B719" s="8"/>
      <c r="C719" s="8"/>
      <c r="D719" s="8">
        <v>27.9026907562088</v>
      </c>
      <c r="E719" s="9" t="s">
        <v>728</v>
      </c>
      <c r="I719" s="12" t="str">
        <f>IFERROR(__xludf.DUMMYFUNCTION("""COMPUTED_VALUE"""),"0x3c378dc6133aa69dcba2d98e896c52b8032d688f")</f>
        <v>0x3c378dc6133aa69dcba2d98e896c52b8032d688f</v>
      </c>
      <c r="J719" s="11">
        <v>91.1199983031448</v>
      </c>
      <c r="K719" s="12">
        <v>202.48888511809955</v>
      </c>
      <c r="L719" s="13">
        <v>2.0248888511809955E20</v>
      </c>
      <c r="M719" s="9">
        <v>2.0248888511809958E19</v>
      </c>
    </row>
    <row r="720" ht="15.75" customHeight="1">
      <c r="A720" s="8"/>
      <c r="B720" s="8"/>
      <c r="C720" s="8"/>
      <c r="D720" s="8">
        <v>23.7593443705765</v>
      </c>
      <c r="E720" s="9" t="s">
        <v>729</v>
      </c>
      <c r="I720" s="12" t="str">
        <f>IFERROR(__xludf.DUMMYFUNCTION("""COMPUTED_VALUE"""),"0x3cd95bae6654e0b17409c5d019231d3c0a34d084")</f>
        <v>0x3cd95bae6654e0b17409c5d019231d3c0a34d084</v>
      </c>
      <c r="J720" s="11">
        <v>86.9766519175125</v>
      </c>
      <c r="K720" s="12">
        <v>193.28144870558333</v>
      </c>
      <c r="L720" s="13">
        <v>1.9328144870558332E20</v>
      </c>
      <c r="M720" s="9">
        <v>1.932814487055833E19</v>
      </c>
    </row>
    <row r="721" ht="15.75" customHeight="1">
      <c r="A721" s="8"/>
      <c r="B721" s="8"/>
      <c r="C721" s="8"/>
      <c r="D721" s="8">
        <v>27.9026907562088</v>
      </c>
      <c r="E721" s="9" t="s">
        <v>730</v>
      </c>
      <c r="I721" s="12" t="str">
        <f>IFERROR(__xludf.DUMMYFUNCTION("""COMPUTED_VALUE"""),"0x3cdc97725ab4aa56f0f25dd26c9e07a40d58556c")</f>
        <v>0x3cdc97725ab4aa56f0f25dd26c9e07a40d58556c</v>
      </c>
      <c r="J721" s="11">
        <v>91.1199983031448</v>
      </c>
      <c r="K721" s="12">
        <v>202.48888511809955</v>
      </c>
      <c r="L721" s="13">
        <v>2.0248888511809955E20</v>
      </c>
      <c r="M721" s="9">
        <v>2.0248888511809958E19</v>
      </c>
    </row>
    <row r="722" ht="15.75" customHeight="1">
      <c r="A722" s="8"/>
      <c r="B722" s="8"/>
      <c r="C722" s="8"/>
      <c r="D722" s="8">
        <v>27.9026907562088</v>
      </c>
      <c r="E722" s="9" t="s">
        <v>731</v>
      </c>
      <c r="I722" s="12" t="str">
        <f>IFERROR(__xludf.DUMMYFUNCTION("""COMPUTED_VALUE"""),"0x3cea62add13c034cccee6ff6bfa4f0fd6d6727f0")</f>
        <v>0x3cea62add13c034cccee6ff6bfa4f0fd6d6727f0</v>
      </c>
      <c r="J722" s="11">
        <v>27.9026907562088</v>
      </c>
      <c r="K722" s="12">
        <v>62.005979458241775</v>
      </c>
      <c r="L722" s="13">
        <v>6.200597945824177E19</v>
      </c>
      <c r="M722" s="9">
        <v>6.2005979458241782E18</v>
      </c>
    </row>
    <row r="723" ht="15.75" customHeight="1">
      <c r="A723" s="8"/>
      <c r="B723" s="8"/>
      <c r="C723" s="8"/>
      <c r="D723" s="8">
        <v>27.9026907562088</v>
      </c>
      <c r="E723" s="9" t="s">
        <v>732</v>
      </c>
      <c r="I723" s="12" t="str">
        <f>IFERROR(__xludf.DUMMYFUNCTION("""COMPUTED_VALUE"""),"0x3cfad5d67249de057bc1c9b47eb8a0cf7b4f6cf5")</f>
        <v>0x3cfad5d67249de057bc1c9b47eb8a0cf7b4f6cf5</v>
      </c>
      <c r="J723" s="11">
        <v>118.1797614115724</v>
      </c>
      <c r="K723" s="12">
        <v>262.6216920257164</v>
      </c>
      <c r="L723" s="13">
        <v>2.626216920257164E20</v>
      </c>
      <c r="M723" s="9">
        <v>2.626216920257164E19</v>
      </c>
    </row>
    <row r="724" ht="15.75" customHeight="1">
      <c r="A724" s="8"/>
      <c r="B724" s="8"/>
      <c r="C724" s="8"/>
      <c r="D724" s="8">
        <v>27.9026907562088</v>
      </c>
      <c r="E724" s="9" t="s">
        <v>733</v>
      </c>
      <c r="I724" s="12" t="str">
        <f>IFERROR(__xludf.DUMMYFUNCTION("""COMPUTED_VALUE"""),"0x3d18ca9f28bf557290bbb4d40d35fa4bb3d67cbc")</f>
        <v>0x3d18ca9f28bf557290bbb4d40d35fa4bb3d67cbc</v>
      </c>
      <c r="J724" s="11">
        <v>27.9026907562088</v>
      </c>
      <c r="K724" s="12">
        <v>62.005979458241775</v>
      </c>
      <c r="L724" s="13">
        <v>6.200597945824177E19</v>
      </c>
      <c r="M724" s="9">
        <v>6.2005979458241782E18</v>
      </c>
    </row>
    <row r="725" ht="15.75" customHeight="1">
      <c r="A725" s="8"/>
      <c r="B725" s="8"/>
      <c r="C725" s="8"/>
      <c r="D725" s="8">
        <v>27.9026907562088</v>
      </c>
      <c r="E725" s="9" t="s">
        <v>734</v>
      </c>
      <c r="I725" s="12" t="str">
        <f>IFERROR(__xludf.DUMMYFUNCTION("""COMPUTED_VALUE"""),"0x3d42c725d9cbf782d1476cc704e7500f0cf58d8d")</f>
        <v>0x3d42c725d9cbf782d1476cc704e7500f0cf58d8d</v>
      </c>
      <c r="J725" s="11">
        <v>93.4518334439525</v>
      </c>
      <c r="K725" s="12">
        <v>207.6707409865611</v>
      </c>
      <c r="L725" s="13">
        <v>2.076707409865611E20</v>
      </c>
      <c r="M725" s="9">
        <v>2.0767074098656113E19</v>
      </c>
    </row>
    <row r="726" ht="15.75" customHeight="1">
      <c r="A726" s="8"/>
      <c r="B726" s="8"/>
      <c r="C726" s="8"/>
      <c r="D726" s="8">
        <v>21.5727337770825</v>
      </c>
      <c r="E726" s="9" t="s">
        <v>735</v>
      </c>
      <c r="I726" s="12" t="str">
        <f>IFERROR(__xludf.DUMMYFUNCTION("""COMPUTED_VALUE"""),"0x3d43db5f41667dd319b05e6a701d55b6ef96ae80")</f>
        <v>0x3d43db5f41667dd319b05e6a701d55b6ef96ae80</v>
      </c>
      <c r="J726" s="11">
        <v>21.5727337770825</v>
      </c>
      <c r="K726" s="12">
        <v>47.939408393516665</v>
      </c>
      <c r="L726" s="13">
        <v>4.793940839351666E19</v>
      </c>
      <c r="M726" s="9">
        <v>4.7939408393516667E18</v>
      </c>
    </row>
    <row r="727" ht="15.75" customHeight="1">
      <c r="A727" s="8"/>
      <c r="B727" s="8"/>
      <c r="C727" s="8"/>
      <c r="D727" s="8">
        <v>27.9026907562088</v>
      </c>
      <c r="E727" s="9" t="s">
        <v>736</v>
      </c>
      <c r="I727" s="12" t="str">
        <f>IFERROR(__xludf.DUMMYFUNCTION("""COMPUTED_VALUE"""),"0x3d76d0c0b9fd5a9854a99eec256c8f7da2264720")</f>
        <v>0x3d76d0c0b9fd5a9854a99eec256c8f7da2264720</v>
      </c>
      <c r="J727" s="11">
        <v>27.9026907562088</v>
      </c>
      <c r="K727" s="12">
        <v>62.005979458241775</v>
      </c>
      <c r="L727" s="13">
        <v>6.200597945824177E19</v>
      </c>
      <c r="M727" s="9">
        <v>6.2005979458241782E18</v>
      </c>
    </row>
    <row r="728" ht="15.75" customHeight="1">
      <c r="A728" s="8"/>
      <c r="B728" s="8"/>
      <c r="C728" s="8"/>
      <c r="D728" s="8">
        <v>25.7923067933717</v>
      </c>
      <c r="E728" s="9" t="s">
        <v>737</v>
      </c>
      <c r="I728" s="12" t="str">
        <f>IFERROR(__xludf.DUMMYFUNCTION("""COMPUTED_VALUE"""),"0x3d7a308de602c969d629d7f16ae3b3433191dcff")</f>
        <v>0x3d7a308de602c969d629d7f16ae3b3433191dcff</v>
      </c>
      <c r="J728" s="11">
        <v>27.71045103986128</v>
      </c>
      <c r="K728" s="12">
        <v>61.57878008858062</v>
      </c>
      <c r="L728" s="13">
        <v>6.157878008858062E19</v>
      </c>
      <c r="M728" s="9">
        <v>6.1578780088580628E18</v>
      </c>
    </row>
    <row r="729" ht="15.75" customHeight="1">
      <c r="A729" s="8"/>
      <c r="B729" s="8"/>
      <c r="C729" s="8"/>
      <c r="D729" s="8">
        <v>27.9026907562088</v>
      </c>
      <c r="E729" s="9" t="s">
        <v>738</v>
      </c>
      <c r="I729" s="12" t="str">
        <f>IFERROR(__xludf.DUMMYFUNCTION("""COMPUTED_VALUE"""),"0x3d7e2b8164541ab06175de7ddff0eaa5cd6396b3")</f>
        <v>0x3d7e2b8164541ab06175de7ddff0eaa5cd6396b3</v>
      </c>
      <c r="J729" s="11">
        <v>27.9026907562088</v>
      </c>
      <c r="K729" s="12">
        <v>62.005979458241775</v>
      </c>
      <c r="L729" s="13">
        <v>6.200597945824177E19</v>
      </c>
      <c r="M729" s="9">
        <v>6.2005979458241782E18</v>
      </c>
    </row>
    <row r="730" ht="15.75" customHeight="1">
      <c r="A730" s="8"/>
      <c r="B730" s="8"/>
      <c r="C730" s="8"/>
      <c r="D730" s="8">
        <v>27.9026907562088</v>
      </c>
      <c r="E730" s="9" t="s">
        <v>739</v>
      </c>
      <c r="I730" s="12" t="str">
        <f>IFERROR(__xludf.DUMMYFUNCTION("""COMPUTED_VALUE"""),"0x3d82bd8155005dd721dfdc311534cfde980cd11c")</f>
        <v>0x3d82bd8155005dd721dfdc311534cfde980cd11c</v>
      </c>
      <c r="J730" s="11">
        <v>136.9676877028886</v>
      </c>
      <c r="K730" s="12">
        <v>304.3726393397525</v>
      </c>
      <c r="L730" s="13">
        <v>3.0437263933975246E20</v>
      </c>
      <c r="M730" s="9">
        <v>3.043726393397525E19</v>
      </c>
    </row>
    <row r="731" ht="15.75" customHeight="1">
      <c r="A731" s="8"/>
      <c r="B731" s="8"/>
      <c r="C731" s="8"/>
      <c r="D731" s="8">
        <v>27.3725744050511</v>
      </c>
      <c r="E731" s="9" t="s">
        <v>740</v>
      </c>
      <c r="I731" s="12" t="str">
        <f>IFERROR(__xludf.DUMMYFUNCTION("""COMPUTED_VALUE"""),"0x3db6031a07995e4796b252e0bb1507f91860ccf7")</f>
        <v>0x3db6031a07995e4796b252e0bb1507f91860ccf7</v>
      </c>
      <c r="J731" s="11">
        <v>52.2249169148122</v>
      </c>
      <c r="K731" s="12">
        <v>116.05537092180488</v>
      </c>
      <c r="L731" s="13">
        <v>1.1605537092180487E20</v>
      </c>
      <c r="M731" s="9">
        <v>1.1605537092180488E19</v>
      </c>
    </row>
    <row r="732" ht="15.75" customHeight="1">
      <c r="A732" s="8"/>
      <c r="B732" s="8"/>
      <c r="C732" s="8"/>
      <c r="D732" s="8">
        <v>27.8677423190778</v>
      </c>
      <c r="E732" s="9" t="s">
        <v>741</v>
      </c>
      <c r="I732" s="12" t="str">
        <f>IFERROR(__xludf.DUMMYFUNCTION("""COMPUTED_VALUE"""),"0x3dd64531bc2a5f8f452003794b129f84b977718a")</f>
        <v>0x3dd64531bc2a5f8f452003794b129f84b977718a</v>
      </c>
      <c r="J732" s="11">
        <v>59.1767701739234</v>
      </c>
      <c r="K732" s="12">
        <v>131.50393371982977</v>
      </c>
      <c r="L732" s="13">
        <v>1.3150393371982977E20</v>
      </c>
      <c r="M732" s="9">
        <v>1.315039337198298E19</v>
      </c>
    </row>
    <row r="733" ht="15.75" customHeight="1">
      <c r="A733" s="8"/>
      <c r="B733" s="8"/>
      <c r="C733" s="8"/>
      <c r="D733" s="8">
        <v>27.9026907562088</v>
      </c>
      <c r="E733" s="9" t="s">
        <v>742</v>
      </c>
      <c r="I733" s="12" t="str">
        <f>IFERROR(__xludf.DUMMYFUNCTION("""COMPUTED_VALUE"""),"0x3e1bae525e81a6b413a136c2b3d246fad65605b1")</f>
        <v>0x3e1bae525e81a6b413a136c2b3d246fad65605b1</v>
      </c>
      <c r="J733" s="11">
        <v>91.1199983031448</v>
      </c>
      <c r="K733" s="12">
        <v>202.48888511809955</v>
      </c>
      <c r="L733" s="13">
        <v>2.0248888511809955E20</v>
      </c>
      <c r="M733" s="9">
        <v>2.0248888511809958E19</v>
      </c>
    </row>
    <row r="734" ht="15.75" customHeight="1">
      <c r="A734" s="8"/>
      <c r="B734" s="8"/>
      <c r="C734" s="8"/>
      <c r="D734" s="8">
        <v>27.9026907562088</v>
      </c>
      <c r="E734" s="9" t="s">
        <v>743</v>
      </c>
      <c r="I734" s="12" t="str">
        <f>IFERROR(__xludf.DUMMYFUNCTION("""COMPUTED_VALUE"""),"0x3e376cb42215e1dfb04af1f2e4685f175f33a2f8")</f>
        <v>0x3e376cb42215e1dfb04af1f2e4685f175f33a2f8</v>
      </c>
      <c r="J734" s="11">
        <v>98.9249525060497</v>
      </c>
      <c r="K734" s="12">
        <v>219.83322779122156</v>
      </c>
      <c r="L734" s="13">
        <v>2.1983322779122156E20</v>
      </c>
      <c r="M734" s="9">
        <v>2.1983322779122156E19</v>
      </c>
    </row>
    <row r="735" ht="15.75" customHeight="1">
      <c r="A735" s="8"/>
      <c r="B735" s="8"/>
      <c r="C735" s="8"/>
      <c r="D735" s="8">
        <v>27.9026907562088</v>
      </c>
      <c r="E735" s="9" t="s">
        <v>744</v>
      </c>
      <c r="I735" s="12" t="str">
        <f>IFERROR(__xludf.DUMMYFUNCTION("""COMPUTED_VALUE"""),"0x3e379f4304319a302a49d5aed685159c81ad8ebc")</f>
        <v>0x3e379f4304319a302a49d5aed685159c81ad8ebc</v>
      </c>
      <c r="J735" s="11">
        <v>27.9026907562088</v>
      </c>
      <c r="K735" s="12">
        <v>62.005979458241775</v>
      </c>
      <c r="L735" s="13">
        <v>6.200597945824177E19</v>
      </c>
      <c r="M735" s="9">
        <v>6.2005979458241782E18</v>
      </c>
    </row>
    <row r="736" ht="15.75" customHeight="1">
      <c r="A736" s="8"/>
      <c r="B736" s="8"/>
      <c r="C736" s="8"/>
      <c r="D736" s="8">
        <v>27.9026907562088</v>
      </c>
      <c r="E736" s="9" t="s">
        <v>745</v>
      </c>
      <c r="I736" s="12" t="str">
        <f>IFERROR(__xludf.DUMMYFUNCTION("""COMPUTED_VALUE"""),"0x3e8a0dfe0afaac4818100f03f3872c0b978620a7")</f>
        <v>0x3e8a0dfe0afaac4818100f03f3872c0b978620a7</v>
      </c>
      <c r="J736" s="11">
        <v>27.9026907562088</v>
      </c>
      <c r="K736" s="12">
        <v>62.005979458241775</v>
      </c>
      <c r="L736" s="13">
        <v>6.200597945824177E19</v>
      </c>
      <c r="M736" s="9">
        <v>6.2005979458241782E18</v>
      </c>
    </row>
    <row r="737" ht="15.75" customHeight="1">
      <c r="A737" s="8"/>
      <c r="B737" s="8"/>
      <c r="C737" s="8"/>
      <c r="D737" s="8">
        <v>27.9026907562088</v>
      </c>
      <c r="E737" s="9" t="s">
        <v>746</v>
      </c>
      <c r="I737" s="12" t="str">
        <f>IFERROR(__xludf.DUMMYFUNCTION("""COMPUTED_VALUE"""),"0x3edcc477e0db38456b6b19dcf17ad9a0efd53cd1")</f>
        <v>0x3edcc477e0db38456b6b19dcf17ad9a0efd53cd1</v>
      </c>
      <c r="J737" s="11">
        <v>27.9026907562088</v>
      </c>
      <c r="K737" s="12">
        <v>62.005979458241775</v>
      </c>
      <c r="L737" s="13">
        <v>6.200597945824177E19</v>
      </c>
      <c r="M737" s="9">
        <v>6.2005979458241782E18</v>
      </c>
    </row>
    <row r="738" ht="15.75" customHeight="1">
      <c r="A738" s="8"/>
      <c r="B738" s="8"/>
      <c r="C738" s="8"/>
      <c r="D738" s="8">
        <v>15.130378328787</v>
      </c>
      <c r="E738" s="9" t="s">
        <v>747</v>
      </c>
      <c r="I738" s="12" t="str">
        <f>IFERROR(__xludf.DUMMYFUNCTION("""COMPUTED_VALUE"""),"0x3eff13ee2aab07ddad66bdcf017c48e8a7768a66")</f>
        <v>0x3eff13ee2aab07ddad66bdcf017c48e8a7768a66</v>
      </c>
      <c r="J738" s="11">
        <v>50.074009470532005</v>
      </c>
      <c r="K738" s="12">
        <v>111.27557660118222</v>
      </c>
      <c r="L738" s="13">
        <v>1.1127557660118222E20</v>
      </c>
      <c r="M738" s="9">
        <v>1.1127557660118223E19</v>
      </c>
    </row>
    <row r="739" ht="15.75" customHeight="1">
      <c r="A739" s="8"/>
      <c r="B739" s="8"/>
      <c r="C739" s="8"/>
      <c r="D739" s="8">
        <v>27.9026907562088</v>
      </c>
      <c r="E739" s="9" t="s">
        <v>748</v>
      </c>
      <c r="I739" s="12" t="str">
        <f>IFERROR(__xludf.DUMMYFUNCTION("""COMPUTED_VALUE"""),"0x3f312f24a1e9043735284d93dc7f9d45501bcc2f")</f>
        <v>0x3f312f24a1e9043735284d93dc7f9d45501bcc2f</v>
      </c>
      <c r="J739" s="11">
        <v>91.1199983031448</v>
      </c>
      <c r="K739" s="12">
        <v>202.48888511809955</v>
      </c>
      <c r="L739" s="13">
        <v>2.0248888511809955E20</v>
      </c>
      <c r="M739" s="9">
        <v>2.0248888511809958E19</v>
      </c>
    </row>
    <row r="740" ht="15.75" customHeight="1">
      <c r="A740" s="8"/>
      <c r="B740" s="8"/>
      <c r="C740" s="8"/>
      <c r="D740" s="8">
        <v>27.9026907562088</v>
      </c>
      <c r="E740" s="9" t="s">
        <v>749</v>
      </c>
      <c r="I740" s="12" t="str">
        <f>IFERROR(__xludf.DUMMYFUNCTION("""COMPUTED_VALUE"""),"0x3f4bc2b26afb83fce73c02305c8e142df72a09ee")</f>
        <v>0x3f4bc2b26afb83fce73c02305c8e142df72a09ee</v>
      </c>
      <c r="J740" s="11">
        <v>171.65407726783928</v>
      </c>
      <c r="K740" s="12">
        <v>381.45350503964283</v>
      </c>
      <c r="L740" s="13">
        <v>3.8145350503964285E20</v>
      </c>
      <c r="M740" s="9">
        <v>3.814535050396429E19</v>
      </c>
    </row>
    <row r="741" ht="15.75" customHeight="1">
      <c r="A741" s="8"/>
      <c r="B741" s="8"/>
      <c r="C741" s="8"/>
      <c r="D741" s="8">
        <v>7.84685345724386</v>
      </c>
      <c r="E741" s="9" t="s">
        <v>750</v>
      </c>
      <c r="I741" s="12" t="str">
        <f>IFERROR(__xludf.DUMMYFUNCTION("""COMPUTED_VALUE"""),"0x3f4e56e627950982ded80fe41d6ad871c79e80a7")</f>
        <v>0x3f4e56e627950982ded80fe41d6ad871c79e80a7</v>
      </c>
      <c r="J741" s="11">
        <v>26.82090386649356</v>
      </c>
      <c r="K741" s="12">
        <v>59.60200859220791</v>
      </c>
      <c r="L741" s="13">
        <v>5.960200859220791E19</v>
      </c>
      <c r="M741" s="9">
        <v>5.9602008592207913E18</v>
      </c>
    </row>
    <row r="742" ht="15.75" customHeight="1">
      <c r="A742" s="8"/>
      <c r="B742" s="8"/>
      <c r="C742" s="8"/>
      <c r="D742" s="8">
        <v>25.486654618362</v>
      </c>
      <c r="E742" s="9" t="s">
        <v>751</v>
      </c>
      <c r="I742" s="12" t="str">
        <f>IFERROR(__xludf.DUMMYFUNCTION("""COMPUTED_VALUE"""),"0x3f528b81fcff07f56128a431fdc64d94d3403afe")</f>
        <v>0x3f528b81fcff07f56128a431fdc64d94d3403afe</v>
      </c>
      <c r="J742" s="11">
        <v>25.486654618362</v>
      </c>
      <c r="K742" s="12">
        <v>56.63701026302667</v>
      </c>
      <c r="L742" s="13">
        <v>5.663701026302666E19</v>
      </c>
      <c r="M742" s="9">
        <v>5.6637010263026668E18</v>
      </c>
    </row>
    <row r="743" ht="15.75" customHeight="1">
      <c r="A743" s="8"/>
      <c r="B743" s="8"/>
      <c r="C743" s="8"/>
      <c r="D743" s="8">
        <v>27.9026907562088</v>
      </c>
      <c r="E743" s="9" t="s">
        <v>752</v>
      </c>
      <c r="I743" s="12" t="str">
        <f>IFERROR(__xludf.DUMMYFUNCTION("""COMPUTED_VALUE"""),"0x3f6aab3bd4a024ae0900a4aca0f8ce7db65dec8b")</f>
        <v>0x3f6aab3bd4a024ae0900a4aca0f8ce7db65dec8b</v>
      </c>
      <c r="J743" s="11">
        <v>50.500200947355374</v>
      </c>
      <c r="K743" s="12">
        <v>112.22266877190083</v>
      </c>
      <c r="L743" s="13">
        <v>1.1222266877190083E20</v>
      </c>
      <c r="M743" s="9">
        <v>1.1222266877190085E19</v>
      </c>
    </row>
    <row r="744" ht="15.75" customHeight="1">
      <c r="A744" s="8"/>
      <c r="B744" s="8"/>
      <c r="C744" s="8"/>
      <c r="D744" s="8">
        <v>27.9026907562088</v>
      </c>
      <c r="E744" s="9" t="s">
        <v>753</v>
      </c>
      <c r="I744" s="12" t="str">
        <f>IFERROR(__xludf.DUMMYFUNCTION("""COMPUTED_VALUE"""),"0x3f73561dbed168d1760920e6191fa2aa2b563269")</f>
        <v>0x3f73561dbed168d1760920e6191fa2aa2b563269</v>
      </c>
      <c r="J744" s="11">
        <v>91.1199983031448</v>
      </c>
      <c r="K744" s="12">
        <v>202.48888511809955</v>
      </c>
      <c r="L744" s="13">
        <v>2.0248888511809955E20</v>
      </c>
      <c r="M744" s="9">
        <v>2.0248888511809958E19</v>
      </c>
    </row>
    <row r="745" ht="15.75" customHeight="1">
      <c r="A745" s="8"/>
      <c r="B745" s="8"/>
      <c r="C745" s="8"/>
      <c r="D745" s="8">
        <v>27.9026907562088</v>
      </c>
      <c r="E745" s="9" t="s">
        <v>754</v>
      </c>
      <c r="I745" s="12" t="str">
        <f>IFERROR(__xludf.DUMMYFUNCTION("""COMPUTED_VALUE"""),"0x3f9517ac3ccc311c84826fb000bc8df1e45c4b72")</f>
        <v>0x3f9517ac3ccc311c84826fb000bc8df1e45c4b72</v>
      </c>
      <c r="J745" s="11">
        <v>188.79930952769638</v>
      </c>
      <c r="K745" s="12">
        <v>419.5540211726586</v>
      </c>
      <c r="L745" s="13">
        <v>4.1955402117265863E20</v>
      </c>
      <c r="M745" s="9">
        <v>4.195540211726587E19</v>
      </c>
    </row>
    <row r="746" ht="15.75" customHeight="1">
      <c r="A746" s="8"/>
      <c r="B746" s="8"/>
      <c r="C746" s="8"/>
      <c r="D746" s="8">
        <v>27.9026907562088</v>
      </c>
      <c r="E746" s="9" t="s">
        <v>755</v>
      </c>
      <c r="I746" s="12" t="str">
        <f>IFERROR(__xludf.DUMMYFUNCTION("""COMPUTED_VALUE"""),"0x3fba3d18218d79297e71dcefb8af18b83ce5d1b4")</f>
        <v>0x3fba3d18218d79297e71dcefb8af18b83ce5d1b4</v>
      </c>
      <c r="J746" s="11">
        <v>93.06578864093494</v>
      </c>
      <c r="K746" s="12">
        <v>206.8128636465221</v>
      </c>
      <c r="L746" s="13">
        <v>2.0681286364652208E20</v>
      </c>
      <c r="M746" s="9">
        <v>2.068128636465221E19</v>
      </c>
    </row>
    <row r="747" ht="15.75" customHeight="1">
      <c r="A747" s="8"/>
      <c r="B747" s="8"/>
      <c r="C747" s="8"/>
      <c r="D747" s="8">
        <v>27.9026907562088</v>
      </c>
      <c r="E747" s="9" t="s">
        <v>756</v>
      </c>
      <c r="I747" s="12" t="str">
        <f>IFERROR(__xludf.DUMMYFUNCTION("""COMPUTED_VALUE"""),"0x3fc87b02b54985e4467a091204e7aa745b46478b")</f>
        <v>0x3fc87b02b54985e4467a091204e7aa745b46478b</v>
      </c>
      <c r="J747" s="11">
        <v>27.9026907562088</v>
      </c>
      <c r="K747" s="12">
        <v>62.005979458241775</v>
      </c>
      <c r="L747" s="13">
        <v>6.200597945824177E19</v>
      </c>
      <c r="M747" s="9">
        <v>6.2005979458241782E18</v>
      </c>
    </row>
    <row r="748" ht="15.75" customHeight="1">
      <c r="A748" s="8"/>
      <c r="B748" s="8"/>
      <c r="C748" s="8"/>
      <c r="D748" s="8">
        <v>27.9026907562088</v>
      </c>
      <c r="E748" s="9" t="s">
        <v>757</v>
      </c>
      <c r="I748" s="12" t="str">
        <f>IFERROR(__xludf.DUMMYFUNCTION("""COMPUTED_VALUE"""),"0x3ff46e25ab4b729b94d2a5df1ac7dcba3b1a73d2")</f>
        <v>0x3ff46e25ab4b729b94d2a5df1ac7dcba3b1a73d2</v>
      </c>
      <c r="J748" s="11">
        <v>91.1199983031448</v>
      </c>
      <c r="K748" s="12">
        <v>202.48888511809955</v>
      </c>
      <c r="L748" s="13">
        <v>2.0248888511809955E20</v>
      </c>
      <c r="M748" s="9">
        <v>2.0248888511809958E19</v>
      </c>
    </row>
    <row r="749" ht="15.75" customHeight="1">
      <c r="A749" s="8"/>
      <c r="B749" s="8"/>
      <c r="C749" s="8"/>
      <c r="D749" s="8">
        <v>22.2198811141503</v>
      </c>
      <c r="E749" s="9" t="s">
        <v>758</v>
      </c>
      <c r="I749" s="12" t="str">
        <f>IFERROR(__xludf.DUMMYFUNCTION("""COMPUTED_VALUE"""),"0x400032c4574e1c753da750ea5594d773c3937264")</f>
        <v>0x400032c4574e1c753da750ea5594d773c3937264</v>
      </c>
      <c r="J749" s="11">
        <v>81.98960156280792</v>
      </c>
      <c r="K749" s="12">
        <v>182.1991145840176</v>
      </c>
      <c r="L749" s="13">
        <v>1.821991145840176E20</v>
      </c>
      <c r="M749" s="9">
        <v>1.8219911458401761E19</v>
      </c>
    </row>
    <row r="750" ht="15.75" customHeight="1">
      <c r="A750" s="8"/>
      <c r="B750" s="8"/>
      <c r="C750" s="8"/>
      <c r="D750" s="8">
        <v>26.3566777274354</v>
      </c>
      <c r="E750" s="9" t="s">
        <v>759</v>
      </c>
      <c r="I750" s="12" t="str">
        <f>IFERROR(__xludf.DUMMYFUNCTION("""COMPUTED_VALUE"""),"0x4001a40af106b22484ef923417f06d333b3e9575")</f>
        <v>0x4001a40af106b22484ef923417f06d333b3e9575</v>
      </c>
      <c r="J750" s="11">
        <v>26.3566777274354</v>
      </c>
      <c r="K750" s="12">
        <v>58.57039494985644</v>
      </c>
      <c r="L750" s="13">
        <v>5.8570394949856444E19</v>
      </c>
      <c r="M750" s="9">
        <v>5.8570394949856451E18</v>
      </c>
    </row>
    <row r="751" ht="15.75" customHeight="1">
      <c r="A751" s="8"/>
      <c r="B751" s="8"/>
      <c r="C751" s="8"/>
      <c r="D751" s="8">
        <v>15.3021414096383</v>
      </c>
      <c r="E751" s="9" t="s">
        <v>760</v>
      </c>
      <c r="I751" s="12" t="str">
        <f>IFERROR(__xludf.DUMMYFUNCTION("""COMPUTED_VALUE"""),"0x400969f35416cafb4905bb81663d22aba253b2a7")</f>
        <v>0x400969f35416cafb4905bb81663d22aba253b2a7</v>
      </c>
      <c r="J751" s="11">
        <v>15.3021414096383</v>
      </c>
      <c r="K751" s="12">
        <v>34.00475868808511</v>
      </c>
      <c r="L751" s="13">
        <v>3.400475868808511E19</v>
      </c>
      <c r="M751" s="9">
        <v>3.4004758688085115E18</v>
      </c>
    </row>
    <row r="752" ht="15.75" customHeight="1">
      <c r="A752" s="8"/>
      <c r="B752" s="8"/>
      <c r="C752" s="8"/>
      <c r="D752" s="8">
        <v>27.9026907562088</v>
      </c>
      <c r="E752" s="9" t="s">
        <v>761</v>
      </c>
      <c r="I752" s="12" t="str">
        <f>IFERROR(__xludf.DUMMYFUNCTION("""COMPUTED_VALUE"""),"0x400d85e08ab9fe960d781080a73223a7f271f58c")</f>
        <v>0x400d85e08ab9fe960d781080a73223a7f271f58c</v>
      </c>
      <c r="J752" s="11">
        <v>91.1199983031448</v>
      </c>
      <c r="K752" s="12">
        <v>202.48888511809955</v>
      </c>
      <c r="L752" s="13">
        <v>2.0248888511809955E20</v>
      </c>
      <c r="M752" s="9">
        <v>2.0248888511809958E19</v>
      </c>
    </row>
    <row r="753" ht="15.75" customHeight="1">
      <c r="A753" s="8"/>
      <c r="B753" s="8"/>
      <c r="C753" s="8"/>
      <c r="D753" s="8">
        <v>27.9026907562088</v>
      </c>
      <c r="E753" s="9" t="s">
        <v>762</v>
      </c>
      <c r="I753" s="12" t="str">
        <f>IFERROR(__xludf.DUMMYFUNCTION("""COMPUTED_VALUE"""),"0x4012d4b3dbd8272a96b7f45a3fb47e807f52e187")</f>
        <v>0x4012d4b3dbd8272a96b7f45a3fb47e807f52e187</v>
      </c>
      <c r="J753" s="11">
        <v>27.9026907562088</v>
      </c>
      <c r="K753" s="12">
        <v>62.005979458241775</v>
      </c>
      <c r="L753" s="13">
        <v>6.200597945824177E19</v>
      </c>
      <c r="M753" s="9">
        <v>6.2005979458241782E18</v>
      </c>
    </row>
    <row r="754" ht="15.75" customHeight="1">
      <c r="A754" s="8"/>
      <c r="B754" s="8"/>
      <c r="C754" s="8"/>
      <c r="D754" s="8">
        <v>12.6242458436826</v>
      </c>
      <c r="E754" s="9" t="s">
        <v>763</v>
      </c>
      <c r="I754" s="12" t="str">
        <f>IFERROR(__xludf.DUMMYFUNCTION("""COMPUTED_VALUE"""),"0x4018008537d2acc4be1de2ffd22791043c2c7ab4")</f>
        <v>0x4018008537d2acc4be1de2ffd22791043c2c7ab4</v>
      </c>
      <c r="J754" s="11">
        <v>12.6242458436826</v>
      </c>
      <c r="K754" s="12">
        <v>28.053879652627998</v>
      </c>
      <c r="L754" s="13">
        <v>2.8053879652627997E19</v>
      </c>
      <c r="M754" s="9">
        <v>2.8053879652627999E18</v>
      </c>
    </row>
    <row r="755" ht="15.75" customHeight="1">
      <c r="A755" s="8"/>
      <c r="B755" s="8"/>
      <c r="C755" s="8"/>
      <c r="D755" s="8">
        <v>27.9026907562088</v>
      </c>
      <c r="E755" s="9" t="s">
        <v>764</v>
      </c>
      <c r="I755" s="12" t="str">
        <f>IFERROR(__xludf.DUMMYFUNCTION("""COMPUTED_VALUE"""),"0x40409954cb878a6384ec099e65106ad17b80fced")</f>
        <v>0x40409954cb878a6384ec099e65106ad17b80fced</v>
      </c>
      <c r="J755" s="11">
        <v>102.7947403298856</v>
      </c>
      <c r="K755" s="12">
        <v>228.43275628863466</v>
      </c>
      <c r="L755" s="13">
        <v>2.2843275628863465E20</v>
      </c>
      <c r="M755" s="9">
        <v>2.2843275628863468E19</v>
      </c>
    </row>
    <row r="756" ht="15.75" customHeight="1">
      <c r="A756" s="8"/>
      <c r="B756" s="8"/>
      <c r="C756" s="8"/>
      <c r="D756" s="8">
        <v>24.8868354320105</v>
      </c>
      <c r="E756" s="9" t="s">
        <v>765</v>
      </c>
      <c r="I756" s="12" t="str">
        <f>IFERROR(__xludf.DUMMYFUNCTION("""COMPUTED_VALUE"""),"0x404ea42b950982a9bdb6ba037bc1b3c9279a300d")</f>
        <v>0x404ea42b950982a9bdb6ba037bc1b3c9279a300d</v>
      </c>
      <c r="J756" s="11">
        <v>24.8868354320105</v>
      </c>
      <c r="K756" s="12">
        <v>55.304078737801106</v>
      </c>
      <c r="L756" s="13">
        <v>5.530407873780111E19</v>
      </c>
      <c r="M756" s="9">
        <v>5.5304078737801114E18</v>
      </c>
    </row>
    <row r="757" ht="15.75" customHeight="1">
      <c r="A757" s="8"/>
      <c r="B757" s="8"/>
      <c r="C757" s="8"/>
      <c r="D757" s="8">
        <v>27.9026907562088</v>
      </c>
      <c r="E757" s="9" t="s">
        <v>766</v>
      </c>
      <c r="I757" s="12" t="str">
        <f>IFERROR(__xludf.DUMMYFUNCTION("""COMPUTED_VALUE"""),"0x40636bf5b9c6a8c212cfb9f283f14c293db87a72")</f>
        <v>0x40636bf5b9c6a8c212cfb9f283f14c293db87a72</v>
      </c>
      <c r="J757" s="11">
        <v>27.9026907562088</v>
      </c>
      <c r="K757" s="12">
        <v>62.005979458241775</v>
      </c>
      <c r="L757" s="13">
        <v>6.200597945824177E19</v>
      </c>
      <c r="M757" s="9">
        <v>6.2005979458241782E18</v>
      </c>
    </row>
    <row r="758" ht="15.75" customHeight="1">
      <c r="A758" s="8"/>
      <c r="B758" s="8"/>
      <c r="C758" s="8"/>
      <c r="D758" s="8">
        <v>27.9026907562088</v>
      </c>
      <c r="E758" s="9" t="s">
        <v>767</v>
      </c>
      <c r="I758" s="12" t="str">
        <f>IFERROR(__xludf.DUMMYFUNCTION("""COMPUTED_VALUE"""),"0x4067edc2deaad4f837131c9d0ec5201bd296f058")</f>
        <v>0x4067edc2deaad4f837131c9d0ec5201bd296f058</v>
      </c>
      <c r="J758" s="11">
        <v>27.9026907562088</v>
      </c>
      <c r="K758" s="12">
        <v>62.005979458241775</v>
      </c>
      <c r="L758" s="13">
        <v>6.200597945824177E19</v>
      </c>
      <c r="M758" s="9">
        <v>6.2005979458241782E18</v>
      </c>
    </row>
    <row r="759" ht="15.75" customHeight="1">
      <c r="A759" s="8"/>
      <c r="B759" s="8"/>
      <c r="C759" s="8"/>
      <c r="D759" s="8">
        <v>2.17797093265416</v>
      </c>
      <c r="E759" s="9" t="s">
        <v>768</v>
      </c>
      <c r="I759" s="12" t="str">
        <f>IFERROR(__xludf.DUMMYFUNCTION("""COMPUTED_VALUE"""),"0x4075079befd93702710d55e32dba07260845d02c")</f>
        <v>0x4075079befd93702710d55e32dba07260845d02c</v>
      </c>
      <c r="J759" s="11">
        <v>2.17797093265416</v>
      </c>
      <c r="K759" s="12">
        <v>4.8399354058981325</v>
      </c>
      <c r="L759" s="13">
        <v>4.8399354058981325E18</v>
      </c>
      <c r="M759" s="9">
        <v>4.8399354058981325E17</v>
      </c>
    </row>
    <row r="760" ht="15.75" customHeight="1">
      <c r="A760" s="8"/>
      <c r="B760" s="8"/>
      <c r="C760" s="8"/>
      <c r="D760" s="8">
        <v>11.7996281978249</v>
      </c>
      <c r="E760" s="9" t="s">
        <v>769</v>
      </c>
      <c r="I760" s="12" t="str">
        <f>IFERROR(__xludf.DUMMYFUNCTION("""COMPUTED_VALUE"""),"0x408c4e054a7ba972227c06477ab10f0d80f4be75")</f>
        <v>0x408c4e054a7ba972227c06477ab10f0d80f4be75</v>
      </c>
      <c r="J760" s="11">
        <v>11.7996281978249</v>
      </c>
      <c r="K760" s="12">
        <v>26.221395995166443</v>
      </c>
      <c r="L760" s="13">
        <v>2.622139599516644E19</v>
      </c>
      <c r="M760" s="9">
        <v>2.6221395995166444E18</v>
      </c>
    </row>
    <row r="761" ht="15.75" customHeight="1">
      <c r="A761" s="8"/>
      <c r="B761" s="8"/>
      <c r="C761" s="8"/>
      <c r="D761" s="8">
        <v>27.9026907562088</v>
      </c>
      <c r="E761" s="9" t="s">
        <v>770</v>
      </c>
      <c r="I761" s="12" t="str">
        <f>IFERROR(__xludf.DUMMYFUNCTION("""COMPUTED_VALUE"""),"0x40932dc5858a4ce40ff726f6d4472c338ac7e083")</f>
        <v>0x40932dc5858a4ce40ff726f6d4472c338ac7e083</v>
      </c>
      <c r="J761" s="11">
        <v>27.9026907562088</v>
      </c>
      <c r="K761" s="12">
        <v>62.005979458241775</v>
      </c>
      <c r="L761" s="13">
        <v>6.200597945824177E19</v>
      </c>
      <c r="M761" s="9">
        <v>6.2005979458241782E18</v>
      </c>
    </row>
    <row r="762" ht="15.75" customHeight="1">
      <c r="A762" s="8"/>
      <c r="B762" s="8"/>
      <c r="C762" s="8"/>
      <c r="D762" s="8">
        <v>27.9026907562088</v>
      </c>
      <c r="E762" s="9" t="s">
        <v>771</v>
      </c>
      <c r="I762" s="12" t="str">
        <f>IFERROR(__xludf.DUMMYFUNCTION("""COMPUTED_VALUE"""),"0x40a644428b17aea6339ef08de753e240f04e71b6")</f>
        <v>0x40a644428b17aea6339ef08de753e240f04e71b6</v>
      </c>
      <c r="J762" s="11">
        <v>27.9026907562088</v>
      </c>
      <c r="K762" s="12">
        <v>62.005979458241775</v>
      </c>
      <c r="L762" s="13">
        <v>6.200597945824177E19</v>
      </c>
      <c r="M762" s="9">
        <v>6.2005979458241782E18</v>
      </c>
    </row>
    <row r="763" ht="15.75" customHeight="1">
      <c r="A763" s="8"/>
      <c r="B763" s="8"/>
      <c r="C763" s="8"/>
      <c r="D763" s="8">
        <v>27.9026907562088</v>
      </c>
      <c r="E763" s="9" t="s">
        <v>772</v>
      </c>
      <c r="I763" s="12" t="str">
        <f>IFERROR(__xludf.DUMMYFUNCTION("""COMPUTED_VALUE"""),"0x41104d00ed6076e26830512476d1f1e06378438c")</f>
        <v>0x41104d00ed6076e26830512476d1f1e06378438c</v>
      </c>
      <c r="J763" s="11">
        <v>27.9026907562088</v>
      </c>
      <c r="K763" s="12">
        <v>62.005979458241775</v>
      </c>
      <c r="L763" s="13">
        <v>6.200597945824177E19</v>
      </c>
      <c r="M763" s="9">
        <v>6.2005979458241782E18</v>
      </c>
    </row>
    <row r="764" ht="15.75" customHeight="1">
      <c r="A764" s="8"/>
      <c r="B764" s="8"/>
      <c r="C764" s="8"/>
      <c r="D764" s="8">
        <v>27.9026907562088</v>
      </c>
      <c r="E764" s="9" t="s">
        <v>773</v>
      </c>
      <c r="I764" s="12" t="str">
        <f>IFERROR(__xludf.DUMMYFUNCTION("""COMPUTED_VALUE"""),"0x411150bf77260f446e6ac5c182981b949ab9502e")</f>
        <v>0x411150bf77260f446e6ac5c182981b949ab9502e</v>
      </c>
      <c r="J764" s="11">
        <v>27.9026907562088</v>
      </c>
      <c r="K764" s="12">
        <v>62.005979458241775</v>
      </c>
      <c r="L764" s="13">
        <v>6.200597945824177E19</v>
      </c>
      <c r="M764" s="9">
        <v>6.2005979458241782E18</v>
      </c>
    </row>
    <row r="765" ht="15.75" customHeight="1">
      <c r="A765" s="8"/>
      <c r="B765" s="8"/>
      <c r="C765" s="8"/>
      <c r="D765" s="8">
        <v>27.9026907562088</v>
      </c>
      <c r="E765" s="9" t="s">
        <v>774</v>
      </c>
      <c r="I765" s="12" t="str">
        <f>IFERROR(__xludf.DUMMYFUNCTION("""COMPUTED_VALUE"""),"0x4115bbd5df38f4103eb7648c6a25c1360b63fb2d")</f>
        <v>0x4115bbd5df38f4103eb7648c6a25c1360b63fb2d</v>
      </c>
      <c r="J765" s="11">
        <v>27.9026907562088</v>
      </c>
      <c r="K765" s="12">
        <v>62.005979458241775</v>
      </c>
      <c r="L765" s="13">
        <v>6.200597945824177E19</v>
      </c>
      <c r="M765" s="9">
        <v>6.2005979458241782E18</v>
      </c>
    </row>
    <row r="766" ht="15.75" customHeight="1">
      <c r="A766" s="8"/>
      <c r="B766" s="8"/>
      <c r="C766" s="8"/>
      <c r="D766" s="8">
        <v>26.8095486224828</v>
      </c>
      <c r="E766" s="9" t="s">
        <v>775</v>
      </c>
      <c r="I766" s="12" t="str">
        <f>IFERROR(__xludf.DUMMYFUNCTION("""COMPUTED_VALUE"""),"0x412c31cf4b15dd2a4b320c3c476374d03419c9de")</f>
        <v>0x412c31cf4b15dd2a4b320c3c476374d03419c9de</v>
      </c>
      <c r="J766" s="11">
        <v>26.8095486224828</v>
      </c>
      <c r="K766" s="12">
        <v>59.57677471662844</v>
      </c>
      <c r="L766" s="13">
        <v>5.957677471662844E19</v>
      </c>
      <c r="M766" s="9">
        <v>5.9576774716628449E18</v>
      </c>
    </row>
    <row r="767" ht="15.75" customHeight="1">
      <c r="A767" s="8"/>
      <c r="B767" s="8"/>
      <c r="C767" s="8"/>
      <c r="D767" s="8">
        <v>27.9026907562088</v>
      </c>
      <c r="E767" s="9" t="s">
        <v>776</v>
      </c>
      <c r="I767" s="12" t="str">
        <f>IFERROR(__xludf.DUMMYFUNCTION("""COMPUTED_VALUE"""),"0x412d2f2723daf4c6952e6b402827220bbbb8b9b1")</f>
        <v>0x412d2f2723daf4c6952e6b402827220bbbb8b9b1</v>
      </c>
      <c r="J767" s="11">
        <v>27.9026907562088</v>
      </c>
      <c r="K767" s="12">
        <v>62.005979458241775</v>
      </c>
      <c r="L767" s="13">
        <v>6.200597945824177E19</v>
      </c>
      <c r="M767" s="9">
        <v>6.2005979458241782E18</v>
      </c>
    </row>
    <row r="768" ht="15.75" customHeight="1">
      <c r="A768" s="8"/>
      <c r="B768" s="8"/>
      <c r="C768" s="8"/>
      <c r="D768" s="8">
        <v>27.9026907562088</v>
      </c>
      <c r="E768" s="9" t="s">
        <v>777</v>
      </c>
      <c r="I768" s="12" t="str">
        <f>IFERROR(__xludf.DUMMYFUNCTION("""COMPUTED_VALUE"""),"0x4152582f0110ff320dbcf86d344147784364112d")</f>
        <v>0x4152582f0110ff320dbcf86d344147784364112d</v>
      </c>
      <c r="J768" s="11">
        <v>27.9026907562088</v>
      </c>
      <c r="K768" s="12">
        <v>62.005979458241775</v>
      </c>
      <c r="L768" s="13">
        <v>6.200597945824177E19</v>
      </c>
      <c r="M768" s="9">
        <v>6.2005979458241782E18</v>
      </c>
    </row>
    <row r="769" ht="15.75" customHeight="1">
      <c r="A769" s="8"/>
      <c r="B769" s="8"/>
      <c r="C769" s="8"/>
      <c r="D769" s="8">
        <v>27.9026907562088</v>
      </c>
      <c r="E769" s="9" t="s">
        <v>778</v>
      </c>
      <c r="I769" s="12" t="str">
        <f>IFERROR(__xludf.DUMMYFUNCTION("""COMPUTED_VALUE"""),"0x4164a39dabcb13c555bd795a64c59a2b31febc9e")</f>
        <v>0x4164a39dabcb13c555bd795a64c59a2b31febc9e</v>
      </c>
      <c r="J769" s="11">
        <v>91.1199983031448</v>
      </c>
      <c r="K769" s="12">
        <v>202.48888511809955</v>
      </c>
      <c r="L769" s="13">
        <v>2.0248888511809955E20</v>
      </c>
      <c r="M769" s="9">
        <v>2.0248888511809958E19</v>
      </c>
    </row>
    <row r="770" ht="15.75" customHeight="1">
      <c r="A770" s="8"/>
      <c r="B770" s="8"/>
      <c r="C770" s="8"/>
      <c r="D770" s="8">
        <v>27.9026907562088</v>
      </c>
      <c r="E770" s="9" t="s">
        <v>779</v>
      </c>
      <c r="I770" s="12" t="str">
        <f>IFERROR(__xludf.DUMMYFUNCTION("""COMPUTED_VALUE"""),"0x4167c5825332c87ee73d035b97c43105a83f6880")</f>
        <v>0x4167c5825332c87ee73d035b97c43105a83f6880</v>
      </c>
      <c r="J770" s="11">
        <v>27.9026907562088</v>
      </c>
      <c r="K770" s="12">
        <v>62.005979458241775</v>
      </c>
      <c r="L770" s="13">
        <v>6.200597945824177E19</v>
      </c>
      <c r="M770" s="9">
        <v>6.2005979458241782E18</v>
      </c>
    </row>
    <row r="771" ht="15.75" customHeight="1">
      <c r="A771" s="8"/>
      <c r="B771" s="8"/>
      <c r="C771" s="8"/>
      <c r="D771" s="8">
        <v>27.9026907562088</v>
      </c>
      <c r="E771" s="9" t="s">
        <v>780</v>
      </c>
      <c r="I771" s="12" t="str">
        <f>IFERROR(__xludf.DUMMYFUNCTION("""COMPUTED_VALUE"""),"0x417f07daabcb952b982261670e1a401800ee3c4b")</f>
        <v>0x417f07daabcb952b982261670e1a401800ee3c4b</v>
      </c>
      <c r="J771" s="11">
        <v>118.3999788389626</v>
      </c>
      <c r="K771" s="12">
        <v>263.11106408658355</v>
      </c>
      <c r="L771" s="13">
        <v>2.6311106408658354E20</v>
      </c>
      <c r="M771" s="9">
        <v>2.6311106408658354E19</v>
      </c>
    </row>
    <row r="772" ht="15.75" customHeight="1">
      <c r="A772" s="8"/>
      <c r="B772" s="8"/>
      <c r="C772" s="8"/>
      <c r="D772" s="8">
        <v>27.9026907562088</v>
      </c>
      <c r="E772" s="9" t="s">
        <v>781</v>
      </c>
      <c r="I772" s="12" t="str">
        <f>IFERROR(__xludf.DUMMYFUNCTION("""COMPUTED_VALUE"""),"0x41829bf198e70326c6685249400dd411b2c8e08d")</f>
        <v>0x41829bf198e70326c6685249400dd411b2c8e08d</v>
      </c>
      <c r="J772" s="11">
        <v>27.9026907562088</v>
      </c>
      <c r="K772" s="12">
        <v>62.005979458241775</v>
      </c>
      <c r="L772" s="13">
        <v>6.200597945824177E19</v>
      </c>
      <c r="M772" s="9">
        <v>6.2005979458241782E18</v>
      </c>
    </row>
    <row r="773" ht="15.75" customHeight="1">
      <c r="A773" s="8"/>
      <c r="B773" s="8"/>
      <c r="C773" s="8"/>
      <c r="D773" s="8">
        <v>27.9026907562088</v>
      </c>
      <c r="E773" s="9" t="s">
        <v>782</v>
      </c>
      <c r="I773" s="12" t="str">
        <f>IFERROR(__xludf.DUMMYFUNCTION("""COMPUTED_VALUE"""),"0x418664714a32aaeae9113183909eb8cfbd7cf868")</f>
        <v>0x418664714a32aaeae9113183909eb8cfbd7cf868</v>
      </c>
      <c r="J773" s="11">
        <v>91.1199983031448</v>
      </c>
      <c r="K773" s="12">
        <v>202.48888511809955</v>
      </c>
      <c r="L773" s="13">
        <v>2.0248888511809955E20</v>
      </c>
      <c r="M773" s="9">
        <v>2.0248888511809958E19</v>
      </c>
    </row>
    <row r="774" ht="15.75" customHeight="1">
      <c r="A774" s="8"/>
      <c r="B774" s="8"/>
      <c r="C774" s="8"/>
      <c r="D774" s="8">
        <v>27.9026907562088</v>
      </c>
      <c r="E774" s="9" t="s">
        <v>783</v>
      </c>
      <c r="I774" s="12" t="str">
        <f>IFERROR(__xludf.DUMMYFUNCTION("""COMPUTED_VALUE"""),"0x41951a191ec0c833db8c50c713a07b376d083cc1")</f>
        <v>0x41951a191ec0c833db8c50c713a07b376d083cc1</v>
      </c>
      <c r="J774" s="11">
        <v>91.54807217745862</v>
      </c>
      <c r="K774" s="12">
        <v>203.4401603943525</v>
      </c>
      <c r="L774" s="13">
        <v>2.034401603943525E20</v>
      </c>
      <c r="M774" s="9">
        <v>2.034401603943525E19</v>
      </c>
    </row>
    <row r="775" ht="15.75" customHeight="1">
      <c r="A775" s="8"/>
      <c r="B775" s="8"/>
      <c r="C775" s="8"/>
      <c r="D775" s="8">
        <v>27.9026907562088</v>
      </c>
      <c r="E775" s="9" t="s">
        <v>784</v>
      </c>
      <c r="I775" s="12" t="str">
        <f>IFERROR(__xludf.DUMMYFUNCTION("""COMPUTED_VALUE"""),"0x4197985d6c34b5f189982db500af56597ac21430")</f>
        <v>0x4197985d6c34b5f189982db500af56597ac21430</v>
      </c>
      <c r="J775" s="11">
        <v>59.5113445296768</v>
      </c>
      <c r="K775" s="12">
        <v>132.24743228817067</v>
      </c>
      <c r="L775" s="13">
        <v>1.3224743228817067E20</v>
      </c>
      <c r="M775" s="9">
        <v>1.3224743228817068E19</v>
      </c>
    </row>
    <row r="776" ht="15.75" customHeight="1">
      <c r="A776" s="8"/>
      <c r="B776" s="8"/>
      <c r="C776" s="8"/>
      <c r="D776" s="8">
        <v>27.9026907562088</v>
      </c>
      <c r="E776" s="9" t="s">
        <v>785</v>
      </c>
      <c r="I776" s="12" t="str">
        <f>IFERROR(__xludf.DUMMYFUNCTION("""COMPUTED_VALUE"""),"0x41c5cf425ea8a9ba6a5fa6aba8f318e10ced9c97")</f>
        <v>0x41c5cf425ea8a9ba6a5fa6aba8f318e10ced9c97</v>
      </c>
      <c r="J776" s="11">
        <v>130.3082157062383</v>
      </c>
      <c r="K776" s="12">
        <v>289.5738126805295</v>
      </c>
      <c r="L776" s="13">
        <v>2.895738126805295E20</v>
      </c>
      <c r="M776" s="9">
        <v>2.895738126805295E19</v>
      </c>
    </row>
    <row r="777" ht="15.75" customHeight="1">
      <c r="A777" s="8"/>
      <c r="B777" s="8"/>
      <c r="C777" s="8"/>
      <c r="D777" s="8">
        <v>27.9026907562088</v>
      </c>
      <c r="E777" s="9" t="s">
        <v>786</v>
      </c>
      <c r="I777" s="12" t="str">
        <f>IFERROR(__xludf.DUMMYFUNCTION("""COMPUTED_VALUE"""),"0x41ca37052d6f6c5ff804cc037551f1533a6fdc52")</f>
        <v>0x41ca37052d6f6c5ff804cc037551f1533a6fdc52</v>
      </c>
      <c r="J777" s="11">
        <v>27.9026907562088</v>
      </c>
      <c r="K777" s="12">
        <v>62.005979458241775</v>
      </c>
      <c r="L777" s="13">
        <v>6.200597945824177E19</v>
      </c>
      <c r="M777" s="9">
        <v>6.2005979458241782E18</v>
      </c>
    </row>
    <row r="778" ht="15.75" customHeight="1">
      <c r="A778" s="8"/>
      <c r="B778" s="8"/>
      <c r="C778" s="8"/>
      <c r="D778" s="8">
        <v>6.77565359813127</v>
      </c>
      <c r="E778" s="9" t="s">
        <v>787</v>
      </c>
      <c r="I778" s="12" t="str">
        <f>IFERROR(__xludf.DUMMYFUNCTION("""COMPUTED_VALUE"""),"0x41d43ea3416d23fca245407b5b474423ea2fdd69")</f>
        <v>0x41d43ea3416d23fca245407b5b474423ea2fdd69</v>
      </c>
      <c r="J778" s="11">
        <v>28.99211797424155</v>
      </c>
      <c r="K778" s="12">
        <v>64.42692883164788</v>
      </c>
      <c r="L778" s="13">
        <v>6.442692883164788E19</v>
      </c>
      <c r="M778" s="9">
        <v>6.4426928831647887E18</v>
      </c>
    </row>
    <row r="779" ht="15.75" customHeight="1">
      <c r="A779" s="8"/>
      <c r="B779" s="8"/>
      <c r="C779" s="8"/>
      <c r="D779" s="8">
        <v>27.9026907562088</v>
      </c>
      <c r="E779" s="9" t="s">
        <v>788</v>
      </c>
      <c r="I779" s="12" t="str">
        <f>IFERROR(__xludf.DUMMYFUNCTION("""COMPUTED_VALUE"""),"0x41e2ec54bd1df5bc50645d85e7564e56a3e74d35")</f>
        <v>0x41e2ec54bd1df5bc50645d85e7564e56a3e74d35</v>
      </c>
      <c r="J779" s="11">
        <v>95.22295320430896</v>
      </c>
      <c r="K779" s="12">
        <v>211.60656267624213</v>
      </c>
      <c r="L779" s="13">
        <v>2.1160656267624212E20</v>
      </c>
      <c r="M779" s="9">
        <v>2.1160656267624215E19</v>
      </c>
    </row>
    <row r="780" ht="15.75" customHeight="1">
      <c r="A780" s="8"/>
      <c r="B780" s="8"/>
      <c r="C780" s="8"/>
      <c r="D780" s="8">
        <v>27.9026907562088</v>
      </c>
      <c r="E780" s="9" t="s">
        <v>789</v>
      </c>
      <c r="I780" s="12" t="str">
        <f>IFERROR(__xludf.DUMMYFUNCTION("""COMPUTED_VALUE"""),"0x41ecdb88d85b60935f3dbbdbaa2ad45b50c2e26c")</f>
        <v>0x41ecdb88d85b60935f3dbbdbaa2ad45b50c2e26c</v>
      </c>
      <c r="J780" s="11">
        <v>91.1199983031448</v>
      </c>
      <c r="K780" s="12">
        <v>202.48888511809955</v>
      </c>
      <c r="L780" s="13">
        <v>2.0248888511809955E20</v>
      </c>
      <c r="M780" s="9">
        <v>2.0248888511809958E19</v>
      </c>
    </row>
    <row r="781" ht="15.75" customHeight="1">
      <c r="A781" s="8"/>
      <c r="B781" s="8"/>
      <c r="C781" s="8"/>
      <c r="D781" s="8">
        <v>27.9026907562088</v>
      </c>
      <c r="E781" s="9" t="s">
        <v>790</v>
      </c>
      <c r="I781" s="12" t="str">
        <f>IFERROR(__xludf.DUMMYFUNCTION("""COMPUTED_VALUE"""),"0x41ee2014e6995012217416ac86f7251bd24ef53a")</f>
        <v>0x41ee2014e6995012217416ac86f7251bd24ef53a</v>
      </c>
      <c r="J781" s="11">
        <v>27.9026907562088</v>
      </c>
      <c r="K781" s="12">
        <v>62.005979458241775</v>
      </c>
      <c r="L781" s="13">
        <v>6.200597945824177E19</v>
      </c>
      <c r="M781" s="9">
        <v>6.2005979458241782E18</v>
      </c>
    </row>
    <row r="782" ht="15.75" customHeight="1">
      <c r="A782" s="8"/>
      <c r="B782" s="8"/>
      <c r="C782" s="8"/>
      <c r="D782" s="8">
        <v>27.9026907562088</v>
      </c>
      <c r="E782" s="9" t="s">
        <v>791</v>
      </c>
      <c r="I782" s="12" t="str">
        <f>IFERROR(__xludf.DUMMYFUNCTION("""COMPUTED_VALUE"""),"0x42366746f6e40f64d84e48844fd6219be7ed0cd7")</f>
        <v>0x42366746f6e40f64d84e48844fd6219be7ed0cd7</v>
      </c>
      <c r="J782" s="11">
        <v>27.9026907562088</v>
      </c>
      <c r="K782" s="12">
        <v>62.005979458241775</v>
      </c>
      <c r="L782" s="13">
        <v>6.200597945824177E19</v>
      </c>
      <c r="M782" s="9">
        <v>6.2005979458241782E18</v>
      </c>
    </row>
    <row r="783" ht="15.75" customHeight="1">
      <c r="A783" s="8"/>
      <c r="B783" s="8"/>
      <c r="C783" s="8"/>
      <c r="D783" s="8">
        <v>27.9026907562088</v>
      </c>
      <c r="E783" s="9" t="s">
        <v>792</v>
      </c>
      <c r="I783" s="12" t="str">
        <f>IFERROR(__xludf.DUMMYFUNCTION("""COMPUTED_VALUE"""),"0x423c05858a55e5d8d3b4f73581721edf4e3709d8")</f>
        <v>0x423c05858a55e5d8d3b4f73581721edf4e3709d8</v>
      </c>
      <c r="J783" s="11">
        <v>27.9026907562088</v>
      </c>
      <c r="K783" s="12">
        <v>62.005979458241775</v>
      </c>
      <c r="L783" s="13">
        <v>6.200597945824177E19</v>
      </c>
      <c r="M783" s="9">
        <v>6.2005979458241782E18</v>
      </c>
    </row>
    <row r="784" ht="15.75" customHeight="1">
      <c r="A784" s="8"/>
      <c r="B784" s="8"/>
      <c r="C784" s="8"/>
      <c r="D784" s="8">
        <v>27.5475250330949</v>
      </c>
      <c r="E784" s="9" t="s">
        <v>793</v>
      </c>
      <c r="I784" s="12" t="str">
        <f>IFERROR(__xludf.DUMMYFUNCTION("""COMPUTED_VALUE"""),"0x424752dbccbbacba1f46be229f50d24dfe024230")</f>
        <v>0x424752dbccbbacba1f46be229f50d24dfe024230</v>
      </c>
      <c r="J784" s="11">
        <v>27.5475250330949</v>
      </c>
      <c r="K784" s="12">
        <v>61.216722295766445</v>
      </c>
      <c r="L784" s="13">
        <v>6.121672229576644E19</v>
      </c>
      <c r="M784" s="9">
        <v>6.1216722295766446E18</v>
      </c>
    </row>
    <row r="785" ht="15.75" customHeight="1">
      <c r="A785" s="8"/>
      <c r="B785" s="8"/>
      <c r="C785" s="8"/>
      <c r="D785" s="8">
        <v>27.9026907562088</v>
      </c>
      <c r="E785" s="9" t="s">
        <v>794</v>
      </c>
      <c r="I785" s="12" t="str">
        <f>IFERROR(__xludf.DUMMYFUNCTION("""COMPUTED_VALUE"""),"0x424cd658a2ee5679f3e3f315916a9f70c42fea70")</f>
        <v>0x424cd658a2ee5679f3e3f315916a9f70c42fea70</v>
      </c>
      <c r="J785" s="11">
        <v>91.1199983031448</v>
      </c>
      <c r="K785" s="12">
        <v>202.48888511809955</v>
      </c>
      <c r="L785" s="13">
        <v>2.0248888511809955E20</v>
      </c>
      <c r="M785" s="9">
        <v>2.0248888511809958E19</v>
      </c>
    </row>
    <row r="786" ht="15.75" customHeight="1">
      <c r="A786" s="8"/>
      <c r="B786" s="8"/>
      <c r="C786" s="8"/>
      <c r="D786" s="8">
        <v>14.6902110486569</v>
      </c>
      <c r="E786" s="9" t="s">
        <v>795</v>
      </c>
      <c r="I786" s="12" t="str">
        <f>IFERROR(__xludf.DUMMYFUNCTION("""COMPUTED_VALUE"""),"0x424d66882f13b620586ea5d7a22da105b0ecb2ec")</f>
        <v>0x424d66882f13b620586ea5d7a22da105b0ecb2ec</v>
      </c>
      <c r="J786" s="11">
        <v>14.6902110486569</v>
      </c>
      <c r="K786" s="12">
        <v>32.64491344145978</v>
      </c>
      <c r="L786" s="13">
        <v>3.2644913441459778E19</v>
      </c>
      <c r="M786" s="9">
        <v>3.2644913441459779E18</v>
      </c>
    </row>
    <row r="787" ht="15.75" customHeight="1">
      <c r="A787" s="8"/>
      <c r="B787" s="8"/>
      <c r="C787" s="8"/>
      <c r="D787" s="8">
        <v>25.925148553933</v>
      </c>
      <c r="E787" s="9" t="s">
        <v>796</v>
      </c>
      <c r="I787" s="12" t="str">
        <f>IFERROR(__xludf.DUMMYFUNCTION("""COMPUTED_VALUE"""),"0x428795a32cbd5c431fed3ddcc9ca2afcb31b8b84")</f>
        <v>0x428795a32cbd5c431fed3ddcc9ca2afcb31b8b84</v>
      </c>
      <c r="J787" s="11">
        <v>25.925148553933</v>
      </c>
      <c r="K787" s="12">
        <v>57.61144123096222</v>
      </c>
      <c r="L787" s="13">
        <v>5.761144123096222E19</v>
      </c>
      <c r="M787" s="9">
        <v>5.7611441230962227E18</v>
      </c>
    </row>
    <row r="788" ht="15.75" customHeight="1">
      <c r="A788" s="8"/>
      <c r="B788" s="8"/>
      <c r="C788" s="8"/>
      <c r="D788" s="8">
        <v>27.9026907562088</v>
      </c>
      <c r="E788" s="9" t="s">
        <v>797</v>
      </c>
      <c r="I788" s="12" t="str">
        <f>IFERROR(__xludf.DUMMYFUNCTION("""COMPUTED_VALUE"""),"0x4289fa60e5296de6e4fbce5f7e9b9dc5b7e884b4")</f>
        <v>0x4289fa60e5296de6e4fbce5f7e9b9dc5b7e884b4</v>
      </c>
      <c r="J788" s="11">
        <v>102.327750648816</v>
      </c>
      <c r="K788" s="12">
        <v>227.39500144181332</v>
      </c>
      <c r="L788" s="13">
        <v>2.2739500144181333E20</v>
      </c>
      <c r="M788" s="9">
        <v>2.2739500144181334E19</v>
      </c>
    </row>
    <row r="789" ht="15.75" customHeight="1">
      <c r="A789" s="8"/>
      <c r="B789" s="8"/>
      <c r="C789" s="8"/>
      <c r="D789" s="8">
        <v>24.8933795229174</v>
      </c>
      <c r="E789" s="9" t="s">
        <v>798</v>
      </c>
      <c r="I789" s="12" t="str">
        <f>IFERROR(__xludf.DUMMYFUNCTION("""COMPUTED_VALUE"""),"0x42a058d6c0def36ae3e935576850d0b0b7a72b95")</f>
        <v>0x42a058d6c0def36ae3e935576850d0b0b7a72b95</v>
      </c>
      <c r="J789" s="11">
        <v>24.8933795229174</v>
      </c>
      <c r="K789" s="12">
        <v>55.31862116203867</v>
      </c>
      <c r="L789" s="13">
        <v>5.5318621162038665E19</v>
      </c>
      <c r="M789" s="9">
        <v>5.5318621162038671E18</v>
      </c>
    </row>
    <row r="790" ht="15.75" customHeight="1">
      <c r="A790" s="8"/>
      <c r="B790" s="8"/>
      <c r="C790" s="8"/>
      <c r="D790" s="8">
        <v>27.9026907562088</v>
      </c>
      <c r="E790" s="9" t="s">
        <v>799</v>
      </c>
      <c r="I790" s="12" t="str">
        <f>IFERROR(__xludf.DUMMYFUNCTION("""COMPUTED_VALUE"""),"0x42c5d633ac3486115db8f5a23f7dbd4b0d259cc4")</f>
        <v>0x42c5d633ac3486115db8f5a23f7dbd4b0d259cc4</v>
      </c>
      <c r="J790" s="11">
        <v>109.6919476864833</v>
      </c>
      <c r="K790" s="12">
        <v>243.75988374774067</v>
      </c>
      <c r="L790" s="13">
        <v>2.4375988374774068E20</v>
      </c>
      <c r="M790" s="9">
        <v>2.437598837477407E19</v>
      </c>
    </row>
    <row r="791" ht="15.75" customHeight="1">
      <c r="A791" s="8"/>
      <c r="B791" s="8"/>
      <c r="C791" s="8"/>
      <c r="D791" s="8">
        <v>27.9026907562088</v>
      </c>
      <c r="E791" s="9" t="s">
        <v>800</v>
      </c>
      <c r="I791" s="12" t="str">
        <f>IFERROR(__xludf.DUMMYFUNCTION("""COMPUTED_VALUE"""),"0x42d2ba5d094964b5db944ed7f64e6ed8d6743112")</f>
        <v>0x42d2ba5d094964b5db944ed7f64e6ed8d6743112</v>
      </c>
      <c r="J791" s="11">
        <v>119.799555629802</v>
      </c>
      <c r="K791" s="12">
        <v>266.2212347328933</v>
      </c>
      <c r="L791" s="13">
        <v>2.662212347328933E20</v>
      </c>
      <c r="M791" s="9">
        <v>2.662212347328933E19</v>
      </c>
    </row>
    <row r="792" ht="15.75" customHeight="1">
      <c r="A792" s="8"/>
      <c r="B792" s="8"/>
      <c r="C792" s="8"/>
      <c r="D792" s="8">
        <v>27.9026907562088</v>
      </c>
      <c r="E792" s="9" t="s">
        <v>801</v>
      </c>
      <c r="I792" s="12" t="str">
        <f>IFERROR(__xludf.DUMMYFUNCTION("""COMPUTED_VALUE"""),"0x42d3f3c757d4fbed1ba9c501a8b9ab3dc2b19b3e")</f>
        <v>0x42d3f3c757d4fbed1ba9c501a8b9ab3dc2b19b3e</v>
      </c>
      <c r="J792" s="11">
        <v>27.9026907562088</v>
      </c>
      <c r="K792" s="12">
        <v>62.005979458241775</v>
      </c>
      <c r="L792" s="13">
        <v>6.200597945824177E19</v>
      </c>
      <c r="M792" s="9">
        <v>6.2005979458241782E18</v>
      </c>
    </row>
    <row r="793" ht="15.75" customHeight="1">
      <c r="A793" s="8"/>
      <c r="B793" s="8"/>
      <c r="C793" s="8"/>
      <c r="D793" s="8">
        <v>27.9026907562088</v>
      </c>
      <c r="E793" s="9" t="s">
        <v>802</v>
      </c>
      <c r="I793" s="12" t="str">
        <f>IFERROR(__xludf.DUMMYFUNCTION("""COMPUTED_VALUE"""),"0x42feec5c7e7d3c725864a2716ca357fa9993ccc0")</f>
        <v>0x42feec5c7e7d3c725864a2716ca357fa9993ccc0</v>
      </c>
      <c r="J793" s="11">
        <v>91.1199983031448</v>
      </c>
      <c r="K793" s="12">
        <v>202.48888511809955</v>
      </c>
      <c r="L793" s="13">
        <v>2.0248888511809955E20</v>
      </c>
      <c r="M793" s="9">
        <v>2.0248888511809958E19</v>
      </c>
    </row>
    <row r="794" ht="15.75" customHeight="1">
      <c r="A794" s="8"/>
      <c r="B794" s="8"/>
      <c r="C794" s="8"/>
      <c r="D794" s="8">
        <v>27.9026907562088</v>
      </c>
      <c r="E794" s="9" t="s">
        <v>803</v>
      </c>
      <c r="I794" s="12" t="str">
        <f>IFERROR(__xludf.DUMMYFUNCTION("""COMPUTED_VALUE"""),"0x430fa7d339daf323a28c2a6f9173bd8d4ca41ea3")</f>
        <v>0x430fa7d339daf323a28c2a6f9173bd8d4ca41ea3</v>
      </c>
      <c r="J794" s="11">
        <v>27.9026907562088</v>
      </c>
      <c r="K794" s="12">
        <v>62.005979458241775</v>
      </c>
      <c r="L794" s="13">
        <v>6.200597945824177E19</v>
      </c>
      <c r="M794" s="9">
        <v>6.2005979458241782E18</v>
      </c>
    </row>
    <row r="795" ht="15.75" customHeight="1">
      <c r="A795" s="8"/>
      <c r="B795" s="8"/>
      <c r="C795" s="8"/>
      <c r="D795" s="8">
        <v>27.9026907562088</v>
      </c>
      <c r="E795" s="9" t="s">
        <v>804</v>
      </c>
      <c r="I795" s="12" t="str">
        <f>IFERROR(__xludf.DUMMYFUNCTION("""COMPUTED_VALUE"""),"0x4330e0919e21cb4b51d6e26aed8e888dc3cda686")</f>
        <v>0x4330e0919e21cb4b51d6e26aed8e888dc3cda686</v>
      </c>
      <c r="J795" s="11">
        <v>98.914056080197</v>
      </c>
      <c r="K795" s="12">
        <v>219.80901351154887</v>
      </c>
      <c r="L795" s="13">
        <v>2.1980901351154886E20</v>
      </c>
      <c r="M795" s="9">
        <v>2.198090135115489E19</v>
      </c>
    </row>
    <row r="796" ht="15.75" customHeight="1">
      <c r="A796" s="8"/>
      <c r="B796" s="8"/>
      <c r="C796" s="8"/>
      <c r="D796" s="8">
        <v>25.2985595734368</v>
      </c>
      <c r="E796" s="9" t="s">
        <v>805</v>
      </c>
      <c r="I796" s="12" t="str">
        <f>IFERROR(__xludf.DUMMYFUNCTION("""COMPUTED_VALUE"""),"0x43634d29b94268bad0eb63d54e1c92362048d2dc")</f>
        <v>0x43634d29b94268bad0eb63d54e1c92362048d2dc</v>
      </c>
      <c r="J796" s="11">
        <v>25.2985595734368</v>
      </c>
      <c r="K796" s="12">
        <v>56.219021274304</v>
      </c>
      <c r="L796" s="13">
        <v>5.6219021274303996E19</v>
      </c>
      <c r="M796" s="9">
        <v>5.6219021274304E18</v>
      </c>
    </row>
    <row r="797" ht="15.75" customHeight="1">
      <c r="A797" s="8"/>
      <c r="B797" s="8"/>
      <c r="C797" s="8"/>
      <c r="D797" s="8">
        <v>27.9026907562088</v>
      </c>
      <c r="E797" s="9" t="s">
        <v>806</v>
      </c>
      <c r="I797" s="12" t="str">
        <f>IFERROR(__xludf.DUMMYFUNCTION("""COMPUTED_VALUE"""),"0x436a9b03cba55a887382bf265a7196fd3c1c1f09")</f>
        <v>0x436a9b03cba55a887382bf265a7196fd3c1c1f09</v>
      </c>
      <c r="J797" s="11">
        <v>27.9026907562088</v>
      </c>
      <c r="K797" s="12">
        <v>62.005979458241775</v>
      </c>
      <c r="L797" s="13">
        <v>6.200597945824177E19</v>
      </c>
      <c r="M797" s="9">
        <v>6.2005979458241782E18</v>
      </c>
    </row>
    <row r="798" ht="15.75" customHeight="1">
      <c r="A798" s="8"/>
      <c r="B798" s="8"/>
      <c r="C798" s="8"/>
      <c r="D798" s="8">
        <v>27.9026907562088</v>
      </c>
      <c r="E798" s="9" t="s">
        <v>807</v>
      </c>
      <c r="I798" s="12" t="str">
        <f>IFERROR(__xludf.DUMMYFUNCTION("""COMPUTED_VALUE"""),"0x4399fdd9fddeb907a18ef8ba7b28c7a057c3f973")</f>
        <v>0x4399fdd9fddeb907a18ef8ba7b28c7a057c3f973</v>
      </c>
      <c r="J798" s="11">
        <v>27.9026907562088</v>
      </c>
      <c r="K798" s="12">
        <v>62.005979458241775</v>
      </c>
      <c r="L798" s="13">
        <v>6.200597945824177E19</v>
      </c>
      <c r="M798" s="9">
        <v>6.2005979458241782E18</v>
      </c>
    </row>
    <row r="799" ht="15.75" customHeight="1">
      <c r="A799" s="8"/>
      <c r="B799" s="8"/>
      <c r="C799" s="8"/>
      <c r="D799" s="8">
        <v>27.9026907562088</v>
      </c>
      <c r="E799" s="9" t="s">
        <v>808</v>
      </c>
      <c r="I799" s="12" t="str">
        <f>IFERROR(__xludf.DUMMYFUNCTION("""COMPUTED_VALUE"""),"0x43f24bb977311a100efb20ac70ffc08960fa3421")</f>
        <v>0x43f24bb977311a100efb20ac70ffc08960fa3421</v>
      </c>
      <c r="J799" s="11">
        <v>91.1199983031448</v>
      </c>
      <c r="K799" s="12">
        <v>202.48888511809955</v>
      </c>
      <c r="L799" s="13">
        <v>2.0248888511809955E20</v>
      </c>
      <c r="M799" s="9">
        <v>2.0248888511809958E19</v>
      </c>
    </row>
    <row r="800" ht="15.75" customHeight="1">
      <c r="A800" s="8"/>
      <c r="B800" s="8"/>
      <c r="C800" s="8"/>
      <c r="D800" s="8">
        <v>27.9026907562088</v>
      </c>
      <c r="E800" s="9" t="s">
        <v>809</v>
      </c>
      <c r="I800" s="12" t="str">
        <f>IFERROR(__xludf.DUMMYFUNCTION("""COMPUTED_VALUE"""),"0x442bee95d7fea5217431a02a0df4d10bb1e85e68")</f>
        <v>0x442bee95d7fea5217431a02a0df4d10bb1e85e68</v>
      </c>
      <c r="J800" s="11">
        <v>91.1199983031448</v>
      </c>
      <c r="K800" s="12">
        <v>202.48888511809955</v>
      </c>
      <c r="L800" s="13">
        <v>2.0248888511809955E20</v>
      </c>
      <c r="M800" s="9">
        <v>2.0248888511809958E19</v>
      </c>
    </row>
    <row r="801" ht="15.75" customHeight="1">
      <c r="A801" s="8"/>
      <c r="B801" s="8"/>
      <c r="C801" s="8"/>
      <c r="D801" s="8">
        <v>27.9026907562088</v>
      </c>
      <c r="E801" s="9" t="s">
        <v>810</v>
      </c>
      <c r="I801" s="12" t="str">
        <f>IFERROR(__xludf.DUMMYFUNCTION("""COMPUTED_VALUE"""),"0x442e71efefa947cdf426e8cc92e58ad84bbec85e")</f>
        <v>0x442e71efefa947cdf426e8cc92e58ad84bbec85e</v>
      </c>
      <c r="J801" s="11">
        <v>27.9026907562088</v>
      </c>
      <c r="K801" s="12">
        <v>62.005979458241775</v>
      </c>
      <c r="L801" s="13">
        <v>6.200597945824177E19</v>
      </c>
      <c r="M801" s="9">
        <v>6.2005979458241782E18</v>
      </c>
    </row>
    <row r="802" ht="15.75" customHeight="1">
      <c r="A802" s="8"/>
      <c r="B802" s="8"/>
      <c r="C802" s="8"/>
      <c r="D802" s="8">
        <v>27.9026907562088</v>
      </c>
      <c r="E802" s="9" t="s">
        <v>811</v>
      </c>
      <c r="I802" s="12" t="str">
        <f>IFERROR(__xludf.DUMMYFUNCTION("""COMPUTED_VALUE"""),"0x443e5fcc9c466612d28b83c8eb6b0fbdd19ac194")</f>
        <v>0x443e5fcc9c466612d28b83c8eb6b0fbdd19ac194</v>
      </c>
      <c r="J802" s="11">
        <v>91.1199983031448</v>
      </c>
      <c r="K802" s="12">
        <v>202.48888511809955</v>
      </c>
      <c r="L802" s="13">
        <v>2.0248888511809955E20</v>
      </c>
      <c r="M802" s="9">
        <v>2.0248888511809958E19</v>
      </c>
    </row>
    <row r="803" ht="15.75" customHeight="1">
      <c r="A803" s="8"/>
      <c r="B803" s="8"/>
      <c r="C803" s="8"/>
      <c r="D803" s="8">
        <v>27.9026907562088</v>
      </c>
      <c r="E803" s="9" t="s">
        <v>812</v>
      </c>
      <c r="I803" s="12" t="str">
        <f>IFERROR(__xludf.DUMMYFUNCTION("""COMPUTED_VALUE"""),"0x4494adfba0a582e4aeb6a8644174c781f2172e1a")</f>
        <v>0x4494adfba0a582e4aeb6a8644174c781f2172e1a</v>
      </c>
      <c r="J803" s="11">
        <v>91.1199983031448</v>
      </c>
      <c r="K803" s="12">
        <v>202.48888511809955</v>
      </c>
      <c r="L803" s="13">
        <v>2.0248888511809955E20</v>
      </c>
      <c r="M803" s="9">
        <v>2.0248888511809958E19</v>
      </c>
    </row>
    <row r="804" ht="15.75" customHeight="1">
      <c r="A804" s="8"/>
      <c r="B804" s="8"/>
      <c r="C804" s="8"/>
      <c r="D804" s="8">
        <v>26.7203130026907</v>
      </c>
      <c r="E804" s="9" t="s">
        <v>813</v>
      </c>
      <c r="I804" s="12" t="str">
        <f>IFERROR(__xludf.DUMMYFUNCTION("""COMPUTED_VALUE"""),"0x4495443cfaa981e4e33c376a00c9f9a489b7a30f")</f>
        <v>0x4495443cfaa981e4e33c376a00c9f9a489b7a30f</v>
      </c>
      <c r="J804" s="11">
        <v>26.7203130026907</v>
      </c>
      <c r="K804" s="12">
        <v>59.37847333931266</v>
      </c>
      <c r="L804" s="13">
        <v>5.937847333931266E19</v>
      </c>
      <c r="M804" s="9">
        <v>5.937847333931266E18</v>
      </c>
    </row>
    <row r="805" ht="15.75" customHeight="1">
      <c r="A805" s="8"/>
      <c r="B805" s="8"/>
      <c r="C805" s="8"/>
      <c r="D805" s="8">
        <v>27.9026907562088</v>
      </c>
      <c r="E805" s="9" t="s">
        <v>814</v>
      </c>
      <c r="I805" s="12" t="str">
        <f>IFERROR(__xludf.DUMMYFUNCTION("""COMPUTED_VALUE"""),"0x44979372aed83116860fc7b5daf70f012e3a3958")</f>
        <v>0x44979372aed83116860fc7b5daf70f012e3a3958</v>
      </c>
      <c r="J805" s="11">
        <v>91.1199983031448</v>
      </c>
      <c r="K805" s="12">
        <v>202.48888511809955</v>
      </c>
      <c r="L805" s="13">
        <v>2.0248888511809955E20</v>
      </c>
      <c r="M805" s="9">
        <v>2.0248888511809958E19</v>
      </c>
    </row>
    <row r="806" ht="15.75" customHeight="1">
      <c r="A806" s="8"/>
      <c r="B806" s="8"/>
      <c r="C806" s="8"/>
      <c r="D806" s="8">
        <v>27.9026907562088</v>
      </c>
      <c r="E806" s="9" t="s">
        <v>815</v>
      </c>
      <c r="I806" s="12" t="str">
        <f>IFERROR(__xludf.DUMMYFUNCTION("""COMPUTED_VALUE"""),"0x44a8db6d3c92ee8d02e0992a8141252eaa9f117a")</f>
        <v>0x44a8db6d3c92ee8d02e0992a8141252eaa9f117a</v>
      </c>
      <c r="J806" s="11">
        <v>91.1199983031448</v>
      </c>
      <c r="K806" s="12">
        <v>202.48888511809955</v>
      </c>
      <c r="L806" s="13">
        <v>2.0248888511809955E20</v>
      </c>
      <c r="M806" s="9">
        <v>2.0248888511809958E19</v>
      </c>
    </row>
    <row r="807" ht="15.75" customHeight="1">
      <c r="A807" s="8"/>
      <c r="B807" s="8"/>
      <c r="C807" s="8"/>
      <c r="D807" s="8">
        <v>13.8781956948589</v>
      </c>
      <c r="E807" s="9" t="s">
        <v>816</v>
      </c>
      <c r="I807" s="12" t="str">
        <f>IFERROR(__xludf.DUMMYFUNCTION("""COMPUTED_VALUE"""),"0x44b1094e713c198f922d708795be3dd7f1051da9")</f>
        <v>0x44b1094e713c198f922d708795be3dd7f1051da9</v>
      </c>
      <c r="J807" s="11">
        <v>13.8781956948589</v>
      </c>
      <c r="K807" s="12">
        <v>30.84043487746422</v>
      </c>
      <c r="L807" s="13">
        <v>3.084043487746422E19</v>
      </c>
      <c r="M807" s="9">
        <v>3.0840434877464223E18</v>
      </c>
    </row>
    <row r="808" ht="15.75" customHeight="1">
      <c r="A808" s="8"/>
      <c r="B808" s="8"/>
      <c r="C808" s="8"/>
      <c r="D808" s="8">
        <v>27.9026907562088</v>
      </c>
      <c r="E808" s="9" t="s">
        <v>817</v>
      </c>
      <c r="I808" s="12" t="str">
        <f>IFERROR(__xludf.DUMMYFUNCTION("""COMPUTED_VALUE"""),"0x44b688ea4702d9d69180b88937d5f30928184117")</f>
        <v>0x44b688ea4702d9d69180b88937d5f30928184117</v>
      </c>
      <c r="J808" s="11">
        <v>289.9638377211158</v>
      </c>
      <c r="K808" s="12">
        <v>644.3640838247018</v>
      </c>
      <c r="L808" s="13">
        <v>6.443640838247017E20</v>
      </c>
      <c r="M808" s="9">
        <v>6.443640838247018E19</v>
      </c>
    </row>
    <row r="809" ht="15.75" customHeight="1">
      <c r="A809" s="8"/>
      <c r="B809" s="8"/>
      <c r="C809" s="8"/>
      <c r="D809" s="8">
        <v>25.817704348559</v>
      </c>
      <c r="E809" s="9" t="s">
        <v>818</v>
      </c>
      <c r="I809" s="12" t="str">
        <f>IFERROR(__xludf.DUMMYFUNCTION("""COMPUTED_VALUE"""),"0x44c62e462ef4c0f5ec04eb4ef4542d53b7964def")</f>
        <v>0x44c62e462ef4c0f5ec04eb4ef4542d53b7964def</v>
      </c>
      <c r="J809" s="11">
        <v>25.817704348559</v>
      </c>
      <c r="K809" s="12">
        <v>57.372676330131114</v>
      </c>
      <c r="L809" s="13">
        <v>5.737267633013111E19</v>
      </c>
      <c r="M809" s="9">
        <v>5.7372676330131118E18</v>
      </c>
    </row>
    <row r="810" ht="15.75" customHeight="1">
      <c r="A810" s="8"/>
      <c r="B810" s="8"/>
      <c r="C810" s="8"/>
      <c r="D810" s="8">
        <v>27.9026907562088</v>
      </c>
      <c r="E810" s="9" t="s">
        <v>819</v>
      </c>
      <c r="I810" s="12" t="str">
        <f>IFERROR(__xludf.DUMMYFUNCTION("""COMPUTED_VALUE"""),"0x44ca02d6e80a44dc3b2be8b09f88309f74c42f9b")</f>
        <v>0x44ca02d6e80a44dc3b2be8b09f88309f74c42f9b</v>
      </c>
      <c r="J810" s="11">
        <v>87.65701727875759</v>
      </c>
      <c r="K810" s="12">
        <v>194.79337173057243</v>
      </c>
      <c r="L810" s="13">
        <v>1.9479337173057244E20</v>
      </c>
      <c r="M810" s="9">
        <v>1.9479337173057245E19</v>
      </c>
    </row>
    <row r="811" ht="15.75" customHeight="1">
      <c r="A811" s="8"/>
      <c r="B811" s="8"/>
      <c r="C811" s="8"/>
      <c r="D811" s="8">
        <v>27.9026907562088</v>
      </c>
      <c r="E811" s="9" t="s">
        <v>820</v>
      </c>
      <c r="I811" s="12" t="str">
        <f>IFERROR(__xludf.DUMMYFUNCTION("""COMPUTED_VALUE"""),"0x44db4c9fa2878ae3867bce73c5bcfaf456c739fe")</f>
        <v>0x44db4c9fa2878ae3867bce73c5bcfaf456c739fe</v>
      </c>
      <c r="J811" s="11">
        <v>91.1978299166564</v>
      </c>
      <c r="K811" s="12">
        <v>202.66184425923643</v>
      </c>
      <c r="L811" s="13">
        <v>2.0266184425923645E20</v>
      </c>
      <c r="M811" s="9">
        <v>2.0266184425923645E19</v>
      </c>
    </row>
    <row r="812" ht="15.75" customHeight="1">
      <c r="A812" s="8"/>
      <c r="B812" s="8"/>
      <c r="C812" s="8"/>
      <c r="D812" s="8">
        <v>27.9026907562088</v>
      </c>
      <c r="E812" s="9" t="s">
        <v>821</v>
      </c>
      <c r="I812" s="12" t="str">
        <f>IFERROR(__xludf.DUMMYFUNCTION("""COMPUTED_VALUE"""),"0x44dc3320ead2bd42a0f8c4abd980c568f1e40417")</f>
        <v>0x44dc3320ead2bd42a0f8c4abd980c568f1e40417</v>
      </c>
      <c r="J812" s="11">
        <v>91.1199983031448</v>
      </c>
      <c r="K812" s="12">
        <v>202.48888511809955</v>
      </c>
      <c r="L812" s="13">
        <v>2.0248888511809955E20</v>
      </c>
      <c r="M812" s="9">
        <v>2.0248888511809958E19</v>
      </c>
    </row>
    <row r="813" ht="15.75" customHeight="1">
      <c r="A813" s="8"/>
      <c r="B813" s="8"/>
      <c r="C813" s="8"/>
      <c r="D813" s="8">
        <v>25.0363046647399</v>
      </c>
      <c r="E813" s="9" t="s">
        <v>822</v>
      </c>
      <c r="I813" s="12" t="str">
        <f>IFERROR(__xludf.DUMMYFUNCTION("""COMPUTED_VALUE"""),"0x44e7c777ac1283555e0b0a1e8fdb80effd8fa393")</f>
        <v>0x44e7c777ac1283555e0b0a1e8fdb80effd8fa393</v>
      </c>
      <c r="J813" s="11">
        <v>25.0363046647399</v>
      </c>
      <c r="K813" s="12">
        <v>55.63623258831089</v>
      </c>
      <c r="L813" s="13">
        <v>5.563623258831089E19</v>
      </c>
      <c r="M813" s="9">
        <v>5.5636232588310897E18</v>
      </c>
    </row>
    <row r="814" ht="15.75" customHeight="1">
      <c r="A814" s="8"/>
      <c r="B814" s="8"/>
      <c r="C814" s="8"/>
      <c r="D814" s="8">
        <v>27.9026907562088</v>
      </c>
      <c r="E814" s="9" t="s">
        <v>823</v>
      </c>
      <c r="I814" s="12" t="str">
        <f>IFERROR(__xludf.DUMMYFUNCTION("""COMPUTED_VALUE"""),"0x44e7e928801fd87abb8458f7804eac9dc05c3b7f")</f>
        <v>0x44e7e928801fd87abb8458f7804eac9dc05c3b7f</v>
      </c>
      <c r="J814" s="11">
        <v>92.27968934446771</v>
      </c>
      <c r="K814" s="12">
        <v>205.06597632103936</v>
      </c>
      <c r="L814" s="13">
        <v>2.0506597632103937E20</v>
      </c>
      <c r="M814" s="9">
        <v>2.0506597632103936E19</v>
      </c>
    </row>
    <row r="815" ht="15.75" customHeight="1">
      <c r="A815" s="8"/>
      <c r="B815" s="8"/>
      <c r="C815" s="8"/>
      <c r="D815" s="8">
        <v>24.097640265811</v>
      </c>
      <c r="E815" s="9" t="s">
        <v>824</v>
      </c>
      <c r="I815" s="12" t="str">
        <f>IFERROR(__xludf.DUMMYFUNCTION("""COMPUTED_VALUE"""),"0x4503acba98c53e71d76f9130c1862bfe57143c7f")</f>
        <v>0x4503acba98c53e71d76f9130c1862bfe57143c7f</v>
      </c>
      <c r="J815" s="11">
        <v>24.097640265811</v>
      </c>
      <c r="K815" s="12">
        <v>53.550311701802215</v>
      </c>
      <c r="L815" s="13">
        <v>5.355031170180221E19</v>
      </c>
      <c r="M815" s="9">
        <v>5.355031170180222E18</v>
      </c>
    </row>
    <row r="816" ht="15.75" customHeight="1">
      <c r="A816" s="8"/>
      <c r="B816" s="8"/>
      <c r="C816" s="8"/>
      <c r="D816" s="8">
        <v>27.9026907562088</v>
      </c>
      <c r="E816" s="9" t="s">
        <v>825</v>
      </c>
      <c r="I816" s="12" t="str">
        <f>IFERROR(__xludf.DUMMYFUNCTION("""COMPUTED_VALUE"""),"0x450ac3b8b17bdb1745dc4ee0724e7f663fabcd76")</f>
        <v>0x450ac3b8b17bdb1745dc4ee0724e7f663fabcd76</v>
      </c>
      <c r="J816" s="11">
        <v>27.9026907562088</v>
      </c>
      <c r="K816" s="12">
        <v>62.005979458241775</v>
      </c>
      <c r="L816" s="13">
        <v>6.200597945824177E19</v>
      </c>
      <c r="M816" s="9">
        <v>6.2005979458241782E18</v>
      </c>
    </row>
    <row r="817" ht="15.75" customHeight="1">
      <c r="A817" s="8"/>
      <c r="B817" s="8"/>
      <c r="C817" s="8"/>
      <c r="D817" s="8">
        <v>12.4702909549094</v>
      </c>
      <c r="E817" s="9" t="s">
        <v>826</v>
      </c>
      <c r="I817" s="12" t="str">
        <f>IFERROR(__xludf.DUMMYFUNCTION("""COMPUTED_VALUE"""),"0x451729fafa1103d8c362263896e1497221e8cb8a")</f>
        <v>0x451729fafa1103d8c362263896e1497221e8cb8a</v>
      </c>
      <c r="J817" s="11">
        <v>41.3208082982782</v>
      </c>
      <c r="K817" s="12">
        <v>91.82401844061822</v>
      </c>
      <c r="L817" s="13">
        <v>9.182401844061821E19</v>
      </c>
      <c r="M817" s="9">
        <v>9.182401844061822E18</v>
      </c>
    </row>
    <row r="818" ht="15.75" customHeight="1">
      <c r="A818" s="8"/>
      <c r="B818" s="8"/>
      <c r="C818" s="8"/>
      <c r="D818" s="8">
        <v>27.9026907562088</v>
      </c>
      <c r="E818" s="9" t="s">
        <v>827</v>
      </c>
      <c r="I818" s="12" t="str">
        <f>IFERROR(__xludf.DUMMYFUNCTION("""COMPUTED_VALUE"""),"0x451afe80464d85632c7fbc41cb12869e6d3a96bf")</f>
        <v>0x451afe80464d85632c7fbc41cb12869e6d3a96bf</v>
      </c>
      <c r="J818" s="11">
        <v>27.9026907562088</v>
      </c>
      <c r="K818" s="12">
        <v>62.005979458241775</v>
      </c>
      <c r="L818" s="13">
        <v>6.200597945824177E19</v>
      </c>
      <c r="M818" s="9">
        <v>6.2005979458241782E18</v>
      </c>
    </row>
    <row r="819" ht="15.75" customHeight="1">
      <c r="A819" s="8"/>
      <c r="B819" s="8"/>
      <c r="C819" s="8"/>
      <c r="D819" s="8">
        <v>11.7338273512191</v>
      </c>
      <c r="E819" s="9" t="s">
        <v>828</v>
      </c>
      <c r="I819" s="12" t="str">
        <f>IFERROR(__xludf.DUMMYFUNCTION("""COMPUTED_VALUE"""),"0x451fac42767d5843bc10963c64cc477fbdccaa00")</f>
        <v>0x451fac42767d5843bc10963c64cc477fbdccaa00</v>
      </c>
      <c r="J819" s="11">
        <v>11.7338273512191</v>
      </c>
      <c r="K819" s="12">
        <v>26.075171891598</v>
      </c>
      <c r="L819" s="13">
        <v>2.6075171891598E19</v>
      </c>
      <c r="M819" s="9">
        <v>2.6075171891598003E18</v>
      </c>
    </row>
    <row r="820" ht="15.75" customHeight="1">
      <c r="A820" s="8"/>
      <c r="B820" s="8"/>
      <c r="C820" s="8"/>
      <c r="D820" s="8">
        <v>12.9346766308149</v>
      </c>
      <c r="E820" s="9" t="s">
        <v>829</v>
      </c>
      <c r="I820" s="12" t="str">
        <f>IFERROR(__xludf.DUMMYFUNCTION("""COMPUTED_VALUE"""),"0x4526dd6607b4a40d74728bfb0e676596c7a02756")</f>
        <v>0x4526dd6607b4a40d74728bfb0e676596c7a02756</v>
      </c>
      <c r="J820" s="11">
        <v>12.9346766308149</v>
      </c>
      <c r="K820" s="12">
        <v>28.743725846255334</v>
      </c>
      <c r="L820" s="13">
        <v>2.8743725846255333E19</v>
      </c>
      <c r="M820" s="9">
        <v>2.8743725846255334E18</v>
      </c>
    </row>
    <row r="821" ht="15.75" customHeight="1">
      <c r="A821" s="8"/>
      <c r="B821" s="8"/>
      <c r="C821" s="8"/>
      <c r="D821" s="8">
        <v>27.8780614813378</v>
      </c>
      <c r="E821" s="9" t="s">
        <v>830</v>
      </c>
      <c r="I821" s="12" t="str">
        <f>IFERROR(__xludf.DUMMYFUNCTION("""COMPUTED_VALUE"""),"0x452cdf10be0d78f30cd12302bd9d4e896603d166")</f>
        <v>0x452cdf10be0d78f30cd12302bd9d4e896603d166</v>
      </c>
      <c r="J821" s="11">
        <v>27.8780614813378</v>
      </c>
      <c r="K821" s="12">
        <v>61.951247736306215</v>
      </c>
      <c r="L821" s="13">
        <v>6.195124773630621E19</v>
      </c>
      <c r="M821" s="9">
        <v>6.1951247736306217E18</v>
      </c>
    </row>
    <row r="822" ht="15.75" customHeight="1">
      <c r="A822" s="8"/>
      <c r="B822" s="8"/>
      <c r="C822" s="8"/>
      <c r="D822" s="8">
        <v>27.9026907562088</v>
      </c>
      <c r="E822" s="9" t="s">
        <v>831</v>
      </c>
      <c r="I822" s="12" t="str">
        <f>IFERROR(__xludf.DUMMYFUNCTION("""COMPUTED_VALUE"""),"0x45462d2b13c7791c12f98c13921de695e660b221")</f>
        <v>0x45462d2b13c7791c12f98c13921de695e660b221</v>
      </c>
      <c r="J822" s="11">
        <v>91.1199983031448</v>
      </c>
      <c r="K822" s="12">
        <v>202.48888511809955</v>
      </c>
      <c r="L822" s="13">
        <v>2.0248888511809955E20</v>
      </c>
      <c r="M822" s="9">
        <v>2.0248888511809958E19</v>
      </c>
    </row>
    <row r="823" ht="15.75" customHeight="1">
      <c r="A823" s="8"/>
      <c r="B823" s="8"/>
      <c r="C823" s="8"/>
      <c r="D823" s="8">
        <v>17.9026429576863</v>
      </c>
      <c r="E823" s="9" t="s">
        <v>832</v>
      </c>
      <c r="I823" s="12" t="str">
        <f>IFERROR(__xludf.DUMMYFUNCTION("""COMPUTED_VALUE"""),"0x457151b223da0b65c092ee4d06d1f7ccc5f28d6a")</f>
        <v>0x457151b223da0b65c092ee4d06d1f7ccc5f28d6a</v>
      </c>
      <c r="J823" s="11">
        <v>17.9026429576863</v>
      </c>
      <c r="K823" s="12">
        <v>39.783651017080665</v>
      </c>
      <c r="L823" s="13">
        <v>3.978365101708067E19</v>
      </c>
      <c r="M823" s="9">
        <v>3.9783651017080668E18</v>
      </c>
    </row>
    <row r="824" ht="15.75" customHeight="1">
      <c r="A824" s="8"/>
      <c r="B824" s="8"/>
      <c r="C824" s="8"/>
      <c r="D824" s="8">
        <v>27.9026907562088</v>
      </c>
      <c r="E824" s="9" t="s">
        <v>833</v>
      </c>
      <c r="I824" s="12" t="str">
        <f>IFERROR(__xludf.DUMMYFUNCTION("""COMPUTED_VALUE"""),"0x457e0171b69ba56aa74c8cfacc01fce4a16ca20b")</f>
        <v>0x457e0171b69ba56aa74c8cfacc01fce4a16ca20b</v>
      </c>
      <c r="J824" s="11">
        <v>27.9026907562088</v>
      </c>
      <c r="K824" s="12">
        <v>62.005979458241775</v>
      </c>
      <c r="L824" s="13">
        <v>6.200597945824177E19</v>
      </c>
      <c r="M824" s="9">
        <v>6.2005979458241782E18</v>
      </c>
    </row>
    <row r="825" ht="15.75" customHeight="1">
      <c r="A825" s="8"/>
      <c r="B825" s="8"/>
      <c r="C825" s="8"/>
      <c r="D825" s="8">
        <v>27.9026907562088</v>
      </c>
      <c r="E825" s="9" t="s">
        <v>834</v>
      </c>
      <c r="I825" s="12" t="str">
        <f>IFERROR(__xludf.DUMMYFUNCTION("""COMPUTED_VALUE"""),"0x45a1f7fabfd9c69384f75740a8c1cc4aed33d7a9")</f>
        <v>0x45a1f7fabfd9c69384f75740a8c1cc4aed33d7a9</v>
      </c>
      <c r="J825" s="11">
        <v>27.9026907562088</v>
      </c>
      <c r="K825" s="12">
        <v>62.005979458241775</v>
      </c>
      <c r="L825" s="13">
        <v>6.200597945824177E19</v>
      </c>
      <c r="M825" s="9">
        <v>6.2005979458241782E18</v>
      </c>
    </row>
    <row r="826" ht="15.75" customHeight="1">
      <c r="A826" s="8"/>
      <c r="B826" s="8"/>
      <c r="C826" s="8"/>
      <c r="D826" s="8">
        <v>27.9026907562088</v>
      </c>
      <c r="E826" s="9" t="s">
        <v>835</v>
      </c>
      <c r="I826" s="12" t="str">
        <f>IFERROR(__xludf.DUMMYFUNCTION("""COMPUTED_VALUE"""),"0x45dd68fcd213aeae9b8d2dd28c7bc474c2a56642")</f>
        <v>0x45dd68fcd213aeae9b8d2dd28c7bc474c2a56642</v>
      </c>
      <c r="J826" s="11">
        <v>29.848481093998938</v>
      </c>
      <c r="K826" s="12">
        <v>66.32995798666431</v>
      </c>
      <c r="L826" s="13">
        <v>6.632995798666431E19</v>
      </c>
      <c r="M826" s="9">
        <v>6.6329957986664315E18</v>
      </c>
    </row>
    <row r="827" ht="15.75" customHeight="1">
      <c r="A827" s="8"/>
      <c r="B827" s="8"/>
      <c r="C827" s="8"/>
      <c r="D827" s="8">
        <v>27.9026907562088</v>
      </c>
      <c r="E827" s="9" t="s">
        <v>836</v>
      </c>
      <c r="I827" s="12" t="str">
        <f>IFERROR(__xludf.DUMMYFUNCTION("""COMPUTED_VALUE"""),"0x461103cb5ec52fbc0f20c6a7ca3ca5860e11a362")</f>
        <v>0x461103cb5ec52fbc0f20c6a7ca3ca5860e11a362</v>
      </c>
      <c r="J827" s="11">
        <v>27.9026907562088</v>
      </c>
      <c r="K827" s="12">
        <v>62.005979458241775</v>
      </c>
      <c r="L827" s="13">
        <v>6.200597945824177E19</v>
      </c>
      <c r="M827" s="9">
        <v>6.2005979458241782E18</v>
      </c>
    </row>
    <row r="828" ht="15.75" customHeight="1">
      <c r="A828" s="8"/>
      <c r="B828" s="8"/>
      <c r="C828" s="8"/>
      <c r="D828" s="8">
        <v>27.9026907562088</v>
      </c>
      <c r="E828" s="9" t="s">
        <v>837</v>
      </c>
      <c r="I828" s="12" t="str">
        <f>IFERROR(__xludf.DUMMYFUNCTION("""COMPUTED_VALUE"""),"0x461462fc0a8c05ffb5b5fe2e82b3a3ab292db23a")</f>
        <v>0x461462fc0a8c05ffb5b5fe2e82b3a3ab292db23a</v>
      </c>
      <c r="J828" s="11">
        <v>45.0880353568445</v>
      </c>
      <c r="K828" s="12">
        <v>100.19563412632111</v>
      </c>
      <c r="L828" s="13">
        <v>1.001956341263211E20</v>
      </c>
      <c r="M828" s="9">
        <v>1.0019563412632111E19</v>
      </c>
    </row>
    <row r="829" ht="15.75" customHeight="1">
      <c r="A829" s="8"/>
      <c r="B829" s="8"/>
      <c r="C829" s="8"/>
      <c r="D829" s="8">
        <v>27.9026907562088</v>
      </c>
      <c r="E829" s="9" t="s">
        <v>838</v>
      </c>
      <c r="I829" s="12" t="str">
        <f>IFERROR(__xludf.DUMMYFUNCTION("""COMPUTED_VALUE"""),"0x461e76a4fe9f27605d4097a646837c32f1ccc31c")</f>
        <v>0x461e76a4fe9f27605d4097a646837c32f1ccc31c</v>
      </c>
      <c r="J829" s="11">
        <v>1507.5074841486946</v>
      </c>
      <c r="K829" s="12">
        <v>3350.0166314415437</v>
      </c>
      <c r="L829" s="13">
        <v>3.3500166314415437E21</v>
      </c>
      <c r="M829" s="9">
        <v>3.3500166314415437E20</v>
      </c>
    </row>
    <row r="830" ht="15.75" customHeight="1">
      <c r="A830" s="8"/>
      <c r="B830" s="8"/>
      <c r="C830" s="8"/>
      <c r="D830" s="8">
        <v>16.3139880798359</v>
      </c>
      <c r="E830" s="9" t="s">
        <v>839</v>
      </c>
      <c r="I830" s="12" t="str">
        <f>IFERROR(__xludf.DUMMYFUNCTION("""COMPUTED_VALUE"""),"0x462f0d99d9556d9a43bc5903437f96a740be91fe")</f>
        <v>0x462f0d99d9556d9a43bc5903437f96a740be91fe</v>
      </c>
      <c r="J830" s="11">
        <v>16.3139880798359</v>
      </c>
      <c r="K830" s="12">
        <v>36.25330684407978</v>
      </c>
      <c r="L830" s="13">
        <v>3.625330684407978E19</v>
      </c>
      <c r="M830" s="9">
        <v>3.625330684407978E18</v>
      </c>
    </row>
    <row r="831" ht="15.75" customHeight="1">
      <c r="A831" s="8"/>
      <c r="B831" s="8"/>
      <c r="C831" s="8"/>
      <c r="D831" s="8">
        <v>26.638861385201</v>
      </c>
      <c r="E831" s="9" t="s">
        <v>840</v>
      </c>
      <c r="I831" s="12" t="str">
        <f>IFERROR(__xludf.DUMMYFUNCTION("""COMPUTED_VALUE"""),"0x46683e62d890e8b4e49c7260ecc31eae60b416ec")</f>
        <v>0x46683e62d890e8b4e49c7260ecc31eae60b416ec</v>
      </c>
      <c r="J831" s="11">
        <v>95.39559321696525</v>
      </c>
      <c r="K831" s="12">
        <v>211.99020714881166</v>
      </c>
      <c r="L831" s="13">
        <v>2.1199020714881165E20</v>
      </c>
      <c r="M831" s="9">
        <v>2.1199020714881167E19</v>
      </c>
    </row>
    <row r="832" ht="15.75" customHeight="1">
      <c r="A832" s="8"/>
      <c r="B832" s="8"/>
      <c r="C832" s="8"/>
      <c r="D832" s="8">
        <v>27.9026907562088</v>
      </c>
      <c r="E832" s="9" t="s">
        <v>841</v>
      </c>
      <c r="I832" s="12" t="str">
        <f>IFERROR(__xludf.DUMMYFUNCTION("""COMPUTED_VALUE"""),"0x4669dfc7e5ad6da49d52b666c3c3a1bc43ea3050")</f>
        <v>0x4669dfc7e5ad6da49d52b666c3c3a1bc43ea3050</v>
      </c>
      <c r="J832" s="11">
        <v>27.9026907562088</v>
      </c>
      <c r="K832" s="12">
        <v>62.005979458241775</v>
      </c>
      <c r="L832" s="13">
        <v>6.200597945824177E19</v>
      </c>
      <c r="M832" s="9">
        <v>6.2005979458241782E18</v>
      </c>
    </row>
    <row r="833" ht="15.75" customHeight="1">
      <c r="A833" s="8"/>
      <c r="B833" s="8"/>
      <c r="C833" s="8"/>
      <c r="D833" s="8">
        <v>27.9026907562088</v>
      </c>
      <c r="E833" s="9" t="s">
        <v>842</v>
      </c>
      <c r="I833" s="12" t="str">
        <f>IFERROR(__xludf.DUMMYFUNCTION("""COMPUTED_VALUE"""),"0x46832a0a7722cd9bb452806a1851175b6d6bd44d")</f>
        <v>0x46832a0a7722cd9bb452806a1851175b6d6bd44d</v>
      </c>
      <c r="J833" s="11">
        <v>118.3610630322068</v>
      </c>
      <c r="K833" s="12">
        <v>263.0245845160151</v>
      </c>
      <c r="L833" s="13">
        <v>2.6302458451601513E20</v>
      </c>
      <c r="M833" s="9">
        <v>2.6302458451601514E19</v>
      </c>
    </row>
    <row r="834" ht="15.75" customHeight="1">
      <c r="A834" s="8"/>
      <c r="B834" s="8"/>
      <c r="C834" s="8"/>
      <c r="D834" s="8">
        <v>27.1555595475164</v>
      </c>
      <c r="E834" s="9" t="s">
        <v>843</v>
      </c>
      <c r="I834" s="12" t="str">
        <f>IFERROR(__xludf.DUMMYFUNCTION("""COMPUTED_VALUE"""),"0x46945834e6d9066526d37d9c3f1a9066b76f7663")</f>
        <v>0x46945834e6d9066526d37d9c3f1a9066b76f7663</v>
      </c>
      <c r="J834" s="11">
        <v>27.1555595475164</v>
      </c>
      <c r="K834" s="12">
        <v>60.34568788336978</v>
      </c>
      <c r="L834" s="13">
        <v>6.0345687883369775E19</v>
      </c>
      <c r="M834" s="9">
        <v>6.0345687883369779E18</v>
      </c>
    </row>
    <row r="835" ht="15.75" customHeight="1">
      <c r="A835" s="8"/>
      <c r="B835" s="8"/>
      <c r="C835" s="8"/>
      <c r="D835" s="8">
        <v>17.8969579111357</v>
      </c>
      <c r="E835" s="9" t="s">
        <v>844</v>
      </c>
      <c r="I835" s="12" t="str">
        <f>IFERROR(__xludf.DUMMYFUNCTION("""COMPUTED_VALUE"""),"0x469dcce550e0f8d782f98ea04d68efe3a33af514")</f>
        <v>0x469dcce550e0f8d782f98ea04d68efe3a33af514</v>
      </c>
      <c r="J835" s="11">
        <v>17.8969579111357</v>
      </c>
      <c r="K835" s="12">
        <v>39.77101758030155</v>
      </c>
      <c r="L835" s="13">
        <v>3.977101758030155E19</v>
      </c>
      <c r="M835" s="9">
        <v>3.9771017580301553E18</v>
      </c>
    </row>
    <row r="836" ht="15.75" customHeight="1">
      <c r="A836" s="8"/>
      <c r="B836" s="8"/>
      <c r="C836" s="8"/>
      <c r="D836" s="8">
        <v>27.9026907562088</v>
      </c>
      <c r="E836" s="9" t="s">
        <v>845</v>
      </c>
      <c r="I836" s="12" t="str">
        <f>IFERROR(__xludf.DUMMYFUNCTION("""COMPUTED_VALUE"""),"0x46ed68978c6807208651519caa39e7f675cf65b4")</f>
        <v>0x46ed68978c6807208651519caa39e7f675cf65b4</v>
      </c>
      <c r="J836" s="11">
        <v>27.9026907562088</v>
      </c>
      <c r="K836" s="12">
        <v>62.005979458241775</v>
      </c>
      <c r="L836" s="13">
        <v>6.200597945824177E19</v>
      </c>
      <c r="M836" s="9">
        <v>6.2005979458241782E18</v>
      </c>
    </row>
    <row r="837" ht="15.75" customHeight="1">
      <c r="A837" s="8"/>
      <c r="B837" s="8"/>
      <c r="C837" s="8"/>
      <c r="D837" s="8">
        <v>12.582881080967</v>
      </c>
      <c r="E837" s="9" t="s">
        <v>846</v>
      </c>
      <c r="I837" s="12" t="str">
        <f>IFERROR(__xludf.DUMMYFUNCTION("""COMPUTED_VALUE"""),"0x46fc00920e5a33e801b1890741dc2a825398c8a9")</f>
        <v>0x46fc00920e5a33e801b1890741dc2a825398c8a9</v>
      </c>
      <c r="J837" s="11">
        <v>12.936392873142424</v>
      </c>
      <c r="K837" s="12">
        <v>28.747539718094274</v>
      </c>
      <c r="L837" s="13">
        <v>2.8747539718094275E19</v>
      </c>
      <c r="M837" s="9">
        <v>2.8747539718094275E18</v>
      </c>
    </row>
    <row r="838" ht="15.75" customHeight="1">
      <c r="A838" s="8"/>
      <c r="B838" s="8"/>
      <c r="C838" s="8"/>
      <c r="D838" s="8">
        <v>27.9026907562088</v>
      </c>
      <c r="E838" s="9" t="s">
        <v>847</v>
      </c>
      <c r="I838" s="12" t="str">
        <f>IFERROR(__xludf.DUMMYFUNCTION("""COMPUTED_VALUE"""),"0x470c2d5606ed6dcfea94096e9dd727b2c5d56ef2")</f>
        <v>0x470c2d5606ed6dcfea94096e9dd727b2c5d56ef2</v>
      </c>
      <c r="J838" s="11">
        <v>27.9026907562088</v>
      </c>
      <c r="K838" s="12">
        <v>62.005979458241775</v>
      </c>
      <c r="L838" s="13">
        <v>6.200597945824177E19</v>
      </c>
      <c r="M838" s="9">
        <v>6.2005979458241782E18</v>
      </c>
    </row>
    <row r="839" ht="15.75" customHeight="1">
      <c r="A839" s="8"/>
      <c r="B839" s="8"/>
      <c r="C839" s="8"/>
      <c r="D839" s="8">
        <v>27.9026907562088</v>
      </c>
      <c r="E839" s="9" t="s">
        <v>848</v>
      </c>
      <c r="I839" s="12" t="str">
        <f>IFERROR(__xludf.DUMMYFUNCTION("""COMPUTED_VALUE"""),"0x472a3b2b7fdfe833bb4893f7c967a5dd7032675f")</f>
        <v>0x472a3b2b7fdfe833bb4893f7c967a5dd7032675f</v>
      </c>
      <c r="J839" s="11">
        <v>91.1199983031448</v>
      </c>
      <c r="K839" s="12">
        <v>202.48888511809955</v>
      </c>
      <c r="L839" s="13">
        <v>2.0248888511809955E20</v>
      </c>
      <c r="M839" s="9">
        <v>2.0248888511809958E19</v>
      </c>
    </row>
    <row r="840" ht="15.75" customHeight="1">
      <c r="A840" s="8"/>
      <c r="B840" s="8"/>
      <c r="C840" s="8"/>
      <c r="D840" s="8">
        <v>27.9026907562088</v>
      </c>
      <c r="E840" s="9" t="s">
        <v>849</v>
      </c>
      <c r="I840" s="12" t="str">
        <f>IFERROR(__xludf.DUMMYFUNCTION("""COMPUTED_VALUE"""),"0x474ccd5c991c051e69de105c5841ccbe610144e2")</f>
        <v>0x474ccd5c991c051e69de105c5841ccbe610144e2</v>
      </c>
      <c r="J840" s="11">
        <v>27.9026907562088</v>
      </c>
      <c r="K840" s="12">
        <v>62.005979458241775</v>
      </c>
      <c r="L840" s="13">
        <v>6.200597945824177E19</v>
      </c>
      <c r="M840" s="9">
        <v>6.2005979458241782E18</v>
      </c>
    </row>
    <row r="841" ht="15.75" customHeight="1">
      <c r="A841" s="8"/>
      <c r="B841" s="8"/>
      <c r="C841" s="8"/>
      <c r="D841" s="8">
        <v>27.9026907562088</v>
      </c>
      <c r="E841" s="9" t="s">
        <v>850</v>
      </c>
      <c r="I841" s="12" t="str">
        <f>IFERROR(__xludf.DUMMYFUNCTION("""COMPUTED_VALUE"""),"0x476ce0195351b0d373846dd15a0d292cbc7e26b7")</f>
        <v>0x476ce0195351b0d373846dd15a0d292cbc7e26b7</v>
      </c>
      <c r="J841" s="11">
        <v>27.9026907562088</v>
      </c>
      <c r="K841" s="12">
        <v>62.005979458241775</v>
      </c>
      <c r="L841" s="13">
        <v>6.200597945824177E19</v>
      </c>
      <c r="M841" s="9">
        <v>6.2005979458241782E18</v>
      </c>
    </row>
    <row r="842" ht="15.75" customHeight="1">
      <c r="A842" s="8"/>
      <c r="B842" s="8"/>
      <c r="C842" s="8"/>
      <c r="D842" s="8">
        <v>27.9026907562088</v>
      </c>
      <c r="E842" s="9" t="s">
        <v>851</v>
      </c>
      <c r="I842" s="12" t="str">
        <f>IFERROR(__xludf.DUMMYFUNCTION("""COMPUTED_VALUE"""),"0x4788dec13319e96c90440509541989ddda7ed4e7")</f>
        <v>0x4788dec13319e96c90440509541989ddda7ed4e7</v>
      </c>
      <c r="J842" s="11">
        <v>80.3999551074026</v>
      </c>
      <c r="K842" s="12">
        <v>178.66656690533912</v>
      </c>
      <c r="L842" s="13">
        <v>1.7866656690533912E20</v>
      </c>
      <c r="M842" s="9">
        <v>1.7866656690533913E19</v>
      </c>
    </row>
    <row r="843" ht="15.75" customHeight="1">
      <c r="A843" s="8"/>
      <c r="B843" s="8"/>
      <c r="C843" s="8"/>
      <c r="D843" s="8">
        <v>25.9686565094189</v>
      </c>
      <c r="E843" s="9" t="s">
        <v>852</v>
      </c>
      <c r="I843" s="12" t="str">
        <f>IFERROR(__xludf.DUMMYFUNCTION("""COMPUTED_VALUE"""),"0x478a518e9e132b4529f749956731fb79cfdd1560")</f>
        <v>0x478a518e9e132b4529f749956731fb79cfdd1560</v>
      </c>
      <c r="J843" s="11">
        <v>89.18596405635489</v>
      </c>
      <c r="K843" s="12">
        <v>198.1910312363442</v>
      </c>
      <c r="L843" s="13">
        <v>1.9819103123634422E20</v>
      </c>
      <c r="M843" s="9">
        <v>1.981910312363442E19</v>
      </c>
    </row>
    <row r="844" ht="15.75" customHeight="1">
      <c r="A844" s="8"/>
      <c r="B844" s="8"/>
      <c r="C844" s="8"/>
      <c r="D844" s="8">
        <v>27.9026907562088</v>
      </c>
      <c r="E844" s="9" t="s">
        <v>853</v>
      </c>
      <c r="I844" s="12" t="str">
        <f>IFERROR(__xludf.DUMMYFUNCTION("""COMPUTED_VALUE"""),"0x479bf1e45743311035b646d425edaf4ce68846eb")</f>
        <v>0x479bf1e45743311035b646d425edaf4ce68846eb</v>
      </c>
      <c r="J844" s="11">
        <v>91.1199983031448</v>
      </c>
      <c r="K844" s="12">
        <v>202.48888511809955</v>
      </c>
      <c r="L844" s="13">
        <v>2.0248888511809955E20</v>
      </c>
      <c r="M844" s="9">
        <v>2.0248888511809958E19</v>
      </c>
    </row>
    <row r="845" ht="15.75" customHeight="1">
      <c r="A845" s="8"/>
      <c r="B845" s="8"/>
      <c r="C845" s="8"/>
      <c r="D845" s="8">
        <v>27.9026907562088</v>
      </c>
      <c r="E845" s="9" t="s">
        <v>854</v>
      </c>
      <c r="I845" s="12" t="str">
        <f>IFERROR(__xludf.DUMMYFUNCTION("""COMPUTED_VALUE"""),"0x47add99a2817612b992ac096c37e16412c1b20ff")</f>
        <v>0x47add99a2817612b992ac096c37e16412c1b20ff</v>
      </c>
      <c r="J845" s="11">
        <v>27.9026907562088</v>
      </c>
      <c r="K845" s="12">
        <v>62.005979458241775</v>
      </c>
      <c r="L845" s="13">
        <v>6.200597945824177E19</v>
      </c>
      <c r="M845" s="9">
        <v>6.2005979458241782E18</v>
      </c>
    </row>
    <row r="846" ht="15.75" customHeight="1">
      <c r="A846" s="8"/>
      <c r="B846" s="8"/>
      <c r="C846" s="8"/>
      <c r="D846" s="8">
        <v>27.9026907562088</v>
      </c>
      <c r="E846" s="9" t="s">
        <v>855</v>
      </c>
      <c r="I846" s="12" t="str">
        <f>IFERROR(__xludf.DUMMYFUNCTION("""COMPUTED_VALUE"""),"0x47be2d5a6342006ad489e29e71e1cb30abd1a941")</f>
        <v>0x47be2d5a6342006ad489e29e71e1cb30abd1a941</v>
      </c>
      <c r="J846" s="11">
        <v>91.70373540448185</v>
      </c>
      <c r="K846" s="12">
        <v>203.78607867662632</v>
      </c>
      <c r="L846" s="13">
        <v>2.037860786766263E20</v>
      </c>
      <c r="M846" s="9">
        <v>2.037860786766263E19</v>
      </c>
    </row>
    <row r="847" ht="15.75" customHeight="1">
      <c r="A847" s="8"/>
      <c r="B847" s="8"/>
      <c r="C847" s="8"/>
      <c r="D847" s="8">
        <v>27.9026907562088</v>
      </c>
      <c r="E847" s="9" t="s">
        <v>856</v>
      </c>
      <c r="I847" s="12" t="str">
        <f>IFERROR(__xludf.DUMMYFUNCTION("""COMPUTED_VALUE"""),"0x47e9e678452882dd94d2e01b372f2e119dc68fc1")</f>
        <v>0x47e9e678452882dd94d2e01b372f2e119dc68fc1</v>
      </c>
      <c r="J847" s="11">
        <v>113.72846515207</v>
      </c>
      <c r="K847" s="12">
        <v>252.72992256015556</v>
      </c>
      <c r="L847" s="13">
        <v>2.5272992256015555E20</v>
      </c>
      <c r="M847" s="9">
        <v>2.5272992256015557E19</v>
      </c>
    </row>
    <row r="848" ht="15.75" customHeight="1">
      <c r="A848" s="8"/>
      <c r="B848" s="8"/>
      <c r="C848" s="8"/>
      <c r="D848" s="8">
        <v>20.502085566708</v>
      </c>
      <c r="E848" s="9" t="s">
        <v>857</v>
      </c>
      <c r="I848" s="12" t="str">
        <f>IFERROR(__xludf.DUMMYFUNCTION("""COMPUTED_VALUE"""),"0x47ed47bc36bb0ca5bdbcb36e059ee7cf197e2128")</f>
        <v>0x47ed47bc36bb0ca5bdbcb36e059ee7cf197e2128</v>
      </c>
      <c r="J848" s="11">
        <v>20.502085566708</v>
      </c>
      <c r="K848" s="12">
        <v>45.560190148240004</v>
      </c>
      <c r="L848" s="13">
        <v>4.556019014824001E19</v>
      </c>
      <c r="M848" s="9">
        <v>4.556019014824001E18</v>
      </c>
    </row>
    <row r="849" ht="15.75" customHeight="1">
      <c r="A849" s="8"/>
      <c r="B849" s="8"/>
      <c r="C849" s="8"/>
      <c r="D849" s="8">
        <v>27.9026907562088</v>
      </c>
      <c r="E849" s="9" t="s">
        <v>858</v>
      </c>
      <c r="I849" s="12" t="str">
        <f>IFERROR(__xludf.DUMMYFUNCTION("""COMPUTED_VALUE"""),"0x48015246ab0f88e1f9915323d5870168af991c6a")</f>
        <v>0x48015246ab0f88e1f9915323d5870168af991c6a</v>
      </c>
      <c r="J849" s="11">
        <v>27.9026907562088</v>
      </c>
      <c r="K849" s="12">
        <v>62.005979458241775</v>
      </c>
      <c r="L849" s="13">
        <v>6.200597945824177E19</v>
      </c>
      <c r="M849" s="9">
        <v>6.2005979458241782E18</v>
      </c>
    </row>
    <row r="850" ht="15.75" customHeight="1">
      <c r="A850" s="8"/>
      <c r="B850" s="8"/>
      <c r="C850" s="8"/>
      <c r="D850" s="8">
        <v>20.0481951389723</v>
      </c>
      <c r="E850" s="9" t="s">
        <v>859</v>
      </c>
      <c r="I850" s="12" t="str">
        <f>IFERROR(__xludf.DUMMYFUNCTION("""COMPUTED_VALUE"""),"0x480170ed50d18104a80307567a2a2f5354f106af")</f>
        <v>0x480170ed50d18104a80307567a2a2f5354f106af</v>
      </c>
      <c r="J850" s="11">
        <v>20.0481951389723</v>
      </c>
      <c r="K850" s="12">
        <v>44.55154475327178</v>
      </c>
      <c r="L850" s="13">
        <v>4.4551544753271775E19</v>
      </c>
      <c r="M850" s="9">
        <v>4.4551544753271777E18</v>
      </c>
    </row>
    <row r="851" ht="15.75" customHeight="1">
      <c r="A851" s="8"/>
      <c r="B851" s="8"/>
      <c r="C851" s="8"/>
      <c r="D851" s="8">
        <v>10.2112957599145</v>
      </c>
      <c r="E851" s="9" t="s">
        <v>860</v>
      </c>
      <c r="I851" s="12" t="str">
        <f>IFERROR(__xludf.DUMMYFUNCTION("""COMPUTED_VALUE"""),"0x4802de6e932f46be3d2b0d5e3ca6448cafc4e538")</f>
        <v>0x4802de6e932f46be3d2b0d5e3ca6448cafc4e538</v>
      </c>
      <c r="J851" s="11">
        <v>33.8692913391194</v>
      </c>
      <c r="K851" s="12">
        <v>75.26509186470977</v>
      </c>
      <c r="L851" s="13">
        <v>7.526509186470978E19</v>
      </c>
      <c r="M851" s="9">
        <v>7.5265091864709775E18</v>
      </c>
    </row>
    <row r="852" ht="15.75" customHeight="1">
      <c r="A852" s="8"/>
      <c r="B852" s="8"/>
      <c r="C852" s="8"/>
      <c r="D852" s="8">
        <v>23.6370009066489</v>
      </c>
      <c r="E852" s="9" t="s">
        <v>861</v>
      </c>
      <c r="I852" s="12" t="str">
        <f>IFERROR(__xludf.DUMMYFUNCTION("""COMPUTED_VALUE"""),"0x48131f2ef2c59dcd180609fe5937bc67fe621b60")</f>
        <v>0x48131f2ef2c59dcd180609fe5937bc67fe621b60</v>
      </c>
      <c r="J852" s="11">
        <v>23.6370009066489</v>
      </c>
      <c r="K852" s="12">
        <v>52.526668681442</v>
      </c>
      <c r="L852" s="13">
        <v>5.2526668681442E19</v>
      </c>
      <c r="M852" s="9">
        <v>5.2526668681442007E18</v>
      </c>
    </row>
    <row r="853" ht="15.75" customHeight="1">
      <c r="A853" s="8"/>
      <c r="B853" s="8"/>
      <c r="C853" s="8"/>
      <c r="D853" s="8">
        <v>27.9026907562088</v>
      </c>
      <c r="E853" s="9" t="s">
        <v>862</v>
      </c>
      <c r="I853" s="12" t="str">
        <f>IFERROR(__xludf.DUMMYFUNCTION("""COMPUTED_VALUE"""),"0x482ce8818eec0e0f9b3e6e5f469ee696dc08d116")</f>
        <v>0x482ce8818eec0e0f9b3e6e5f469ee696dc08d116</v>
      </c>
      <c r="J853" s="11">
        <v>27.9026907562088</v>
      </c>
      <c r="K853" s="12">
        <v>62.005979458241775</v>
      </c>
      <c r="L853" s="13">
        <v>6.200597945824177E19</v>
      </c>
      <c r="M853" s="9">
        <v>6.2005979458241782E18</v>
      </c>
    </row>
    <row r="854" ht="15.75" customHeight="1">
      <c r="A854" s="8"/>
      <c r="B854" s="8"/>
      <c r="C854" s="8"/>
      <c r="D854" s="8">
        <v>22.5966775153524</v>
      </c>
      <c r="E854" s="9" t="s">
        <v>863</v>
      </c>
      <c r="I854" s="12" t="str">
        <f>IFERROR(__xludf.DUMMYFUNCTION("""COMPUTED_VALUE"""),"0x483248f07a3a34e340e829b6424288192b3a768b")</f>
        <v>0x483248f07a3a34e340e829b6424288192b3a768b</v>
      </c>
      <c r="J854" s="11">
        <v>22.5966775153524</v>
      </c>
      <c r="K854" s="12">
        <v>50.21483892300533</v>
      </c>
      <c r="L854" s="13">
        <v>5.021483892300533E19</v>
      </c>
      <c r="M854" s="9">
        <v>5.0214838923005327E18</v>
      </c>
    </row>
    <row r="855" ht="15.75" customHeight="1">
      <c r="A855" s="8"/>
      <c r="B855" s="8"/>
      <c r="C855" s="8"/>
      <c r="D855" s="8">
        <v>7.9019886767031</v>
      </c>
      <c r="E855" s="9" t="s">
        <v>864</v>
      </c>
      <c r="I855" s="12" t="str">
        <f>IFERROR(__xludf.DUMMYFUNCTION("""COMPUTED_VALUE"""),"0x483258ae220fa502d047a25d46b51b0751ca0444")</f>
        <v>0x483258ae220fa502d047a25d46b51b0751ca0444</v>
      </c>
      <c r="J855" s="11">
        <v>26.2553913455057</v>
      </c>
      <c r="K855" s="12">
        <v>58.345314101123776</v>
      </c>
      <c r="L855" s="13">
        <v>5.834531410112378E19</v>
      </c>
      <c r="M855" s="9">
        <v>5.8345314101123779E18</v>
      </c>
    </row>
    <row r="856" ht="15.75" customHeight="1">
      <c r="A856" s="8"/>
      <c r="B856" s="8"/>
      <c r="C856" s="8"/>
      <c r="D856" s="8">
        <v>27.9026907562088</v>
      </c>
      <c r="E856" s="9" t="s">
        <v>865</v>
      </c>
      <c r="I856" s="12" t="str">
        <f>IFERROR(__xludf.DUMMYFUNCTION("""COMPUTED_VALUE"""),"0x485b2098689ce51c63c8fdfd73b66f78b198d25f")</f>
        <v>0x485b2098689ce51c63c8fdfd73b66f78b198d25f</v>
      </c>
      <c r="J856" s="11">
        <v>27.9026907562088</v>
      </c>
      <c r="K856" s="12">
        <v>62.005979458241775</v>
      </c>
      <c r="L856" s="13">
        <v>6.200597945824177E19</v>
      </c>
      <c r="M856" s="9">
        <v>6.2005979458241782E18</v>
      </c>
    </row>
    <row r="857" ht="15.75" customHeight="1">
      <c r="A857" s="8"/>
      <c r="B857" s="8"/>
      <c r="C857" s="8"/>
      <c r="D857" s="8">
        <v>27.9026907562088</v>
      </c>
      <c r="E857" s="9" t="s">
        <v>866</v>
      </c>
      <c r="I857" s="12" t="str">
        <f>IFERROR(__xludf.DUMMYFUNCTION("""COMPUTED_VALUE"""),"0x487f88d4921db7db0fac95a86fffd9cfdfc7c404")</f>
        <v>0x487f88d4921db7db0fac95a86fffd9cfdfc7c404</v>
      </c>
      <c r="J857" s="11">
        <v>91.1199983031448</v>
      </c>
      <c r="K857" s="12">
        <v>202.48888511809955</v>
      </c>
      <c r="L857" s="13">
        <v>2.0248888511809955E20</v>
      </c>
      <c r="M857" s="9">
        <v>2.0248888511809958E19</v>
      </c>
    </row>
    <row r="858" ht="15.75" customHeight="1">
      <c r="A858" s="8"/>
      <c r="B858" s="8"/>
      <c r="C858" s="8"/>
      <c r="D858" s="8">
        <v>27.9026907562088</v>
      </c>
      <c r="E858" s="9" t="s">
        <v>867</v>
      </c>
      <c r="I858" s="12" t="str">
        <f>IFERROR(__xludf.DUMMYFUNCTION("""COMPUTED_VALUE"""),"0x488c4be56b8384bba5b4761f5d9ee4233feb7126")</f>
        <v>0x488c4be56b8384bba5b4761f5d9ee4233feb7126</v>
      </c>
      <c r="J858" s="11">
        <v>27.9026907562088</v>
      </c>
      <c r="K858" s="12">
        <v>62.005979458241775</v>
      </c>
      <c r="L858" s="13">
        <v>6.200597945824177E19</v>
      </c>
      <c r="M858" s="9">
        <v>6.2005979458241782E18</v>
      </c>
    </row>
    <row r="859" ht="15.75" customHeight="1">
      <c r="A859" s="8"/>
      <c r="B859" s="8"/>
      <c r="C859" s="8"/>
      <c r="D859" s="8">
        <v>27.9026907562088</v>
      </c>
      <c r="E859" s="9" t="s">
        <v>868</v>
      </c>
      <c r="I859" s="12" t="str">
        <f>IFERROR(__xludf.DUMMYFUNCTION("""COMPUTED_VALUE"""),"0x48a0096b26fe285138b294afe0eb1dd705071dca")</f>
        <v>0x48a0096b26fe285138b294afe0eb1dd705071dca</v>
      </c>
      <c r="J859" s="11">
        <v>68.7415335270365</v>
      </c>
      <c r="K859" s="12">
        <v>152.75896339341443</v>
      </c>
      <c r="L859" s="13">
        <v>1.5275896339341443E20</v>
      </c>
      <c r="M859" s="9">
        <v>1.5275896339341443E19</v>
      </c>
    </row>
    <row r="860" ht="15.75" customHeight="1">
      <c r="A860" s="8"/>
      <c r="B860" s="8"/>
      <c r="C860" s="8"/>
      <c r="D860" s="8">
        <v>14.8004341343703</v>
      </c>
      <c r="E860" s="9" t="s">
        <v>869</v>
      </c>
      <c r="I860" s="12" t="str">
        <f>IFERROR(__xludf.DUMMYFUNCTION("""COMPUTED_VALUE"""),"0x48a9c8571b488bad6716839ea93690afb6175d7c")</f>
        <v>0x48a9c8571b488bad6716839ea93690afb6175d7c</v>
      </c>
      <c r="J860" s="11">
        <v>14.8004341343703</v>
      </c>
      <c r="K860" s="12">
        <v>32.889853631934</v>
      </c>
      <c r="L860" s="13">
        <v>3.2889853631934E19</v>
      </c>
      <c r="M860" s="9">
        <v>3.2889853631934003E18</v>
      </c>
    </row>
    <row r="861" ht="15.75" customHeight="1">
      <c r="A861" s="8"/>
      <c r="B861" s="8"/>
      <c r="C861" s="8"/>
      <c r="D861" s="8">
        <v>27.8265439205184</v>
      </c>
      <c r="E861" s="9" t="s">
        <v>870</v>
      </c>
      <c r="I861" s="12" t="str">
        <f>IFERROR(__xludf.DUMMYFUNCTION("""COMPUTED_VALUE"""),"0x48ac4378d62502b3b73e42dd0ad1dd10a066e7b0")</f>
        <v>0x48ac4378d62502b3b73e42dd0ad1dd10a066e7b0</v>
      </c>
      <c r="J861" s="11">
        <v>28.10902207604199</v>
      </c>
      <c r="K861" s="12">
        <v>62.464493502315534</v>
      </c>
      <c r="L861" s="13">
        <v>6.246449350231554E19</v>
      </c>
      <c r="M861" s="9">
        <v>6.246449350231554E18</v>
      </c>
    </row>
    <row r="862" ht="15.75" customHeight="1">
      <c r="A862" s="8"/>
      <c r="B862" s="8"/>
      <c r="C862" s="8"/>
      <c r="D862" s="8">
        <v>27.9026907562088</v>
      </c>
      <c r="E862" s="9" t="s">
        <v>871</v>
      </c>
      <c r="I862" s="12" t="str">
        <f>IFERROR(__xludf.DUMMYFUNCTION("""COMPUTED_VALUE"""),"0x48d716e6801cd09c7cd696e56c8b904fb7589f1d")</f>
        <v>0x48d716e6801cd09c7cd696e56c8b904fb7589f1d</v>
      </c>
      <c r="J862" s="11">
        <v>265.93128034030383</v>
      </c>
      <c r="K862" s="12">
        <v>590.9584007562307</v>
      </c>
      <c r="L862" s="13">
        <v>5.909584007562308E20</v>
      </c>
      <c r="M862" s="9">
        <v>5.909584007562308E19</v>
      </c>
    </row>
    <row r="863" ht="15.75" customHeight="1">
      <c r="A863" s="8"/>
      <c r="B863" s="8"/>
      <c r="C863" s="8"/>
      <c r="D863" s="8">
        <v>5.7632334828803</v>
      </c>
      <c r="E863" s="9" t="s">
        <v>872</v>
      </c>
      <c r="I863" s="12" t="str">
        <f>IFERROR(__xludf.DUMMYFUNCTION("""COMPUTED_VALUE"""),"0x48dc2ec7ba244959ea42fa46a454bb4891a36b1d")</f>
        <v>0x48dc2ec7ba244959ea42fa46a454bb4891a36b1d</v>
      </c>
      <c r="J863" s="11">
        <v>24.7938475717461</v>
      </c>
      <c r="K863" s="12">
        <v>55.09743904832466</v>
      </c>
      <c r="L863" s="13">
        <v>5.509743904832466E19</v>
      </c>
      <c r="M863" s="9">
        <v>5.5097439048324659E18</v>
      </c>
    </row>
    <row r="864" ht="15.75" customHeight="1">
      <c r="A864" s="8"/>
      <c r="B864" s="8"/>
      <c r="C864" s="8"/>
      <c r="D864" s="8">
        <v>18.451462407886</v>
      </c>
      <c r="E864" s="9" t="s">
        <v>873</v>
      </c>
      <c r="I864" s="12" t="str">
        <f>IFERROR(__xludf.DUMMYFUNCTION("""COMPUTED_VALUE"""),"0x48e177bfc10a7346c90d7d4e6c84defa78781341")</f>
        <v>0x48e177bfc10a7346c90d7d4e6c84defa78781341</v>
      </c>
      <c r="J864" s="11">
        <v>18.451462407886</v>
      </c>
      <c r="K864" s="12">
        <v>41.003249795302224</v>
      </c>
      <c r="L864" s="13">
        <v>4.100324979530223E19</v>
      </c>
      <c r="M864" s="9">
        <v>4.1003249795302231E18</v>
      </c>
    </row>
    <row r="865" ht="15.75" customHeight="1">
      <c r="A865" s="8"/>
      <c r="B865" s="8"/>
      <c r="C865" s="8"/>
      <c r="D865" s="8">
        <v>20.9226456539627</v>
      </c>
      <c r="E865" s="9" t="s">
        <v>874</v>
      </c>
      <c r="I865" s="12" t="str">
        <f>IFERROR(__xludf.DUMMYFUNCTION("""COMPUTED_VALUE"""),"0x48ea6663f3edcbb9c248069fec34161bce6d9b93")</f>
        <v>0x48ea6663f3edcbb9c248069fec34161bce6d9b93</v>
      </c>
      <c r="J865" s="11">
        <v>20.9226456539627</v>
      </c>
      <c r="K865" s="12">
        <v>46.49476811991711</v>
      </c>
      <c r="L865" s="13">
        <v>4.649476811991711E19</v>
      </c>
      <c r="M865" s="9">
        <v>4.6494768119917107E18</v>
      </c>
    </row>
    <row r="866" ht="15.75" customHeight="1">
      <c r="A866" s="8"/>
      <c r="B866" s="8"/>
      <c r="C866" s="8"/>
      <c r="D866" s="8">
        <v>25.231228459451</v>
      </c>
      <c r="E866" s="9" t="s">
        <v>875</v>
      </c>
      <c r="I866" s="12" t="str">
        <f>IFERROR(__xludf.DUMMYFUNCTION("""COMPUTED_VALUE"""),"0x49105046609627d8fc52f89528b51dc894072d35")</f>
        <v>0x49105046609627d8fc52f89528b51dc894072d35</v>
      </c>
      <c r="J866" s="11">
        <v>25.231228459451</v>
      </c>
      <c r="K866" s="12">
        <v>56.06939657655778</v>
      </c>
      <c r="L866" s="13">
        <v>5.606939657655778E19</v>
      </c>
      <c r="M866" s="9">
        <v>5.6069396576557783E18</v>
      </c>
    </row>
    <row r="867" ht="15.75" customHeight="1">
      <c r="A867" s="8"/>
      <c r="B867" s="8"/>
      <c r="C867" s="8"/>
      <c r="D867" s="8">
        <v>27.9026907562088</v>
      </c>
      <c r="E867" s="9" t="s">
        <v>876</v>
      </c>
      <c r="I867" s="12" t="str">
        <f>IFERROR(__xludf.DUMMYFUNCTION("""COMPUTED_VALUE"""),"0x491dd4a1b070c22c0b287d675e9f5fd75b55ff56")</f>
        <v>0x491dd4a1b070c22c0b287d675e9f5fd75b55ff56</v>
      </c>
      <c r="J867" s="11">
        <v>27.9026907562088</v>
      </c>
      <c r="K867" s="12">
        <v>62.005979458241775</v>
      </c>
      <c r="L867" s="13">
        <v>6.200597945824177E19</v>
      </c>
      <c r="M867" s="9">
        <v>6.2005979458241782E18</v>
      </c>
    </row>
    <row r="868" ht="15.75" customHeight="1">
      <c r="A868" s="8"/>
      <c r="B868" s="8"/>
      <c r="C868" s="8"/>
      <c r="D868" s="8">
        <v>27.8098863711903</v>
      </c>
      <c r="E868" s="9" t="s">
        <v>877</v>
      </c>
      <c r="I868" s="12" t="str">
        <f>IFERROR(__xludf.DUMMYFUNCTION("""COMPUTED_VALUE"""),"0x49326b375bee80bf3cf3f78dbf47df00e92f13e7")</f>
        <v>0x49326b375bee80bf3cf3f78dbf47df00e92f13e7</v>
      </c>
      <c r="J868" s="11">
        <v>27.8098863711903</v>
      </c>
      <c r="K868" s="12">
        <v>61.79974749153399</v>
      </c>
      <c r="L868" s="13">
        <v>6.1799747491534E19</v>
      </c>
      <c r="M868" s="9">
        <v>6.1799747491533998E18</v>
      </c>
    </row>
    <row r="869" ht="15.75" customHeight="1">
      <c r="A869" s="8"/>
      <c r="B869" s="8"/>
      <c r="C869" s="8"/>
      <c r="D869" s="8">
        <v>27.9026907562088</v>
      </c>
      <c r="E869" s="9" t="s">
        <v>878</v>
      </c>
      <c r="I869" s="12" t="str">
        <f>IFERROR(__xludf.DUMMYFUNCTION("""COMPUTED_VALUE"""),"0x4941f6f66d9b1d16491d3b0075210e37cd97ee45")</f>
        <v>0x4941f6f66d9b1d16491d3b0075210e37cd97ee45</v>
      </c>
      <c r="J869" s="11">
        <v>91.1199983031448</v>
      </c>
      <c r="K869" s="12">
        <v>202.48888511809955</v>
      </c>
      <c r="L869" s="13">
        <v>2.0248888511809955E20</v>
      </c>
      <c r="M869" s="9">
        <v>2.0248888511809958E19</v>
      </c>
    </row>
    <row r="870" ht="15.75" customHeight="1">
      <c r="A870" s="8"/>
      <c r="B870" s="8"/>
      <c r="C870" s="8"/>
      <c r="D870" s="8">
        <v>27.9026907562088</v>
      </c>
      <c r="E870" s="9" t="s">
        <v>879</v>
      </c>
      <c r="I870" s="12" t="str">
        <f>IFERROR(__xludf.DUMMYFUNCTION("""COMPUTED_VALUE"""),"0x4943484c29775abb54e672503f409bcf8aef8416")</f>
        <v>0x4943484c29775abb54e672503f409bcf8aef8416</v>
      </c>
      <c r="J870" s="11">
        <v>35.68585210736937</v>
      </c>
      <c r="K870" s="12">
        <v>79.30189357193193</v>
      </c>
      <c r="L870" s="13">
        <v>7.930189357193193E19</v>
      </c>
      <c r="M870" s="9">
        <v>7.9301893571931935E18</v>
      </c>
    </row>
    <row r="871" ht="15.75" customHeight="1">
      <c r="A871" s="8"/>
      <c r="B871" s="8"/>
      <c r="C871" s="8"/>
      <c r="D871" s="8">
        <v>24.5343861330412</v>
      </c>
      <c r="E871" s="9" t="s">
        <v>880</v>
      </c>
      <c r="I871" s="12" t="str">
        <f>IFERROR(__xludf.DUMMYFUNCTION("""COMPUTED_VALUE"""),"0x496d4615430539c3e4b7038f7473ef539120b643")</f>
        <v>0x496d4615430539c3e4b7038f7473ef539120b643</v>
      </c>
      <c r="J871" s="11">
        <v>24.5343861330412</v>
      </c>
      <c r="K871" s="12">
        <v>54.52085807342488</v>
      </c>
      <c r="L871" s="13">
        <v>5.452085807342488E19</v>
      </c>
      <c r="M871" s="9">
        <v>5.4520858073424886E18</v>
      </c>
    </row>
    <row r="872" ht="15.75" customHeight="1">
      <c r="A872" s="8"/>
      <c r="B872" s="8"/>
      <c r="C872" s="8"/>
      <c r="D872" s="8">
        <v>27.9026907562088</v>
      </c>
      <c r="E872" s="9" t="s">
        <v>881</v>
      </c>
      <c r="I872" s="12" t="str">
        <f>IFERROR(__xludf.DUMMYFUNCTION("""COMPUTED_VALUE"""),"0x496e50adc8c04587f19f3a0495b9904164b9846c")</f>
        <v>0x496e50adc8c04587f19f3a0495b9904164b9846c</v>
      </c>
      <c r="J872" s="11">
        <v>94.57997885268186</v>
      </c>
      <c r="K872" s="12">
        <v>210.17773078373747</v>
      </c>
      <c r="L872" s="13">
        <v>2.1017773078373748E20</v>
      </c>
      <c r="M872" s="9">
        <v>2.101777307837375E19</v>
      </c>
    </row>
    <row r="873" ht="15.75" customHeight="1">
      <c r="A873" s="8"/>
      <c r="B873" s="8"/>
      <c r="C873" s="8"/>
      <c r="D873" s="8">
        <v>27.9026907562088</v>
      </c>
      <c r="E873" s="9" t="s">
        <v>882</v>
      </c>
      <c r="I873" s="12" t="str">
        <f>IFERROR(__xludf.DUMMYFUNCTION("""COMPUTED_VALUE"""),"0x4971bcabd6641114ed880124bbdafa509293a0c7")</f>
        <v>0x4971bcabd6641114ed880124bbdafa509293a0c7</v>
      </c>
      <c r="J873" s="11">
        <v>27.9026907562088</v>
      </c>
      <c r="K873" s="12">
        <v>62.005979458241775</v>
      </c>
      <c r="L873" s="13">
        <v>6.200597945824177E19</v>
      </c>
      <c r="M873" s="9">
        <v>6.2005979458241782E18</v>
      </c>
    </row>
    <row r="874" ht="15.75" customHeight="1">
      <c r="A874" s="8"/>
      <c r="B874" s="8"/>
      <c r="C874" s="8"/>
      <c r="D874" s="8">
        <v>27.9026907562088</v>
      </c>
      <c r="E874" s="9" t="s">
        <v>883</v>
      </c>
      <c r="I874" s="12" t="str">
        <f>IFERROR(__xludf.DUMMYFUNCTION("""COMPUTED_VALUE"""),"0x498c46410522ccd24faad46ae4bf6f367c315af7")</f>
        <v>0x498c46410522ccd24faad46ae4bf6f367c315af7</v>
      </c>
      <c r="J874" s="11">
        <v>121.5132433794268</v>
      </c>
      <c r="K874" s="12">
        <v>270.02942973205955</v>
      </c>
      <c r="L874" s="13">
        <v>2.7002942973205955E20</v>
      </c>
      <c r="M874" s="9">
        <v>2.7002942973205955E19</v>
      </c>
    </row>
    <row r="875" ht="15.75" customHeight="1">
      <c r="A875" s="8"/>
      <c r="B875" s="8"/>
      <c r="C875" s="8"/>
      <c r="D875" s="8">
        <v>27.9026907562088</v>
      </c>
      <c r="E875" s="9" t="s">
        <v>884</v>
      </c>
      <c r="I875" s="12" t="str">
        <f>IFERROR(__xludf.DUMMYFUNCTION("""COMPUTED_VALUE"""),"0x498d0c1c491d7b90fa4cc280a0fd27ff58225bca")</f>
        <v>0x498d0c1c491d7b90fa4cc280a0fd27ff58225bca</v>
      </c>
      <c r="J875" s="11">
        <v>157.2842198373683</v>
      </c>
      <c r="K875" s="12">
        <v>349.52048852748516</v>
      </c>
      <c r="L875" s="13">
        <v>3.4952048852748514E20</v>
      </c>
      <c r="M875" s="9">
        <v>3.4952048852748517E19</v>
      </c>
    </row>
    <row r="876" ht="15.75" customHeight="1">
      <c r="A876" s="8"/>
      <c r="B876" s="8"/>
      <c r="C876" s="8"/>
      <c r="D876" s="8">
        <v>27.9026907562088</v>
      </c>
      <c r="E876" s="9" t="s">
        <v>885</v>
      </c>
      <c r="I876" s="12" t="str">
        <f>IFERROR(__xludf.DUMMYFUNCTION("""COMPUTED_VALUE"""),"0x4995d9170046518e3d2a3cc2d27d8b669347fa60")</f>
        <v>0x4995d9170046518e3d2a3cc2d27d8b669347fa60</v>
      </c>
      <c r="J876" s="11">
        <v>27.9026907562088</v>
      </c>
      <c r="K876" s="12">
        <v>62.005979458241775</v>
      </c>
      <c r="L876" s="13">
        <v>6.200597945824177E19</v>
      </c>
      <c r="M876" s="9">
        <v>6.2005979458241782E18</v>
      </c>
    </row>
    <row r="877" ht="15.75" customHeight="1">
      <c r="A877" s="8"/>
      <c r="B877" s="8"/>
      <c r="C877" s="8"/>
      <c r="D877" s="8">
        <v>22.011115284959</v>
      </c>
      <c r="E877" s="9" t="s">
        <v>886</v>
      </c>
      <c r="I877" s="12" t="str">
        <f>IFERROR(__xludf.DUMMYFUNCTION("""COMPUTED_VALUE"""),"0x49966ce3d059f89d1e92389e53a618a13b491e5a")</f>
        <v>0x49966ce3d059f89d1e92389e53a618a13b491e5a</v>
      </c>
      <c r="J877" s="11">
        <v>72.4986279471082</v>
      </c>
      <c r="K877" s="12">
        <v>161.1080621046849</v>
      </c>
      <c r="L877" s="13">
        <v>1.6110806210468492E20</v>
      </c>
      <c r="M877" s="9">
        <v>1.6110806210468493E19</v>
      </c>
    </row>
    <row r="878" ht="15.75" customHeight="1">
      <c r="A878" s="8"/>
      <c r="B878" s="8"/>
      <c r="C878" s="8"/>
      <c r="D878" s="8">
        <v>27.9026907562088</v>
      </c>
      <c r="E878" s="9" t="s">
        <v>887</v>
      </c>
      <c r="I878" s="12" t="str">
        <f>IFERROR(__xludf.DUMMYFUNCTION("""COMPUTED_VALUE"""),"0x499b7f009ce415b5e901dc9eaa14aab11e22c891")</f>
        <v>0x499b7f009ce415b5e901dc9eaa14aab11e22c891</v>
      </c>
      <c r="J878" s="11">
        <v>40.546152265596</v>
      </c>
      <c r="K878" s="12">
        <v>90.10256059021333</v>
      </c>
      <c r="L878" s="13">
        <v>9.010256059021333E19</v>
      </c>
      <c r="M878" s="9">
        <v>9.0102560590213335E18</v>
      </c>
    </row>
    <row r="879" ht="15.75" customHeight="1">
      <c r="A879" s="8"/>
      <c r="B879" s="8"/>
      <c r="C879" s="8"/>
      <c r="D879" s="8">
        <v>27.9026907562088</v>
      </c>
      <c r="E879" s="9" t="s">
        <v>888</v>
      </c>
      <c r="I879" s="12" t="str">
        <f>IFERROR(__xludf.DUMMYFUNCTION("""COMPUTED_VALUE"""),"0x49b3db0fd5b98924d42dfad18a11c08f7d7a3e5f")</f>
        <v>0x49b3db0fd5b98924d42dfad18a11c08f7d7a3e5f</v>
      </c>
      <c r="J879" s="11">
        <v>217.7227554793158</v>
      </c>
      <c r="K879" s="12">
        <v>483.82834550959063</v>
      </c>
      <c r="L879" s="13">
        <v>4.8382834550959066E20</v>
      </c>
      <c r="M879" s="9">
        <v>4.838283455095907E19</v>
      </c>
    </row>
    <row r="880" ht="15.75" customHeight="1">
      <c r="A880" s="8"/>
      <c r="B880" s="8"/>
      <c r="C880" s="8"/>
      <c r="D880" s="8">
        <v>27.6356238044116</v>
      </c>
      <c r="E880" s="9" t="s">
        <v>889</v>
      </c>
      <c r="I880" s="12" t="str">
        <f>IFERROR(__xludf.DUMMYFUNCTION("""COMPUTED_VALUE"""),"0x49cd9cad11ff206e04a5919d131b316610a7ff98")</f>
        <v>0x49cd9cad11ff206e04a5919d131b316610a7ff98</v>
      </c>
      <c r="J880" s="11">
        <v>27.6356238044116</v>
      </c>
      <c r="K880" s="12">
        <v>61.41249734313689</v>
      </c>
      <c r="L880" s="13">
        <v>6.141249734313689E19</v>
      </c>
      <c r="M880" s="9">
        <v>6.1412497343136891E18</v>
      </c>
    </row>
    <row r="881" ht="15.75" customHeight="1">
      <c r="A881" s="8"/>
      <c r="B881" s="8"/>
      <c r="C881" s="8"/>
      <c r="D881" s="8">
        <v>1.22876182682336</v>
      </c>
      <c r="E881" s="9" t="s">
        <v>890</v>
      </c>
      <c r="I881" s="12" t="str">
        <f>IFERROR(__xludf.DUMMYFUNCTION("""COMPUTED_VALUE"""),"0x49d1978dce1a788a0e33ac59c004e5fee4093e95")</f>
        <v>0x49d1978dce1a788a0e33ac59c004e5fee4093e95</v>
      </c>
      <c r="J881" s="11">
        <v>1.22876182682336</v>
      </c>
      <c r="K881" s="12">
        <v>2.730581837385244</v>
      </c>
      <c r="L881" s="13">
        <v>2.7305818373852442E18</v>
      </c>
      <c r="M881" s="9">
        <v>2.73058183738524416E17</v>
      </c>
    </row>
    <row r="882" ht="15.75" customHeight="1">
      <c r="A882" s="8"/>
      <c r="B882" s="8"/>
      <c r="C882" s="8"/>
      <c r="D882" s="8">
        <v>24.4971412177449</v>
      </c>
      <c r="E882" s="9" t="s">
        <v>891</v>
      </c>
      <c r="I882" s="12" t="str">
        <f>IFERROR(__xludf.DUMMYFUNCTION("""COMPUTED_VALUE"""),"0x49e40aa4887454a2bed38167fbcb5dffcd4d5b26")</f>
        <v>0x49e40aa4887454a2bed38167fbcb5dffcd4d5b26</v>
      </c>
      <c r="J882" s="11">
        <v>24.4971412177449</v>
      </c>
      <c r="K882" s="12">
        <v>54.43809159498866</v>
      </c>
      <c r="L882" s="13">
        <v>5.443809159498867E19</v>
      </c>
      <c r="M882" s="9">
        <v>5.4438091594988667E18</v>
      </c>
    </row>
    <row r="883" ht="15.75" customHeight="1">
      <c r="A883" s="8"/>
      <c r="B883" s="8"/>
      <c r="C883" s="8"/>
      <c r="D883" s="8">
        <v>6.7325237253432</v>
      </c>
      <c r="E883" s="9" t="s">
        <v>892</v>
      </c>
      <c r="I883" s="12" t="str">
        <f>IFERROR(__xludf.DUMMYFUNCTION("""COMPUTED_VALUE"""),"0x49e835a2d7517e6715fd7253b11e5d323e125ff5")</f>
        <v>0x49e835a2d7517e6715fd7253b11e5d323e125ff5</v>
      </c>
      <c r="J883" s="11">
        <v>6.7325237253432</v>
      </c>
      <c r="K883" s="12">
        <v>14.961163834096</v>
      </c>
      <c r="L883" s="13">
        <v>1.4961163834096001E19</v>
      </c>
      <c r="M883" s="9">
        <v>1.49611638340960026E18</v>
      </c>
    </row>
    <row r="884" ht="15.75" customHeight="1">
      <c r="A884" s="8"/>
      <c r="B884" s="8"/>
      <c r="C884" s="8"/>
      <c r="D884" s="8">
        <v>11.1610763024835</v>
      </c>
      <c r="E884" s="9" t="s">
        <v>893</v>
      </c>
      <c r="I884" s="12" t="str">
        <f>IFERROR(__xludf.DUMMYFUNCTION("""COMPUTED_VALUE"""),"0x4a11c04918dccc59c3e20c12021badf6fac84be6")</f>
        <v>0x4a11c04918dccc59c3e20c12021badf6fac84be6</v>
      </c>
      <c r="J884" s="11">
        <v>11.1610763024835</v>
      </c>
      <c r="K884" s="12">
        <v>24.802391783296663</v>
      </c>
      <c r="L884" s="13">
        <v>2.4802391783296664E19</v>
      </c>
      <c r="M884" s="9">
        <v>2.4802391783296666E18</v>
      </c>
    </row>
    <row r="885" ht="15.75" customHeight="1">
      <c r="A885" s="8"/>
      <c r="B885" s="8"/>
      <c r="C885" s="8"/>
      <c r="D885" s="8">
        <v>27.8968039714543</v>
      </c>
      <c r="E885" s="9" t="s">
        <v>894</v>
      </c>
      <c r="I885" s="12" t="str">
        <f>IFERROR(__xludf.DUMMYFUNCTION("""COMPUTED_VALUE"""),"0x4a4ec124c33860025d2aa3d1720735cc355ce3e7")</f>
        <v>0x4a4ec124c33860025d2aa3d1720735cc355ce3e7</v>
      </c>
      <c r="J885" s="11">
        <v>27.8968039714543</v>
      </c>
      <c r="K885" s="12">
        <v>61.99289771434289</v>
      </c>
      <c r="L885" s="13">
        <v>6.199289771434289E19</v>
      </c>
      <c r="M885" s="9">
        <v>6.1992897714342892E18</v>
      </c>
    </row>
    <row r="886" ht="15.75" customHeight="1">
      <c r="A886" s="8"/>
      <c r="B886" s="8"/>
      <c r="C886" s="8"/>
      <c r="D886" s="8">
        <v>23.312576089372</v>
      </c>
      <c r="E886" s="9" t="s">
        <v>895</v>
      </c>
      <c r="I886" s="12" t="str">
        <f>IFERROR(__xludf.DUMMYFUNCTION("""COMPUTED_VALUE"""),"0x4a50cd412570fd0b1740f95b04af7a3e911e6f65")</f>
        <v>0x4a50cd412570fd0b1740f95b04af7a3e911e6f65</v>
      </c>
      <c r="J886" s="11">
        <v>23.312576089372</v>
      </c>
      <c r="K886" s="12">
        <v>51.80572464304889</v>
      </c>
      <c r="L886" s="13">
        <v>5.180572464304889E19</v>
      </c>
      <c r="M886" s="9">
        <v>5.1805724643048888E18</v>
      </c>
    </row>
    <row r="887" ht="15.75" customHeight="1">
      <c r="A887" s="8"/>
      <c r="B887" s="8"/>
      <c r="C887" s="8"/>
      <c r="D887" s="8">
        <v>25.6704754957121</v>
      </c>
      <c r="E887" s="9" t="s">
        <v>896</v>
      </c>
      <c r="I887" s="12" t="str">
        <f>IFERROR(__xludf.DUMMYFUNCTION("""COMPUTED_VALUE"""),"0x4a650cd78248ce54eee491e348c9c570a27603f8")</f>
        <v>0x4a650cd78248ce54eee491e348c9c570a27603f8</v>
      </c>
      <c r="J887" s="11">
        <v>25.6704754957121</v>
      </c>
      <c r="K887" s="12">
        <v>57.045501101582445</v>
      </c>
      <c r="L887" s="13">
        <v>5.704550110158244E19</v>
      </c>
      <c r="M887" s="9">
        <v>5.7045501101582449E18</v>
      </c>
    </row>
    <row r="888" ht="15.75" customHeight="1">
      <c r="A888" s="8"/>
      <c r="B888" s="8"/>
      <c r="C888" s="8"/>
      <c r="D888" s="8">
        <v>27.5431793563591</v>
      </c>
      <c r="E888" s="9" t="s">
        <v>897</v>
      </c>
      <c r="I888" s="12" t="str">
        <f>IFERROR(__xludf.DUMMYFUNCTION("""COMPUTED_VALUE"""),"0x4a66315e01dbd8cad93a8959b0eabe856c8a355b")</f>
        <v>0x4a66315e01dbd8cad93a8959b0eabe856c8a355b</v>
      </c>
      <c r="J888" s="11">
        <v>41.2758704464456</v>
      </c>
      <c r="K888" s="12">
        <v>91.72415654765689</v>
      </c>
      <c r="L888" s="13">
        <v>9.17241565476569E19</v>
      </c>
      <c r="M888" s="9">
        <v>9.1724156547656899E18</v>
      </c>
    </row>
    <row r="889" ht="15.75" customHeight="1">
      <c r="A889" s="8"/>
      <c r="B889" s="8"/>
      <c r="C889" s="8"/>
      <c r="D889" s="8">
        <v>7.51466422853764</v>
      </c>
      <c r="E889" s="9" t="s">
        <v>898</v>
      </c>
      <c r="I889" s="12" t="str">
        <f>IFERROR(__xludf.DUMMYFUNCTION("""COMPUTED_VALUE"""),"0x4a97ebe5485d8fa5f092758a4a0f61edda57b035")</f>
        <v>0x4a97ebe5485d8fa5f092758a4a0f61edda57b035</v>
      </c>
      <c r="J889" s="11">
        <v>7.51466422853764</v>
      </c>
      <c r="K889" s="12">
        <v>16.699253841194757</v>
      </c>
      <c r="L889" s="13">
        <v>1.6699253841194756E19</v>
      </c>
      <c r="M889" s="9">
        <v>1.66992538411947571E18</v>
      </c>
    </row>
    <row r="890" ht="15.75" customHeight="1">
      <c r="A890" s="8"/>
      <c r="B890" s="8"/>
      <c r="C890" s="8"/>
      <c r="D890" s="8">
        <v>26.7588539697348</v>
      </c>
      <c r="E890" s="9" t="s">
        <v>899</v>
      </c>
      <c r="I890" s="12" t="str">
        <f>IFERROR(__xludf.DUMMYFUNCTION("""COMPUTED_VALUE"""),"0x4ac4ab29f4a87150d89d3fdd5cbc46112606e5e8")</f>
        <v>0x4ac4ab29f4a87150d89d3fdd5cbc46112606e5e8</v>
      </c>
      <c r="J890" s="11">
        <v>96.22500217691699</v>
      </c>
      <c r="K890" s="12">
        <v>213.83333817092662</v>
      </c>
      <c r="L890" s="13">
        <v>2.1383333817092663E20</v>
      </c>
      <c r="M890" s="9">
        <v>2.1383333817092665E19</v>
      </c>
    </row>
    <row r="891" ht="15.75" customHeight="1">
      <c r="A891" s="8"/>
      <c r="B891" s="8"/>
      <c r="C891" s="8"/>
      <c r="D891" s="8">
        <v>27.9026907562088</v>
      </c>
      <c r="E891" s="9" t="s">
        <v>900</v>
      </c>
      <c r="I891" s="12" t="str">
        <f>IFERROR(__xludf.DUMMYFUNCTION("""COMPUTED_VALUE"""),"0x4afc7288331f37b1c8e7d6ba88e8a1daa284d631")</f>
        <v>0x4afc7288331f37b1c8e7d6ba88e8a1daa284d631</v>
      </c>
      <c r="J891" s="11">
        <v>54.6979299533142</v>
      </c>
      <c r="K891" s="12">
        <v>121.55095545180933</v>
      </c>
      <c r="L891" s="13">
        <v>1.2155095545180933E20</v>
      </c>
      <c r="M891" s="9">
        <v>1.2155095545180934E19</v>
      </c>
    </row>
    <row r="892" ht="15.75" customHeight="1">
      <c r="A892" s="8"/>
      <c r="B892" s="8"/>
      <c r="C892" s="8"/>
      <c r="D892" s="8">
        <v>27.9026907562088</v>
      </c>
      <c r="E892" s="9" t="s">
        <v>901</v>
      </c>
      <c r="I892" s="12" t="str">
        <f>IFERROR(__xludf.DUMMYFUNCTION("""COMPUTED_VALUE"""),"0x4b09ec2ff5d32a78667a0d00b42126468f3e0c20")</f>
        <v>0x4b09ec2ff5d32a78667a0d00b42126468f3e0c20</v>
      </c>
      <c r="J892" s="11">
        <v>91.1199983031448</v>
      </c>
      <c r="K892" s="12">
        <v>202.48888511809955</v>
      </c>
      <c r="L892" s="13">
        <v>2.0248888511809955E20</v>
      </c>
      <c r="M892" s="9">
        <v>2.0248888511809958E19</v>
      </c>
    </row>
    <row r="893" ht="15.75" customHeight="1">
      <c r="A893" s="8"/>
      <c r="B893" s="8"/>
      <c r="C893" s="8"/>
      <c r="D893" s="8">
        <v>27.9026907562088</v>
      </c>
      <c r="E893" s="9" t="s">
        <v>902</v>
      </c>
      <c r="I893" s="12" t="str">
        <f>IFERROR(__xludf.DUMMYFUNCTION("""COMPUTED_VALUE"""),"0x4b245655790b1a7228c9179ed3446a8b4c2cc9e3")</f>
        <v>0x4b245655790b1a7228c9179ed3446a8b4c2cc9e3</v>
      </c>
      <c r="J893" s="11">
        <v>98.41682690325315</v>
      </c>
      <c r="K893" s="12">
        <v>218.704059785007</v>
      </c>
      <c r="L893" s="13">
        <v>2.18704059785007E20</v>
      </c>
      <c r="M893" s="9">
        <v>2.1870405978500702E19</v>
      </c>
    </row>
    <row r="894" ht="15.75" customHeight="1">
      <c r="A894" s="8"/>
      <c r="B894" s="8"/>
      <c r="C894" s="8"/>
      <c r="D894" s="8">
        <v>15.3198213045737</v>
      </c>
      <c r="E894" s="9" t="s">
        <v>903</v>
      </c>
      <c r="I894" s="12" t="str">
        <f>IFERROR(__xludf.DUMMYFUNCTION("""COMPUTED_VALUE"""),"0x4b29f2154edf70f90d78124282983ccea5c8a942")</f>
        <v>0x4b29f2154edf70f90d78124282983ccea5c8a942</v>
      </c>
      <c r="J894" s="11">
        <v>15.3198213045737</v>
      </c>
      <c r="K894" s="12">
        <v>34.04404734349711</v>
      </c>
      <c r="L894" s="13">
        <v>3.4044047343497114E19</v>
      </c>
      <c r="M894" s="9">
        <v>3.4044047343497114E18</v>
      </c>
    </row>
    <row r="895" ht="15.75" customHeight="1">
      <c r="A895" s="8"/>
      <c r="B895" s="8"/>
      <c r="C895" s="8"/>
      <c r="D895" s="8">
        <v>27.9026907562088</v>
      </c>
      <c r="E895" s="9" t="s">
        <v>904</v>
      </c>
      <c r="I895" s="12" t="str">
        <f>IFERROR(__xludf.DUMMYFUNCTION("""COMPUTED_VALUE"""),"0x4b30ad749be5fd16dbc3bd7502b723eaeccee007")</f>
        <v>0x4b30ad749be5fd16dbc3bd7502b723eaeccee007</v>
      </c>
      <c r="J895" s="11">
        <v>27.9026907562088</v>
      </c>
      <c r="K895" s="12">
        <v>62.005979458241775</v>
      </c>
      <c r="L895" s="13">
        <v>6.200597945824177E19</v>
      </c>
      <c r="M895" s="9">
        <v>6.2005979458241782E18</v>
      </c>
    </row>
    <row r="896" ht="15.75" customHeight="1">
      <c r="A896" s="8"/>
      <c r="B896" s="8"/>
      <c r="C896" s="8"/>
      <c r="D896" s="8">
        <v>27.9026907562088</v>
      </c>
      <c r="E896" s="9" t="s">
        <v>905</v>
      </c>
      <c r="I896" s="12" t="str">
        <f>IFERROR(__xludf.DUMMYFUNCTION("""COMPUTED_VALUE"""),"0x4b47c3202c517d1d5058758a0e0f87ebd5a7393a")</f>
        <v>0x4b47c3202c517d1d5058758a0e0f87ebd5a7393a</v>
      </c>
      <c r="J896" s="11">
        <v>27.9026907562088</v>
      </c>
      <c r="K896" s="12">
        <v>62.005979458241775</v>
      </c>
      <c r="L896" s="13">
        <v>6.200597945824177E19</v>
      </c>
      <c r="M896" s="9">
        <v>6.2005979458241782E18</v>
      </c>
    </row>
    <row r="897" ht="15.75" customHeight="1">
      <c r="A897" s="8"/>
      <c r="B897" s="8"/>
      <c r="C897" s="8"/>
      <c r="D897" s="8">
        <v>27.9026907562088</v>
      </c>
      <c r="E897" s="9" t="s">
        <v>906</v>
      </c>
      <c r="I897" s="12" t="str">
        <f>IFERROR(__xludf.DUMMYFUNCTION("""COMPUTED_VALUE"""),"0x4b490466ecf8ca747a4fd673d404cfb8c68bbe20")</f>
        <v>0x4b490466ecf8ca747a4fd673d404cfb8c68bbe20</v>
      </c>
      <c r="J897" s="11">
        <v>91.1199983031448</v>
      </c>
      <c r="K897" s="12">
        <v>202.48888511809955</v>
      </c>
      <c r="L897" s="13">
        <v>2.0248888511809955E20</v>
      </c>
      <c r="M897" s="9">
        <v>2.0248888511809958E19</v>
      </c>
    </row>
    <row r="898" ht="15.75" customHeight="1">
      <c r="A898" s="8"/>
      <c r="B898" s="8"/>
      <c r="C898" s="8"/>
      <c r="D898" s="8">
        <v>27.9026907562088</v>
      </c>
      <c r="E898" s="9" t="s">
        <v>907</v>
      </c>
      <c r="I898" s="12" t="str">
        <f>IFERROR(__xludf.DUMMYFUNCTION("""COMPUTED_VALUE"""),"0x4b60aebe2951dac8378806be1f6ff4b05a754427")</f>
        <v>0x4b60aebe2951dac8378806be1f6ff4b05a754427</v>
      </c>
      <c r="J898" s="11">
        <v>27.9026907562088</v>
      </c>
      <c r="K898" s="12">
        <v>62.005979458241775</v>
      </c>
      <c r="L898" s="13">
        <v>6.200597945824177E19</v>
      </c>
      <c r="M898" s="9">
        <v>6.2005979458241782E18</v>
      </c>
    </row>
    <row r="899" ht="15.75" customHeight="1">
      <c r="A899" s="8"/>
      <c r="B899" s="8"/>
      <c r="C899" s="8"/>
      <c r="D899" s="8">
        <v>23.9644814031474</v>
      </c>
      <c r="E899" s="9" t="s">
        <v>908</v>
      </c>
      <c r="I899" s="12" t="str">
        <f>IFERROR(__xludf.DUMMYFUNCTION("""COMPUTED_VALUE"""),"0x4b61373033bee8e5889363553bee2837ceeaae2b")</f>
        <v>0x4b61373033bee8e5889363553bee2837ceeaae2b</v>
      </c>
      <c r="J899" s="11">
        <v>23.9644814031474</v>
      </c>
      <c r="K899" s="12">
        <v>53.25440311810533</v>
      </c>
      <c r="L899" s="13">
        <v>5.325440311810533E19</v>
      </c>
      <c r="M899" s="9">
        <v>5.3254403118105334E18</v>
      </c>
    </row>
    <row r="900" ht="15.75" customHeight="1">
      <c r="A900" s="8"/>
      <c r="B900" s="8"/>
      <c r="C900" s="8"/>
      <c r="D900" s="8">
        <v>27.9026907562088</v>
      </c>
      <c r="E900" s="9" t="s">
        <v>909</v>
      </c>
      <c r="I900" s="12" t="str">
        <f>IFERROR(__xludf.DUMMYFUNCTION("""COMPUTED_VALUE"""),"0x4b69189b1ae6f093d62d0f2f06e0c0625045e0c6")</f>
        <v>0x4b69189b1ae6f093d62d0f2f06e0c0625045e0c6</v>
      </c>
      <c r="J900" s="11">
        <v>27.9026907562088</v>
      </c>
      <c r="K900" s="12">
        <v>62.005979458241775</v>
      </c>
      <c r="L900" s="13">
        <v>6.200597945824177E19</v>
      </c>
      <c r="M900" s="9">
        <v>6.2005979458241782E18</v>
      </c>
    </row>
    <row r="901" ht="15.75" customHeight="1">
      <c r="A901" s="8"/>
      <c r="B901" s="8"/>
      <c r="C901" s="8"/>
      <c r="D901" s="8">
        <v>27.9026907562088</v>
      </c>
      <c r="E901" s="9" t="s">
        <v>910</v>
      </c>
      <c r="I901" s="12" t="str">
        <f>IFERROR(__xludf.DUMMYFUNCTION("""COMPUTED_VALUE"""),"0x4b6fae58214766089b24ec379d314daa7c1d5d7b")</f>
        <v>0x4b6fae58214766089b24ec379d314daa7c1d5d7b</v>
      </c>
      <c r="J901" s="11">
        <v>94.29536483431444</v>
      </c>
      <c r="K901" s="12">
        <v>209.54525518736543</v>
      </c>
      <c r="L901" s="13">
        <v>2.0954525518736543E20</v>
      </c>
      <c r="M901" s="9">
        <v>2.0954525518736544E19</v>
      </c>
    </row>
    <row r="902" ht="15.75" customHeight="1">
      <c r="A902" s="8"/>
      <c r="B902" s="8"/>
      <c r="C902" s="8"/>
      <c r="D902" s="8">
        <v>22.1529620438408</v>
      </c>
      <c r="E902" s="9" t="s">
        <v>911</v>
      </c>
      <c r="I902" s="12" t="str">
        <f>IFERROR(__xludf.DUMMYFUNCTION("""COMPUTED_VALUE"""),"0x4ba80f448797c66210ddaeb6c3ab87cfabacbdcf")</f>
        <v>0x4ba80f448797c66210ddaeb6c3ab87cfabacbdcf</v>
      </c>
      <c r="J902" s="11">
        <v>22.1529620438408</v>
      </c>
      <c r="K902" s="12">
        <v>49.22880454186845</v>
      </c>
      <c r="L902" s="13">
        <v>4.922880454186845E19</v>
      </c>
      <c r="M902" s="9">
        <v>4.9228804541868452E18</v>
      </c>
    </row>
    <row r="903" ht="15.75" customHeight="1">
      <c r="A903" s="8"/>
      <c r="B903" s="8"/>
      <c r="C903" s="8"/>
      <c r="D903" s="8">
        <v>27.9026907562088</v>
      </c>
      <c r="E903" s="9" t="s">
        <v>912</v>
      </c>
      <c r="I903" s="12" t="str">
        <f>IFERROR(__xludf.DUMMYFUNCTION("""COMPUTED_VALUE"""),"0x4bc7610cc68c1647a3898273fd5c6fada35231ec")</f>
        <v>0x4bc7610cc68c1647a3898273fd5c6fada35231ec</v>
      </c>
      <c r="J903" s="11">
        <v>91.1199983031448</v>
      </c>
      <c r="K903" s="12">
        <v>202.48888511809955</v>
      </c>
      <c r="L903" s="13">
        <v>2.0248888511809955E20</v>
      </c>
      <c r="M903" s="9">
        <v>2.0248888511809958E19</v>
      </c>
    </row>
    <row r="904" ht="15.75" customHeight="1">
      <c r="A904" s="8"/>
      <c r="B904" s="8"/>
      <c r="C904" s="8"/>
      <c r="D904" s="8">
        <v>27.1861597478002</v>
      </c>
      <c r="E904" s="9" t="s">
        <v>913</v>
      </c>
      <c r="I904" s="12" t="str">
        <f>IFERROR(__xludf.DUMMYFUNCTION("""COMPUTED_VALUE"""),"0x4bdfd5982ee61a9fdab565fa13ea22fe72f16eab")</f>
        <v>0x4bdfd5982ee61a9fdab565fa13ea22fe72f16eab</v>
      </c>
      <c r="J904" s="11">
        <v>88.9376359890225</v>
      </c>
      <c r="K904" s="12">
        <v>197.63919108671666</v>
      </c>
      <c r="L904" s="13">
        <v>1.9763919108671665E20</v>
      </c>
      <c r="M904" s="9">
        <v>1.9763919108671664E19</v>
      </c>
    </row>
    <row r="905" ht="15.75" customHeight="1">
      <c r="A905" s="8"/>
      <c r="B905" s="8"/>
      <c r="C905" s="8"/>
      <c r="D905" s="8">
        <v>27.9026907562088</v>
      </c>
      <c r="E905" s="9" t="s">
        <v>914</v>
      </c>
      <c r="I905" s="12" t="str">
        <f>IFERROR(__xludf.DUMMYFUNCTION("""COMPUTED_VALUE"""),"0x4bf5ea109f600fffbff71923d18787bbd7895402")</f>
        <v>0x4bf5ea109f600fffbff71923d18787bbd7895402</v>
      </c>
      <c r="J905" s="11">
        <v>91.1199983031448</v>
      </c>
      <c r="K905" s="12">
        <v>202.48888511809955</v>
      </c>
      <c r="L905" s="13">
        <v>2.0248888511809955E20</v>
      </c>
      <c r="M905" s="9">
        <v>2.0248888511809958E19</v>
      </c>
    </row>
    <row r="906" ht="15.75" customHeight="1">
      <c r="A906" s="8"/>
      <c r="B906" s="8"/>
      <c r="C906" s="8"/>
      <c r="D906" s="8">
        <v>27.5905299471462</v>
      </c>
      <c r="E906" s="9" t="s">
        <v>915</v>
      </c>
      <c r="I906" s="12" t="str">
        <f>IFERROR(__xludf.DUMMYFUNCTION("""COMPUTED_VALUE"""),"0x4c37cc30d6194ce5bfc23e261c2b33c902662874")</f>
        <v>0x4c37cc30d6194ce5bfc23e261c2b33c902662874</v>
      </c>
      <c r="J906" s="11">
        <v>29.518191137709973</v>
      </c>
      <c r="K906" s="12">
        <v>65.59598030602216</v>
      </c>
      <c r="L906" s="13">
        <v>6.5595980306022154E19</v>
      </c>
      <c r="M906" s="9">
        <v>6.5595980306022154E18</v>
      </c>
    </row>
    <row r="907" ht="15.75" customHeight="1">
      <c r="A907" s="8"/>
      <c r="B907" s="8"/>
      <c r="C907" s="8"/>
      <c r="D907" s="8">
        <v>27.9026907562088</v>
      </c>
      <c r="E907" s="9" t="s">
        <v>916</v>
      </c>
      <c r="I907" s="12" t="str">
        <f>IFERROR(__xludf.DUMMYFUNCTION("""COMPUTED_VALUE"""),"0x4c4b46abe88f996d1b3b4a8fa41876535675ef1e")</f>
        <v>0x4c4b46abe88f996d1b3b4a8fa41876535675ef1e</v>
      </c>
      <c r="J907" s="11">
        <v>91.1199983031448</v>
      </c>
      <c r="K907" s="12">
        <v>202.48888511809955</v>
      </c>
      <c r="L907" s="13">
        <v>2.0248888511809955E20</v>
      </c>
      <c r="M907" s="9">
        <v>2.0248888511809958E19</v>
      </c>
    </row>
    <row r="908" ht="15.75" customHeight="1">
      <c r="A908" s="8"/>
      <c r="B908" s="8"/>
      <c r="C908" s="8"/>
      <c r="D908" s="8">
        <v>27.9026907562088</v>
      </c>
      <c r="E908" s="9" t="s">
        <v>917</v>
      </c>
      <c r="I908" s="12" t="str">
        <f>IFERROR(__xludf.DUMMYFUNCTION("""COMPUTED_VALUE"""),"0x4c5b7039fcb05c7e3ec8627b130d304c86784d16")</f>
        <v>0x4c5b7039fcb05c7e3ec8627b130d304c86784d16</v>
      </c>
      <c r="J908" s="11">
        <v>27.9026907562088</v>
      </c>
      <c r="K908" s="12">
        <v>62.005979458241775</v>
      </c>
      <c r="L908" s="13">
        <v>6.200597945824177E19</v>
      </c>
      <c r="M908" s="9">
        <v>6.2005979458241782E18</v>
      </c>
    </row>
    <row r="909" ht="15.75" customHeight="1">
      <c r="A909" s="8"/>
      <c r="B909" s="8"/>
      <c r="C909" s="8"/>
      <c r="D909" s="8">
        <v>27.9026907562088</v>
      </c>
      <c r="E909" s="9" t="s">
        <v>918</v>
      </c>
      <c r="I909" s="12" t="str">
        <f>IFERROR(__xludf.DUMMYFUNCTION("""COMPUTED_VALUE"""),"0x4ca2d5e4f222a55221521a8a24b642ceb1483ff8")</f>
        <v>0x4ca2d5e4f222a55221521a8a24b642ceb1483ff8</v>
      </c>
      <c r="J909" s="11">
        <v>91.1199983031448</v>
      </c>
      <c r="K909" s="12">
        <v>202.48888511809955</v>
      </c>
      <c r="L909" s="13">
        <v>2.0248888511809955E20</v>
      </c>
      <c r="M909" s="9">
        <v>2.0248888511809958E19</v>
      </c>
    </row>
    <row r="910" ht="15.75" customHeight="1">
      <c r="A910" s="8"/>
      <c r="B910" s="8"/>
      <c r="C910" s="8"/>
      <c r="D910" s="8">
        <v>27.9026907562088</v>
      </c>
      <c r="E910" s="9" t="s">
        <v>919</v>
      </c>
      <c r="I910" s="12" t="str">
        <f>IFERROR(__xludf.DUMMYFUNCTION("""COMPUTED_VALUE"""),"0x4cc61eff30778b704cdff3683d31d9d3e1373ff5")</f>
        <v>0x4cc61eff30778b704cdff3683d31d9d3e1373ff5</v>
      </c>
      <c r="J910" s="11">
        <v>27.9026907562088</v>
      </c>
      <c r="K910" s="12">
        <v>62.005979458241775</v>
      </c>
      <c r="L910" s="13">
        <v>6.200597945824177E19</v>
      </c>
      <c r="M910" s="9">
        <v>6.2005979458241782E18</v>
      </c>
    </row>
    <row r="911" ht="15.75" customHeight="1">
      <c r="A911" s="8"/>
      <c r="B911" s="8"/>
      <c r="C911" s="8"/>
      <c r="D911" s="8">
        <v>20.3742448822012</v>
      </c>
      <c r="E911" s="9" t="s">
        <v>920</v>
      </c>
      <c r="I911" s="12" t="str">
        <f>IFERROR(__xludf.DUMMYFUNCTION("""COMPUTED_VALUE"""),"0x4cd7e0bba776fcc484533c00f1ac120a6dd735d4")</f>
        <v>0x4cd7e0bba776fcc484533c00f1ac120a6dd735d4</v>
      </c>
      <c r="J911" s="11">
        <v>20.3742448822012</v>
      </c>
      <c r="K911" s="12">
        <v>45.276099738224886</v>
      </c>
      <c r="L911" s="13">
        <v>4.5276099738224886E19</v>
      </c>
      <c r="M911" s="9">
        <v>4.5276099738224886E18</v>
      </c>
    </row>
    <row r="912" ht="15.75" customHeight="1">
      <c r="A912" s="8"/>
      <c r="B912" s="8"/>
      <c r="C912" s="8"/>
      <c r="D912" s="8">
        <v>27.8543653043903</v>
      </c>
      <c r="E912" s="9" t="s">
        <v>921</v>
      </c>
      <c r="I912" s="12" t="str">
        <f>IFERROR(__xludf.DUMMYFUNCTION("""COMPUTED_VALUE"""),"0x4d17a78a0afb7234722552530cc96af4f088bccf")</f>
        <v>0x4d17a78a0afb7234722552530cc96af4f088bccf</v>
      </c>
      <c r="J912" s="11">
        <v>27.8543653043903</v>
      </c>
      <c r="K912" s="12">
        <v>61.898589565311774</v>
      </c>
      <c r="L912" s="13">
        <v>6.189858956531177E19</v>
      </c>
      <c r="M912" s="9">
        <v>6.1898589565311775E18</v>
      </c>
    </row>
    <row r="913" ht="15.75" customHeight="1">
      <c r="A913" s="8"/>
      <c r="B913" s="8"/>
      <c r="C913" s="8"/>
      <c r="D913" s="8">
        <v>27.9026907562088</v>
      </c>
      <c r="E913" s="9" t="s">
        <v>922</v>
      </c>
      <c r="I913" s="12" t="str">
        <f>IFERROR(__xludf.DUMMYFUNCTION("""COMPUTED_VALUE"""),"0x4d3711c1effbc584127f03b3c3054f18f0cb3870")</f>
        <v>0x4d3711c1effbc584127f03b3c3054f18f0cb3870</v>
      </c>
      <c r="J913" s="11">
        <v>109.918115035557</v>
      </c>
      <c r="K913" s="12">
        <v>244.2624778567933</v>
      </c>
      <c r="L913" s="13">
        <v>2.442624778567933E20</v>
      </c>
      <c r="M913" s="9">
        <v>2.442624778567933E19</v>
      </c>
    </row>
    <row r="914" ht="15.75" customHeight="1">
      <c r="A914" s="8"/>
      <c r="B914" s="8"/>
      <c r="C914" s="8"/>
      <c r="D914" s="8">
        <v>27.9026907562088</v>
      </c>
      <c r="E914" s="9" t="s">
        <v>923</v>
      </c>
      <c r="I914" s="12" t="str">
        <f>IFERROR(__xludf.DUMMYFUNCTION("""COMPUTED_VALUE"""),"0x4d3bca323d52a5368e689db6d3ae66fb4e1c2493")</f>
        <v>0x4d3bca323d52a5368e689db6d3ae66fb4e1c2493</v>
      </c>
      <c r="J914" s="11">
        <v>27.9026907562088</v>
      </c>
      <c r="K914" s="12">
        <v>62.005979458241775</v>
      </c>
      <c r="L914" s="13">
        <v>6.200597945824177E19</v>
      </c>
      <c r="M914" s="9">
        <v>6.2005979458241782E18</v>
      </c>
    </row>
    <row r="915" ht="15.75" customHeight="1">
      <c r="A915" s="8"/>
      <c r="B915" s="8"/>
      <c r="C915" s="8"/>
      <c r="D915" s="8">
        <v>0.460113673648274</v>
      </c>
      <c r="E915" s="9" t="s">
        <v>924</v>
      </c>
      <c r="I915" s="12" t="str">
        <f>IFERROR(__xludf.DUMMYFUNCTION("""COMPUTED_VALUE"""),"0x4d440204dd4d407144e306f4d762e7ab1ab73a02")</f>
        <v>0x4d440204dd4d407144e306f4d762e7ab1ab73a02</v>
      </c>
      <c r="J915" s="11">
        <v>0.5050896791019718</v>
      </c>
      <c r="K915" s="12">
        <v>1.1224215091154928</v>
      </c>
      <c r="L915" s="13">
        <v>1.12242150911549274E18</v>
      </c>
      <c r="M915" s="9">
        <v>1.1224215091154928E17</v>
      </c>
    </row>
    <row r="916" ht="15.75" customHeight="1">
      <c r="A916" s="8"/>
      <c r="B916" s="8"/>
      <c r="C916" s="8"/>
      <c r="D916" s="8">
        <v>27.7291949338552</v>
      </c>
      <c r="E916" s="9" t="s">
        <v>925</v>
      </c>
      <c r="I916" s="12" t="str">
        <f>IFERROR(__xludf.DUMMYFUNCTION("""COMPUTED_VALUE"""),"0x4d7c11d58cc6d7e204a0cf11fe0496d51f934018")</f>
        <v>0x4d7c11d58cc6d7e204a0cf11fe0496d51f934018</v>
      </c>
      <c r="J916" s="11">
        <v>27.7291949338552</v>
      </c>
      <c r="K916" s="12">
        <v>61.62043318634489</v>
      </c>
      <c r="L916" s="13">
        <v>6.162043318634489E19</v>
      </c>
      <c r="M916" s="9">
        <v>6.1620433186344888E18</v>
      </c>
    </row>
    <row r="917" ht="15.75" customHeight="1">
      <c r="A917" s="8"/>
      <c r="B917" s="8"/>
      <c r="C917" s="8"/>
      <c r="D917" s="8">
        <v>22.0305343841806</v>
      </c>
      <c r="E917" s="9" t="s">
        <v>926</v>
      </c>
      <c r="I917" s="12" t="str">
        <f>IFERROR(__xludf.DUMMYFUNCTION("""COMPUTED_VALUE"""),"0x4dac7a86340dde95d1c38fd0f23b503f50492ec3")</f>
        <v>0x4dac7a86340dde95d1c38fd0f23b503f50492ec3</v>
      </c>
      <c r="J917" s="11">
        <v>22.0305343841806</v>
      </c>
      <c r="K917" s="12">
        <v>48.956743075956894</v>
      </c>
      <c r="L917" s="13">
        <v>4.895674307595689E19</v>
      </c>
      <c r="M917" s="9">
        <v>4.895674307595689E18</v>
      </c>
    </row>
    <row r="918" ht="15.75" customHeight="1">
      <c r="A918" s="8"/>
      <c r="B918" s="8"/>
      <c r="C918" s="8"/>
      <c r="D918" s="8">
        <v>27.9026907562088</v>
      </c>
      <c r="E918" s="9" t="s">
        <v>927</v>
      </c>
      <c r="I918" s="12" t="str">
        <f>IFERROR(__xludf.DUMMYFUNCTION("""COMPUTED_VALUE"""),"0x4db8525886ac3d030e993bb9d298de7a3efa3f6c")</f>
        <v>0x4db8525886ac3d030e993bb9d298de7a3efa3f6c</v>
      </c>
      <c r="J918" s="11">
        <v>27.9026907562088</v>
      </c>
      <c r="K918" s="12">
        <v>62.005979458241775</v>
      </c>
      <c r="L918" s="13">
        <v>6.200597945824177E19</v>
      </c>
      <c r="M918" s="9">
        <v>6.2005979458241782E18</v>
      </c>
    </row>
    <row r="919" ht="15.75" customHeight="1">
      <c r="A919" s="8"/>
      <c r="B919" s="8"/>
      <c r="C919" s="8"/>
      <c r="D919" s="8">
        <v>26.7031595984484</v>
      </c>
      <c r="E919" s="9" t="s">
        <v>928</v>
      </c>
      <c r="I919" s="12" t="str">
        <f>IFERROR(__xludf.DUMMYFUNCTION("""COMPUTED_VALUE"""),"0x4ddcdafeeeee9b064f7eed4d3fd0da32c8533300")</f>
        <v>0x4ddcdafeeeee9b064f7eed4d3fd0da32c8533300</v>
      </c>
      <c r="J919" s="11">
        <v>26.7031595984484</v>
      </c>
      <c r="K919" s="12">
        <v>59.34035466321867</v>
      </c>
      <c r="L919" s="13">
        <v>5.934035466321867E19</v>
      </c>
      <c r="M919" s="9">
        <v>5.9340354663218668E18</v>
      </c>
    </row>
    <row r="920" ht="15.75" customHeight="1">
      <c r="A920" s="8"/>
      <c r="B920" s="8"/>
      <c r="C920" s="8"/>
      <c r="D920" s="8">
        <v>27.9026907562088</v>
      </c>
      <c r="E920" s="9" t="s">
        <v>929</v>
      </c>
      <c r="I920" s="12" t="str">
        <f>IFERROR(__xludf.DUMMYFUNCTION("""COMPUTED_VALUE"""),"0x4df21b25e252cb44a701c8519280cce73237d3f8")</f>
        <v>0x4df21b25e252cb44a701c8519280cce73237d3f8</v>
      </c>
      <c r="J920" s="11">
        <v>48.65753010174819</v>
      </c>
      <c r="K920" s="12">
        <v>108.12784467055154</v>
      </c>
      <c r="L920" s="13">
        <v>1.0812784467055154E20</v>
      </c>
      <c r="M920" s="9">
        <v>1.0812784467055155E19</v>
      </c>
    </row>
    <row r="921" ht="15.75" customHeight="1">
      <c r="A921" s="8"/>
      <c r="B921" s="8"/>
      <c r="C921" s="8"/>
      <c r="D921" s="8">
        <v>8.7535165127703</v>
      </c>
      <c r="E921" s="9" t="s">
        <v>930</v>
      </c>
      <c r="I921" s="12" t="str">
        <f>IFERROR(__xludf.DUMMYFUNCTION("""COMPUTED_VALUE"""),"0x4e02004c80ffee6b40239b12bfcd06f234e74a29")</f>
        <v>0x4e02004c80ffee6b40239b12bfcd06f234e74a29</v>
      </c>
      <c r="J921" s="11">
        <v>9.268877948868868</v>
      </c>
      <c r="K921" s="12">
        <v>20.597506553041928</v>
      </c>
      <c r="L921" s="13">
        <v>2.059750655304193E19</v>
      </c>
      <c r="M921" s="9">
        <v>2.05975065530419302E18</v>
      </c>
    </row>
    <row r="922" ht="15.75" customHeight="1">
      <c r="A922" s="8"/>
      <c r="B922" s="8"/>
      <c r="C922" s="8"/>
      <c r="D922" s="8">
        <v>27.9026907562088</v>
      </c>
      <c r="E922" s="9" t="s">
        <v>931</v>
      </c>
      <c r="I922" s="12" t="str">
        <f>IFERROR(__xludf.DUMMYFUNCTION("""COMPUTED_VALUE"""),"0x4e1cf0b8e675d8aa54f3fcc24b750111cc01069e")</f>
        <v>0x4e1cf0b8e675d8aa54f3fcc24b750111cc01069e</v>
      </c>
      <c r="J922" s="11">
        <v>103.8050033093064</v>
      </c>
      <c r="K922" s="12">
        <v>230.677785131792</v>
      </c>
      <c r="L922" s="13">
        <v>2.30677785131792E20</v>
      </c>
      <c r="M922" s="9">
        <v>2.30677785131792E19</v>
      </c>
    </row>
    <row r="923" ht="15.75" customHeight="1">
      <c r="A923" s="8"/>
      <c r="B923" s="8"/>
      <c r="C923" s="8"/>
      <c r="D923" s="8">
        <v>9.02845306401943</v>
      </c>
      <c r="E923" s="9" t="s">
        <v>932</v>
      </c>
      <c r="I923" s="12" t="str">
        <f>IFERROR(__xludf.DUMMYFUNCTION("""COMPUTED_VALUE"""),"0x4e55bdfab39b333666dbedd1c47cf014f951b281")</f>
        <v>0x4e55bdfab39b333666dbedd1c47cf014f951b281</v>
      </c>
      <c r="J923" s="11">
        <v>9.02845306401943</v>
      </c>
      <c r="K923" s="12">
        <v>20.06322903115429</v>
      </c>
      <c r="L923" s="13">
        <v>2.006322903115429E19</v>
      </c>
      <c r="M923" s="9">
        <v>2.00632290311542912E18</v>
      </c>
    </row>
    <row r="924" ht="15.75" customHeight="1">
      <c r="A924" s="8"/>
      <c r="B924" s="8"/>
      <c r="C924" s="8"/>
      <c r="D924" s="8">
        <v>27.9026907562088</v>
      </c>
      <c r="E924" s="9" t="s">
        <v>933</v>
      </c>
      <c r="I924" s="12" t="str">
        <f>IFERROR(__xludf.DUMMYFUNCTION("""COMPUTED_VALUE"""),"0x4e7b1f5d52889144eb73ed4aff7b2dbaa511c6f3")</f>
        <v>0x4e7b1f5d52889144eb73ed4aff7b2dbaa511c6f3</v>
      </c>
      <c r="J924" s="11">
        <v>125.9496453495883</v>
      </c>
      <c r="K924" s="12">
        <v>279.88810077686287</v>
      </c>
      <c r="L924" s="13">
        <v>2.7988810077686288E20</v>
      </c>
      <c r="M924" s="9">
        <v>2.798881007768629E19</v>
      </c>
    </row>
    <row r="925" ht="15.75" customHeight="1">
      <c r="A925" s="8"/>
      <c r="B925" s="8"/>
      <c r="C925" s="8"/>
      <c r="D925" s="8">
        <v>27.9026907562088</v>
      </c>
      <c r="E925" s="9" t="s">
        <v>934</v>
      </c>
      <c r="I925" s="12" t="str">
        <f>IFERROR(__xludf.DUMMYFUNCTION("""COMPUTED_VALUE"""),"0x4e853bd24cc84fe31dc086fe7ded329547b04cc3")</f>
        <v>0x4e853bd24cc84fe31dc086fe7ded329547b04cc3</v>
      </c>
      <c r="J925" s="11">
        <v>27.9026907562088</v>
      </c>
      <c r="K925" s="12">
        <v>62.005979458241775</v>
      </c>
      <c r="L925" s="13">
        <v>6.200597945824177E19</v>
      </c>
      <c r="M925" s="9">
        <v>6.2005979458241782E18</v>
      </c>
    </row>
    <row r="926" ht="15.75" customHeight="1">
      <c r="A926" s="8"/>
      <c r="B926" s="8"/>
      <c r="C926" s="8"/>
      <c r="D926" s="8">
        <v>27.9026907562088</v>
      </c>
      <c r="E926" s="9" t="s">
        <v>935</v>
      </c>
      <c r="I926" s="12" t="str">
        <f>IFERROR(__xludf.DUMMYFUNCTION("""COMPUTED_VALUE"""),"0x4e8ecfa83ad439f23bd9d98f80f14761c26fbe2e")</f>
        <v>0x4e8ecfa83ad439f23bd9d98f80f14761c26fbe2e</v>
      </c>
      <c r="J926" s="11">
        <v>27.9026907562088</v>
      </c>
      <c r="K926" s="12">
        <v>62.005979458241775</v>
      </c>
      <c r="L926" s="13">
        <v>6.200597945824177E19</v>
      </c>
      <c r="M926" s="9">
        <v>6.2005979458241782E18</v>
      </c>
    </row>
    <row r="927" ht="15.75" customHeight="1">
      <c r="A927" s="8"/>
      <c r="B927" s="8"/>
      <c r="C927" s="8"/>
      <c r="D927" s="8">
        <v>19.9896141522923</v>
      </c>
      <c r="E927" s="9" t="s">
        <v>936</v>
      </c>
      <c r="I927" s="12" t="str">
        <f>IFERROR(__xludf.DUMMYFUNCTION("""COMPUTED_VALUE"""),"0x4e9ab6bf8ed21a9f316d1b9e720abba1bca3ed83")</f>
        <v>0x4e9ab6bf8ed21a9f316d1b9e720abba1bca3ed83</v>
      </c>
      <c r="J927" s="11">
        <v>19.9896141522923</v>
      </c>
      <c r="K927" s="12">
        <v>44.42136478287178</v>
      </c>
      <c r="L927" s="13">
        <v>4.442136478287177E19</v>
      </c>
      <c r="M927" s="9">
        <v>4.4421364782871777E18</v>
      </c>
    </row>
    <row r="928" ht="15.75" customHeight="1">
      <c r="A928" s="8"/>
      <c r="B928" s="8"/>
      <c r="C928" s="8"/>
      <c r="D928" s="8">
        <v>23.1433582460886</v>
      </c>
      <c r="E928" s="9" t="s">
        <v>937</v>
      </c>
      <c r="I928" s="12" t="str">
        <f>IFERROR(__xludf.DUMMYFUNCTION("""COMPUTED_VALUE"""),"0x4ea4d3a57c408dfca905afb837d23aba9954cc80")</f>
        <v>0x4ea4d3a57c408dfca905afb837d23aba9954cc80</v>
      </c>
      <c r="J928" s="11">
        <v>35.6336770612949</v>
      </c>
      <c r="K928" s="12">
        <v>79.18594902509977</v>
      </c>
      <c r="L928" s="13">
        <v>7.918594902509978E19</v>
      </c>
      <c r="M928" s="9">
        <v>7.9185949025099776E18</v>
      </c>
    </row>
    <row r="929" ht="15.75" customHeight="1">
      <c r="A929" s="8"/>
      <c r="B929" s="8"/>
      <c r="C929" s="8"/>
      <c r="D929" s="8">
        <v>27.9026907562088</v>
      </c>
      <c r="E929" s="9" t="s">
        <v>938</v>
      </c>
      <c r="I929" s="12" t="str">
        <f>IFERROR(__xludf.DUMMYFUNCTION("""COMPUTED_VALUE"""),"0x4ead1dd9b3657a8f4eb13e372064c101355cc999")</f>
        <v>0x4ead1dd9b3657a8f4eb13e372064c101355cc999</v>
      </c>
      <c r="J929" s="11">
        <v>27.9026907562088</v>
      </c>
      <c r="K929" s="12">
        <v>62.005979458241775</v>
      </c>
      <c r="L929" s="13">
        <v>6.200597945824177E19</v>
      </c>
      <c r="M929" s="9">
        <v>6.2005979458241782E18</v>
      </c>
    </row>
    <row r="930" ht="15.75" customHeight="1">
      <c r="A930" s="8"/>
      <c r="B930" s="8"/>
      <c r="C930" s="8"/>
      <c r="D930" s="8">
        <v>27.9026907562088</v>
      </c>
      <c r="E930" s="9" t="s">
        <v>939</v>
      </c>
      <c r="I930" s="12" t="str">
        <f>IFERROR(__xludf.DUMMYFUNCTION("""COMPUTED_VALUE"""),"0x4eb7b27740442ca20b745adffcbd197a0e95a874")</f>
        <v>0x4eb7b27740442ca20b745adffcbd197a0e95a874</v>
      </c>
      <c r="J930" s="11">
        <v>27.9026907562088</v>
      </c>
      <c r="K930" s="12">
        <v>62.005979458241775</v>
      </c>
      <c r="L930" s="13">
        <v>6.200597945824177E19</v>
      </c>
      <c r="M930" s="9">
        <v>6.2005979458241782E18</v>
      </c>
    </row>
    <row r="931" ht="15.75" customHeight="1">
      <c r="A931" s="8"/>
      <c r="B931" s="8"/>
      <c r="C931" s="8"/>
      <c r="D931" s="8">
        <v>27.9026907562088</v>
      </c>
      <c r="E931" s="9" t="s">
        <v>940</v>
      </c>
      <c r="I931" s="12" t="str">
        <f>IFERROR(__xludf.DUMMYFUNCTION("""COMPUTED_VALUE"""),"0x4ebbb58e28d20eba8745af89328e41b4b022209b")</f>
        <v>0x4ebbb58e28d20eba8745af89328e41b4b022209b</v>
      </c>
      <c r="J931" s="11">
        <v>95.59750866211004</v>
      </c>
      <c r="K931" s="12">
        <v>212.43890813802233</v>
      </c>
      <c r="L931" s="13">
        <v>2.1243890813802234E20</v>
      </c>
      <c r="M931" s="9">
        <v>2.1243890813802234E19</v>
      </c>
    </row>
    <row r="932" ht="15.75" customHeight="1">
      <c r="A932" s="8"/>
      <c r="B932" s="8"/>
      <c r="C932" s="8"/>
      <c r="D932" s="8">
        <v>27.9026907562088</v>
      </c>
      <c r="E932" s="9" t="s">
        <v>941</v>
      </c>
      <c r="I932" s="12" t="str">
        <f>IFERROR(__xludf.DUMMYFUNCTION("""COMPUTED_VALUE"""),"0x4ec87da8a9eb1179b90d17bee3ace9fdf05030da")</f>
        <v>0x4ec87da8a9eb1179b90d17bee3ace9fdf05030da</v>
      </c>
      <c r="J932" s="11">
        <v>118.50152607585659</v>
      </c>
      <c r="K932" s="12">
        <v>263.3367246130146</v>
      </c>
      <c r="L932" s="13">
        <v>2.6333672461301462E20</v>
      </c>
      <c r="M932" s="9">
        <v>2.6333672461301465E19</v>
      </c>
    </row>
    <row r="933" ht="15.75" customHeight="1">
      <c r="A933" s="8"/>
      <c r="B933" s="8"/>
      <c r="C933" s="8"/>
      <c r="D933" s="8">
        <v>27.9026907562088</v>
      </c>
      <c r="E933" s="9" t="s">
        <v>942</v>
      </c>
      <c r="I933" s="12" t="str">
        <f>IFERROR(__xludf.DUMMYFUNCTION("""COMPUTED_VALUE"""),"0x4f0de403b549f85d0a567a7a3c796f06c83a3059")</f>
        <v>0x4f0de403b549f85d0a567a7a3c796f06c83a3059</v>
      </c>
      <c r="J933" s="11">
        <v>27.9026907562088</v>
      </c>
      <c r="K933" s="12">
        <v>62.005979458241775</v>
      </c>
      <c r="L933" s="13">
        <v>6.200597945824177E19</v>
      </c>
      <c r="M933" s="9">
        <v>6.2005979458241782E18</v>
      </c>
    </row>
    <row r="934" ht="15.75" customHeight="1">
      <c r="A934" s="8"/>
      <c r="B934" s="8"/>
      <c r="C934" s="8"/>
      <c r="D934" s="8">
        <v>18.7924193941181</v>
      </c>
      <c r="E934" s="9" t="s">
        <v>943</v>
      </c>
      <c r="I934" s="12" t="str">
        <f>IFERROR(__xludf.DUMMYFUNCTION("""COMPUTED_VALUE"""),"0x4f1e5f4cb3da9cc3581b5ad1ce1142a435d7e822")</f>
        <v>0x4f1e5f4cb3da9cc3581b5ad1ce1142a435d7e822</v>
      </c>
      <c r="J934" s="11">
        <v>18.7924193941181</v>
      </c>
      <c r="K934" s="12">
        <v>41.76093198692911</v>
      </c>
      <c r="L934" s="13">
        <v>4.176093198692911E19</v>
      </c>
      <c r="M934" s="9">
        <v>4.1760931986929111E18</v>
      </c>
    </row>
    <row r="935" ht="15.75" customHeight="1">
      <c r="A935" s="8"/>
      <c r="B935" s="8"/>
      <c r="C935" s="8"/>
      <c r="D935" s="8">
        <v>26.7109532447761</v>
      </c>
      <c r="E935" s="9" t="s">
        <v>944</v>
      </c>
      <c r="I935" s="12" t="str">
        <f>IFERROR(__xludf.DUMMYFUNCTION("""COMPUTED_VALUE"""),"0x4f262395cdead58c12f97daaf1b44b1d0215d1c5")</f>
        <v>0x4f262395cdead58c12f97daaf1b44b1d0215d1c5</v>
      </c>
      <c r="J935" s="11">
        <v>97.20344894090866</v>
      </c>
      <c r="K935" s="12">
        <v>216.00766431313033</v>
      </c>
      <c r="L935" s="13">
        <v>2.1600766431313032E20</v>
      </c>
      <c r="M935" s="9">
        <v>2.160076643131303E19</v>
      </c>
    </row>
    <row r="936" ht="15.75" customHeight="1">
      <c r="A936" s="8"/>
      <c r="B936" s="8"/>
      <c r="C936" s="8"/>
      <c r="D936" s="8">
        <v>27.9026907562088</v>
      </c>
      <c r="E936" s="9" t="s">
        <v>945</v>
      </c>
      <c r="I936" s="12" t="str">
        <f>IFERROR(__xludf.DUMMYFUNCTION("""COMPUTED_VALUE"""),"0x4f470c4ec279bb10e9ba021ba19bfda126fba770")</f>
        <v>0x4f470c4ec279bb10e9ba021ba19bfda126fba770</v>
      </c>
      <c r="J936" s="11">
        <v>91.1199983031448</v>
      </c>
      <c r="K936" s="12">
        <v>202.48888511809955</v>
      </c>
      <c r="L936" s="13">
        <v>2.0248888511809955E20</v>
      </c>
      <c r="M936" s="9">
        <v>2.0248888511809958E19</v>
      </c>
    </row>
    <row r="937" ht="15.75" customHeight="1">
      <c r="A937" s="8"/>
      <c r="B937" s="8"/>
      <c r="C937" s="8"/>
      <c r="D937" s="8">
        <v>27.9026907562088</v>
      </c>
      <c r="E937" s="9" t="s">
        <v>946</v>
      </c>
      <c r="I937" s="12" t="str">
        <f>IFERROR(__xludf.DUMMYFUNCTION("""COMPUTED_VALUE"""),"0x4f4da17c7dee123fde36b8a6f762824273a7d494")</f>
        <v>0x4f4da17c7dee123fde36b8a6f762824273a7d494</v>
      </c>
      <c r="J937" s="11">
        <v>91.1199983031448</v>
      </c>
      <c r="K937" s="12">
        <v>202.48888511809955</v>
      </c>
      <c r="L937" s="13">
        <v>2.0248888511809955E20</v>
      </c>
      <c r="M937" s="9">
        <v>2.0248888511809958E19</v>
      </c>
    </row>
    <row r="938" ht="15.75" customHeight="1">
      <c r="A938" s="8"/>
      <c r="B938" s="8"/>
      <c r="C938" s="8"/>
      <c r="D938" s="8">
        <v>20.6539836027195</v>
      </c>
      <c r="E938" s="9" t="s">
        <v>947</v>
      </c>
      <c r="I938" s="12" t="str">
        <f>IFERROR(__xludf.DUMMYFUNCTION("""COMPUTED_VALUE"""),"0x4f6f78be71160d69564b3bb0e2dfbfa571674a23")</f>
        <v>0x4f6f78be71160d69564b3bb0e2dfbfa571674a23</v>
      </c>
      <c r="J938" s="11">
        <v>20.6539836027195</v>
      </c>
      <c r="K938" s="12">
        <v>45.897741339376665</v>
      </c>
      <c r="L938" s="13">
        <v>4.5897741339376665E19</v>
      </c>
      <c r="M938" s="9">
        <v>4.5897741339376666E18</v>
      </c>
    </row>
    <row r="939" ht="15.75" customHeight="1">
      <c r="A939" s="8"/>
      <c r="B939" s="8"/>
      <c r="C939" s="8"/>
      <c r="D939" s="8">
        <v>27.9026907562088</v>
      </c>
      <c r="E939" s="9" t="s">
        <v>948</v>
      </c>
      <c r="I939" s="12" t="str">
        <f>IFERROR(__xludf.DUMMYFUNCTION("""COMPUTED_VALUE"""),"0x4f747529331fb78c5d9929a4dfcff9e8f15f7fc4")</f>
        <v>0x4f747529331fb78c5d9929a4dfcff9e8f15f7fc4</v>
      </c>
      <c r="J939" s="11">
        <v>27.9026907562088</v>
      </c>
      <c r="K939" s="12">
        <v>62.005979458241775</v>
      </c>
      <c r="L939" s="13">
        <v>6.200597945824177E19</v>
      </c>
      <c r="M939" s="9">
        <v>6.2005979458241782E18</v>
      </c>
    </row>
    <row r="940" ht="15.75" customHeight="1">
      <c r="A940" s="8"/>
      <c r="B940" s="8"/>
      <c r="C940" s="8"/>
      <c r="D940" s="8">
        <v>27.9026907562088</v>
      </c>
      <c r="E940" s="9" t="s">
        <v>949</v>
      </c>
      <c r="I940" s="12" t="str">
        <f>IFERROR(__xludf.DUMMYFUNCTION("""COMPUTED_VALUE"""),"0x4f92261a2b286a7b63aef17bddc4e3af9f75a6bf")</f>
        <v>0x4f92261a2b286a7b63aef17bddc4e3af9f75a6bf</v>
      </c>
      <c r="J940" s="11">
        <v>91.1199983031448</v>
      </c>
      <c r="K940" s="12">
        <v>202.48888511809955</v>
      </c>
      <c r="L940" s="13">
        <v>2.0248888511809955E20</v>
      </c>
      <c r="M940" s="9">
        <v>2.0248888511809958E19</v>
      </c>
    </row>
    <row r="941" ht="15.75" customHeight="1">
      <c r="A941" s="8"/>
      <c r="B941" s="8"/>
      <c r="C941" s="8"/>
      <c r="D941" s="8">
        <v>27.9026907562088</v>
      </c>
      <c r="E941" s="9" t="s">
        <v>950</v>
      </c>
      <c r="I941" s="12" t="str">
        <f>IFERROR(__xludf.DUMMYFUNCTION("""COMPUTED_VALUE"""),"0x4f941e5da657375e75d6d92852431cc7be3ef7a8")</f>
        <v>0x4f941e5da657375e75d6d92852431cc7be3ef7a8</v>
      </c>
      <c r="J941" s="11">
        <v>91.1199983031448</v>
      </c>
      <c r="K941" s="12">
        <v>202.48888511809955</v>
      </c>
      <c r="L941" s="13">
        <v>2.0248888511809955E20</v>
      </c>
      <c r="M941" s="9">
        <v>2.0248888511809958E19</v>
      </c>
    </row>
    <row r="942" ht="15.75" customHeight="1">
      <c r="A942" s="8"/>
      <c r="B942" s="8"/>
      <c r="C942" s="8"/>
      <c r="D942" s="8">
        <v>27.9026907562088</v>
      </c>
      <c r="E942" s="9" t="s">
        <v>951</v>
      </c>
      <c r="I942" s="12" t="str">
        <f>IFERROR(__xludf.DUMMYFUNCTION("""COMPUTED_VALUE"""),"0x4fbcd34663df0e8481ea51a10f13ba35545c412a")</f>
        <v>0x4fbcd34663df0e8481ea51a10f13ba35545c412a</v>
      </c>
      <c r="J942" s="11">
        <v>40.546152265596</v>
      </c>
      <c r="K942" s="12">
        <v>90.10256059021333</v>
      </c>
      <c r="L942" s="13">
        <v>9.010256059021333E19</v>
      </c>
      <c r="M942" s="9">
        <v>9.0102560590213335E18</v>
      </c>
    </row>
    <row r="943" ht="15.75" customHeight="1">
      <c r="A943" s="8"/>
      <c r="B943" s="8"/>
      <c r="C943" s="8"/>
      <c r="D943" s="8">
        <v>27.9026907562088</v>
      </c>
      <c r="E943" s="9" t="s">
        <v>952</v>
      </c>
      <c r="I943" s="12" t="str">
        <f>IFERROR(__xludf.DUMMYFUNCTION("""COMPUTED_VALUE"""),"0x4fcbe6c1113311a932bd2f1607eb56ca9a523fbd")</f>
        <v>0x4fcbe6c1113311a932bd2f1607eb56ca9a523fbd</v>
      </c>
      <c r="J943" s="11">
        <v>118.4560176006909</v>
      </c>
      <c r="K943" s="12">
        <v>263.235594668202</v>
      </c>
      <c r="L943" s="13">
        <v>2.63235594668202E20</v>
      </c>
      <c r="M943" s="9">
        <v>2.6323559466820202E19</v>
      </c>
    </row>
    <row r="944" ht="15.75" customHeight="1">
      <c r="A944" s="8"/>
      <c r="B944" s="8"/>
      <c r="C944" s="8"/>
      <c r="D944" s="8">
        <v>18.9643329071726</v>
      </c>
      <c r="E944" s="9" t="s">
        <v>953</v>
      </c>
      <c r="I944" s="12" t="str">
        <f>IFERROR(__xludf.DUMMYFUNCTION("""COMPUTED_VALUE"""),"0x4fd432bf1ec3e4b326001b9a54c1c502a3bdd49d")</f>
        <v>0x4fd432bf1ec3e4b326001b9a54c1c502a3bdd49d</v>
      </c>
      <c r="J944" s="11">
        <v>62.618583147841704</v>
      </c>
      <c r="K944" s="12">
        <v>139.1524069952038</v>
      </c>
      <c r="L944" s="13">
        <v>1.3915240699520378E20</v>
      </c>
      <c r="M944" s="9">
        <v>1.3915240699520379E19</v>
      </c>
    </row>
    <row r="945" ht="15.75" customHeight="1">
      <c r="A945" s="8"/>
      <c r="B945" s="8"/>
      <c r="C945" s="8"/>
      <c r="D945" s="8">
        <v>25.2104671232656</v>
      </c>
      <c r="E945" s="9" t="s">
        <v>954</v>
      </c>
      <c r="I945" s="12" t="str">
        <f>IFERROR(__xludf.DUMMYFUNCTION("""COMPUTED_VALUE"""),"0x4fd9d7092234982ccc1b65bfe5c5067d4a073fb7")</f>
        <v>0x4fd9d7092234982ccc1b65bfe5c5067d4a073fb7</v>
      </c>
      <c r="J945" s="11">
        <v>25.2104671232656</v>
      </c>
      <c r="K945" s="12">
        <v>56.023260273923555</v>
      </c>
      <c r="L945" s="13">
        <v>5.6023260273923555E19</v>
      </c>
      <c r="M945" s="9">
        <v>5.6023260273923564E18</v>
      </c>
    </row>
    <row r="946" ht="15.75" customHeight="1">
      <c r="A946" s="8"/>
      <c r="B946" s="8"/>
      <c r="C946" s="8"/>
      <c r="D946" s="8">
        <v>27.9026907562088</v>
      </c>
      <c r="E946" s="9" t="s">
        <v>955</v>
      </c>
      <c r="I946" s="12" t="str">
        <f>IFERROR(__xludf.DUMMYFUNCTION("""COMPUTED_VALUE"""),"0x4fe72580f913dd8ff007f9c6b22437d2fec20e84")</f>
        <v>0x4fe72580f913dd8ff007f9c6b22437d2fec20e84</v>
      </c>
      <c r="J946" s="11">
        <v>27.9026907562088</v>
      </c>
      <c r="K946" s="12">
        <v>62.005979458241775</v>
      </c>
      <c r="L946" s="13">
        <v>6.200597945824177E19</v>
      </c>
      <c r="M946" s="9">
        <v>6.2005979458241782E18</v>
      </c>
    </row>
    <row r="947" ht="15.75" customHeight="1">
      <c r="A947" s="8"/>
      <c r="B947" s="8"/>
      <c r="C947" s="8"/>
      <c r="D947" s="8">
        <v>17.3783911295078</v>
      </c>
      <c r="E947" s="9" t="s">
        <v>956</v>
      </c>
      <c r="I947" s="12" t="str">
        <f>IFERROR(__xludf.DUMMYFUNCTION("""COMPUTED_VALUE"""),"0x4ff97154a7be60ec0fec993ce3b2a7f27cf8342b")</f>
        <v>0x4ff97154a7be60ec0fec993ce3b2a7f27cf8342b</v>
      </c>
      <c r="J947" s="11">
        <v>60.89021643812102</v>
      </c>
      <c r="K947" s="12">
        <v>135.31159208471337</v>
      </c>
      <c r="L947" s="13">
        <v>1.3531159208471337E20</v>
      </c>
      <c r="M947" s="9">
        <v>1.353115920847134E19</v>
      </c>
    </row>
    <row r="948" ht="15.75" customHeight="1">
      <c r="A948" s="8"/>
      <c r="B948" s="8"/>
      <c r="C948" s="8"/>
      <c r="D948" s="8">
        <v>27.9026907562088</v>
      </c>
      <c r="E948" s="9" t="s">
        <v>957</v>
      </c>
      <c r="I948" s="12" t="str">
        <f>IFERROR(__xludf.DUMMYFUNCTION("""COMPUTED_VALUE"""),"0x501453641c67af889d1ffa9d76bcd79c70d48f65")</f>
        <v>0x501453641c67af889d1ffa9d76bcd79c70d48f65</v>
      </c>
      <c r="J948" s="11">
        <v>91.1199983031448</v>
      </c>
      <c r="K948" s="12">
        <v>202.48888511809955</v>
      </c>
      <c r="L948" s="13">
        <v>2.0248888511809955E20</v>
      </c>
      <c r="M948" s="9">
        <v>2.0248888511809958E19</v>
      </c>
    </row>
    <row r="949" ht="15.75" customHeight="1">
      <c r="A949" s="8"/>
      <c r="B949" s="8"/>
      <c r="C949" s="8"/>
      <c r="D949" s="8">
        <v>21.0793870377419</v>
      </c>
      <c r="E949" s="9" t="s">
        <v>958</v>
      </c>
      <c r="I949" s="12" t="str">
        <f>IFERROR(__xludf.DUMMYFUNCTION("""COMPUTED_VALUE"""),"0x50186ba2efb51dd1a241467492c333514516be22")</f>
        <v>0x50186ba2efb51dd1a241467492c333514516be22</v>
      </c>
      <c r="J949" s="11">
        <v>79.36587183060668</v>
      </c>
      <c r="K949" s="12">
        <v>176.36860406801483</v>
      </c>
      <c r="L949" s="13">
        <v>1.7636860406801482E20</v>
      </c>
      <c r="M949" s="9">
        <v>1.7636860406801482E19</v>
      </c>
    </row>
    <row r="950" ht="15.75" customHeight="1">
      <c r="A950" s="8"/>
      <c r="B950" s="8"/>
      <c r="C950" s="8"/>
      <c r="D950" s="8">
        <v>27.9026907562088</v>
      </c>
      <c r="E950" s="9" t="s">
        <v>959</v>
      </c>
      <c r="I950" s="12" t="str">
        <f>IFERROR(__xludf.DUMMYFUNCTION("""COMPUTED_VALUE"""),"0x505180b5570ef6e607aa42db4b67b5e7a8253c5c")</f>
        <v>0x505180b5570ef6e607aa42db4b67b5e7a8253c5c</v>
      </c>
      <c r="J950" s="11">
        <v>118.3610630322068</v>
      </c>
      <c r="K950" s="12">
        <v>263.0245845160151</v>
      </c>
      <c r="L950" s="13">
        <v>2.6302458451601513E20</v>
      </c>
      <c r="M950" s="9">
        <v>2.6302458451601514E19</v>
      </c>
    </row>
    <row r="951" ht="15.75" customHeight="1">
      <c r="A951" s="8"/>
      <c r="B951" s="8"/>
      <c r="C951" s="8"/>
      <c r="D951" s="8">
        <v>27.9026907562088</v>
      </c>
      <c r="E951" s="9" t="s">
        <v>960</v>
      </c>
      <c r="I951" s="12" t="str">
        <f>IFERROR(__xludf.DUMMYFUNCTION("""COMPUTED_VALUE"""),"0x5079efddd01d888f2d3131758e32a0e4956cc537")</f>
        <v>0x5079efddd01d888f2d3131758e32a0e4956cc537</v>
      </c>
      <c r="J951" s="11">
        <v>93.06578864093494</v>
      </c>
      <c r="K951" s="12">
        <v>206.8128636465221</v>
      </c>
      <c r="L951" s="13">
        <v>2.0681286364652208E20</v>
      </c>
      <c r="M951" s="9">
        <v>2.068128636465221E19</v>
      </c>
    </row>
    <row r="952" ht="15.75" customHeight="1">
      <c r="A952" s="8"/>
      <c r="B952" s="8"/>
      <c r="C952" s="8"/>
      <c r="D952" s="8">
        <v>24.8017916745829</v>
      </c>
      <c r="E952" s="9" t="s">
        <v>961</v>
      </c>
      <c r="I952" s="12" t="str">
        <f>IFERROR(__xludf.DUMMYFUNCTION("""COMPUTED_VALUE"""),"0x507f997689f9298041ef49ca58743cbb6c10135b")</f>
        <v>0x507f997689f9298041ef49ca58743cbb6c10135b</v>
      </c>
      <c r="J952" s="11">
        <v>24.8017916745829</v>
      </c>
      <c r="K952" s="12">
        <v>55.11509261018422</v>
      </c>
      <c r="L952" s="13">
        <v>5.511509261018422E19</v>
      </c>
      <c r="M952" s="9">
        <v>5.5115092610184223E18</v>
      </c>
    </row>
    <row r="953" ht="15.75" customHeight="1">
      <c r="A953" s="8"/>
      <c r="B953" s="8"/>
      <c r="C953" s="8"/>
      <c r="D953" s="8">
        <v>27.9026907562088</v>
      </c>
      <c r="E953" s="9" t="s">
        <v>962</v>
      </c>
      <c r="I953" s="12" t="str">
        <f>IFERROR(__xludf.DUMMYFUNCTION("""COMPUTED_VALUE"""),"0x50a35ee68e41b8f05b1bed12e6b78ed289a4d423")</f>
        <v>0x50a35ee68e41b8f05b1bed12e6b78ed289a4d423</v>
      </c>
      <c r="J953" s="11">
        <v>27.9026907562088</v>
      </c>
      <c r="K953" s="12">
        <v>62.005979458241775</v>
      </c>
      <c r="L953" s="13">
        <v>6.200597945824177E19</v>
      </c>
      <c r="M953" s="9">
        <v>6.2005979458241782E18</v>
      </c>
    </row>
    <row r="954" ht="15.75" customHeight="1">
      <c r="A954" s="8"/>
      <c r="B954" s="8"/>
      <c r="C954" s="8"/>
      <c r="D954" s="8">
        <v>1.54588292394371</v>
      </c>
      <c r="E954" s="9" t="s">
        <v>963</v>
      </c>
      <c r="I954" s="12" t="str">
        <f>IFERROR(__xludf.DUMMYFUNCTION("""COMPUTED_VALUE"""),"0x50a9cac791ac517854f363f75ba91319aedd88f7")</f>
        <v>0x50a9cac791ac517854f363f75ba91319aedd88f7</v>
      </c>
      <c r="J954" s="11">
        <v>1.54588292394371</v>
      </c>
      <c r="K954" s="12">
        <v>3.4352953865415774</v>
      </c>
      <c r="L954" s="13">
        <v>3.4352953865415772E18</v>
      </c>
      <c r="M954" s="9">
        <v>3.4352953865415776E17</v>
      </c>
    </row>
    <row r="955" ht="15.75" customHeight="1">
      <c r="A955" s="8"/>
      <c r="B955" s="8"/>
      <c r="C955" s="8"/>
      <c r="D955" s="8">
        <v>27.9026907562088</v>
      </c>
      <c r="E955" s="9" t="s">
        <v>964</v>
      </c>
      <c r="I955" s="12" t="str">
        <f>IFERROR(__xludf.DUMMYFUNCTION("""COMPUTED_VALUE"""),"0x50ad382d3c950be11cfc3b31dd8e45efdeb5332a")</f>
        <v>0x50ad382d3c950be11cfc3b31dd8e45efdeb5332a</v>
      </c>
      <c r="J955" s="11">
        <v>94.56973398546452</v>
      </c>
      <c r="K955" s="12">
        <v>210.15496441214339</v>
      </c>
      <c r="L955" s="13">
        <v>2.1015496441214337E20</v>
      </c>
      <c r="M955" s="9">
        <v>2.1015496441214337E19</v>
      </c>
    </row>
    <row r="956" ht="15.75" customHeight="1">
      <c r="A956" s="8"/>
      <c r="B956" s="8"/>
      <c r="C956" s="8"/>
      <c r="D956" s="8">
        <v>27.9026907562088</v>
      </c>
      <c r="E956" s="9" t="s">
        <v>965</v>
      </c>
      <c r="I956" s="12" t="str">
        <f>IFERROR(__xludf.DUMMYFUNCTION("""COMPUTED_VALUE"""),"0x50b7cfaca31b461d8284aab27d4b4a9c3d641be4")</f>
        <v>0x50b7cfaca31b461d8284aab27d4b4a9c3d641be4</v>
      </c>
      <c r="J956" s="11">
        <v>27.9026907562088</v>
      </c>
      <c r="K956" s="12">
        <v>62.005979458241775</v>
      </c>
      <c r="L956" s="13">
        <v>6.200597945824177E19</v>
      </c>
      <c r="M956" s="9">
        <v>6.2005979458241782E18</v>
      </c>
    </row>
    <row r="957" ht="15.75" customHeight="1">
      <c r="A957" s="8"/>
      <c r="B957" s="8"/>
      <c r="C957" s="8"/>
      <c r="D957" s="8">
        <v>27.9026907562088</v>
      </c>
      <c r="E957" s="9" t="s">
        <v>966</v>
      </c>
      <c r="I957" s="12" t="str">
        <f>IFERROR(__xludf.DUMMYFUNCTION("""COMPUTED_VALUE"""),"0x50d23c7a796288854cafa8c3f6793d89fd305761")</f>
        <v>0x50d23c7a796288854cafa8c3f6793d89fd305761</v>
      </c>
      <c r="J957" s="11">
        <v>27.9026907562088</v>
      </c>
      <c r="K957" s="12">
        <v>62.005979458241775</v>
      </c>
      <c r="L957" s="13">
        <v>6.200597945824177E19</v>
      </c>
      <c r="M957" s="9">
        <v>6.2005979458241782E18</v>
      </c>
    </row>
    <row r="958" ht="15.75" customHeight="1">
      <c r="A958" s="8"/>
      <c r="B958" s="8"/>
      <c r="C958" s="8"/>
      <c r="D958" s="8">
        <v>6.4155326598261</v>
      </c>
      <c r="E958" s="9" t="s">
        <v>967</v>
      </c>
      <c r="I958" s="12" t="str">
        <f>IFERROR(__xludf.DUMMYFUNCTION("""COMPUTED_VALUE"""),"0x50eaeafccc2dcfcb0054c725368005c48fedb859")</f>
        <v>0x50eaeafccc2dcfcb0054c725368005c48fedb859</v>
      </c>
      <c r="J958" s="11">
        <v>6.4155326598261</v>
      </c>
      <c r="K958" s="12">
        <v>14.256739244058</v>
      </c>
      <c r="L958" s="13">
        <v>1.4256739244058E19</v>
      </c>
      <c r="M958" s="9">
        <v>1.42567392440579994E18</v>
      </c>
    </row>
    <row r="959" ht="15.75" customHeight="1">
      <c r="A959" s="8"/>
      <c r="B959" s="8"/>
      <c r="C959" s="8"/>
      <c r="D959" s="8">
        <v>12.0881605799356</v>
      </c>
      <c r="E959" s="9" t="s">
        <v>968</v>
      </c>
      <c r="I959" s="12" t="str">
        <f>IFERROR(__xludf.DUMMYFUNCTION("""COMPUTED_VALUE"""),"0x510d4e9703130ebd90e7aacb646abb090b984b20")</f>
        <v>0x510d4e9703130ebd90e7aacb646abb090b984b20</v>
      </c>
      <c r="J959" s="11">
        <v>12.0881605799356</v>
      </c>
      <c r="K959" s="12">
        <v>26.862579066523555</v>
      </c>
      <c r="L959" s="13">
        <v>2.6862579066523554E19</v>
      </c>
      <c r="M959" s="9">
        <v>2.6862579066523556E18</v>
      </c>
    </row>
    <row r="960" ht="15.75" customHeight="1">
      <c r="A960" s="8"/>
      <c r="B960" s="8"/>
      <c r="C960" s="8"/>
      <c r="D960" s="8">
        <v>27.9026907562088</v>
      </c>
      <c r="E960" s="9" t="s">
        <v>969</v>
      </c>
      <c r="I960" s="12" t="str">
        <f>IFERROR(__xludf.DUMMYFUNCTION("""COMPUTED_VALUE"""),"0x5115dad03662dd8a60ba91bee2bfb83c5c5163eb")</f>
        <v>0x5115dad03662dd8a60ba91bee2bfb83c5c5163eb</v>
      </c>
      <c r="J960" s="11">
        <v>102.7947403298856</v>
      </c>
      <c r="K960" s="12">
        <v>228.43275628863466</v>
      </c>
      <c r="L960" s="13">
        <v>2.2843275628863465E20</v>
      </c>
      <c r="M960" s="9">
        <v>2.2843275628863468E19</v>
      </c>
    </row>
    <row r="961" ht="15.75" customHeight="1">
      <c r="A961" s="8"/>
      <c r="B961" s="8"/>
      <c r="C961" s="8"/>
      <c r="D961" s="8">
        <v>27.9026907562088</v>
      </c>
      <c r="E961" s="9" t="s">
        <v>970</v>
      </c>
      <c r="I961" s="12" t="str">
        <f>IFERROR(__xludf.DUMMYFUNCTION("""COMPUTED_VALUE"""),"0x511652f5f25f613331cd95e580c1a357146f4af1")</f>
        <v>0x511652f5f25f613331cd95e580c1a357146f4af1</v>
      </c>
      <c r="J961" s="11">
        <v>168.9516118147505</v>
      </c>
      <c r="K961" s="12">
        <v>375.4480262550011</v>
      </c>
      <c r="L961" s="13">
        <v>3.7544802625500106E20</v>
      </c>
      <c r="M961" s="9">
        <v>3.754480262550011E19</v>
      </c>
    </row>
    <row r="962" ht="15.75" customHeight="1">
      <c r="A962" s="8"/>
      <c r="B962" s="8"/>
      <c r="C962" s="8"/>
      <c r="D962" s="8">
        <v>27.7595251395712</v>
      </c>
      <c r="E962" s="9" t="s">
        <v>971</v>
      </c>
      <c r="I962" s="12" t="str">
        <f>IFERROR(__xludf.DUMMYFUNCTION("""COMPUTED_VALUE"""),"0x511f0cfb3bfd9fa1d58ea3f647a59081f239e299")</f>
        <v>0x511f0cfb3bfd9fa1d58ea3f647a59081f239e299</v>
      </c>
      <c r="J962" s="11">
        <v>27.7595251395712</v>
      </c>
      <c r="K962" s="12">
        <v>61.68783364349155</v>
      </c>
      <c r="L962" s="13">
        <v>6.168783364349155E19</v>
      </c>
      <c r="M962" s="9">
        <v>6.1687833643491553E18</v>
      </c>
    </row>
    <row r="963" ht="15.75" customHeight="1">
      <c r="A963" s="8"/>
      <c r="B963" s="8"/>
      <c r="C963" s="8"/>
      <c r="D963" s="8">
        <v>20.8390428536903</v>
      </c>
      <c r="E963" s="9" t="s">
        <v>972</v>
      </c>
      <c r="I963" s="12" t="str">
        <f>IFERROR(__xludf.DUMMYFUNCTION("""COMPUTED_VALUE"""),"0x514948d3ba30a7fedcdac029f56b629785d23d32")</f>
        <v>0x514948d3ba30a7fedcdac029f56b629785d23d32</v>
      </c>
      <c r="J963" s="11">
        <v>20.8390428536903</v>
      </c>
      <c r="K963" s="12">
        <v>46.30898411931178</v>
      </c>
      <c r="L963" s="13">
        <v>4.630898411931178E19</v>
      </c>
      <c r="M963" s="9">
        <v>4.630898411931178E18</v>
      </c>
    </row>
    <row r="964" ht="15.75" customHeight="1">
      <c r="A964" s="8"/>
      <c r="B964" s="8"/>
      <c r="C964" s="8"/>
      <c r="D964" s="8">
        <v>27.760353368273</v>
      </c>
      <c r="E964" s="9" t="s">
        <v>973</v>
      </c>
      <c r="I964" s="12" t="str">
        <f>IFERROR(__xludf.DUMMYFUNCTION("""COMPUTED_VALUE"""),"0x51529cd14555933ff1ee6ce329154bd9c3f8dac8")</f>
        <v>0x51529cd14555933ff1ee6ce329154bd9c3f8dac8</v>
      </c>
      <c r="J964" s="11">
        <v>40.3435214538806</v>
      </c>
      <c r="K964" s="12">
        <v>89.65226989751244</v>
      </c>
      <c r="L964" s="13">
        <v>8.965226989751244E19</v>
      </c>
      <c r="M964" s="9">
        <v>8.9652269897512438E18</v>
      </c>
    </row>
    <row r="965" ht="15.75" customHeight="1">
      <c r="A965" s="8"/>
      <c r="B965" s="8"/>
      <c r="C965" s="8"/>
      <c r="D965" s="8">
        <v>27.9026907562088</v>
      </c>
      <c r="E965" s="9" t="s">
        <v>974</v>
      </c>
      <c r="I965" s="12" t="str">
        <f>IFERROR(__xludf.DUMMYFUNCTION("""COMPUTED_VALUE"""),"0x516208ceb33e44942c257873aabd31a261e4ffe0")</f>
        <v>0x516208ceb33e44942c257873aabd31a261e4ffe0</v>
      </c>
      <c r="J965" s="11">
        <v>27.9026907562088</v>
      </c>
      <c r="K965" s="12">
        <v>62.005979458241775</v>
      </c>
      <c r="L965" s="13">
        <v>6.200597945824177E19</v>
      </c>
      <c r="M965" s="9">
        <v>6.2005979458241782E18</v>
      </c>
    </row>
    <row r="966" ht="15.75" customHeight="1">
      <c r="A966" s="8"/>
      <c r="B966" s="8"/>
      <c r="C966" s="8"/>
      <c r="D966" s="8">
        <v>21.2060449747187</v>
      </c>
      <c r="E966" s="9" t="s">
        <v>975</v>
      </c>
      <c r="I966" s="12" t="str">
        <f>IFERROR(__xludf.DUMMYFUNCTION("""COMPUTED_VALUE"""),"0x516a92fd1a17d22a1c1b17192536a291d36142b3")</f>
        <v>0x516a92fd1a17d22a1c1b17192536a291d36142b3</v>
      </c>
      <c r="J966" s="11">
        <v>21.2060449747187</v>
      </c>
      <c r="K966" s="12">
        <v>47.12454438826378</v>
      </c>
      <c r="L966" s="13">
        <v>4.712454438826378E19</v>
      </c>
      <c r="M966" s="9">
        <v>4.7124544388263782E18</v>
      </c>
    </row>
    <row r="967" ht="15.75" customHeight="1">
      <c r="A967" s="8"/>
      <c r="B967" s="8"/>
      <c r="C967" s="8"/>
      <c r="D967" s="8">
        <v>27.9026907562088</v>
      </c>
      <c r="E967" s="9" t="s">
        <v>976</v>
      </c>
      <c r="I967" s="12" t="str">
        <f>IFERROR(__xludf.DUMMYFUNCTION("""COMPUTED_VALUE"""),"0x517e6d66facc5813f5facf96bdc43b66a8d294de")</f>
        <v>0x517e6d66facc5813f5facf96bdc43b66a8d294de</v>
      </c>
      <c r="J967" s="11">
        <v>27.9026907562088</v>
      </c>
      <c r="K967" s="12">
        <v>62.005979458241775</v>
      </c>
      <c r="L967" s="13">
        <v>6.200597945824177E19</v>
      </c>
      <c r="M967" s="9">
        <v>6.2005979458241782E18</v>
      </c>
    </row>
    <row r="968" ht="15.75" customHeight="1">
      <c r="A968" s="8"/>
      <c r="B968" s="8"/>
      <c r="C968" s="8"/>
      <c r="D968" s="8">
        <v>25.8024409464269</v>
      </c>
      <c r="E968" s="9" t="s">
        <v>977</v>
      </c>
      <c r="I968" s="12" t="str">
        <f>IFERROR(__xludf.DUMMYFUNCTION("""COMPUTED_VALUE"""),"0x519574d10e60e0f7e2f7f9b2bd49cac7fc8e73f6")</f>
        <v>0x519574d10e60e0f7e2f7f9b2bd49cac7fc8e73f6</v>
      </c>
      <c r="J968" s="11">
        <v>25.8024409464269</v>
      </c>
      <c r="K968" s="12">
        <v>57.338757658726436</v>
      </c>
      <c r="L968" s="13">
        <v>5.733875765872643E19</v>
      </c>
      <c r="M968" s="9">
        <v>5.7338757658726441E18</v>
      </c>
    </row>
    <row r="969" ht="15.75" customHeight="1">
      <c r="A969" s="8"/>
      <c r="B969" s="8"/>
      <c r="C969" s="8"/>
      <c r="D969" s="8">
        <v>25.7989963650668</v>
      </c>
      <c r="E969" s="9" t="s">
        <v>978</v>
      </c>
      <c r="I969" s="12" t="str">
        <f>IFERROR(__xludf.DUMMYFUNCTION("""COMPUTED_VALUE"""),"0x519f8d5de49fe2565751f60bdec4dd8497ebaaba")</f>
        <v>0x519f8d5de49fe2565751f60bdec4dd8497ebaaba</v>
      </c>
      <c r="J969" s="11">
        <v>25.7989963650668</v>
      </c>
      <c r="K969" s="12">
        <v>57.331103033481774</v>
      </c>
      <c r="L969" s="13">
        <v>5.733110303348177E19</v>
      </c>
      <c r="M969" s="9">
        <v>5.7331103033481779E18</v>
      </c>
    </row>
    <row r="970" ht="15.75" customHeight="1">
      <c r="A970" s="8"/>
      <c r="B970" s="8"/>
      <c r="C970" s="8"/>
      <c r="D970" s="8">
        <v>27.9026907562088</v>
      </c>
      <c r="E970" s="9" t="s">
        <v>979</v>
      </c>
      <c r="I970" s="12" t="str">
        <f>IFERROR(__xludf.DUMMYFUNCTION("""COMPUTED_VALUE"""),"0x51ae498e73fb5c6706cc43c579fe481c2e6a290d")</f>
        <v>0x51ae498e73fb5c6706cc43c579fe481c2e6a290d</v>
      </c>
      <c r="J970" s="11">
        <v>27.9026907562088</v>
      </c>
      <c r="K970" s="12">
        <v>62.005979458241775</v>
      </c>
      <c r="L970" s="13">
        <v>6.200597945824177E19</v>
      </c>
      <c r="M970" s="9">
        <v>6.2005979458241782E18</v>
      </c>
    </row>
    <row r="971" ht="15.75" customHeight="1">
      <c r="A971" s="8"/>
      <c r="B971" s="8"/>
      <c r="C971" s="8"/>
      <c r="D971" s="8">
        <v>27.9026907562088</v>
      </c>
      <c r="E971" s="9" t="s">
        <v>980</v>
      </c>
      <c r="I971" s="12" t="str">
        <f>IFERROR(__xludf.DUMMYFUNCTION("""COMPUTED_VALUE"""),"0x51b78198929a35ae9bcc614f29564722d769cdb5")</f>
        <v>0x51b78198929a35ae9bcc614f29564722d769cdb5</v>
      </c>
      <c r="J971" s="11">
        <v>27.9026907562088</v>
      </c>
      <c r="K971" s="12">
        <v>62.005979458241775</v>
      </c>
      <c r="L971" s="13">
        <v>6.200597945824177E19</v>
      </c>
      <c r="M971" s="9">
        <v>6.2005979458241782E18</v>
      </c>
    </row>
    <row r="972" ht="15.75" customHeight="1">
      <c r="A972" s="8"/>
      <c r="B972" s="8"/>
      <c r="C972" s="8"/>
      <c r="D972" s="8">
        <v>6.845698138316</v>
      </c>
      <c r="E972" s="9" t="s">
        <v>981</v>
      </c>
      <c r="I972" s="12" t="str">
        <f>IFERROR(__xludf.DUMMYFUNCTION("""COMPUTED_VALUE"""),"0x51c8a4e54240946862787d278b8d11527e0ed85b")</f>
        <v>0x51c8a4e54240946862787d278b8d11527e0ed85b</v>
      </c>
      <c r="J972" s="11">
        <v>6.845698138316</v>
      </c>
      <c r="K972" s="12">
        <v>15.21266252959111</v>
      </c>
      <c r="L972" s="13">
        <v>1.521266252959111E19</v>
      </c>
      <c r="M972" s="9">
        <v>1.52126625295911117E18</v>
      </c>
    </row>
    <row r="973" ht="15.75" customHeight="1">
      <c r="A973" s="8"/>
      <c r="B973" s="8"/>
      <c r="C973" s="8"/>
      <c r="D973" s="8">
        <v>27.9026907562088</v>
      </c>
      <c r="E973" s="9" t="s">
        <v>982</v>
      </c>
      <c r="I973" s="12" t="str">
        <f>IFERROR(__xludf.DUMMYFUNCTION("""COMPUTED_VALUE"""),"0x51f7db334225149c8e59968d3c0b39bd00fcee78")</f>
        <v>0x51f7db334225149c8e59968d3c0b39bd00fcee78</v>
      </c>
      <c r="J973" s="11">
        <v>27.9026907562088</v>
      </c>
      <c r="K973" s="12">
        <v>62.005979458241775</v>
      </c>
      <c r="L973" s="13">
        <v>6.200597945824177E19</v>
      </c>
      <c r="M973" s="9">
        <v>6.2005979458241782E18</v>
      </c>
    </row>
    <row r="974" ht="15.75" customHeight="1">
      <c r="A974" s="8"/>
      <c r="B974" s="8"/>
      <c r="C974" s="8"/>
      <c r="D974" s="8">
        <v>27.9026907562088</v>
      </c>
      <c r="E974" s="9" t="s">
        <v>983</v>
      </c>
      <c r="I974" s="12" t="str">
        <f>IFERROR(__xludf.DUMMYFUNCTION("""COMPUTED_VALUE"""),"0x520d5349e67b4f404f34176ca13198ae45a41eee")</f>
        <v>0x520d5349e67b4f404f34176ca13198ae45a41eee</v>
      </c>
      <c r="J974" s="11">
        <v>71.4945451959949</v>
      </c>
      <c r="K974" s="12">
        <v>158.8767671022109</v>
      </c>
      <c r="L974" s="13">
        <v>1.588767671022109E20</v>
      </c>
      <c r="M974" s="9">
        <v>1.588767671022109E19</v>
      </c>
    </row>
    <row r="975" ht="15.75" customHeight="1">
      <c r="A975" s="8"/>
      <c r="B975" s="8"/>
      <c r="C975" s="8"/>
      <c r="D975" s="8">
        <v>27.9026907562088</v>
      </c>
      <c r="E975" s="9" t="s">
        <v>984</v>
      </c>
      <c r="I975" s="12" t="str">
        <f>IFERROR(__xludf.DUMMYFUNCTION("""COMPUTED_VALUE"""),"0x521745bfffd83d06169cc6124a0ce363b633e7fc")</f>
        <v>0x521745bfffd83d06169cc6124a0ce363b633e7fc</v>
      </c>
      <c r="J975" s="11">
        <v>35.15756820440661</v>
      </c>
      <c r="K975" s="12">
        <v>78.1279293431258</v>
      </c>
      <c r="L975" s="13">
        <v>7.81279293431258E19</v>
      </c>
      <c r="M975" s="9">
        <v>7.8127929343125801E18</v>
      </c>
    </row>
    <row r="976" ht="15.75" customHeight="1">
      <c r="A976" s="8"/>
      <c r="B976" s="8"/>
      <c r="C976" s="8"/>
      <c r="D976" s="8">
        <v>27.9026907562088</v>
      </c>
      <c r="E976" s="9" t="s">
        <v>985</v>
      </c>
      <c r="I976" s="12" t="str">
        <f>IFERROR(__xludf.DUMMYFUNCTION("""COMPUTED_VALUE"""),"0x5220c12a5a1ad95753d0785588ea0e6ea4ab4fdb")</f>
        <v>0x5220c12a5a1ad95753d0785588ea0e6ea4ab4fdb</v>
      </c>
      <c r="J976" s="11">
        <v>145.83695542868549</v>
      </c>
      <c r="K976" s="12">
        <v>324.08212317485663</v>
      </c>
      <c r="L976" s="13">
        <v>3.240821231748566E20</v>
      </c>
      <c r="M976" s="9">
        <v>3.2408212317485662E19</v>
      </c>
    </row>
    <row r="977" ht="15.75" customHeight="1">
      <c r="A977" s="8"/>
      <c r="B977" s="8"/>
      <c r="C977" s="8"/>
      <c r="D977" s="8">
        <v>27.9026907562088</v>
      </c>
      <c r="E977" s="9" t="s">
        <v>986</v>
      </c>
      <c r="I977" s="12" t="str">
        <f>IFERROR(__xludf.DUMMYFUNCTION("""COMPUTED_VALUE"""),"0x52283c3525bf7c77503b1f21c0064e6f2452d869")</f>
        <v>0x52283c3525bf7c77503b1f21c0064e6f2452d869</v>
      </c>
      <c r="J977" s="11">
        <v>102.874525359793</v>
      </c>
      <c r="K977" s="12">
        <v>228.61005635509554</v>
      </c>
      <c r="L977" s="13">
        <v>2.2861005635509554E20</v>
      </c>
      <c r="M977" s="9">
        <v>2.2861005635509555E19</v>
      </c>
    </row>
    <row r="978" ht="15.75" customHeight="1">
      <c r="A978" s="8"/>
      <c r="B978" s="8"/>
      <c r="C978" s="8"/>
      <c r="D978" s="8">
        <v>27.9026907562088</v>
      </c>
      <c r="E978" s="9" t="s">
        <v>987</v>
      </c>
      <c r="I978" s="12" t="str">
        <f>IFERROR(__xludf.DUMMYFUNCTION("""COMPUTED_VALUE"""),"0x524e2ff6d4a4df44ab70198b2e8849777ce6dd82")</f>
        <v>0x524e2ff6d4a4df44ab70198b2e8849777ce6dd82</v>
      </c>
      <c r="J978" s="11">
        <v>27.9026907562088</v>
      </c>
      <c r="K978" s="12">
        <v>62.005979458241775</v>
      </c>
      <c r="L978" s="13">
        <v>6.200597945824177E19</v>
      </c>
      <c r="M978" s="9">
        <v>6.2005979458241782E18</v>
      </c>
    </row>
    <row r="979" ht="15.75" customHeight="1">
      <c r="A979" s="8"/>
      <c r="B979" s="8"/>
      <c r="C979" s="8"/>
      <c r="D979" s="8">
        <v>27.6236388093301</v>
      </c>
      <c r="E979" s="9" t="s">
        <v>988</v>
      </c>
      <c r="I979" s="12" t="str">
        <f>IFERROR(__xludf.DUMMYFUNCTION("""COMPUTED_VALUE"""),"0x5279440f3019ea0730072a3fc1ae1411fbfa463c")</f>
        <v>0x5279440f3019ea0730072a3fc1ae1411fbfa463c</v>
      </c>
      <c r="J979" s="11">
        <v>27.6236388093301</v>
      </c>
      <c r="K979" s="12">
        <v>61.38586402073355</v>
      </c>
      <c r="L979" s="13">
        <v>6.138586402073355E19</v>
      </c>
      <c r="M979" s="9">
        <v>6.1385864020733553E18</v>
      </c>
    </row>
    <row r="980" ht="15.75" customHeight="1">
      <c r="A980" s="8"/>
      <c r="B980" s="8"/>
      <c r="C980" s="8"/>
      <c r="D980" s="8">
        <v>27.9026907562088</v>
      </c>
      <c r="E980" s="9" t="s">
        <v>989</v>
      </c>
      <c r="I980" s="12" t="str">
        <f>IFERROR(__xludf.DUMMYFUNCTION("""COMPUTED_VALUE"""),"0x52bbb73343be1548257b1ca3658c50a664929e75")</f>
        <v>0x52bbb73343be1548257b1ca3658c50a664929e75</v>
      </c>
      <c r="J980" s="11">
        <v>468.75831228432685</v>
      </c>
      <c r="K980" s="12">
        <v>1041.685138409615</v>
      </c>
      <c r="L980" s="13">
        <v>1.0416851384096151E21</v>
      </c>
      <c r="M980" s="9">
        <v>1.0416851384096152E20</v>
      </c>
    </row>
    <row r="981" ht="15.75" customHeight="1">
      <c r="A981" s="8"/>
      <c r="B981" s="8"/>
      <c r="C981" s="8"/>
      <c r="D981" s="8">
        <v>27.9026907562088</v>
      </c>
      <c r="E981" s="9" t="s">
        <v>990</v>
      </c>
      <c r="I981" s="12" t="str">
        <f>IFERROR(__xludf.DUMMYFUNCTION("""COMPUTED_VALUE"""),"0x52d8db4b65d2527b61120ce6f91b28a8a1904158")</f>
        <v>0x52d8db4b65d2527b61120ce6f91b28a8a1904158</v>
      </c>
      <c r="J981" s="11">
        <v>109.4825709253966</v>
      </c>
      <c r="K981" s="12">
        <v>243.29460205643687</v>
      </c>
      <c r="L981" s="13">
        <v>2.4329460205643688E20</v>
      </c>
      <c r="M981" s="9">
        <v>2.432946020564369E19</v>
      </c>
    </row>
    <row r="982" ht="15.75" customHeight="1">
      <c r="A982" s="8"/>
      <c r="B982" s="8"/>
      <c r="C982" s="8"/>
      <c r="D982" s="8">
        <v>27.9026907562088</v>
      </c>
      <c r="E982" s="9" t="s">
        <v>991</v>
      </c>
      <c r="I982" s="12" t="str">
        <f>IFERROR(__xludf.DUMMYFUNCTION("""COMPUTED_VALUE"""),"0x52dd6fa622679c5acfd00db6ae465b09dc1dc0fb")</f>
        <v>0x52dd6fa622679c5acfd00db6ae465b09dc1dc0fb</v>
      </c>
      <c r="J982" s="11">
        <v>27.9026907562088</v>
      </c>
      <c r="K982" s="12">
        <v>62.005979458241775</v>
      </c>
      <c r="L982" s="13">
        <v>6.200597945824177E19</v>
      </c>
      <c r="M982" s="9">
        <v>6.2005979458241782E18</v>
      </c>
    </row>
    <row r="983" ht="15.75" customHeight="1">
      <c r="A983" s="8"/>
      <c r="B983" s="8"/>
      <c r="C983" s="8"/>
      <c r="D983" s="8">
        <v>27.9026907562088</v>
      </c>
      <c r="E983" s="9" t="s">
        <v>992</v>
      </c>
      <c r="I983" s="12" t="str">
        <f>IFERROR(__xludf.DUMMYFUNCTION("""COMPUTED_VALUE"""),"0x52e0310535955d5992eb3557db15d1f2671c7cea")</f>
        <v>0x52e0310535955d5992eb3557db15d1f2671c7cea</v>
      </c>
      <c r="J983" s="11">
        <v>27.9026907562088</v>
      </c>
      <c r="K983" s="12">
        <v>62.005979458241775</v>
      </c>
      <c r="L983" s="13">
        <v>6.200597945824177E19</v>
      </c>
      <c r="M983" s="9">
        <v>6.2005979458241782E18</v>
      </c>
    </row>
    <row r="984" ht="15.75" customHeight="1">
      <c r="A984" s="8"/>
      <c r="B984" s="8"/>
      <c r="C984" s="8"/>
      <c r="D984" s="8">
        <v>27.9026907562088</v>
      </c>
      <c r="E984" s="9" t="s">
        <v>993</v>
      </c>
      <c r="I984" s="12" t="str">
        <f>IFERROR(__xludf.DUMMYFUNCTION("""COMPUTED_VALUE"""),"0x52ee34e4f18abb6829ff8c665f06f223c005b64e")</f>
        <v>0x52ee34e4f18abb6829ff8c665f06f223c005b64e</v>
      </c>
      <c r="J984" s="11">
        <v>27.9026907562088</v>
      </c>
      <c r="K984" s="12">
        <v>62.005979458241775</v>
      </c>
      <c r="L984" s="13">
        <v>6.200597945824177E19</v>
      </c>
      <c r="M984" s="9">
        <v>6.2005979458241782E18</v>
      </c>
    </row>
    <row r="985" ht="15.75" customHeight="1">
      <c r="A985" s="8"/>
      <c r="B985" s="8"/>
      <c r="C985" s="8"/>
      <c r="D985" s="8">
        <v>27.9026907562088</v>
      </c>
      <c r="E985" s="9" t="s">
        <v>994</v>
      </c>
      <c r="I985" s="12" t="str">
        <f>IFERROR(__xludf.DUMMYFUNCTION("""COMPUTED_VALUE"""),"0x52fb95892b630eb7ceff3ce0c58ec8de352315fb")</f>
        <v>0x52fb95892b630eb7ceff3ce0c58ec8de352315fb</v>
      </c>
      <c r="J985" s="11">
        <v>27.9026907562088</v>
      </c>
      <c r="K985" s="12">
        <v>62.005979458241775</v>
      </c>
      <c r="L985" s="13">
        <v>6.200597945824177E19</v>
      </c>
      <c r="M985" s="9">
        <v>6.2005979458241782E18</v>
      </c>
    </row>
    <row r="986" ht="15.75" customHeight="1">
      <c r="A986" s="8"/>
      <c r="B986" s="8"/>
      <c r="C986" s="8"/>
      <c r="D986" s="8">
        <v>27.0126556543301</v>
      </c>
      <c r="E986" s="9" t="s">
        <v>995</v>
      </c>
      <c r="I986" s="12" t="str">
        <f>IFERROR(__xludf.DUMMYFUNCTION("""COMPUTED_VALUE"""),"0x5300e0cb26f1236dfcc50e35ebed257794ee664e")</f>
        <v>0x5300e0cb26f1236dfcc50e35ebed257794ee664e</v>
      </c>
      <c r="J986" s="11">
        <v>88.4138670035296</v>
      </c>
      <c r="K986" s="12">
        <v>196.47526000784356</v>
      </c>
      <c r="L986" s="13">
        <v>1.9647526000784356E20</v>
      </c>
      <c r="M986" s="9">
        <v>1.9647526000784355E19</v>
      </c>
    </row>
    <row r="987" ht="15.75" customHeight="1">
      <c r="A987" s="8"/>
      <c r="B987" s="8"/>
      <c r="C987" s="8"/>
      <c r="D987" s="8">
        <v>18.4138420732958</v>
      </c>
      <c r="E987" s="9" t="s">
        <v>996</v>
      </c>
      <c r="I987" s="12" t="str">
        <f>IFERROR(__xludf.DUMMYFUNCTION("""COMPUTED_VALUE"""),"0x531a81e2ac2e8b3ece67f9a5ed79fbf88a3e99bd")</f>
        <v>0x531a81e2ac2e8b3ece67f9a5ed79fbf88a3e99bd</v>
      </c>
      <c r="J987" s="11">
        <v>18.4138420732958</v>
      </c>
      <c r="K987" s="12">
        <v>40.919649051768445</v>
      </c>
      <c r="L987" s="13">
        <v>4.091964905176845E19</v>
      </c>
      <c r="M987" s="9">
        <v>4.0919649051768448E18</v>
      </c>
    </row>
    <row r="988" ht="15.75" customHeight="1">
      <c r="A988" s="8"/>
      <c r="B988" s="8"/>
      <c r="C988" s="8"/>
      <c r="D988" s="8">
        <v>27.9026907562088</v>
      </c>
      <c r="E988" s="9" t="s">
        <v>997</v>
      </c>
      <c r="I988" s="12" t="str">
        <f>IFERROR(__xludf.DUMMYFUNCTION("""COMPUTED_VALUE"""),"0x53253be0489530fc5d6f0e8aca8b1c984a99f6cd")</f>
        <v>0x53253be0489530fc5d6f0e8aca8b1c984a99f6cd</v>
      </c>
      <c r="J988" s="11">
        <v>27.9026907562088</v>
      </c>
      <c r="K988" s="12">
        <v>62.005979458241775</v>
      </c>
      <c r="L988" s="13">
        <v>6.200597945824177E19</v>
      </c>
      <c r="M988" s="9">
        <v>6.2005979458241782E18</v>
      </c>
    </row>
    <row r="989" ht="15.75" customHeight="1">
      <c r="A989" s="8"/>
      <c r="B989" s="8"/>
      <c r="C989" s="8"/>
      <c r="D989" s="8">
        <v>24.0358949735879</v>
      </c>
      <c r="E989" s="9" t="s">
        <v>998</v>
      </c>
      <c r="I989" s="12" t="str">
        <f>IFERROR(__xludf.DUMMYFUNCTION("""COMPUTED_VALUE"""),"0x537cd454a32a69d781d274b462f6a2ea0c7cff3b")</f>
        <v>0x537cd454a32a69d781d274b462f6a2ea0c7cff3b</v>
      </c>
      <c r="J989" s="11">
        <v>24.0358949735879</v>
      </c>
      <c r="K989" s="12">
        <v>53.41309994130644</v>
      </c>
      <c r="L989" s="13">
        <v>5.341309994130644E19</v>
      </c>
      <c r="M989" s="9">
        <v>5.341309994130644E18</v>
      </c>
    </row>
    <row r="990" ht="15.75" customHeight="1">
      <c r="A990" s="8"/>
      <c r="B990" s="8"/>
      <c r="C990" s="8"/>
      <c r="D990" s="8">
        <v>10.6947536204977</v>
      </c>
      <c r="E990" s="9" t="s">
        <v>999</v>
      </c>
      <c r="I990" s="12" t="str">
        <f>IFERROR(__xludf.DUMMYFUNCTION("""COMPUTED_VALUE"""),"0x538086893f7e550bd20b0773ef6708ce706b1b36")</f>
        <v>0x538086893f7e550bd20b0773ef6708ce706b1b36</v>
      </c>
      <c r="J990" s="11">
        <v>10.6947536204977</v>
      </c>
      <c r="K990" s="12">
        <v>23.766119156661556</v>
      </c>
      <c r="L990" s="13">
        <v>2.3766119156661555E19</v>
      </c>
      <c r="M990" s="9">
        <v>2.3766119156661555E18</v>
      </c>
    </row>
    <row r="991" ht="15.75" customHeight="1">
      <c r="A991" s="8"/>
      <c r="B991" s="8"/>
      <c r="C991" s="8"/>
      <c r="D991" s="8">
        <v>27.9026907562088</v>
      </c>
      <c r="E991" s="9" t="s">
        <v>1000</v>
      </c>
      <c r="I991" s="12" t="str">
        <f>IFERROR(__xludf.DUMMYFUNCTION("""COMPUTED_VALUE"""),"0x5395e1b570d9d6a0636b55ae99d5fa99b2f0c2ef")</f>
        <v>0x5395e1b570d9d6a0636b55ae99d5fa99b2f0c2ef</v>
      </c>
      <c r="J991" s="11">
        <v>90.8835915613015</v>
      </c>
      <c r="K991" s="12">
        <v>201.9635368028922</v>
      </c>
      <c r="L991" s="13">
        <v>2.0196353680289222E20</v>
      </c>
      <c r="M991" s="9">
        <v>2.0196353680289223E19</v>
      </c>
    </row>
    <row r="992" ht="15.75" customHeight="1">
      <c r="A992" s="8"/>
      <c r="B992" s="8"/>
      <c r="C992" s="8"/>
      <c r="D992" s="8">
        <v>27.9026907562088</v>
      </c>
      <c r="E992" s="9" t="s">
        <v>1001</v>
      </c>
      <c r="I992" s="12" t="str">
        <f>IFERROR(__xludf.DUMMYFUNCTION("""COMPUTED_VALUE"""),"0x53a15a8c187820720b94463f31c57c641a564f13")</f>
        <v>0x53a15a8c187820720b94463f31c57c641a564f13</v>
      </c>
      <c r="J992" s="11">
        <v>91.46214174053178</v>
      </c>
      <c r="K992" s="12">
        <v>203.2492038678484</v>
      </c>
      <c r="L992" s="13">
        <v>2.032492038678484E20</v>
      </c>
      <c r="M992" s="9">
        <v>2.032492038678484E19</v>
      </c>
    </row>
    <row r="993" ht="15.75" customHeight="1">
      <c r="A993" s="8"/>
      <c r="B993" s="8"/>
      <c r="C993" s="8"/>
      <c r="D993" s="8">
        <v>24.3787554578709</v>
      </c>
      <c r="E993" s="9" t="s">
        <v>1002</v>
      </c>
      <c r="I993" s="12" t="str">
        <f>IFERROR(__xludf.DUMMYFUNCTION("""COMPUTED_VALUE"""),"0x53a919755400eb3fca5e41f08fd73fe73762a332")</f>
        <v>0x53a919755400eb3fca5e41f08fd73fe73762a332</v>
      </c>
      <c r="J993" s="11">
        <v>24.3787554578709</v>
      </c>
      <c r="K993" s="12">
        <v>54.17501212860199</v>
      </c>
      <c r="L993" s="13">
        <v>5.417501212860199E19</v>
      </c>
      <c r="M993" s="9">
        <v>5.4175012128601989E18</v>
      </c>
    </row>
    <row r="994" ht="15.75" customHeight="1">
      <c r="A994" s="8"/>
      <c r="B994" s="8"/>
      <c r="C994" s="8"/>
      <c r="D994" s="8">
        <v>27.9026907562088</v>
      </c>
      <c r="E994" s="9" t="s">
        <v>1003</v>
      </c>
      <c r="I994" s="12" t="str">
        <f>IFERROR(__xludf.DUMMYFUNCTION("""COMPUTED_VALUE"""),"0x53b027408374838e42725845d6252688871f2c26")</f>
        <v>0x53b027408374838e42725845d6252688871f2c26</v>
      </c>
      <c r="J994" s="11">
        <v>91.1199983031448</v>
      </c>
      <c r="K994" s="12">
        <v>202.48888511809955</v>
      </c>
      <c r="L994" s="13">
        <v>2.0248888511809955E20</v>
      </c>
      <c r="M994" s="9">
        <v>2.0248888511809958E19</v>
      </c>
    </row>
    <row r="995" ht="15.75" customHeight="1">
      <c r="A995" s="8"/>
      <c r="B995" s="8"/>
      <c r="C995" s="8"/>
      <c r="D995" s="8">
        <v>27.9026907562088</v>
      </c>
      <c r="E995" s="9" t="s">
        <v>1004</v>
      </c>
      <c r="I995" s="12" t="str">
        <f>IFERROR(__xludf.DUMMYFUNCTION("""COMPUTED_VALUE"""),"0x53bd5851bff3ea8cb43d334716337f350d2e5ef6")</f>
        <v>0x53bd5851bff3ea8cb43d334716337f350d2e5ef6</v>
      </c>
      <c r="J995" s="11">
        <v>155.86221637486898</v>
      </c>
      <c r="K995" s="12">
        <v>346.3604808330422</v>
      </c>
      <c r="L995" s="13">
        <v>3.463604808330422E20</v>
      </c>
      <c r="M995" s="9">
        <v>3.463604808330422E19</v>
      </c>
    </row>
    <row r="996" ht="15.75" customHeight="1">
      <c r="A996" s="8"/>
      <c r="B996" s="8"/>
      <c r="C996" s="8"/>
      <c r="D996" s="8">
        <v>27.3930367697479</v>
      </c>
      <c r="E996" s="9" t="s">
        <v>1005</v>
      </c>
      <c r="I996" s="12" t="str">
        <f>IFERROR(__xludf.DUMMYFUNCTION("""COMPUTED_VALUE"""),"0x53e594a136cdf414fa2dbc8448720e841b514d4d")</f>
        <v>0x53e594a136cdf414fa2dbc8448720e841b514d4d</v>
      </c>
      <c r="J996" s="11">
        <v>185.130415813676</v>
      </c>
      <c r="K996" s="12">
        <v>411.4009240303911</v>
      </c>
      <c r="L996" s="13">
        <v>4.114009240303911E20</v>
      </c>
      <c r="M996" s="9">
        <v>4.114009240303911E19</v>
      </c>
    </row>
    <row r="997" ht="15.75" customHeight="1">
      <c r="A997" s="8"/>
      <c r="B997" s="8"/>
      <c r="C997" s="8"/>
      <c r="D997" s="8">
        <v>27.9026907562088</v>
      </c>
      <c r="E997" s="9" t="s">
        <v>1006</v>
      </c>
      <c r="I997" s="12" t="str">
        <f>IFERROR(__xludf.DUMMYFUNCTION("""COMPUTED_VALUE"""),"0x53f32ec6b60db98f42ee1ce05c7975bf9be52c5c")</f>
        <v>0x53f32ec6b60db98f42ee1ce05c7975bf9be52c5c</v>
      </c>
      <c r="J997" s="11">
        <v>87.2895887518491</v>
      </c>
      <c r="K997" s="12">
        <v>193.97686389299798</v>
      </c>
      <c r="L997" s="13">
        <v>1.93976863892998E20</v>
      </c>
      <c r="M997" s="9">
        <v>1.9397686389299802E19</v>
      </c>
    </row>
    <row r="998" ht="15.75" customHeight="1">
      <c r="A998" s="8"/>
      <c r="B998" s="8"/>
      <c r="C998" s="8"/>
      <c r="D998" s="8">
        <v>27.9026907562088</v>
      </c>
      <c r="E998" s="9" t="s">
        <v>1007</v>
      </c>
      <c r="I998" s="12" t="str">
        <f>IFERROR(__xludf.DUMMYFUNCTION("""COMPUTED_VALUE"""),"0x540704880fda5fb01f8c9df238858420d28cb0a5")</f>
        <v>0x540704880fda5fb01f8c9df238858420d28cb0a5</v>
      </c>
      <c r="J998" s="11">
        <v>91.1199983031448</v>
      </c>
      <c r="K998" s="12">
        <v>202.48888511809955</v>
      </c>
      <c r="L998" s="13">
        <v>2.0248888511809955E20</v>
      </c>
      <c r="M998" s="9">
        <v>2.0248888511809958E19</v>
      </c>
    </row>
    <row r="999" ht="15.75" customHeight="1">
      <c r="A999" s="8"/>
      <c r="B999" s="8"/>
      <c r="C999" s="8"/>
      <c r="D999" s="8">
        <v>27.9026907562088</v>
      </c>
      <c r="E999" s="9" t="s">
        <v>1008</v>
      </c>
      <c r="I999" s="12" t="str">
        <f>IFERROR(__xludf.DUMMYFUNCTION("""COMPUTED_VALUE"""),"0x543f3b7233f461935255ba32f71b9d910f91f6a0")</f>
        <v>0x543f3b7233f461935255ba32f71b9d910f91f6a0</v>
      </c>
      <c r="J999" s="11">
        <v>53.1896137749832</v>
      </c>
      <c r="K999" s="12">
        <v>118.19914172218489</v>
      </c>
      <c r="L999" s="13">
        <v>1.181991417221849E20</v>
      </c>
      <c r="M999" s="9">
        <v>1.181991417221849E19</v>
      </c>
    </row>
    <row r="1000" ht="15.75" customHeight="1">
      <c r="A1000" s="8"/>
      <c r="B1000" s="8"/>
      <c r="C1000" s="8"/>
      <c r="D1000" s="8">
        <v>27.9026907562088</v>
      </c>
      <c r="E1000" s="9" t="s">
        <v>1009</v>
      </c>
      <c r="I1000" s="12" t="str">
        <f>IFERROR(__xludf.DUMMYFUNCTION("""COMPUTED_VALUE"""),"0x544834a2a9dc7f7299e0a59d48c3e4d0eab44bd6")</f>
        <v>0x544834a2a9dc7f7299e0a59d48c3e4d0eab44bd6</v>
      </c>
      <c r="J1000" s="11">
        <v>91.1199983031448</v>
      </c>
      <c r="K1000" s="12">
        <v>202.48888511809955</v>
      </c>
      <c r="L1000" s="13">
        <v>2.0248888511809955E20</v>
      </c>
      <c r="M1000" s="9">
        <v>2.0248888511809958E19</v>
      </c>
    </row>
    <row r="1001" ht="15.75" customHeight="1">
      <c r="A1001" s="8"/>
      <c r="B1001" s="8"/>
      <c r="C1001" s="8"/>
      <c r="D1001" s="8">
        <v>27.9026907562088</v>
      </c>
      <c r="E1001" s="9" t="s">
        <v>1010</v>
      </c>
      <c r="I1001" s="12" t="str">
        <f>IFERROR(__xludf.DUMMYFUNCTION("""COMPUTED_VALUE"""),"0x5455f1df3587d08f7fe9c58103f3481c4ab1e0d2")</f>
        <v>0x5455f1df3587d08f7fe9c58103f3481c4ab1e0d2</v>
      </c>
      <c r="J1001" s="11">
        <v>114.61091456972369</v>
      </c>
      <c r="K1001" s="12">
        <v>254.69092126605264</v>
      </c>
      <c r="L1001" s="13">
        <v>2.5469092126605263E20</v>
      </c>
      <c r="M1001" s="9">
        <v>2.5469092126605263E19</v>
      </c>
    </row>
    <row r="1002" ht="15.75" customHeight="1">
      <c r="A1002" s="8"/>
      <c r="B1002" s="8"/>
      <c r="C1002" s="8"/>
      <c r="D1002" s="8">
        <v>26.5316290059994</v>
      </c>
      <c r="E1002" s="9" t="s">
        <v>1011</v>
      </c>
      <c r="I1002" s="12" t="str">
        <f>IFERROR(__xludf.DUMMYFUNCTION("""COMPUTED_VALUE"""),"0x545dbbd0302e5700f46db9240c8d4ee97b53676d")</f>
        <v>0x545dbbd0302e5700f46db9240c8d4ee97b53676d</v>
      </c>
      <c r="J1002" s="11">
        <v>26.5316290059994</v>
      </c>
      <c r="K1002" s="12">
        <v>58.95917556888755</v>
      </c>
      <c r="L1002" s="13">
        <v>5.895917556888755E19</v>
      </c>
      <c r="M1002" s="9">
        <v>5.8959175568887562E18</v>
      </c>
    </row>
    <row r="1003" ht="15.75" customHeight="1">
      <c r="A1003" s="8"/>
      <c r="B1003" s="8"/>
      <c r="C1003" s="8"/>
      <c r="D1003" s="8">
        <v>27.9026907562088</v>
      </c>
      <c r="E1003" s="9" t="s">
        <v>1012</v>
      </c>
      <c r="I1003" s="12" t="str">
        <f>IFERROR(__xludf.DUMMYFUNCTION("""COMPUTED_VALUE"""),"0x545e484a27c4e6777bf9baab4c96f9e5e0d65fcd")</f>
        <v>0x545e484a27c4e6777bf9baab4c96f9e5e0d65fcd</v>
      </c>
      <c r="J1003" s="11">
        <v>91.1199983031448</v>
      </c>
      <c r="K1003" s="12">
        <v>202.48888511809955</v>
      </c>
      <c r="L1003" s="13">
        <v>2.0248888511809955E20</v>
      </c>
      <c r="M1003" s="9">
        <v>2.0248888511809958E19</v>
      </c>
    </row>
    <row r="1004" ht="15.75" customHeight="1">
      <c r="A1004" s="8"/>
      <c r="B1004" s="8"/>
      <c r="C1004" s="8"/>
      <c r="D1004" s="8">
        <v>27.9026907562088</v>
      </c>
      <c r="E1004" s="9" t="s">
        <v>1013</v>
      </c>
      <c r="I1004" s="12" t="str">
        <f>IFERROR(__xludf.DUMMYFUNCTION("""COMPUTED_VALUE"""),"0x5488836649bd66713c03c68a3c55a91fd0344e25")</f>
        <v>0x5488836649bd66713c03c68a3c55a91fd0344e25</v>
      </c>
      <c r="J1004" s="11">
        <v>27.9026907562088</v>
      </c>
      <c r="K1004" s="12">
        <v>62.005979458241775</v>
      </c>
      <c r="L1004" s="13">
        <v>6.200597945824177E19</v>
      </c>
      <c r="M1004" s="9">
        <v>6.2005979458241782E18</v>
      </c>
    </row>
    <row r="1005" ht="15.75" customHeight="1">
      <c r="A1005" s="8"/>
      <c r="B1005" s="8"/>
      <c r="C1005" s="8"/>
      <c r="D1005" s="8">
        <v>18.5055158959902</v>
      </c>
      <c r="E1005" s="9" t="s">
        <v>1014</v>
      </c>
      <c r="I1005" s="12" t="str">
        <f>IFERROR(__xludf.DUMMYFUNCTION("""COMPUTED_VALUE"""),"0x54d1af358856856f360985af975289cdf4b40863")</f>
        <v>0x54d1af358856856f360985af975289cdf4b40863</v>
      </c>
      <c r="J1005" s="11">
        <v>18.5055158959902</v>
      </c>
      <c r="K1005" s="12">
        <v>41.123368657756</v>
      </c>
      <c r="L1005" s="13">
        <v>4.1123368657756E19</v>
      </c>
      <c r="M1005" s="9">
        <v>4.1123368657755996E18</v>
      </c>
    </row>
    <row r="1006" ht="15.75" customHeight="1">
      <c r="A1006" s="8"/>
      <c r="B1006" s="8"/>
      <c r="C1006" s="8"/>
      <c r="D1006" s="8">
        <v>27.9026907562088</v>
      </c>
      <c r="E1006" s="9" t="s">
        <v>1015</v>
      </c>
      <c r="I1006" s="12" t="str">
        <f>IFERROR(__xludf.DUMMYFUNCTION("""COMPUTED_VALUE"""),"0x54dd4d1c08d410212599ac2a94f2be97468e5488")</f>
        <v>0x54dd4d1c08d410212599ac2a94f2be97468e5488</v>
      </c>
      <c r="J1006" s="11">
        <v>27.9026907562088</v>
      </c>
      <c r="K1006" s="12">
        <v>62.005979458241775</v>
      </c>
      <c r="L1006" s="13">
        <v>6.200597945824177E19</v>
      </c>
      <c r="M1006" s="9">
        <v>6.2005979458241782E18</v>
      </c>
    </row>
    <row r="1007" ht="15.75" customHeight="1">
      <c r="A1007" s="8"/>
      <c r="B1007" s="8"/>
      <c r="C1007" s="8"/>
      <c r="D1007" s="8">
        <v>27.9026907562088</v>
      </c>
      <c r="E1007" s="9" t="s">
        <v>1016</v>
      </c>
      <c r="I1007" s="12" t="str">
        <f>IFERROR(__xludf.DUMMYFUNCTION("""COMPUTED_VALUE"""),"0x54e36eb417b01c3e69e275975b06042481921ac2")</f>
        <v>0x54e36eb417b01c3e69e275975b06042481921ac2</v>
      </c>
      <c r="J1007" s="11">
        <v>27.9026907562088</v>
      </c>
      <c r="K1007" s="12">
        <v>62.005979458241775</v>
      </c>
      <c r="L1007" s="13">
        <v>6.200597945824177E19</v>
      </c>
      <c r="M1007" s="9">
        <v>6.2005979458241782E18</v>
      </c>
    </row>
    <row r="1008" ht="15.75" customHeight="1">
      <c r="A1008" s="8"/>
      <c r="B1008" s="8"/>
      <c r="C1008" s="8"/>
      <c r="D1008" s="8">
        <v>27.9026907562088</v>
      </c>
      <c r="E1008" s="9" t="s">
        <v>1017</v>
      </c>
      <c r="I1008" s="12" t="str">
        <f>IFERROR(__xludf.DUMMYFUNCTION("""COMPUTED_VALUE"""),"0x550d19253fb509fdbd67e1eb8b114107058131ef")</f>
        <v>0x550d19253fb509fdbd67e1eb8b114107058131ef</v>
      </c>
      <c r="J1008" s="11">
        <v>66.09684950011</v>
      </c>
      <c r="K1008" s="12">
        <v>146.88188777802222</v>
      </c>
      <c r="L1008" s="13">
        <v>1.4688188777802221E20</v>
      </c>
      <c r="M1008" s="9">
        <v>1.4688188777802222E19</v>
      </c>
    </row>
    <row r="1009" ht="15.75" customHeight="1">
      <c r="A1009" s="8"/>
      <c r="B1009" s="8"/>
      <c r="C1009" s="8"/>
      <c r="D1009" s="8">
        <v>22.1596725203497</v>
      </c>
      <c r="E1009" s="9" t="s">
        <v>1018</v>
      </c>
      <c r="I1009" s="12" t="str">
        <f>IFERROR(__xludf.DUMMYFUNCTION("""COMPUTED_VALUE"""),"0x552c4b7082f81fc312632f133c11d1edac9fbeee")</f>
        <v>0x552c4b7082f81fc312632f133c11d1edac9fbeee</v>
      </c>
      <c r="J1009" s="11">
        <v>22.1596725203497</v>
      </c>
      <c r="K1009" s="12">
        <v>49.243716711888226</v>
      </c>
      <c r="L1009" s="13">
        <v>4.9243716711888224E19</v>
      </c>
      <c r="M1009" s="9">
        <v>4.924371671188823E18</v>
      </c>
    </row>
    <row r="1010" ht="15.75" customHeight="1">
      <c r="A1010" s="8"/>
      <c r="B1010" s="8"/>
      <c r="C1010" s="8"/>
      <c r="D1010" s="8">
        <v>27.9026907562088</v>
      </c>
      <c r="E1010" s="9" t="s">
        <v>1019</v>
      </c>
      <c r="I1010" s="12" t="str">
        <f>IFERROR(__xludf.DUMMYFUNCTION("""COMPUTED_VALUE"""),"0x5595c66580a6c7c3a4c52c444174679ff3384e9f")</f>
        <v>0x5595c66580a6c7c3a4c52c444174679ff3384e9f</v>
      </c>
      <c r="J1010" s="11">
        <v>102.7947403298856</v>
      </c>
      <c r="K1010" s="12">
        <v>228.43275628863466</v>
      </c>
      <c r="L1010" s="13">
        <v>2.2843275628863465E20</v>
      </c>
      <c r="M1010" s="9">
        <v>2.2843275628863468E19</v>
      </c>
    </row>
    <row r="1011" ht="15.75" customHeight="1">
      <c r="A1011" s="8"/>
      <c r="B1011" s="8"/>
      <c r="C1011" s="8"/>
      <c r="D1011" s="8">
        <v>27.7176339894626</v>
      </c>
      <c r="E1011" s="9" t="s">
        <v>1020</v>
      </c>
      <c r="I1011" s="12" t="str">
        <f>IFERROR(__xludf.DUMMYFUNCTION("""COMPUTED_VALUE"""),"0x55ab1798a3c717d009671d3118894284d83a8ba9")</f>
        <v>0x55ab1798a3c717d009671d3118894284d83a8ba9</v>
      </c>
      <c r="J1011" s="11">
        <v>90.9349415363986</v>
      </c>
      <c r="K1011" s="12">
        <v>202.07764785866354</v>
      </c>
      <c r="L1011" s="13">
        <v>2.0207764785866356E20</v>
      </c>
      <c r="M1011" s="9">
        <v>2.0207764785866355E19</v>
      </c>
    </row>
    <row r="1012" ht="15.75" customHeight="1">
      <c r="A1012" s="8"/>
      <c r="B1012" s="8"/>
      <c r="C1012" s="8"/>
      <c r="D1012" s="8">
        <v>27.9026907562088</v>
      </c>
      <c r="E1012" s="9" t="s">
        <v>1021</v>
      </c>
      <c r="I1012" s="12" t="str">
        <f>IFERROR(__xludf.DUMMYFUNCTION("""COMPUTED_VALUE"""),"0x55b7abfca760de66b59c4708f48514aa98ea1d1a")</f>
        <v>0x55b7abfca760de66b59c4708f48514aa98ea1d1a</v>
      </c>
      <c r="J1012" s="11">
        <v>46.3130152488249</v>
      </c>
      <c r="K1012" s="12">
        <v>102.91781166405532</v>
      </c>
      <c r="L1012" s="13">
        <v>1.0291781166405532E20</v>
      </c>
      <c r="M1012" s="9">
        <v>1.0291781166405532E19</v>
      </c>
    </row>
    <row r="1013" ht="15.75" customHeight="1">
      <c r="A1013" s="8"/>
      <c r="B1013" s="8"/>
      <c r="C1013" s="8"/>
      <c r="D1013" s="8">
        <v>27.9026907562088</v>
      </c>
      <c r="E1013" s="9" t="s">
        <v>1022</v>
      </c>
      <c r="I1013" s="12" t="str">
        <f>IFERROR(__xludf.DUMMYFUNCTION("""COMPUTED_VALUE"""),"0x55c21bee01316394d5869f6d63a3658d2adde163")</f>
        <v>0x55c21bee01316394d5869f6d63a3658d2adde163</v>
      </c>
      <c r="J1013" s="11">
        <v>27.9026907562088</v>
      </c>
      <c r="K1013" s="12">
        <v>62.005979458241775</v>
      </c>
      <c r="L1013" s="13">
        <v>6.200597945824177E19</v>
      </c>
      <c r="M1013" s="9">
        <v>6.2005979458241782E18</v>
      </c>
    </row>
    <row r="1014" ht="15.75" customHeight="1">
      <c r="A1014" s="8"/>
      <c r="B1014" s="8"/>
      <c r="C1014" s="8"/>
      <c r="D1014" s="8">
        <v>27.9026907562088</v>
      </c>
      <c r="E1014" s="9" t="s">
        <v>1023</v>
      </c>
      <c r="I1014" s="12" t="str">
        <f>IFERROR(__xludf.DUMMYFUNCTION("""COMPUTED_VALUE"""),"0x55dcbfb2ded6829e614171b87368584186f32d65")</f>
        <v>0x55dcbfb2ded6829e614171b87368584186f32d65</v>
      </c>
      <c r="J1014" s="11">
        <v>27.9026907562088</v>
      </c>
      <c r="K1014" s="12">
        <v>62.005979458241775</v>
      </c>
      <c r="L1014" s="13">
        <v>6.200597945824177E19</v>
      </c>
      <c r="M1014" s="9">
        <v>6.2005979458241782E18</v>
      </c>
    </row>
    <row r="1015" ht="15.75" customHeight="1">
      <c r="A1015" s="8"/>
      <c r="B1015" s="8"/>
      <c r="C1015" s="8"/>
      <c r="D1015" s="8">
        <v>27.9026907562088</v>
      </c>
      <c r="E1015" s="9" t="s">
        <v>1024</v>
      </c>
      <c r="I1015" s="12" t="str">
        <f>IFERROR(__xludf.DUMMYFUNCTION("""COMPUTED_VALUE"""),"0x55f4b4197a9d6e93c70a32797d6c7f586a66ebb4")</f>
        <v>0x55f4b4197a9d6e93c70a32797d6c7f586a66ebb4</v>
      </c>
      <c r="J1015" s="11">
        <v>27.9026907562088</v>
      </c>
      <c r="K1015" s="12">
        <v>62.005979458241775</v>
      </c>
      <c r="L1015" s="13">
        <v>6.200597945824177E19</v>
      </c>
      <c r="M1015" s="9">
        <v>6.2005979458241782E18</v>
      </c>
    </row>
    <row r="1016" ht="15.75" customHeight="1">
      <c r="A1016" s="8"/>
      <c r="B1016" s="8"/>
      <c r="C1016" s="8"/>
      <c r="D1016" s="8">
        <v>27.9026907562088</v>
      </c>
      <c r="E1016" s="9" t="s">
        <v>1025</v>
      </c>
      <c r="I1016" s="12" t="str">
        <f>IFERROR(__xludf.DUMMYFUNCTION("""COMPUTED_VALUE"""),"0x55fb4180d61d42841d931628f081cde805651aef")</f>
        <v>0x55fb4180d61d42841d931628f081cde805651aef</v>
      </c>
      <c r="J1016" s="11">
        <v>27.9026907562088</v>
      </c>
      <c r="K1016" s="12">
        <v>62.005979458241775</v>
      </c>
      <c r="L1016" s="13">
        <v>6.200597945824177E19</v>
      </c>
      <c r="M1016" s="9">
        <v>6.2005979458241782E18</v>
      </c>
    </row>
    <row r="1017" ht="15.75" customHeight="1">
      <c r="A1017" s="8"/>
      <c r="B1017" s="8"/>
      <c r="C1017" s="8"/>
      <c r="D1017" s="8">
        <v>27.8856131080015</v>
      </c>
      <c r="E1017" s="9" t="s">
        <v>1026</v>
      </c>
      <c r="I1017" s="12" t="str">
        <f>IFERROR(__xludf.DUMMYFUNCTION("""COMPUTED_VALUE"""),"0x56024b0a0076e7bb33816766e7f449eadbe8d96e")</f>
        <v>0x56024b0a0076e7bb33816766e7f449eadbe8d96e</v>
      </c>
      <c r="J1017" s="11">
        <v>93.03446671923582</v>
      </c>
      <c r="K1017" s="12">
        <v>206.7432593760796</v>
      </c>
      <c r="L1017" s="13">
        <v>2.067432593760796E20</v>
      </c>
      <c r="M1017" s="9">
        <v>2.0674325937607963E19</v>
      </c>
    </row>
    <row r="1018" ht="15.75" customHeight="1">
      <c r="A1018" s="8"/>
      <c r="B1018" s="8"/>
      <c r="C1018" s="8"/>
      <c r="D1018" s="8">
        <v>27.9026907562088</v>
      </c>
      <c r="E1018" s="9" t="s">
        <v>1027</v>
      </c>
      <c r="I1018" s="12" t="str">
        <f>IFERROR(__xludf.DUMMYFUNCTION("""COMPUTED_VALUE"""),"0x560ae3e314f91f9038d8de0bc9538fee1c1b856a")</f>
        <v>0x560ae3e314f91f9038d8de0bc9538fee1c1b856a</v>
      </c>
      <c r="J1018" s="11">
        <v>27.9026907562088</v>
      </c>
      <c r="K1018" s="12">
        <v>62.005979458241775</v>
      </c>
      <c r="L1018" s="13">
        <v>6.200597945824177E19</v>
      </c>
      <c r="M1018" s="9">
        <v>6.2005979458241782E18</v>
      </c>
    </row>
    <row r="1019" ht="15.75" customHeight="1">
      <c r="A1019" s="8"/>
      <c r="B1019" s="8"/>
      <c r="C1019" s="8"/>
      <c r="D1019" s="8">
        <v>27.9026907562088</v>
      </c>
      <c r="E1019" s="9" t="s">
        <v>1028</v>
      </c>
      <c r="I1019" s="12" t="str">
        <f>IFERROR(__xludf.DUMMYFUNCTION("""COMPUTED_VALUE"""),"0x562a2145d7cda12187f222127ac0ac390df93afb")</f>
        <v>0x562a2145d7cda12187f222127ac0ac390df93afb</v>
      </c>
      <c r="J1019" s="11">
        <v>27.9026907562088</v>
      </c>
      <c r="K1019" s="12">
        <v>62.005979458241775</v>
      </c>
      <c r="L1019" s="13">
        <v>6.200597945824177E19</v>
      </c>
      <c r="M1019" s="9">
        <v>6.2005979458241782E18</v>
      </c>
    </row>
    <row r="1020" ht="15.75" customHeight="1">
      <c r="A1020" s="8"/>
      <c r="B1020" s="8"/>
      <c r="C1020" s="8"/>
      <c r="D1020" s="8">
        <v>22.9215716451143</v>
      </c>
      <c r="E1020" s="9" t="s">
        <v>1029</v>
      </c>
      <c r="I1020" s="12" t="str">
        <f>IFERROR(__xludf.DUMMYFUNCTION("""COMPUTED_VALUE"""),"0x5642c5b06fad677dac1cde9f00f8f1e16508d7fc")</f>
        <v>0x5642c5b06fad677dac1cde9f00f8f1e16508d7fc</v>
      </c>
      <c r="J1020" s="11">
        <v>78.34031072159475</v>
      </c>
      <c r="K1020" s="12">
        <v>174.08957938132167</v>
      </c>
      <c r="L1020" s="13">
        <v>1.7408957938132166E20</v>
      </c>
      <c r="M1020" s="9">
        <v>1.7408957938132167E19</v>
      </c>
    </row>
    <row r="1021" ht="15.75" customHeight="1">
      <c r="A1021" s="8"/>
      <c r="B1021" s="8"/>
      <c r="C1021" s="8"/>
      <c r="D1021" s="8">
        <v>27.3537355245811</v>
      </c>
      <c r="E1021" s="9" t="s">
        <v>1030</v>
      </c>
      <c r="I1021" s="12" t="str">
        <f>IFERROR(__xludf.DUMMYFUNCTION("""COMPUTED_VALUE"""),"0x5681ecea0db8b048f165842709524a6080625cd4")</f>
        <v>0x5681ecea0db8b048f165842709524a6080625cd4</v>
      </c>
      <c r="J1021" s="11">
        <v>27.3537355245811</v>
      </c>
      <c r="K1021" s="12">
        <v>60.78607894351356</v>
      </c>
      <c r="L1021" s="13">
        <v>6.078607894351356E19</v>
      </c>
      <c r="M1021" s="9">
        <v>6.0786078943513559E18</v>
      </c>
    </row>
    <row r="1022" ht="15.75" customHeight="1">
      <c r="A1022" s="8"/>
      <c r="B1022" s="8"/>
      <c r="C1022" s="8"/>
      <c r="D1022" s="8">
        <v>27.9026907562088</v>
      </c>
      <c r="E1022" s="9" t="s">
        <v>1031</v>
      </c>
      <c r="I1022" s="12" t="str">
        <f>IFERROR(__xludf.DUMMYFUNCTION("""COMPUTED_VALUE"""),"0x569747b1202ca94cfd1034954fc65a2986326af1")</f>
        <v>0x569747b1202ca94cfd1034954fc65a2986326af1</v>
      </c>
      <c r="J1022" s="11">
        <v>102.0164241947696</v>
      </c>
      <c r="K1022" s="12">
        <v>226.70316487726578</v>
      </c>
      <c r="L1022" s="13">
        <v>2.2670316487726576E20</v>
      </c>
      <c r="M1022" s="9">
        <v>2.267031648772658E19</v>
      </c>
    </row>
    <row r="1023" ht="15.75" customHeight="1">
      <c r="A1023" s="8"/>
      <c r="B1023" s="8"/>
      <c r="C1023" s="8"/>
      <c r="D1023" s="8">
        <v>18.3270489160533</v>
      </c>
      <c r="E1023" s="9" t="s">
        <v>1032</v>
      </c>
      <c r="I1023" s="12" t="str">
        <f>IFERROR(__xludf.DUMMYFUNCTION("""COMPUTED_VALUE"""),"0x56eb457fde8a1f0454a887d730663b5c7aa59cb5")</f>
        <v>0x56eb457fde8a1f0454a887d730663b5c7aa59cb5</v>
      </c>
      <c r="J1023" s="11">
        <v>18.3270489160533</v>
      </c>
      <c r="K1023" s="12">
        <v>40.726775369007335</v>
      </c>
      <c r="L1023" s="13">
        <v>4.072677536900733E19</v>
      </c>
      <c r="M1023" s="9">
        <v>4.0726775369007334E18</v>
      </c>
    </row>
    <row r="1024" ht="15.75" customHeight="1">
      <c r="A1024" s="8"/>
      <c r="B1024" s="8"/>
      <c r="C1024" s="8"/>
      <c r="D1024" s="8">
        <v>27.9026907562088</v>
      </c>
      <c r="E1024" s="9" t="s">
        <v>1033</v>
      </c>
      <c r="I1024" s="12" t="str">
        <f>IFERROR(__xludf.DUMMYFUNCTION("""COMPUTED_VALUE"""),"0x56fa129fadc28387319b0770ffd4022f3d27ebc0")</f>
        <v>0x56fa129fadc28387319b0770ffd4022f3d27ebc0</v>
      </c>
      <c r="J1024" s="11">
        <v>91.1199983031448</v>
      </c>
      <c r="K1024" s="12">
        <v>202.48888511809955</v>
      </c>
      <c r="L1024" s="13">
        <v>2.0248888511809955E20</v>
      </c>
      <c r="M1024" s="9">
        <v>2.0248888511809958E19</v>
      </c>
    </row>
    <row r="1025" ht="15.75" customHeight="1">
      <c r="A1025" s="8"/>
      <c r="B1025" s="8"/>
      <c r="C1025" s="8"/>
      <c r="D1025" s="8">
        <v>23.1536239980829</v>
      </c>
      <c r="E1025" s="9" t="s">
        <v>1034</v>
      </c>
      <c r="I1025" s="12" t="str">
        <f>IFERROR(__xludf.DUMMYFUNCTION("""COMPUTED_VALUE"""),"0x5704cb1820888d50753c2f9802dd80ee6a7347f9")</f>
        <v>0x5704cb1820888d50753c2f9802dd80ee6a7347f9</v>
      </c>
      <c r="J1025" s="11">
        <v>42.868907559425395</v>
      </c>
      <c r="K1025" s="12">
        <v>95.26423902094533</v>
      </c>
      <c r="L1025" s="13">
        <v>9.526423902094533E19</v>
      </c>
      <c r="M1025" s="9">
        <v>9.526423902094533E18</v>
      </c>
    </row>
    <row r="1026" ht="15.75" customHeight="1">
      <c r="A1026" s="8"/>
      <c r="B1026" s="8"/>
      <c r="C1026" s="8"/>
      <c r="D1026" s="8">
        <v>27.9026907562088</v>
      </c>
      <c r="E1026" s="9" t="s">
        <v>1035</v>
      </c>
      <c r="I1026" s="12" t="str">
        <f>IFERROR(__xludf.DUMMYFUNCTION("""COMPUTED_VALUE"""),"0x5725087983afedd5f91bc5a515c03bf46434273a")</f>
        <v>0x5725087983afedd5f91bc5a515c03bf46434273a</v>
      </c>
      <c r="J1026" s="11">
        <v>91.1199983031448</v>
      </c>
      <c r="K1026" s="12">
        <v>202.48888511809955</v>
      </c>
      <c r="L1026" s="13">
        <v>2.0248888511809955E20</v>
      </c>
      <c r="M1026" s="9">
        <v>2.0248888511809958E19</v>
      </c>
    </row>
    <row r="1027" ht="15.75" customHeight="1">
      <c r="A1027" s="8"/>
      <c r="B1027" s="8"/>
      <c r="C1027" s="8"/>
      <c r="D1027" s="8">
        <v>27.9026907562088</v>
      </c>
      <c r="E1027" s="9" t="s">
        <v>1036</v>
      </c>
      <c r="I1027" s="12" t="str">
        <f>IFERROR(__xludf.DUMMYFUNCTION("""COMPUTED_VALUE"""),"0x574f7be4b33f7a0f8384592c8740b0e9a91036b6")</f>
        <v>0x574f7be4b33f7a0f8384592c8740b0e9a91036b6</v>
      </c>
      <c r="J1027" s="11">
        <v>102.377218891494</v>
      </c>
      <c r="K1027" s="12">
        <v>227.50493086998665</v>
      </c>
      <c r="L1027" s="13">
        <v>2.2750493086998666E20</v>
      </c>
      <c r="M1027" s="9">
        <v>2.2750493086998667E19</v>
      </c>
    </row>
    <row r="1028" ht="15.75" customHeight="1">
      <c r="A1028" s="8"/>
      <c r="B1028" s="8"/>
      <c r="C1028" s="8"/>
      <c r="D1028" s="8">
        <v>14.4396633095815</v>
      </c>
      <c r="E1028" s="9" t="s">
        <v>1037</v>
      </c>
      <c r="I1028" s="12" t="str">
        <f>IFERROR(__xludf.DUMMYFUNCTION("""COMPUTED_VALUE"""),"0x575fa7ac7e4fcfdd66ed62602ff28b0fcec47ad7")</f>
        <v>0x575fa7ac7e4fcfdd66ed62602ff28b0fcec47ad7</v>
      </c>
      <c r="J1028" s="11">
        <v>14.4396633095815</v>
      </c>
      <c r="K1028" s="12">
        <v>32.088140687958884</v>
      </c>
      <c r="L1028" s="13">
        <v>3.2088140687958884E19</v>
      </c>
      <c r="M1028" s="9">
        <v>3.2088140687958886E18</v>
      </c>
    </row>
    <row r="1029" ht="15.75" customHeight="1">
      <c r="A1029" s="8"/>
      <c r="B1029" s="8"/>
      <c r="C1029" s="8"/>
      <c r="D1029" s="8">
        <v>27.9026907562088</v>
      </c>
      <c r="E1029" s="9" t="s">
        <v>1038</v>
      </c>
      <c r="I1029" s="12" t="str">
        <f>IFERROR(__xludf.DUMMYFUNCTION("""COMPUTED_VALUE"""),"0x5786b05e3b7ee260c766d4110a76d93598b6af16")</f>
        <v>0x5786b05e3b7ee260c766d4110a76d93598b6af16</v>
      </c>
      <c r="J1029" s="11">
        <v>534.7542704403328</v>
      </c>
      <c r="K1029" s="12">
        <v>1188.3428232007395</v>
      </c>
      <c r="L1029" s="13">
        <v>1.1883428232007396E21</v>
      </c>
      <c r="M1029" s="9">
        <v>1.1883428232007397E20</v>
      </c>
    </row>
    <row r="1030" ht="15.75" customHeight="1">
      <c r="A1030" s="8"/>
      <c r="B1030" s="8"/>
      <c r="C1030" s="8"/>
      <c r="D1030" s="8">
        <v>27.9026907562088</v>
      </c>
      <c r="E1030" s="9" t="s">
        <v>1039</v>
      </c>
      <c r="I1030" s="12" t="str">
        <f>IFERROR(__xludf.DUMMYFUNCTION("""COMPUTED_VALUE"""),"0x578fed7024fe2049952e60a36df0795fc4286c0f")</f>
        <v>0x578fed7024fe2049952e60a36df0795fc4286c0f</v>
      </c>
      <c r="J1030" s="11">
        <v>27.9026907562088</v>
      </c>
      <c r="K1030" s="12">
        <v>62.005979458241775</v>
      </c>
      <c r="L1030" s="13">
        <v>6.200597945824177E19</v>
      </c>
      <c r="M1030" s="9">
        <v>6.2005979458241782E18</v>
      </c>
    </row>
    <row r="1031" ht="15.75" customHeight="1">
      <c r="A1031" s="8"/>
      <c r="B1031" s="8"/>
      <c r="C1031" s="8"/>
      <c r="D1031" s="8">
        <v>27.9026907562088</v>
      </c>
      <c r="E1031" s="9" t="s">
        <v>1040</v>
      </c>
      <c r="I1031" s="12" t="str">
        <f>IFERROR(__xludf.DUMMYFUNCTION("""COMPUTED_VALUE"""),"0x5799dd2b9f02c52c28c0cb78929a7a624f2bdd0e")</f>
        <v>0x5799dd2b9f02c52c28c0cb78929a7a624f2bdd0e</v>
      </c>
      <c r="J1031" s="11">
        <v>102.7947403298856</v>
      </c>
      <c r="K1031" s="12">
        <v>228.43275628863466</v>
      </c>
      <c r="L1031" s="13">
        <v>2.2843275628863465E20</v>
      </c>
      <c r="M1031" s="9">
        <v>2.2843275628863468E19</v>
      </c>
    </row>
    <row r="1032" ht="15.75" customHeight="1">
      <c r="A1032" s="8"/>
      <c r="B1032" s="8"/>
      <c r="C1032" s="8"/>
      <c r="D1032" s="8">
        <v>17.867489720296</v>
      </c>
      <c r="E1032" s="9" t="s">
        <v>1041</v>
      </c>
      <c r="I1032" s="12" t="str">
        <f>IFERROR(__xludf.DUMMYFUNCTION("""COMPUTED_VALUE"""),"0x57a13c73d9673ea8da75757751cc808464ac7cfc")</f>
        <v>0x57a13c73d9673ea8da75757751cc808464ac7cfc</v>
      </c>
      <c r="J1032" s="11">
        <v>17.867489720296</v>
      </c>
      <c r="K1032" s="12">
        <v>39.70553271176889</v>
      </c>
      <c r="L1032" s="13">
        <v>3.970553271176889E19</v>
      </c>
      <c r="M1032" s="9">
        <v>3.9705532711768893E18</v>
      </c>
    </row>
    <row r="1033" ht="15.75" customHeight="1">
      <c r="A1033" s="8"/>
      <c r="B1033" s="8"/>
      <c r="C1033" s="8"/>
      <c r="D1033" s="8">
        <v>2.85965705010016</v>
      </c>
      <c r="E1033" s="9" t="s">
        <v>1042</v>
      </c>
      <c r="I1033" s="12" t="str">
        <f>IFERROR(__xludf.DUMMYFUNCTION("""COMPUTED_VALUE"""),"0x57a36e40a540fb1744cc30d47d2c7e5888110c5d")</f>
        <v>0x57a36e40a540fb1744cc30d47d2c7e5888110c5d</v>
      </c>
      <c r="J1033" s="11">
        <v>9.53797000791225</v>
      </c>
      <c r="K1033" s="12">
        <v>21.195488906471667</v>
      </c>
      <c r="L1033" s="13">
        <v>2.1195488906471666E19</v>
      </c>
      <c r="M1033" s="9">
        <v>2.11954889064716672E18</v>
      </c>
    </row>
    <row r="1034" ht="15.75" customHeight="1">
      <c r="A1034" s="8"/>
      <c r="B1034" s="8"/>
      <c r="C1034" s="8"/>
      <c r="D1034" s="8">
        <v>27.9026907562088</v>
      </c>
      <c r="E1034" s="9" t="s">
        <v>1043</v>
      </c>
      <c r="I1034" s="12" t="str">
        <f>IFERROR(__xludf.DUMMYFUNCTION("""COMPUTED_VALUE"""),"0x57dfee5388a47bf4d5b0cb8f49b96845288c24cc")</f>
        <v>0x57dfee5388a47bf4d5b0cb8f49b96845288c24cc</v>
      </c>
      <c r="J1034" s="11">
        <v>51.9862012412522</v>
      </c>
      <c r="K1034" s="12">
        <v>115.52489164722712</v>
      </c>
      <c r="L1034" s="13">
        <v>1.1552489164722712E20</v>
      </c>
      <c r="M1034" s="9">
        <v>1.1552489164722713E19</v>
      </c>
    </row>
    <row r="1035" ht="15.75" customHeight="1">
      <c r="A1035" s="8"/>
      <c r="B1035" s="8"/>
      <c r="C1035" s="8"/>
      <c r="D1035" s="8">
        <v>27.9026907562088</v>
      </c>
      <c r="E1035" s="9" t="s">
        <v>1044</v>
      </c>
      <c r="I1035" s="12" t="str">
        <f>IFERROR(__xludf.DUMMYFUNCTION("""COMPUTED_VALUE"""),"0x57e322e7fdb7da1aab19e7acf3f50b56a9e724e3")</f>
        <v>0x57e322e7fdb7da1aab19e7acf3f50b56a9e724e3</v>
      </c>
      <c r="J1035" s="11">
        <v>91.0895897022562</v>
      </c>
      <c r="K1035" s="12">
        <v>202.42131044945822</v>
      </c>
      <c r="L1035" s="13">
        <v>2.0242131044945822E20</v>
      </c>
      <c r="M1035" s="9">
        <v>2.024213104494582E19</v>
      </c>
    </row>
    <row r="1036" ht="15.75" customHeight="1">
      <c r="A1036" s="8"/>
      <c r="B1036" s="8"/>
      <c r="C1036" s="8"/>
      <c r="D1036" s="8">
        <v>25.1145399224544</v>
      </c>
      <c r="E1036" s="9" t="s">
        <v>1045</v>
      </c>
      <c r="I1036" s="12" t="str">
        <f>IFERROR(__xludf.DUMMYFUNCTION("""COMPUTED_VALUE"""),"0x57e350cdcfea3ab5ed826dbe5839e63bec55b27a")</f>
        <v>0x57e350cdcfea3ab5ed826dbe5839e63bec55b27a</v>
      </c>
      <c r="J1036" s="11">
        <v>25.1145399224544</v>
      </c>
      <c r="K1036" s="12">
        <v>55.81008871656533</v>
      </c>
      <c r="L1036" s="13">
        <v>5.581008871656533E19</v>
      </c>
      <c r="M1036" s="9">
        <v>5.581008871656534E18</v>
      </c>
    </row>
    <row r="1037" ht="15.75" customHeight="1">
      <c r="A1037" s="8"/>
      <c r="B1037" s="8"/>
      <c r="C1037" s="8"/>
      <c r="D1037" s="8">
        <v>3.00547329667409</v>
      </c>
      <c r="E1037" s="9" t="s">
        <v>1046</v>
      </c>
      <c r="I1037" s="12" t="str">
        <f>IFERROR(__xludf.DUMMYFUNCTION("""COMPUTED_VALUE"""),"0x57f49d0d8807552417bcb4b4e478bf837ecc6794")</f>
        <v>0x57f49d0d8807552417bcb4b4e478bf837ecc6794</v>
      </c>
      <c r="J1037" s="11">
        <v>3.00547329667409</v>
      </c>
      <c r="K1037" s="12">
        <v>6.678829548164645</v>
      </c>
      <c r="L1037" s="13">
        <v>6.6788295481646449E18</v>
      </c>
      <c r="M1037" s="9">
        <v>6.6788295481646451E17</v>
      </c>
    </row>
    <row r="1038" ht="15.75" customHeight="1">
      <c r="A1038" s="8"/>
      <c r="B1038" s="8"/>
      <c r="C1038" s="8"/>
      <c r="D1038" s="8">
        <v>25.1587805888652</v>
      </c>
      <c r="E1038" s="9" t="s">
        <v>1047</v>
      </c>
      <c r="I1038" s="12" t="str">
        <f>IFERROR(__xludf.DUMMYFUNCTION("""COMPUTED_VALUE"""),"0x57fd7f139d1606e83a2d1a4e17b869bd713cce11")</f>
        <v>0x57fd7f139d1606e83a2d1a4e17b869bd713cce11</v>
      </c>
      <c r="J1038" s="11">
        <v>25.1587805888652</v>
      </c>
      <c r="K1038" s="12">
        <v>55.908401308589326</v>
      </c>
      <c r="L1038" s="13">
        <v>5.590840130858933E19</v>
      </c>
      <c r="M1038" s="9">
        <v>5.5908401308589332E18</v>
      </c>
    </row>
    <row r="1039" ht="15.75" customHeight="1">
      <c r="A1039" s="8"/>
      <c r="B1039" s="8"/>
      <c r="C1039" s="8"/>
      <c r="D1039" s="8">
        <v>27.9026907562088</v>
      </c>
      <c r="E1039" s="9" t="s">
        <v>1048</v>
      </c>
      <c r="I1039" s="12" t="str">
        <f>IFERROR(__xludf.DUMMYFUNCTION("""COMPUTED_VALUE"""),"0x58038bccdc3773f52a4571d009b0637abc435d99")</f>
        <v>0x58038bccdc3773f52a4571d009b0637abc435d99</v>
      </c>
      <c r="J1039" s="11">
        <v>32.55018239272581</v>
      </c>
      <c r="K1039" s="12">
        <v>72.3337386505018</v>
      </c>
      <c r="L1039" s="13">
        <v>7.23337386505018E19</v>
      </c>
      <c r="M1039" s="9">
        <v>7.2333738650501806E18</v>
      </c>
    </row>
    <row r="1040" ht="15.75" customHeight="1">
      <c r="A1040" s="8"/>
      <c r="B1040" s="8"/>
      <c r="C1040" s="8"/>
      <c r="D1040" s="8">
        <v>27.9026907562088</v>
      </c>
      <c r="E1040" s="9" t="s">
        <v>1049</v>
      </c>
      <c r="I1040" s="12" t="str">
        <f>IFERROR(__xludf.DUMMYFUNCTION("""COMPUTED_VALUE"""),"0x580eaaf1dd109c187f37b391519c05ef6c025650")</f>
        <v>0x580eaaf1dd109c187f37b391519c05ef6c025650</v>
      </c>
      <c r="J1040" s="11">
        <v>91.1199983031448</v>
      </c>
      <c r="K1040" s="12">
        <v>202.48888511809955</v>
      </c>
      <c r="L1040" s="13">
        <v>2.0248888511809955E20</v>
      </c>
      <c r="M1040" s="9">
        <v>2.0248888511809958E19</v>
      </c>
    </row>
    <row r="1041" ht="15.75" customHeight="1">
      <c r="A1041" s="8"/>
      <c r="B1041" s="8"/>
      <c r="C1041" s="8"/>
      <c r="D1041" s="8">
        <v>12.1867678759008</v>
      </c>
      <c r="E1041" s="9" t="s">
        <v>1050</v>
      </c>
      <c r="I1041" s="12" t="str">
        <f>IFERROR(__xludf.DUMMYFUNCTION("""COMPUTED_VALUE"""),"0x5817d799d056bc6f2908bb413dca1ddf993b9281")</f>
        <v>0x5817d799d056bc6f2908bb413dca1ddf993b9281</v>
      </c>
      <c r="J1041" s="11">
        <v>12.1867678759008</v>
      </c>
      <c r="K1041" s="12">
        <v>27.081706390890666</v>
      </c>
      <c r="L1041" s="13">
        <v>2.708170639089067E19</v>
      </c>
      <c r="M1041" s="9">
        <v>2.708170639089067E18</v>
      </c>
    </row>
    <row r="1042" ht="15.75" customHeight="1">
      <c r="A1042" s="8"/>
      <c r="B1042" s="8"/>
      <c r="C1042" s="8"/>
      <c r="D1042" s="8">
        <v>25.363637192495</v>
      </c>
      <c r="E1042" s="9" t="s">
        <v>1051</v>
      </c>
      <c r="I1042" s="12" t="str">
        <f>IFERROR(__xludf.DUMMYFUNCTION("""COMPUTED_VALUE"""),"0x5843f052d04ed2b605a6f4077a5b8135576bb0aa")</f>
        <v>0x5843f052d04ed2b605a6f4077a5b8135576bb0aa</v>
      </c>
      <c r="J1042" s="11">
        <v>25.363637192495</v>
      </c>
      <c r="K1042" s="12">
        <v>56.36363820554444</v>
      </c>
      <c r="L1042" s="13">
        <v>5.636363820554444E19</v>
      </c>
      <c r="M1042" s="9">
        <v>5.6363638205544448E18</v>
      </c>
    </row>
    <row r="1043" ht="15.75" customHeight="1">
      <c r="A1043" s="8"/>
      <c r="B1043" s="8"/>
      <c r="C1043" s="8"/>
      <c r="D1043" s="8">
        <v>26.3101590767379</v>
      </c>
      <c r="E1043" s="9" t="s">
        <v>1052</v>
      </c>
      <c r="I1043" s="12" t="str">
        <f>IFERROR(__xludf.DUMMYFUNCTION("""COMPUTED_VALUE"""),"0x58465b612f038f76b4ba88d1681dceb3cf32899c")</f>
        <v>0x58465b612f038f76b4ba88d1681dceb3cf32899c</v>
      </c>
      <c r="J1043" s="11">
        <v>86.2416144826763</v>
      </c>
      <c r="K1043" s="12">
        <v>191.6480321837251</v>
      </c>
      <c r="L1043" s="13">
        <v>1.916480321837251E20</v>
      </c>
      <c r="M1043" s="9">
        <v>1.916480321837251E19</v>
      </c>
    </row>
    <row r="1044" ht="15.75" customHeight="1">
      <c r="A1044" s="8"/>
      <c r="B1044" s="8"/>
      <c r="C1044" s="8"/>
      <c r="D1044" s="8">
        <v>27.9026907562088</v>
      </c>
      <c r="E1044" s="9" t="s">
        <v>1053</v>
      </c>
      <c r="I1044" s="12" t="str">
        <f>IFERROR(__xludf.DUMMYFUNCTION("""COMPUTED_VALUE"""),"0x58515bbb177b14fcabd2134a494c67f38534f9c6")</f>
        <v>0x58515bbb177b14fcabd2134a494c67f38534f9c6</v>
      </c>
      <c r="J1044" s="11">
        <v>27.9026907562088</v>
      </c>
      <c r="K1044" s="12">
        <v>62.005979458241775</v>
      </c>
      <c r="L1044" s="13">
        <v>6.200597945824177E19</v>
      </c>
      <c r="M1044" s="9">
        <v>6.2005979458241782E18</v>
      </c>
    </row>
    <row r="1045" ht="15.75" customHeight="1">
      <c r="A1045" s="8"/>
      <c r="B1045" s="8"/>
      <c r="C1045" s="8"/>
      <c r="D1045" s="8">
        <v>27.3246994776645</v>
      </c>
      <c r="E1045" s="9" t="s">
        <v>1054</v>
      </c>
      <c r="I1045" s="12" t="str">
        <f>IFERROR(__xludf.DUMMYFUNCTION("""COMPUTED_VALUE"""),"0x586050ed1bc3360b2d31792c041c3b099f413dbc")</f>
        <v>0x586050ed1bc3360b2d31792c041c3b099f413dbc</v>
      </c>
      <c r="J1045" s="11">
        <v>27.3246994776645</v>
      </c>
      <c r="K1045" s="12">
        <v>60.72155439481</v>
      </c>
      <c r="L1045" s="13">
        <v>6.072155439481E19</v>
      </c>
      <c r="M1045" s="9">
        <v>6.0721554394809999E18</v>
      </c>
    </row>
    <row r="1046" ht="15.75" customHeight="1">
      <c r="A1046" s="8"/>
      <c r="B1046" s="8"/>
      <c r="C1046" s="8"/>
      <c r="D1046" s="8">
        <v>27.9026907562088</v>
      </c>
      <c r="E1046" s="9" t="s">
        <v>1055</v>
      </c>
      <c r="I1046" s="12" t="str">
        <f>IFERROR(__xludf.DUMMYFUNCTION("""COMPUTED_VALUE"""),"0x5862a5cbab3c17a5e1d8171a5a72638b5cd75cd4")</f>
        <v>0x5862a5cbab3c17a5e1d8171a5a72638b5cd75cd4</v>
      </c>
      <c r="J1046" s="11">
        <v>173.8668400245411</v>
      </c>
      <c r="K1046" s="12">
        <v>386.3707556100913</v>
      </c>
      <c r="L1046" s="13">
        <v>3.863707556100913E20</v>
      </c>
      <c r="M1046" s="9">
        <v>3.8637075561009136E19</v>
      </c>
    </row>
    <row r="1047" ht="15.75" customHeight="1">
      <c r="A1047" s="8"/>
      <c r="B1047" s="8"/>
      <c r="C1047" s="8"/>
      <c r="D1047" s="8">
        <v>27.9026907562088</v>
      </c>
      <c r="E1047" s="9" t="s">
        <v>1056</v>
      </c>
      <c r="I1047" s="12" t="str">
        <f>IFERROR(__xludf.DUMMYFUNCTION("""COMPUTED_VALUE"""),"0x5870e7348cbbf87b0134e926290dd7895921df28")</f>
        <v>0x5870e7348cbbf87b0134e926290dd7895921df28</v>
      </c>
      <c r="J1047" s="11">
        <v>91.1199983031448</v>
      </c>
      <c r="K1047" s="12">
        <v>202.48888511809955</v>
      </c>
      <c r="L1047" s="13">
        <v>2.0248888511809955E20</v>
      </c>
      <c r="M1047" s="9">
        <v>2.0248888511809958E19</v>
      </c>
    </row>
    <row r="1048" ht="15.75" customHeight="1">
      <c r="A1048" s="8"/>
      <c r="B1048" s="8"/>
      <c r="C1048" s="8"/>
      <c r="D1048" s="8">
        <v>25.3235371789754</v>
      </c>
      <c r="E1048" s="9" t="s">
        <v>1057</v>
      </c>
      <c r="I1048" s="12" t="str">
        <f>IFERROR(__xludf.DUMMYFUNCTION("""COMPUTED_VALUE"""),"0x587602d631a8dd8e7e8eb2118cecd66477931fb9")</f>
        <v>0x587602d631a8dd8e7e8eb2118cecd66477931fb9</v>
      </c>
      <c r="J1048" s="11">
        <v>25.3235371789754</v>
      </c>
      <c r="K1048" s="12">
        <v>56.27452706438977</v>
      </c>
      <c r="L1048" s="13">
        <v>5.627452706438977E19</v>
      </c>
      <c r="M1048" s="9">
        <v>5.6274527064389775E18</v>
      </c>
    </row>
    <row r="1049" ht="15.75" customHeight="1">
      <c r="A1049" s="8"/>
      <c r="B1049" s="8"/>
      <c r="C1049" s="8"/>
      <c r="D1049" s="8">
        <v>27.9026907562088</v>
      </c>
      <c r="E1049" s="9" t="s">
        <v>1058</v>
      </c>
      <c r="I1049" s="12" t="str">
        <f>IFERROR(__xludf.DUMMYFUNCTION("""COMPUTED_VALUE"""),"0x58a0fa85068844d5571dab5bf12a8e0f7f344c5c")</f>
        <v>0x58a0fa85068844d5571dab5bf12a8e0f7f344c5c</v>
      </c>
      <c r="J1049" s="11">
        <v>27.9026907562088</v>
      </c>
      <c r="K1049" s="12">
        <v>62.005979458241775</v>
      </c>
      <c r="L1049" s="13">
        <v>6.200597945824177E19</v>
      </c>
      <c r="M1049" s="9">
        <v>6.2005979458241782E18</v>
      </c>
    </row>
    <row r="1050" ht="15.75" customHeight="1">
      <c r="A1050" s="8"/>
      <c r="B1050" s="8"/>
      <c r="C1050" s="8"/>
      <c r="D1050" s="8">
        <v>27.9026907562088</v>
      </c>
      <c r="E1050" s="9" t="s">
        <v>1059</v>
      </c>
      <c r="I1050" s="12" t="str">
        <f>IFERROR(__xludf.DUMMYFUNCTION("""COMPUTED_VALUE"""),"0x58ca9f03320f9a5972f12e34e5c9fc6a83a07da2")</f>
        <v>0x58ca9f03320f9a5972f12e34e5c9fc6a83a07da2</v>
      </c>
      <c r="J1050" s="11">
        <v>27.9026907562088</v>
      </c>
      <c r="K1050" s="12">
        <v>62.005979458241775</v>
      </c>
      <c r="L1050" s="13">
        <v>6.200597945824177E19</v>
      </c>
      <c r="M1050" s="9">
        <v>6.2005979458241782E18</v>
      </c>
    </row>
    <row r="1051" ht="15.75" customHeight="1">
      <c r="A1051" s="8"/>
      <c r="B1051" s="8"/>
      <c r="C1051" s="8"/>
      <c r="D1051" s="8">
        <v>25.3245232055884</v>
      </c>
      <c r="E1051" s="9" t="s">
        <v>1060</v>
      </c>
      <c r="I1051" s="12" t="str">
        <f>IFERROR(__xludf.DUMMYFUNCTION("""COMPUTED_VALUE"""),"0x58d06e480d7376d0a30158854496aac358b8132d")</f>
        <v>0x58d06e480d7376d0a30158854496aac358b8132d</v>
      </c>
      <c r="J1051" s="11">
        <v>25.3245232055884</v>
      </c>
      <c r="K1051" s="12">
        <v>56.27671823464088</v>
      </c>
      <c r="L1051" s="13">
        <v>5.627671823464088E19</v>
      </c>
      <c r="M1051" s="9">
        <v>5.6276718234640886E18</v>
      </c>
    </row>
    <row r="1052" ht="15.75" customHeight="1">
      <c r="A1052" s="8"/>
      <c r="B1052" s="8"/>
      <c r="C1052" s="8"/>
      <c r="D1052" s="8">
        <v>10.694279150612</v>
      </c>
      <c r="E1052" s="9" t="s">
        <v>1061</v>
      </c>
      <c r="I1052" s="12" t="str">
        <f>IFERROR(__xludf.DUMMYFUNCTION("""COMPUTED_VALUE"""),"0x58eb8ff37349b42547e9c63b70f5a576ed2a810e")</f>
        <v>0x58eb8ff37349b42547e9c63b70f5a576ed2a810e</v>
      </c>
      <c r="J1052" s="11">
        <v>10.694279150612</v>
      </c>
      <c r="K1052" s="12">
        <v>23.765064779137777</v>
      </c>
      <c r="L1052" s="13">
        <v>2.3765064779137778E19</v>
      </c>
      <c r="M1052" s="9">
        <v>2.3765064779137777E18</v>
      </c>
    </row>
    <row r="1053" ht="15.75" customHeight="1">
      <c r="A1053" s="8"/>
      <c r="B1053" s="8"/>
      <c r="C1053" s="8"/>
      <c r="D1053" s="8">
        <v>27.9026907562088</v>
      </c>
      <c r="E1053" s="9" t="s">
        <v>1062</v>
      </c>
      <c r="I1053" s="12" t="str">
        <f>IFERROR(__xludf.DUMMYFUNCTION("""COMPUTED_VALUE"""),"0x58f49b58368dca7655a24e559a7a600a1f6155fb")</f>
        <v>0x58f49b58368dca7655a24e559a7a600a1f6155fb</v>
      </c>
      <c r="J1053" s="11">
        <v>27.9026907562088</v>
      </c>
      <c r="K1053" s="12">
        <v>62.005979458241775</v>
      </c>
      <c r="L1053" s="13">
        <v>6.200597945824177E19</v>
      </c>
      <c r="M1053" s="9">
        <v>6.2005979458241782E18</v>
      </c>
    </row>
    <row r="1054" ht="15.75" customHeight="1">
      <c r="A1054" s="8"/>
      <c r="B1054" s="8"/>
      <c r="C1054" s="8"/>
      <c r="D1054" s="8">
        <v>27.9026907562088</v>
      </c>
      <c r="E1054" s="9" t="s">
        <v>1063</v>
      </c>
      <c r="I1054" s="12" t="str">
        <f>IFERROR(__xludf.DUMMYFUNCTION("""COMPUTED_VALUE"""),"0x58ffe3b9b628a55e9d95330e6c69b3729d5706c3")</f>
        <v>0x58ffe3b9b628a55e9d95330e6c69b3729d5706c3</v>
      </c>
      <c r="J1054" s="11">
        <v>101.11306121740122</v>
      </c>
      <c r="K1054" s="12">
        <v>224.69569159422494</v>
      </c>
      <c r="L1054" s="13">
        <v>2.2469569159422493E20</v>
      </c>
      <c r="M1054" s="9">
        <v>2.2469569159422493E19</v>
      </c>
    </row>
    <row r="1055" ht="15.75" customHeight="1">
      <c r="A1055" s="8"/>
      <c r="B1055" s="8"/>
      <c r="C1055" s="8"/>
      <c r="D1055" s="8">
        <v>27.9026907562088</v>
      </c>
      <c r="E1055" s="9" t="s">
        <v>1064</v>
      </c>
      <c r="I1055" s="12" t="str">
        <f>IFERROR(__xludf.DUMMYFUNCTION("""COMPUTED_VALUE"""),"0x5903f52c69c3c93c2340d8e9abb40f1b3d34fdb2")</f>
        <v>0x5903f52c69c3c93c2340d8e9abb40f1b3d34fdb2</v>
      </c>
      <c r="J1055" s="11">
        <v>91.1199983031448</v>
      </c>
      <c r="K1055" s="12">
        <v>202.48888511809955</v>
      </c>
      <c r="L1055" s="13">
        <v>2.0248888511809955E20</v>
      </c>
      <c r="M1055" s="9">
        <v>2.0248888511809958E19</v>
      </c>
    </row>
    <row r="1056" ht="15.75" customHeight="1">
      <c r="A1056" s="8"/>
      <c r="B1056" s="8"/>
      <c r="C1056" s="8"/>
      <c r="D1056" s="8">
        <v>27.9026907562088</v>
      </c>
      <c r="E1056" s="9" t="s">
        <v>1065</v>
      </c>
      <c r="I1056" s="12" t="str">
        <f>IFERROR(__xludf.DUMMYFUNCTION("""COMPUTED_VALUE"""),"0x5907c03b1ccf99dfeedd5ac510b2b6e58161a4f5")</f>
        <v>0x5907c03b1ccf99dfeedd5ac510b2b6e58161a4f5</v>
      </c>
      <c r="J1056" s="11">
        <v>40.6713465244956</v>
      </c>
      <c r="K1056" s="12">
        <v>90.38077005443466</v>
      </c>
      <c r="L1056" s="13">
        <v>9.038077005443467E19</v>
      </c>
      <c r="M1056" s="9">
        <v>9.0380770054434673E18</v>
      </c>
    </row>
    <row r="1057" ht="15.75" customHeight="1">
      <c r="A1057" s="8"/>
      <c r="B1057" s="8"/>
      <c r="C1057" s="8"/>
      <c r="D1057" s="8">
        <v>27.9026907562088</v>
      </c>
      <c r="E1057" s="9" t="s">
        <v>1066</v>
      </c>
      <c r="I1057" s="12" t="str">
        <f>IFERROR(__xludf.DUMMYFUNCTION("""COMPUTED_VALUE"""),"0x591c0cc6bf7862d6baac195d79003d9457946973")</f>
        <v>0x591c0cc6bf7862d6baac195d79003d9457946973</v>
      </c>
      <c r="J1057" s="11">
        <v>31.82865370412203</v>
      </c>
      <c r="K1057" s="12">
        <v>70.73034156471562</v>
      </c>
      <c r="L1057" s="13">
        <v>7.0730341564715614E19</v>
      </c>
      <c r="M1057" s="9">
        <v>7.0730341564715622E18</v>
      </c>
    </row>
    <row r="1058" ht="15.75" customHeight="1">
      <c r="A1058" s="8"/>
      <c r="B1058" s="8"/>
      <c r="C1058" s="8"/>
      <c r="D1058" s="8">
        <v>26.7766116259341</v>
      </c>
      <c r="E1058" s="9" t="s">
        <v>1067</v>
      </c>
      <c r="I1058" s="12" t="str">
        <f>IFERROR(__xludf.DUMMYFUNCTION("""COMPUTED_VALUE"""),"0x591d4ce3d61bdc5ede0944c47dbc38eb9c3907d9")</f>
        <v>0x591d4ce3d61bdc5ede0944c47dbc38eb9c3907d9</v>
      </c>
      <c r="J1058" s="11">
        <v>26.7766116259341</v>
      </c>
      <c r="K1058" s="12">
        <v>59.50358139096466</v>
      </c>
      <c r="L1058" s="13">
        <v>5.950358139096466E19</v>
      </c>
      <c r="M1058" s="9">
        <v>5.9503581390964664E18</v>
      </c>
    </row>
    <row r="1059" ht="15.75" customHeight="1">
      <c r="A1059" s="8"/>
      <c r="B1059" s="8"/>
      <c r="C1059" s="8"/>
      <c r="D1059" s="8">
        <v>27.9026907562088</v>
      </c>
      <c r="E1059" s="9" t="s">
        <v>1068</v>
      </c>
      <c r="I1059" s="12" t="str">
        <f>IFERROR(__xludf.DUMMYFUNCTION("""COMPUTED_VALUE"""),"0x59345166341bf644ab3b10e0a5c5d1763e9edfc0")</f>
        <v>0x59345166341bf644ab3b10e0a5c5d1763e9edfc0</v>
      </c>
      <c r="J1059" s="11">
        <v>27.9026907562088</v>
      </c>
      <c r="K1059" s="12">
        <v>62.005979458241775</v>
      </c>
      <c r="L1059" s="13">
        <v>6.200597945824177E19</v>
      </c>
      <c r="M1059" s="9">
        <v>6.2005979458241782E18</v>
      </c>
    </row>
    <row r="1060" ht="15.75" customHeight="1">
      <c r="A1060" s="8"/>
      <c r="B1060" s="8"/>
      <c r="C1060" s="8"/>
      <c r="D1060" s="8">
        <v>27.9026907562088</v>
      </c>
      <c r="E1060" s="9" t="s">
        <v>1069</v>
      </c>
      <c r="I1060" s="12" t="str">
        <f>IFERROR(__xludf.DUMMYFUNCTION("""COMPUTED_VALUE"""),"0x593cb13b5bbcb2ba8456aa15cda4c96418373faa")</f>
        <v>0x593cb13b5bbcb2ba8456aa15cda4c96418373faa</v>
      </c>
      <c r="J1060" s="11">
        <v>196.4020449831038</v>
      </c>
      <c r="K1060" s="12">
        <v>436.44898885134177</v>
      </c>
      <c r="L1060" s="13">
        <v>4.3644898885134175E20</v>
      </c>
      <c r="M1060" s="9">
        <v>4.364489888513418E19</v>
      </c>
    </row>
    <row r="1061" ht="15.75" customHeight="1">
      <c r="A1061" s="8"/>
      <c r="B1061" s="8"/>
      <c r="C1061" s="8"/>
      <c r="D1061" s="8">
        <v>20.9734229246988</v>
      </c>
      <c r="E1061" s="9" t="s">
        <v>1070</v>
      </c>
      <c r="I1061" s="12" t="str">
        <f>IFERROR(__xludf.DUMMYFUNCTION("""COMPUTED_VALUE"""),"0x59441d19cb9cea4b6a447a8f0038e7d0ad7f1969")</f>
        <v>0x59441d19cb9cea4b6a447a8f0038e7d0ad7f1969</v>
      </c>
      <c r="J1061" s="11">
        <v>20.9734229246988</v>
      </c>
      <c r="K1061" s="12">
        <v>46.607606499330664</v>
      </c>
      <c r="L1061" s="13">
        <v>4.660760649933066E19</v>
      </c>
      <c r="M1061" s="9">
        <v>4.6607606499330662E18</v>
      </c>
    </row>
    <row r="1062" ht="15.75" customHeight="1">
      <c r="A1062" s="8"/>
      <c r="B1062" s="8"/>
      <c r="C1062" s="8"/>
      <c r="D1062" s="8">
        <v>26.5036041824188</v>
      </c>
      <c r="E1062" s="9" t="s">
        <v>1071</v>
      </c>
      <c r="I1062" s="12" t="str">
        <f>IFERROR(__xludf.DUMMYFUNCTION("""COMPUTED_VALUE"""),"0x59b35bace4a7a5692db4c649c252660487e3af35")</f>
        <v>0x59b35bace4a7a5692db4c649c252660487e3af35</v>
      </c>
      <c r="J1062" s="11">
        <v>26.5036041824188</v>
      </c>
      <c r="K1062" s="12">
        <v>58.89689818315289</v>
      </c>
      <c r="L1062" s="13">
        <v>5.889689818315289E19</v>
      </c>
      <c r="M1062" s="9">
        <v>5.8896898183152896E18</v>
      </c>
    </row>
    <row r="1063" ht="15.75" customHeight="1">
      <c r="A1063" s="8"/>
      <c r="B1063" s="8"/>
      <c r="C1063" s="8"/>
      <c r="D1063" s="8">
        <v>20.1666606089107</v>
      </c>
      <c r="E1063" s="9" t="s">
        <v>1072</v>
      </c>
      <c r="I1063" s="12" t="str">
        <f>IFERROR(__xludf.DUMMYFUNCTION("""COMPUTED_VALUE"""),"0x59bc3be5ed155aa9524b17b3985d585fb133d584")</f>
        <v>0x59bc3be5ed155aa9524b17b3985d585fb133d584</v>
      </c>
      <c r="J1063" s="11">
        <v>20.1666606089107</v>
      </c>
      <c r="K1063" s="12">
        <v>44.81480135313489</v>
      </c>
      <c r="L1063" s="13">
        <v>4.481480135313489E19</v>
      </c>
      <c r="M1063" s="9">
        <v>4.4814801353134894E18</v>
      </c>
    </row>
    <row r="1064" ht="15.75" customHeight="1">
      <c r="A1064" s="8"/>
      <c r="B1064" s="8"/>
      <c r="C1064" s="8"/>
      <c r="D1064" s="8">
        <v>26.2479516950851</v>
      </c>
      <c r="E1064" s="9" t="s">
        <v>1073</v>
      </c>
      <c r="I1064" s="12" t="str">
        <f>IFERROR(__xludf.DUMMYFUNCTION("""COMPUTED_VALUE"""),"0x59ca1a978f7e654aa2b1d98faa1a19ae111a16f8")</f>
        <v>0x59ca1a978f7e654aa2b1d98faa1a19ae111a16f8</v>
      </c>
      <c r="J1064" s="11">
        <v>28.10363876656664</v>
      </c>
      <c r="K1064" s="12">
        <v>62.45253059237031</v>
      </c>
      <c r="L1064" s="13">
        <v>6.245253059237031E19</v>
      </c>
      <c r="M1064" s="9">
        <v>6.2452530592370319E18</v>
      </c>
    </row>
    <row r="1065" ht="15.75" customHeight="1">
      <c r="A1065" s="8"/>
      <c r="B1065" s="8"/>
      <c r="C1065" s="8"/>
      <c r="D1065" s="8">
        <v>27.9026907562088</v>
      </c>
      <c r="E1065" s="9" t="s">
        <v>1074</v>
      </c>
      <c r="I1065" s="12" t="str">
        <f>IFERROR(__xludf.DUMMYFUNCTION("""COMPUTED_VALUE"""),"0x59d898d5db5364cd83f09a3d7dfdb78f1a5d347e")</f>
        <v>0x59d898d5db5364cd83f09a3d7dfdb78f1a5d347e</v>
      </c>
      <c r="J1065" s="11">
        <v>91.1199983031448</v>
      </c>
      <c r="K1065" s="12">
        <v>202.48888511809955</v>
      </c>
      <c r="L1065" s="13">
        <v>2.0248888511809955E20</v>
      </c>
      <c r="M1065" s="9">
        <v>2.0248888511809958E19</v>
      </c>
    </row>
    <row r="1066" ht="15.75" customHeight="1">
      <c r="A1066" s="8"/>
      <c r="B1066" s="8"/>
      <c r="C1066" s="8"/>
      <c r="D1066" s="8">
        <v>27.9026907562088</v>
      </c>
      <c r="E1066" s="9" t="s">
        <v>1075</v>
      </c>
      <c r="I1066" s="12" t="str">
        <f>IFERROR(__xludf.DUMMYFUNCTION("""COMPUTED_VALUE"""),"0x5a219654851753d2fcc8583c006e24ae06a89453")</f>
        <v>0x5a219654851753d2fcc8583c006e24ae06a89453</v>
      </c>
      <c r="J1066" s="11">
        <v>27.9026907562088</v>
      </c>
      <c r="K1066" s="12">
        <v>62.005979458241775</v>
      </c>
      <c r="L1066" s="13">
        <v>6.200597945824177E19</v>
      </c>
      <c r="M1066" s="9">
        <v>6.2005979458241782E18</v>
      </c>
    </row>
    <row r="1067" ht="15.75" customHeight="1">
      <c r="A1067" s="8"/>
      <c r="B1067" s="8"/>
      <c r="C1067" s="8"/>
      <c r="D1067" s="8">
        <v>27.9026907562088</v>
      </c>
      <c r="E1067" s="9" t="s">
        <v>1076</v>
      </c>
      <c r="I1067" s="12" t="str">
        <f>IFERROR(__xludf.DUMMYFUNCTION("""COMPUTED_VALUE"""),"0x5a22b4c1561920e925052cb205038161a1a6e64e")</f>
        <v>0x5a22b4c1561920e925052cb205038161a1a6e64e</v>
      </c>
      <c r="J1067" s="11">
        <v>27.9026907562088</v>
      </c>
      <c r="K1067" s="12">
        <v>62.005979458241775</v>
      </c>
      <c r="L1067" s="13">
        <v>6.200597945824177E19</v>
      </c>
      <c r="M1067" s="9">
        <v>6.2005979458241782E18</v>
      </c>
    </row>
    <row r="1068" ht="15.75" customHeight="1">
      <c r="A1068" s="8"/>
      <c r="B1068" s="8"/>
      <c r="C1068" s="8"/>
      <c r="D1068" s="8">
        <v>27.9026907562088</v>
      </c>
      <c r="E1068" s="9" t="s">
        <v>1077</v>
      </c>
      <c r="I1068" s="12" t="str">
        <f>IFERROR(__xludf.DUMMYFUNCTION("""COMPUTED_VALUE"""),"0x5a2ce6edcd82d9a9141bcbde7b9559f8816838ab")</f>
        <v>0x5a2ce6edcd82d9a9141bcbde7b9559f8816838ab</v>
      </c>
      <c r="J1068" s="11">
        <v>27.9026907562088</v>
      </c>
      <c r="K1068" s="12">
        <v>62.005979458241775</v>
      </c>
      <c r="L1068" s="13">
        <v>6.200597945824177E19</v>
      </c>
      <c r="M1068" s="9">
        <v>6.2005979458241782E18</v>
      </c>
    </row>
    <row r="1069" ht="15.75" customHeight="1">
      <c r="A1069" s="8"/>
      <c r="B1069" s="8"/>
      <c r="C1069" s="8"/>
      <c r="D1069" s="8">
        <v>27.9026907562088</v>
      </c>
      <c r="E1069" s="9" t="s">
        <v>1078</v>
      </c>
      <c r="I1069" s="12" t="str">
        <f>IFERROR(__xludf.DUMMYFUNCTION("""COMPUTED_VALUE"""),"0x5a397e8b5d2d9327ca79ca7dbd2b1bbd855a3299")</f>
        <v>0x5a397e8b5d2d9327ca79ca7dbd2b1bbd855a3299</v>
      </c>
      <c r="J1069" s="11">
        <v>27.9026907562088</v>
      </c>
      <c r="K1069" s="12">
        <v>62.005979458241775</v>
      </c>
      <c r="L1069" s="13">
        <v>6.200597945824177E19</v>
      </c>
      <c r="M1069" s="9">
        <v>6.2005979458241782E18</v>
      </c>
    </row>
    <row r="1070" ht="15.75" customHeight="1">
      <c r="A1070" s="8"/>
      <c r="B1070" s="8"/>
      <c r="C1070" s="8"/>
      <c r="D1070" s="8">
        <v>25.7594723820942</v>
      </c>
      <c r="E1070" s="9" t="s">
        <v>1079</v>
      </c>
      <c r="I1070" s="12" t="str">
        <f>IFERROR(__xludf.DUMMYFUNCTION("""COMPUTED_VALUE"""),"0x5a3c5b099aaf4d156087eb252aac3df5cf5b4c1c")</f>
        <v>0x5a3c5b099aaf4d156087eb252aac3df5cf5b4c1c</v>
      </c>
      <c r="J1070" s="11">
        <v>38.542074810201996</v>
      </c>
      <c r="K1070" s="12">
        <v>85.64905513378221</v>
      </c>
      <c r="L1070" s="13">
        <v>8.564905513378221E19</v>
      </c>
      <c r="M1070" s="9">
        <v>8.5649055133782221E18</v>
      </c>
    </row>
    <row r="1071" ht="15.75" customHeight="1">
      <c r="A1071" s="8"/>
      <c r="B1071" s="8"/>
      <c r="C1071" s="8"/>
      <c r="D1071" s="8">
        <v>27.9026907562088</v>
      </c>
      <c r="E1071" s="9" t="s">
        <v>1080</v>
      </c>
      <c r="I1071" s="12" t="str">
        <f>IFERROR(__xludf.DUMMYFUNCTION("""COMPUTED_VALUE"""),"0x5a4d1d93a59dc579d68e3b2802a450d261755a3b")</f>
        <v>0x5a4d1d93a59dc579d68e3b2802a450d261755a3b</v>
      </c>
      <c r="J1071" s="11">
        <v>91.1199983031448</v>
      </c>
      <c r="K1071" s="12">
        <v>202.48888511809955</v>
      </c>
      <c r="L1071" s="13">
        <v>2.0248888511809955E20</v>
      </c>
      <c r="M1071" s="9">
        <v>2.0248888511809958E19</v>
      </c>
    </row>
    <row r="1072" ht="15.75" customHeight="1">
      <c r="A1072" s="8"/>
      <c r="B1072" s="8"/>
      <c r="C1072" s="8"/>
      <c r="D1072" s="8">
        <v>10.5306972524924</v>
      </c>
      <c r="E1072" s="9" t="s">
        <v>1081</v>
      </c>
      <c r="I1072" s="12" t="str">
        <f>IFERROR(__xludf.DUMMYFUNCTION("""COMPUTED_VALUE"""),"0x5a5a48bb136fd25c7cc2cdcb628461592ea234f3")</f>
        <v>0x5a5a48bb136fd25c7cc2cdcb628461592ea234f3</v>
      </c>
      <c r="J1072" s="11">
        <v>10.5306972524924</v>
      </c>
      <c r="K1072" s="12">
        <v>23.40154944998311</v>
      </c>
      <c r="L1072" s="13">
        <v>2.340154944998311E19</v>
      </c>
      <c r="M1072" s="9">
        <v>2.3401549449983114E18</v>
      </c>
    </row>
    <row r="1073" ht="15.75" customHeight="1">
      <c r="A1073" s="8"/>
      <c r="B1073" s="8"/>
      <c r="C1073" s="8"/>
      <c r="D1073" s="8">
        <v>9.42860309050481</v>
      </c>
      <c r="E1073" s="9" t="s">
        <v>1082</v>
      </c>
      <c r="I1073" s="12" t="str">
        <f>IFERROR(__xludf.DUMMYFUNCTION("""COMPUTED_VALUE"""),"0x5a5bc153bc7b915eec2755c2f622a220b93a0dcc")</f>
        <v>0x5a5bc153bc7b915eec2755c2f622a220b93a0dcc</v>
      </c>
      <c r="J1073" s="11">
        <v>9.42860309050481</v>
      </c>
      <c r="K1073" s="12">
        <v>20.95245131223291</v>
      </c>
      <c r="L1073" s="13">
        <v>2.095245131223291E19</v>
      </c>
      <c r="M1073" s="9">
        <v>2.09524513122329114E18</v>
      </c>
    </row>
    <row r="1074" ht="15.75" customHeight="1">
      <c r="A1074" s="8"/>
      <c r="B1074" s="8"/>
      <c r="C1074" s="8"/>
      <c r="D1074" s="8">
        <v>27.2184024706102</v>
      </c>
      <c r="E1074" s="9" t="s">
        <v>1083</v>
      </c>
      <c r="I1074" s="12" t="str">
        <f>IFERROR(__xludf.DUMMYFUNCTION("""COMPUTED_VALUE"""),"0x5aac732068dc23563f144ecb60c786eb48bee353")</f>
        <v>0x5aac732068dc23563f144ecb60c786eb48bee353</v>
      </c>
      <c r="J1074" s="11">
        <v>27.2184024706102</v>
      </c>
      <c r="K1074" s="12">
        <v>60.485338823578225</v>
      </c>
      <c r="L1074" s="13">
        <v>6.048533882357822E19</v>
      </c>
      <c r="M1074" s="9">
        <v>6.0485338823578225E18</v>
      </c>
    </row>
    <row r="1075" ht="15.75" customHeight="1">
      <c r="A1075" s="8"/>
      <c r="B1075" s="8"/>
      <c r="C1075" s="8"/>
      <c r="D1075" s="8">
        <v>27.9026907562088</v>
      </c>
      <c r="E1075" s="9" t="s">
        <v>1084</v>
      </c>
      <c r="I1075" s="12" t="str">
        <f>IFERROR(__xludf.DUMMYFUNCTION("""COMPUTED_VALUE"""),"0x5abfd5d8f3d60e36045da00c3aca97d9ef36983b")</f>
        <v>0x5abfd5d8f3d60e36045da00c3aca97d9ef36983b</v>
      </c>
      <c r="J1075" s="11">
        <v>27.9026907562088</v>
      </c>
      <c r="K1075" s="12">
        <v>62.005979458241775</v>
      </c>
      <c r="L1075" s="13">
        <v>6.200597945824177E19</v>
      </c>
      <c r="M1075" s="9">
        <v>6.2005979458241782E18</v>
      </c>
    </row>
    <row r="1076" ht="15.75" customHeight="1">
      <c r="A1076" s="8"/>
      <c r="B1076" s="8"/>
      <c r="C1076" s="8"/>
      <c r="D1076" s="8">
        <v>27.9026907562088</v>
      </c>
      <c r="E1076" s="9" t="s">
        <v>1085</v>
      </c>
      <c r="I1076" s="12" t="str">
        <f>IFERROR(__xludf.DUMMYFUNCTION("""COMPUTED_VALUE"""),"0x5ac055fe029dea0bc59a58e9e930bf000c532ffa")</f>
        <v>0x5ac055fe029dea0bc59a58e9e930bf000c532ffa</v>
      </c>
      <c r="J1076" s="11">
        <v>27.9026907562088</v>
      </c>
      <c r="K1076" s="12">
        <v>62.005979458241775</v>
      </c>
      <c r="L1076" s="13">
        <v>6.200597945824177E19</v>
      </c>
      <c r="M1076" s="9">
        <v>6.2005979458241782E18</v>
      </c>
    </row>
    <row r="1077" ht="15.75" customHeight="1">
      <c r="A1077" s="8"/>
      <c r="B1077" s="8"/>
      <c r="C1077" s="8"/>
      <c r="D1077" s="8">
        <v>27.9026907562088</v>
      </c>
      <c r="E1077" s="9" t="s">
        <v>1086</v>
      </c>
      <c r="I1077" s="12" t="str">
        <f>IFERROR(__xludf.DUMMYFUNCTION("""COMPUTED_VALUE"""),"0x5ac47131218185bff8c924544627c82d3840727c")</f>
        <v>0x5ac47131218185bff8c924544627c82d3840727c</v>
      </c>
      <c r="J1077" s="11">
        <v>27.9026907562088</v>
      </c>
      <c r="K1077" s="12">
        <v>62.005979458241775</v>
      </c>
      <c r="L1077" s="13">
        <v>6.200597945824177E19</v>
      </c>
      <c r="M1077" s="9">
        <v>6.2005979458241782E18</v>
      </c>
    </row>
    <row r="1078" ht="15.75" customHeight="1">
      <c r="A1078" s="8"/>
      <c r="B1078" s="8"/>
      <c r="C1078" s="8"/>
      <c r="D1078" s="8">
        <v>26.568752041981</v>
      </c>
      <c r="E1078" s="9" t="s">
        <v>1087</v>
      </c>
      <c r="I1078" s="12" t="str">
        <f>IFERROR(__xludf.DUMMYFUNCTION("""COMPUTED_VALUE"""),"0x5ad163d663db56fefdc292cefbff704f8d4aa4b6")</f>
        <v>0x5ad163d663db56fefdc292cefbff704f8d4aa4b6</v>
      </c>
      <c r="J1078" s="11">
        <v>26.568752041981</v>
      </c>
      <c r="K1078" s="12">
        <v>59.04167120440222</v>
      </c>
      <c r="L1078" s="13">
        <v>5.904167120440222E19</v>
      </c>
      <c r="M1078" s="9">
        <v>5.9041671204402217E18</v>
      </c>
    </row>
    <row r="1079" ht="15.75" customHeight="1">
      <c r="A1079" s="8"/>
      <c r="B1079" s="8"/>
      <c r="C1079" s="8"/>
      <c r="D1079" s="8">
        <v>24.1275185703844</v>
      </c>
      <c r="E1079" s="9" t="s">
        <v>1088</v>
      </c>
      <c r="I1079" s="12" t="str">
        <f>IFERROR(__xludf.DUMMYFUNCTION("""COMPUTED_VALUE"""),"0x5ad4e3102fa7c15b2044af2f1b3a9600e2bd55c9")</f>
        <v>0x5ad4e3102fa7c15b2044af2f1b3a9600e2bd55c9</v>
      </c>
      <c r="J1079" s="11">
        <v>408.3809334208352</v>
      </c>
      <c r="K1079" s="12">
        <v>907.5131853796338</v>
      </c>
      <c r="L1079" s="13">
        <v>9.075131853796339E20</v>
      </c>
      <c r="M1079" s="9">
        <v>9.075131853796339E19</v>
      </c>
    </row>
    <row r="1080" ht="15.75" customHeight="1">
      <c r="A1080" s="8"/>
      <c r="B1080" s="8"/>
      <c r="C1080" s="8"/>
      <c r="D1080" s="8">
        <v>25.2751927898129</v>
      </c>
      <c r="E1080" s="9" t="s">
        <v>1089</v>
      </c>
      <c r="I1080" s="12" t="str">
        <f>IFERROR(__xludf.DUMMYFUNCTION("""COMPUTED_VALUE"""),"0x5ae36d7acd459302876b2d1c312d5c2b0507b794")</f>
        <v>0x5ae36d7acd459302876b2d1c312d5c2b0507b794</v>
      </c>
      <c r="J1080" s="11">
        <v>1492.4484610155146</v>
      </c>
      <c r="K1080" s="12">
        <v>3316.5521355900323</v>
      </c>
      <c r="L1080" s="13">
        <v>3.316552135590032E21</v>
      </c>
      <c r="M1080" s="9">
        <v>3.316552135590032E20</v>
      </c>
    </row>
    <row r="1081" ht="15.75" customHeight="1">
      <c r="A1081" s="8"/>
      <c r="B1081" s="8"/>
      <c r="C1081" s="8"/>
      <c r="D1081" s="8">
        <v>14.0767437049673</v>
      </c>
      <c r="E1081" s="9" t="s">
        <v>1090</v>
      </c>
      <c r="I1081" s="12" t="str">
        <f>IFERROR(__xludf.DUMMYFUNCTION("""COMPUTED_VALUE"""),"0x5b0edf4f70d941f27676bdc2c9b45ef556d5f01f")</f>
        <v>0x5b0edf4f70d941f27676bdc2c9b45ef556d5f01f</v>
      </c>
      <c r="J1081" s="11">
        <v>14.0767437049673</v>
      </c>
      <c r="K1081" s="12">
        <v>31.281652677705107</v>
      </c>
      <c r="L1081" s="13">
        <v>3.1281652677705105E19</v>
      </c>
      <c r="M1081" s="9">
        <v>3.1281652677705108E18</v>
      </c>
    </row>
    <row r="1082" ht="15.75" customHeight="1">
      <c r="A1082" s="8"/>
      <c r="B1082" s="8"/>
      <c r="C1082" s="8"/>
      <c r="D1082" s="8">
        <v>27.9026907562088</v>
      </c>
      <c r="E1082" s="9" t="s">
        <v>1091</v>
      </c>
      <c r="I1082" s="12" t="str">
        <f>IFERROR(__xludf.DUMMYFUNCTION("""COMPUTED_VALUE"""),"0x5b1053748e5ffb0930634a614657745cc445c41c")</f>
        <v>0x5b1053748e5ffb0930634a614657745cc445c41c</v>
      </c>
      <c r="J1082" s="11">
        <v>93.66173242998731</v>
      </c>
      <c r="K1082" s="12">
        <v>208.13718317774956</v>
      </c>
      <c r="L1082" s="13">
        <v>2.0813718317774956E20</v>
      </c>
      <c r="M1082" s="9">
        <v>2.081371831777496E19</v>
      </c>
    </row>
    <row r="1083" ht="15.75" customHeight="1">
      <c r="A1083" s="8"/>
      <c r="B1083" s="8"/>
      <c r="C1083" s="8"/>
      <c r="D1083" s="8">
        <v>24.2714708421116</v>
      </c>
      <c r="E1083" s="9" t="s">
        <v>1092</v>
      </c>
      <c r="I1083" s="12" t="str">
        <f>IFERROR(__xludf.DUMMYFUNCTION("""COMPUTED_VALUE"""),"0x5b14a47a6ea6c36ceb8f1043d83b52a687e6e0a5")</f>
        <v>0x5b14a47a6ea6c36ceb8f1043d83b52a687e6e0a5</v>
      </c>
      <c r="J1083" s="11">
        <v>79.7947975834217</v>
      </c>
      <c r="K1083" s="12">
        <v>177.32177240760376</v>
      </c>
      <c r="L1083" s="13">
        <v>1.7732177240760376E20</v>
      </c>
      <c r="M1083" s="9">
        <v>1.7732177240760377E19</v>
      </c>
    </row>
    <row r="1084" ht="15.75" customHeight="1">
      <c r="A1084" s="8"/>
      <c r="B1084" s="8"/>
      <c r="C1084" s="8"/>
      <c r="D1084" s="8">
        <v>27.9026907534186</v>
      </c>
      <c r="E1084" s="9" t="s">
        <v>1093</v>
      </c>
      <c r="I1084" s="12" t="str">
        <f>IFERROR(__xludf.DUMMYFUNCTION("""COMPUTED_VALUE"""),"0x5b23918df2d07c924a72142816972e5f877cc267")</f>
        <v>0x5b23918df2d07c924a72142816972e5f877cc267</v>
      </c>
      <c r="J1084" s="11">
        <v>27.9026907534186</v>
      </c>
      <c r="K1084" s="12">
        <v>62.00597945204133</v>
      </c>
      <c r="L1084" s="13">
        <v>6.200597945204133E19</v>
      </c>
      <c r="M1084" s="9">
        <v>6.2005979452041339E18</v>
      </c>
    </row>
    <row r="1085" ht="15.75" customHeight="1">
      <c r="A1085" s="8"/>
      <c r="B1085" s="8"/>
      <c r="C1085" s="8"/>
      <c r="D1085" s="8">
        <v>27.9026907562088</v>
      </c>
      <c r="E1085" s="9" t="s">
        <v>1094</v>
      </c>
      <c r="I1085" s="12" t="str">
        <f>IFERROR(__xludf.DUMMYFUNCTION("""COMPUTED_VALUE"""),"0x5b56d735fe36885b77c6b5292a86bb5e6f13e83f")</f>
        <v>0x5b56d735fe36885b77c6b5292a86bb5e6f13e83f</v>
      </c>
      <c r="J1085" s="11">
        <v>91.1199983031448</v>
      </c>
      <c r="K1085" s="12">
        <v>202.48888511809955</v>
      </c>
      <c r="L1085" s="13">
        <v>2.0248888511809955E20</v>
      </c>
      <c r="M1085" s="9">
        <v>2.0248888511809958E19</v>
      </c>
    </row>
    <row r="1086" ht="15.75" customHeight="1">
      <c r="A1086" s="8"/>
      <c r="B1086" s="8"/>
      <c r="C1086" s="8"/>
      <c r="D1086" s="8">
        <v>27.9026907562088</v>
      </c>
      <c r="E1086" s="9" t="s">
        <v>1095</v>
      </c>
      <c r="I1086" s="12" t="str">
        <f>IFERROR(__xludf.DUMMYFUNCTION("""COMPUTED_VALUE"""),"0x5b930809d2f5603a7ff12f923c784abf862ef59e")</f>
        <v>0x5b930809d2f5603a7ff12f923c784abf862ef59e</v>
      </c>
      <c r="J1086" s="11">
        <v>27.9026907562088</v>
      </c>
      <c r="K1086" s="12">
        <v>62.005979458241775</v>
      </c>
      <c r="L1086" s="13">
        <v>6.200597945824177E19</v>
      </c>
      <c r="M1086" s="9">
        <v>6.2005979458241782E18</v>
      </c>
    </row>
    <row r="1087" ht="15.75" customHeight="1">
      <c r="A1087" s="8"/>
      <c r="B1087" s="8"/>
      <c r="C1087" s="8"/>
      <c r="D1087" s="8">
        <v>27.9026907562088</v>
      </c>
      <c r="E1087" s="9" t="s">
        <v>1096</v>
      </c>
      <c r="I1087" s="12" t="str">
        <f>IFERROR(__xludf.DUMMYFUNCTION("""COMPUTED_VALUE"""),"0x5bb12bb27879af37522f25a65fef2c02f5218cc0")</f>
        <v>0x5bb12bb27879af37522f25a65fef2c02f5218cc0</v>
      </c>
      <c r="J1087" s="11">
        <v>27.9026907562088</v>
      </c>
      <c r="K1087" s="12">
        <v>62.005979458241775</v>
      </c>
      <c r="L1087" s="13">
        <v>6.200597945824177E19</v>
      </c>
      <c r="M1087" s="9">
        <v>6.2005979458241782E18</v>
      </c>
    </row>
    <row r="1088" ht="15.75" customHeight="1">
      <c r="A1088" s="8"/>
      <c r="B1088" s="8"/>
      <c r="C1088" s="8"/>
      <c r="D1088" s="8">
        <v>27.9026907562088</v>
      </c>
      <c r="E1088" s="9" t="s">
        <v>1097</v>
      </c>
      <c r="I1088" s="12" t="str">
        <f>IFERROR(__xludf.DUMMYFUNCTION("""COMPUTED_VALUE"""),"0x5be5801a66cb2f771482a56424aa142c9e37a070")</f>
        <v>0x5be5801a66cb2f771482a56424aa142c9e37a070</v>
      </c>
      <c r="J1088" s="11">
        <v>27.9026907562088</v>
      </c>
      <c r="K1088" s="12">
        <v>62.005979458241775</v>
      </c>
      <c r="L1088" s="13">
        <v>6.200597945824177E19</v>
      </c>
      <c r="M1088" s="9">
        <v>6.2005979458241782E18</v>
      </c>
    </row>
    <row r="1089" ht="15.75" customHeight="1">
      <c r="A1089" s="8"/>
      <c r="B1089" s="8"/>
      <c r="C1089" s="8"/>
      <c r="D1089" s="8">
        <v>27.9026907562088</v>
      </c>
      <c r="E1089" s="9" t="s">
        <v>1098</v>
      </c>
      <c r="I1089" s="12" t="str">
        <f>IFERROR(__xludf.DUMMYFUNCTION("""COMPUTED_VALUE"""),"0x5be798bf258ac5319e74428a66e635df491de2b2")</f>
        <v>0x5be798bf258ac5319e74428a66e635df491de2b2</v>
      </c>
      <c r="J1089" s="11">
        <v>161.3382739879026</v>
      </c>
      <c r="K1089" s="12">
        <v>358.5294977508947</v>
      </c>
      <c r="L1089" s="13">
        <v>3.585294977508947E20</v>
      </c>
      <c r="M1089" s="9">
        <v>3.5852949775089467E19</v>
      </c>
    </row>
    <row r="1090" ht="15.75" customHeight="1">
      <c r="A1090" s="8"/>
      <c r="B1090" s="8"/>
      <c r="C1090" s="8"/>
      <c r="D1090" s="8">
        <v>27.6443866808001</v>
      </c>
      <c r="E1090" s="9" t="s">
        <v>1099</v>
      </c>
      <c r="I1090" s="12" t="str">
        <f>IFERROR(__xludf.DUMMYFUNCTION("""COMPUTED_VALUE"""),"0x5bef45489a03462d199612c5cd992f114f398ea8")</f>
        <v>0x5bef45489a03462d199612c5cd992f114f398ea8</v>
      </c>
      <c r="J1090" s="11">
        <v>209.94182584588162</v>
      </c>
      <c r="K1090" s="12">
        <v>466.5373907686258</v>
      </c>
      <c r="L1090" s="13">
        <v>4.665373907686258E20</v>
      </c>
      <c r="M1090" s="9">
        <v>4.665373907686258E19</v>
      </c>
    </row>
    <row r="1091" ht="15.75" customHeight="1">
      <c r="A1091" s="8"/>
      <c r="B1091" s="8"/>
      <c r="C1091" s="8"/>
      <c r="D1091" s="8">
        <v>27.9026907562088</v>
      </c>
      <c r="E1091" s="9" t="s">
        <v>1100</v>
      </c>
      <c r="I1091" s="12" t="str">
        <f>IFERROR(__xludf.DUMMYFUNCTION("""COMPUTED_VALUE"""),"0x5bf090197785e0ca4ddf59be7f79b5c806aa85d7")</f>
        <v>0x5bf090197785e0ca4ddf59be7f79b5c806aa85d7</v>
      </c>
      <c r="J1091" s="11">
        <v>27.9026907562088</v>
      </c>
      <c r="K1091" s="12">
        <v>62.005979458241775</v>
      </c>
      <c r="L1091" s="13">
        <v>6.200597945824177E19</v>
      </c>
      <c r="M1091" s="9">
        <v>6.2005979458241782E18</v>
      </c>
    </row>
    <row r="1092" ht="15.75" customHeight="1">
      <c r="A1092" s="8"/>
      <c r="B1092" s="8"/>
      <c r="C1092" s="8"/>
      <c r="D1092" s="8">
        <v>27.9026907562088</v>
      </c>
      <c r="E1092" s="9" t="s">
        <v>1101</v>
      </c>
      <c r="I1092" s="12" t="str">
        <f>IFERROR(__xludf.DUMMYFUNCTION("""COMPUTED_VALUE"""),"0x5bfd3070f077a093af23e00526d4df320bdc563f")</f>
        <v>0x5bfd3070f077a093af23e00526d4df320bdc563f</v>
      </c>
      <c r="J1092" s="11">
        <v>91.1199983031448</v>
      </c>
      <c r="K1092" s="12">
        <v>202.48888511809955</v>
      </c>
      <c r="L1092" s="13">
        <v>2.0248888511809955E20</v>
      </c>
      <c r="M1092" s="9">
        <v>2.0248888511809958E19</v>
      </c>
    </row>
    <row r="1093" ht="15.75" customHeight="1">
      <c r="A1093" s="8"/>
      <c r="B1093" s="8"/>
      <c r="C1093" s="8"/>
      <c r="D1093" s="8">
        <v>27.9004468912025</v>
      </c>
      <c r="E1093" s="9" t="s">
        <v>1102</v>
      </c>
      <c r="I1093" s="12" t="str">
        <f>IFERROR(__xludf.DUMMYFUNCTION("""COMPUTED_VALUE"""),"0x5c183b6b02444977c7db8498bd608a9add62924a")</f>
        <v>0x5c183b6b02444977c7db8498bd608a9add62924a</v>
      </c>
      <c r="J1093" s="11">
        <v>27.9004468912025</v>
      </c>
      <c r="K1093" s="12">
        <v>62.00099309156111</v>
      </c>
      <c r="L1093" s="13">
        <v>6.20009930915611E19</v>
      </c>
      <c r="M1093" s="9">
        <v>6.2000993091561103E18</v>
      </c>
    </row>
    <row r="1094" ht="15.75" customHeight="1">
      <c r="A1094" s="8"/>
      <c r="B1094" s="8"/>
      <c r="C1094" s="8"/>
      <c r="D1094" s="8">
        <v>13.9750242085456</v>
      </c>
      <c r="E1094" s="9" t="s">
        <v>1103</v>
      </c>
      <c r="I1094" s="12" t="str">
        <f>IFERROR(__xludf.DUMMYFUNCTION("""COMPUTED_VALUE"""),"0x5c541e78e4b4b0860a4187816b17b7bdc505cf6f")</f>
        <v>0x5c541e78e4b4b0860a4187816b17b7bdc505cf6f</v>
      </c>
      <c r="J1094" s="11">
        <v>15.03526765448408</v>
      </c>
      <c r="K1094" s="12">
        <v>33.41170589885351</v>
      </c>
      <c r="L1094" s="13">
        <v>3.341170589885351E19</v>
      </c>
      <c r="M1094" s="9">
        <v>3.3411705898853514E18</v>
      </c>
    </row>
    <row r="1095" ht="15.75" customHeight="1">
      <c r="A1095" s="8"/>
      <c r="B1095" s="8"/>
      <c r="C1095" s="8"/>
      <c r="D1095" s="8">
        <v>0.709279565057704</v>
      </c>
      <c r="E1095" s="9" t="s">
        <v>1104</v>
      </c>
      <c r="I1095" s="12" t="str">
        <f>IFERROR(__xludf.DUMMYFUNCTION("""COMPUTED_VALUE"""),"0x5c5a5761bdaeb04c986264b08bd50f7666b651be")</f>
        <v>0x5c5a5761bdaeb04c986264b08bd50f7666b651be</v>
      </c>
      <c r="J1095" s="11">
        <v>0.709279565057704</v>
      </c>
      <c r="K1095" s="12">
        <v>1.5761768112393422</v>
      </c>
      <c r="L1095" s="13">
        <v>1.57617681123934208E18</v>
      </c>
      <c r="M1095" s="9">
        <v>1.57617681123934208E17</v>
      </c>
    </row>
    <row r="1096" ht="15.75" customHeight="1">
      <c r="A1096" s="8"/>
      <c r="B1096" s="8"/>
      <c r="C1096" s="8"/>
      <c r="D1096" s="8">
        <v>27.9026907562088</v>
      </c>
      <c r="E1096" s="9" t="s">
        <v>1105</v>
      </c>
      <c r="I1096" s="12" t="str">
        <f>IFERROR(__xludf.DUMMYFUNCTION("""COMPUTED_VALUE"""),"0x5c5c5ff8579c5b1f65bfaba78381061656aa7b90")</f>
        <v>0x5c5c5ff8579c5b1f65bfaba78381061656aa7b90</v>
      </c>
      <c r="J1096" s="11">
        <v>91.1199983031448</v>
      </c>
      <c r="K1096" s="12">
        <v>202.48888511809955</v>
      </c>
      <c r="L1096" s="13">
        <v>2.0248888511809955E20</v>
      </c>
      <c r="M1096" s="9">
        <v>2.0248888511809958E19</v>
      </c>
    </row>
    <row r="1097" ht="15.75" customHeight="1">
      <c r="A1097" s="8"/>
      <c r="B1097" s="8"/>
      <c r="C1097" s="8"/>
      <c r="D1097" s="8">
        <v>27.9026907562088</v>
      </c>
      <c r="E1097" s="9" t="s">
        <v>1106</v>
      </c>
      <c r="I1097" s="12" t="str">
        <f>IFERROR(__xludf.DUMMYFUNCTION("""COMPUTED_VALUE"""),"0x5c834c30c65bf65c0f34ce58d0e045e09702a00e")</f>
        <v>0x5c834c30c65bf65c0f34ce58d0e045e09702a00e</v>
      </c>
      <c r="J1097" s="11">
        <v>91.1199983031448</v>
      </c>
      <c r="K1097" s="12">
        <v>202.48888511809955</v>
      </c>
      <c r="L1097" s="13">
        <v>2.0248888511809955E20</v>
      </c>
      <c r="M1097" s="9">
        <v>2.0248888511809958E19</v>
      </c>
    </row>
    <row r="1098" ht="15.75" customHeight="1">
      <c r="A1098" s="8"/>
      <c r="B1098" s="8"/>
      <c r="C1098" s="8"/>
      <c r="D1098" s="8">
        <v>25.9068316475687</v>
      </c>
      <c r="E1098" s="9" t="s">
        <v>1107</v>
      </c>
      <c r="I1098" s="12" t="str">
        <f>IFERROR(__xludf.DUMMYFUNCTION("""COMPUTED_VALUE"""),"0x5cb891d138d7ec09dc87206f86a9e2a7420b1fe2")</f>
        <v>0x5cb891d138d7ec09dc87206f86a9e2a7420b1fe2</v>
      </c>
      <c r="J1098" s="11">
        <v>25.9068316475687</v>
      </c>
      <c r="K1098" s="12">
        <v>57.57073699459711</v>
      </c>
      <c r="L1098" s="13">
        <v>5.757073699459711E19</v>
      </c>
      <c r="M1098" s="9">
        <v>5.757073699459711E18</v>
      </c>
    </row>
    <row r="1099" ht="15.75" customHeight="1">
      <c r="A1099" s="8"/>
      <c r="B1099" s="8"/>
      <c r="C1099" s="8"/>
      <c r="D1099" s="8">
        <v>27.9026907562088</v>
      </c>
      <c r="E1099" s="9" t="s">
        <v>1108</v>
      </c>
      <c r="I1099" s="12" t="str">
        <f>IFERROR(__xludf.DUMMYFUNCTION("""COMPUTED_VALUE"""),"0x5cc5e6dccaf171e6a4053d5aa176ea3d13c3e72b")</f>
        <v>0x5cc5e6dccaf171e6a4053d5aa176ea3d13c3e72b</v>
      </c>
      <c r="J1099" s="11">
        <v>91.1199983031448</v>
      </c>
      <c r="K1099" s="12">
        <v>202.48888511809955</v>
      </c>
      <c r="L1099" s="13">
        <v>2.0248888511809955E20</v>
      </c>
      <c r="M1099" s="9">
        <v>2.0248888511809958E19</v>
      </c>
    </row>
    <row r="1100" ht="15.75" customHeight="1">
      <c r="A1100" s="8"/>
      <c r="B1100" s="8"/>
      <c r="C1100" s="8"/>
      <c r="D1100" s="8">
        <v>27.9026907562088</v>
      </c>
      <c r="E1100" s="9" t="s">
        <v>1109</v>
      </c>
      <c r="I1100" s="12" t="str">
        <f>IFERROR(__xludf.DUMMYFUNCTION("""COMPUTED_VALUE"""),"0x5ccf280de6599ddcba223322939b0a7956065492")</f>
        <v>0x5ccf280de6599ddcba223322939b0a7956065492</v>
      </c>
      <c r="J1100" s="11">
        <v>27.9026907562088</v>
      </c>
      <c r="K1100" s="12">
        <v>62.005979458241775</v>
      </c>
      <c r="L1100" s="13">
        <v>6.200597945824177E19</v>
      </c>
      <c r="M1100" s="9">
        <v>6.2005979458241782E18</v>
      </c>
    </row>
    <row r="1101" ht="15.75" customHeight="1">
      <c r="A1101" s="8"/>
      <c r="B1101" s="8"/>
      <c r="C1101" s="8"/>
      <c r="D1101" s="8">
        <v>26.4689809108216</v>
      </c>
      <c r="E1101" s="9" t="s">
        <v>1110</v>
      </c>
      <c r="I1101" s="12" t="str">
        <f>IFERROR(__xludf.DUMMYFUNCTION("""COMPUTED_VALUE"""),"0x5d049bc0947673b6617a7f7e122b4e3deecc88ff")</f>
        <v>0x5d049bc0947673b6617a7f7e122b4e3deecc88ff</v>
      </c>
      <c r="J1101" s="11">
        <v>26.4689809108216</v>
      </c>
      <c r="K1101" s="12">
        <v>58.81995757960355</v>
      </c>
      <c r="L1101" s="13">
        <v>5.881995757960355E19</v>
      </c>
      <c r="M1101" s="9">
        <v>5.8819957579603558E18</v>
      </c>
    </row>
    <row r="1102" ht="15.75" customHeight="1">
      <c r="A1102" s="8"/>
      <c r="B1102" s="8"/>
      <c r="C1102" s="8"/>
      <c r="D1102" s="8">
        <v>27.4099103808158</v>
      </c>
      <c r="E1102" s="9" t="s">
        <v>1111</v>
      </c>
      <c r="I1102" s="12" t="str">
        <f>IFERROR(__xludf.DUMMYFUNCTION("""COMPUTED_VALUE"""),"0x5d47e5d242a8f66a6286b0a2353868875f5d6068")</f>
        <v>0x5d47e5d242a8f66a6286b0a2353868875f5d6068</v>
      </c>
      <c r="J1102" s="11">
        <v>90.6272179277518</v>
      </c>
      <c r="K1102" s="12">
        <v>201.3938176172262</v>
      </c>
      <c r="L1102" s="13">
        <v>2.013938176172262E20</v>
      </c>
      <c r="M1102" s="9">
        <v>2.013938176172262E19</v>
      </c>
    </row>
    <row r="1103" ht="15.75" customHeight="1">
      <c r="A1103" s="8"/>
      <c r="B1103" s="8"/>
      <c r="C1103" s="8"/>
      <c r="D1103" s="8">
        <v>20.9561903670559</v>
      </c>
      <c r="E1103" s="9" t="s">
        <v>1112</v>
      </c>
      <c r="I1103" s="12" t="str">
        <f>IFERROR(__xludf.DUMMYFUNCTION("""COMPUTED_VALUE"""),"0x5d49ad724b8c5faac7a1916b2e0855f808f6e508")</f>
        <v>0x5d49ad724b8c5faac7a1916b2e0855f808f6e508</v>
      </c>
      <c r="J1103" s="11">
        <v>20.9561903670559</v>
      </c>
      <c r="K1103" s="12">
        <v>46.56931192679089</v>
      </c>
      <c r="L1103" s="13">
        <v>4.656931192679089E19</v>
      </c>
      <c r="M1103" s="9">
        <v>4.6569311926790892E18</v>
      </c>
    </row>
    <row r="1104" ht="15.75" customHeight="1">
      <c r="A1104" s="8"/>
      <c r="B1104" s="8"/>
      <c r="C1104" s="8"/>
      <c r="D1104" s="8">
        <v>27.9026907562088</v>
      </c>
      <c r="E1104" s="9" t="s">
        <v>1113</v>
      </c>
      <c r="I1104" s="12" t="str">
        <f>IFERROR(__xludf.DUMMYFUNCTION("""COMPUTED_VALUE"""),"0x5d57d741a4026c38c68a04270c4701b2af8f060f")</f>
        <v>0x5d57d741a4026c38c68a04270c4701b2af8f060f</v>
      </c>
      <c r="J1104" s="11">
        <v>27.9026907562088</v>
      </c>
      <c r="K1104" s="12">
        <v>62.005979458241775</v>
      </c>
      <c r="L1104" s="13">
        <v>6.200597945824177E19</v>
      </c>
      <c r="M1104" s="9">
        <v>6.2005979458241782E18</v>
      </c>
    </row>
    <row r="1105" ht="15.75" customHeight="1">
      <c r="A1105" s="8"/>
      <c r="B1105" s="8"/>
      <c r="C1105" s="8"/>
      <c r="D1105" s="8">
        <v>24.9933232177445</v>
      </c>
      <c r="E1105" s="9" t="s">
        <v>1114</v>
      </c>
      <c r="I1105" s="12" t="str">
        <f>IFERROR(__xludf.DUMMYFUNCTION("""COMPUTED_VALUE"""),"0x5d9ae3e7afc36ff8625e35364346a10d34296a92")</f>
        <v>0x5d9ae3e7afc36ff8625e35364346a10d34296a92</v>
      </c>
      <c r="J1105" s="11">
        <v>250.6500247274079</v>
      </c>
      <c r="K1105" s="12">
        <v>557.0000549497953</v>
      </c>
      <c r="L1105" s="13">
        <v>5.5700005494979527E20</v>
      </c>
      <c r="M1105" s="9">
        <v>5.570000549497953E19</v>
      </c>
    </row>
    <row r="1106" ht="15.75" customHeight="1">
      <c r="A1106" s="8"/>
      <c r="B1106" s="8"/>
      <c r="C1106" s="8"/>
      <c r="D1106" s="8">
        <v>12.5165339364128</v>
      </c>
      <c r="E1106" s="9" t="s">
        <v>1115</v>
      </c>
      <c r="I1106" s="12" t="str">
        <f>IFERROR(__xludf.DUMMYFUNCTION("""COMPUTED_VALUE"""),"0x5da341242882ee304c9331ff16416aeec2f0aa3e")</f>
        <v>0x5da341242882ee304c9331ff16416aeec2f0aa3e</v>
      </c>
      <c r="J1106" s="11">
        <v>12.5165339364128</v>
      </c>
      <c r="K1106" s="12">
        <v>27.81451985869511</v>
      </c>
      <c r="L1106" s="13">
        <v>2.781451985869511E19</v>
      </c>
      <c r="M1106" s="9">
        <v>2.7814519858695112E18</v>
      </c>
    </row>
    <row r="1107" ht="15.75" customHeight="1">
      <c r="A1107" s="8"/>
      <c r="B1107" s="8"/>
      <c r="C1107" s="8"/>
      <c r="D1107" s="8">
        <v>26.3149558448476</v>
      </c>
      <c r="E1107" s="9" t="s">
        <v>1116</v>
      </c>
      <c r="I1107" s="12" t="str">
        <f>IFERROR(__xludf.DUMMYFUNCTION("""COMPUTED_VALUE"""),"0x5daab3c195d7dac11cc88e99e63210daca4cbcc5")</f>
        <v>0x5daab3c195d7dac11cc88e99e63210daca4cbcc5</v>
      </c>
      <c r="J1107" s="11">
        <v>26.3149558448476</v>
      </c>
      <c r="K1107" s="12">
        <v>58.47767965521689</v>
      </c>
      <c r="L1107" s="13">
        <v>5.847767965521689E19</v>
      </c>
      <c r="M1107" s="9">
        <v>5.8477679655216896E18</v>
      </c>
    </row>
    <row r="1108" ht="15.75" customHeight="1">
      <c r="A1108" s="8"/>
      <c r="B1108" s="8"/>
      <c r="C1108" s="8"/>
      <c r="D1108" s="8">
        <v>27.9026907562088</v>
      </c>
      <c r="E1108" s="9" t="s">
        <v>1117</v>
      </c>
      <c r="I1108" s="12" t="str">
        <f>IFERROR(__xludf.DUMMYFUNCTION("""COMPUTED_VALUE"""),"0x5db8eff3bd353f7f676f3444d4da359c97f554f5")</f>
        <v>0x5db8eff3bd353f7f676f3444d4da359c97f554f5</v>
      </c>
      <c r="J1108" s="11">
        <v>212.1901415860838</v>
      </c>
      <c r="K1108" s="12">
        <v>471.5336479690751</v>
      </c>
      <c r="L1108" s="13">
        <v>4.7153364796907513E20</v>
      </c>
      <c r="M1108" s="9">
        <v>4.715336479690752E19</v>
      </c>
    </row>
    <row r="1109" ht="15.75" customHeight="1">
      <c r="A1109" s="8"/>
      <c r="B1109" s="8"/>
      <c r="C1109" s="8"/>
      <c r="D1109" s="8">
        <v>27.9026907562088</v>
      </c>
      <c r="E1109" s="9" t="s">
        <v>1118</v>
      </c>
      <c r="I1109" s="12" t="str">
        <f>IFERROR(__xludf.DUMMYFUNCTION("""COMPUTED_VALUE"""),"0x5dc000b8060fca14234d8034326b73eb95c88502")</f>
        <v>0x5dc000b8060fca14234d8034326b73eb95c88502</v>
      </c>
      <c r="J1109" s="11">
        <v>91.1199983031448</v>
      </c>
      <c r="K1109" s="12">
        <v>202.48888511809955</v>
      </c>
      <c r="L1109" s="13">
        <v>2.0248888511809955E20</v>
      </c>
      <c r="M1109" s="9">
        <v>2.0248888511809958E19</v>
      </c>
    </row>
    <row r="1110" ht="15.75" customHeight="1">
      <c r="A1110" s="8"/>
      <c r="B1110" s="8"/>
      <c r="C1110" s="8"/>
      <c r="D1110" s="8">
        <v>27.9026907562088</v>
      </c>
      <c r="E1110" s="9" t="s">
        <v>1119</v>
      </c>
      <c r="I1110" s="12" t="str">
        <f>IFERROR(__xludf.DUMMYFUNCTION("""COMPUTED_VALUE"""),"0x5de8a212dc101a21fa3200ab76847900bdf17f22")</f>
        <v>0x5de8a212dc101a21fa3200ab76847900bdf17f22</v>
      </c>
      <c r="J1110" s="11">
        <v>27.9026907562088</v>
      </c>
      <c r="K1110" s="12">
        <v>62.005979458241775</v>
      </c>
      <c r="L1110" s="13">
        <v>6.200597945824177E19</v>
      </c>
      <c r="M1110" s="9">
        <v>6.2005979458241782E18</v>
      </c>
    </row>
    <row r="1111" ht="15.75" customHeight="1">
      <c r="A1111" s="8"/>
      <c r="B1111" s="8"/>
      <c r="C1111" s="8"/>
      <c r="D1111" s="8">
        <v>18.4701825742791</v>
      </c>
      <c r="E1111" s="9" t="s">
        <v>1120</v>
      </c>
      <c r="I1111" s="12" t="str">
        <f>IFERROR(__xludf.DUMMYFUNCTION("""COMPUTED_VALUE"""),"0x5dfe9244cd319c7852ba6d0dac1abe650b49dced")</f>
        <v>0x5dfe9244cd319c7852ba6d0dac1abe650b49dced</v>
      </c>
      <c r="J1111" s="11">
        <v>18.4701825742791</v>
      </c>
      <c r="K1111" s="12">
        <v>41.044850165064666</v>
      </c>
      <c r="L1111" s="13">
        <v>4.104485016506466E19</v>
      </c>
      <c r="M1111" s="9">
        <v>4.1044850165064663E18</v>
      </c>
    </row>
    <row r="1112" ht="15.75" customHeight="1">
      <c r="A1112" s="8"/>
      <c r="B1112" s="8"/>
      <c r="C1112" s="8"/>
      <c r="D1112" s="8">
        <v>19.9648345008976</v>
      </c>
      <c r="E1112" s="9" t="s">
        <v>1121</v>
      </c>
      <c r="I1112" s="12" t="str">
        <f>IFERROR(__xludf.DUMMYFUNCTION("""COMPUTED_VALUE"""),"0x5e0b1f370c47cffa0e7a87137e9b8036e79caa2a")</f>
        <v>0x5e0b1f370c47cffa0e7a87137e9b8036e79caa2a</v>
      </c>
      <c r="J1112" s="11">
        <v>71.52056048337444</v>
      </c>
      <c r="K1112" s="12">
        <v>158.9345788519432</v>
      </c>
      <c r="L1112" s="13">
        <v>1.589345788519432E20</v>
      </c>
      <c r="M1112" s="9">
        <v>1.589345788519432E19</v>
      </c>
    </row>
    <row r="1113" ht="15.75" customHeight="1">
      <c r="A1113" s="8"/>
      <c r="B1113" s="8"/>
      <c r="C1113" s="8"/>
      <c r="D1113" s="8">
        <v>22.4618346294738</v>
      </c>
      <c r="E1113" s="9" t="s">
        <v>1122</v>
      </c>
      <c r="I1113" s="12" t="str">
        <f>IFERROR(__xludf.DUMMYFUNCTION("""COMPUTED_VALUE"""),"0x5e2492787a23419663c5fe7459c13e8240449e63")</f>
        <v>0x5e2492787a23419663c5fe7459c13e8240449e63</v>
      </c>
      <c r="J1113" s="11">
        <v>22.4618346294738</v>
      </c>
      <c r="K1113" s="12">
        <v>49.91518806549733</v>
      </c>
      <c r="L1113" s="13">
        <v>4.991518806549733E19</v>
      </c>
      <c r="M1113" s="9">
        <v>4.9915188065497334E18</v>
      </c>
    </row>
    <row r="1114" ht="15.75" customHeight="1">
      <c r="A1114" s="8"/>
      <c r="B1114" s="8"/>
      <c r="C1114" s="8"/>
      <c r="D1114" s="8">
        <v>27.9026907562088</v>
      </c>
      <c r="E1114" s="9" t="s">
        <v>1123</v>
      </c>
      <c r="I1114" s="12" t="str">
        <f>IFERROR(__xludf.DUMMYFUNCTION("""COMPUTED_VALUE"""),"0x5e8bf699ae221acc704e10f3cea88cfa8f6d78ec")</f>
        <v>0x5e8bf699ae221acc704e10f3cea88cfa8f6d78ec</v>
      </c>
      <c r="J1114" s="11">
        <v>68.5414798166106</v>
      </c>
      <c r="K1114" s="12">
        <v>152.314399592468</v>
      </c>
      <c r="L1114" s="13">
        <v>1.52314399592468E20</v>
      </c>
      <c r="M1114" s="9">
        <v>1.5231439959246799E19</v>
      </c>
    </row>
    <row r="1115" ht="15.75" customHeight="1">
      <c r="A1115" s="8"/>
      <c r="B1115" s="8"/>
      <c r="C1115" s="8"/>
      <c r="D1115" s="8">
        <v>27.9026907562088</v>
      </c>
      <c r="E1115" s="9" t="s">
        <v>1124</v>
      </c>
      <c r="I1115" s="12" t="str">
        <f>IFERROR(__xludf.DUMMYFUNCTION("""COMPUTED_VALUE"""),"0x5e8dc86d5c1d634922d1e4a110853fe88c48c34c")</f>
        <v>0x5e8dc86d5c1d634922d1e4a110853fe88c48c34c</v>
      </c>
      <c r="J1115" s="11">
        <v>29.848481093998938</v>
      </c>
      <c r="K1115" s="12">
        <v>66.32995798666431</v>
      </c>
      <c r="L1115" s="13">
        <v>6.632995798666431E19</v>
      </c>
      <c r="M1115" s="9">
        <v>6.6329957986664315E18</v>
      </c>
    </row>
    <row r="1116" ht="15.75" customHeight="1">
      <c r="A1116" s="8"/>
      <c r="B1116" s="8"/>
      <c r="C1116" s="8"/>
      <c r="D1116" s="8">
        <v>6.667859654853</v>
      </c>
      <c r="E1116" s="9" t="s">
        <v>1125</v>
      </c>
      <c r="I1116" s="12" t="str">
        <f>IFERROR(__xludf.DUMMYFUNCTION("""COMPUTED_VALUE"""),"0x5e994d5b8222756ca5934a3add8cfc89f50e2178")</f>
        <v>0x5e994d5b8222756ca5934a3add8cfc89f50e2178</v>
      </c>
      <c r="J1116" s="11">
        <v>6.667859654853</v>
      </c>
      <c r="K1116" s="12">
        <v>14.817465899673333</v>
      </c>
      <c r="L1116" s="13">
        <v>1.4817465899673334E19</v>
      </c>
      <c r="M1116" s="9">
        <v>1.48174658996733338E18</v>
      </c>
    </row>
    <row r="1117" ht="15.75" customHeight="1">
      <c r="A1117" s="8"/>
      <c r="B1117" s="8"/>
      <c r="C1117" s="8"/>
      <c r="D1117" s="8">
        <v>27.9026907562088</v>
      </c>
      <c r="E1117" s="9" t="s">
        <v>1126</v>
      </c>
      <c r="I1117" s="12" t="str">
        <f>IFERROR(__xludf.DUMMYFUNCTION("""COMPUTED_VALUE"""),"0x5ed3e0b13d96c532c952cb2cdb7ae055e747f5b9")</f>
        <v>0x5ed3e0b13d96c532c952cb2cdb7ae055e747f5b9</v>
      </c>
      <c r="J1117" s="11">
        <v>27.9026907562088</v>
      </c>
      <c r="K1117" s="12">
        <v>62.005979458241775</v>
      </c>
      <c r="L1117" s="13">
        <v>6.200597945824177E19</v>
      </c>
      <c r="M1117" s="9">
        <v>6.2005979458241782E18</v>
      </c>
    </row>
    <row r="1118" ht="15.75" customHeight="1">
      <c r="A1118" s="8"/>
      <c r="B1118" s="8"/>
      <c r="C1118" s="8"/>
      <c r="D1118" s="8">
        <v>27.8018453104932</v>
      </c>
      <c r="E1118" s="9" t="s">
        <v>1127</v>
      </c>
      <c r="I1118" s="12" t="str">
        <f>IFERROR(__xludf.DUMMYFUNCTION("""COMPUTED_VALUE"""),"0x5eedb837ed76a9d04a997b1c5ce44ebd284e4d0c")</f>
        <v>0x5eedb837ed76a9d04a997b1c5ce44ebd284e4d0c</v>
      </c>
      <c r="J1118" s="11">
        <v>27.8018453104932</v>
      </c>
      <c r="K1118" s="12">
        <v>61.78187846776267</v>
      </c>
      <c r="L1118" s="13">
        <v>6.178187846776267E19</v>
      </c>
      <c r="M1118" s="9">
        <v>6.1781878467762668E18</v>
      </c>
    </row>
    <row r="1119" ht="15.75" customHeight="1">
      <c r="A1119" s="8"/>
      <c r="B1119" s="8"/>
      <c r="C1119" s="8"/>
      <c r="D1119" s="8">
        <v>27.9026907562088</v>
      </c>
      <c r="E1119" s="9" t="s">
        <v>1128</v>
      </c>
      <c r="I1119" s="12" t="str">
        <f>IFERROR(__xludf.DUMMYFUNCTION("""COMPUTED_VALUE"""),"0x5ef899410dc39282d19ab82dbc203db1c0037613")</f>
        <v>0x5ef899410dc39282d19ab82dbc203db1c0037613</v>
      </c>
      <c r="J1119" s="11">
        <v>93.08718448198564</v>
      </c>
      <c r="K1119" s="12">
        <v>206.86040995996808</v>
      </c>
      <c r="L1119" s="13">
        <v>2.0686040995996808E20</v>
      </c>
      <c r="M1119" s="9">
        <v>2.0686040995996807E19</v>
      </c>
    </row>
    <row r="1120" ht="15.75" customHeight="1">
      <c r="A1120" s="8"/>
      <c r="B1120" s="8"/>
      <c r="C1120" s="8"/>
      <c r="D1120" s="8">
        <v>27.9026907562088</v>
      </c>
      <c r="E1120" s="9" t="s">
        <v>1129</v>
      </c>
      <c r="I1120" s="12" t="str">
        <f>IFERROR(__xludf.DUMMYFUNCTION("""COMPUTED_VALUE"""),"0x5ef8a08b60b6955bc0b44c3743ede83b65e0e529")</f>
        <v>0x5ef8a08b60b6955bc0b44c3743ede83b65e0e529</v>
      </c>
      <c r="J1120" s="11">
        <v>27.9026907562088</v>
      </c>
      <c r="K1120" s="12">
        <v>62.005979458241775</v>
      </c>
      <c r="L1120" s="13">
        <v>6.200597945824177E19</v>
      </c>
      <c r="M1120" s="9">
        <v>6.2005979458241782E18</v>
      </c>
    </row>
    <row r="1121" ht="15.75" customHeight="1">
      <c r="A1121" s="8"/>
      <c r="B1121" s="8"/>
      <c r="C1121" s="8"/>
      <c r="D1121" s="8">
        <v>21.501283652907</v>
      </c>
      <c r="E1121" s="9" t="s">
        <v>1130</v>
      </c>
      <c r="I1121" s="12" t="str">
        <f>IFERROR(__xludf.DUMMYFUNCTION("""COMPUTED_VALUE"""),"0x5ef90a74cefc966283197d6be22b4c0f83b2cf51")</f>
        <v>0x5ef90a74cefc966283197d6be22b4c0f83b2cf51</v>
      </c>
      <c r="J1121" s="11">
        <v>21.501283652907</v>
      </c>
      <c r="K1121" s="12">
        <v>47.780630339793326</v>
      </c>
      <c r="L1121" s="13">
        <v>4.778063033979333E19</v>
      </c>
      <c r="M1121" s="9">
        <v>4.7780630339793336E18</v>
      </c>
    </row>
    <row r="1122" ht="15.75" customHeight="1">
      <c r="A1122" s="8"/>
      <c r="B1122" s="8"/>
      <c r="C1122" s="8"/>
      <c r="D1122" s="8">
        <v>27.9026907562088</v>
      </c>
      <c r="E1122" s="9" t="s">
        <v>1131</v>
      </c>
      <c r="I1122" s="12" t="str">
        <f>IFERROR(__xludf.DUMMYFUNCTION("""COMPUTED_VALUE"""),"0x5f2b8cab0a94d725da69eb4adfbec262a620c50c")</f>
        <v>0x5f2b8cab0a94d725da69eb4adfbec262a620c50c</v>
      </c>
      <c r="J1122" s="11">
        <v>29.848481093998938</v>
      </c>
      <c r="K1122" s="12">
        <v>66.32995798666431</v>
      </c>
      <c r="L1122" s="13">
        <v>6.632995798666431E19</v>
      </c>
      <c r="M1122" s="9">
        <v>6.6329957986664315E18</v>
      </c>
    </row>
    <row r="1123" ht="15.75" customHeight="1">
      <c r="A1123" s="8"/>
      <c r="B1123" s="8"/>
      <c r="C1123" s="8"/>
      <c r="D1123" s="8">
        <v>27.9026907562088</v>
      </c>
      <c r="E1123" s="9" t="s">
        <v>1132</v>
      </c>
      <c r="I1123" s="12" t="str">
        <f>IFERROR(__xludf.DUMMYFUNCTION("""COMPUTED_VALUE"""),"0x5f3684cc6cb80abddd782dd335f29957d4e718c8")</f>
        <v>0x5f3684cc6cb80abddd782dd335f29957d4e718c8</v>
      </c>
      <c r="J1123" s="11">
        <v>29.848481093998938</v>
      </c>
      <c r="K1123" s="12">
        <v>66.32995798666431</v>
      </c>
      <c r="L1123" s="13">
        <v>6.632995798666431E19</v>
      </c>
      <c r="M1123" s="9">
        <v>6.6329957986664315E18</v>
      </c>
    </row>
    <row r="1124" ht="15.75" customHeight="1">
      <c r="A1124" s="8"/>
      <c r="B1124" s="8"/>
      <c r="C1124" s="8"/>
      <c r="D1124" s="8">
        <v>7.56282486707056</v>
      </c>
      <c r="E1124" s="9" t="s">
        <v>1133</v>
      </c>
      <c r="I1124" s="12" t="str">
        <f>IFERROR(__xludf.DUMMYFUNCTION("""COMPUTED_VALUE"""),"0x5f6321bc224b62733662982d0e3e209d0e559c20")</f>
        <v>0x5f6321bc224b62733662982d0e3e209d0e559c20</v>
      </c>
      <c r="J1124" s="11">
        <v>7.56282486707056</v>
      </c>
      <c r="K1124" s="12">
        <v>16.806277482379024</v>
      </c>
      <c r="L1124" s="13">
        <v>1.6806277482379024E19</v>
      </c>
      <c r="M1124" s="9">
        <v>1.68062774823790259E18</v>
      </c>
    </row>
    <row r="1125" ht="15.75" customHeight="1">
      <c r="A1125" s="8"/>
      <c r="B1125" s="8"/>
      <c r="C1125" s="8"/>
      <c r="D1125" s="8">
        <v>25.7389047476674</v>
      </c>
      <c r="E1125" s="9" t="s">
        <v>1134</v>
      </c>
      <c r="I1125" s="12" t="str">
        <f>IFERROR(__xludf.DUMMYFUNCTION("""COMPUTED_VALUE"""),"0x5f64ad7fb380caa03206158f6bfe32d15715d5ca")</f>
        <v>0x5f64ad7fb380caa03206158f6bfe32d15715d5ca</v>
      </c>
      <c r="J1125" s="11">
        <v>25.7389047476674</v>
      </c>
      <c r="K1125" s="12">
        <v>57.19756610592756</v>
      </c>
      <c r="L1125" s="13">
        <v>5.719756610592756E19</v>
      </c>
      <c r="M1125" s="9">
        <v>5.7197566105927557E18</v>
      </c>
    </row>
    <row r="1126" ht="15.75" customHeight="1">
      <c r="A1126" s="8"/>
      <c r="B1126" s="8"/>
      <c r="C1126" s="8"/>
      <c r="D1126" s="8">
        <v>27.9026907562088</v>
      </c>
      <c r="E1126" s="9" t="s">
        <v>1135</v>
      </c>
      <c r="I1126" s="12" t="str">
        <f>IFERROR(__xludf.DUMMYFUNCTION("""COMPUTED_VALUE"""),"0x5f7a6c88537967faaeba280a25103b17d1afaa3c")</f>
        <v>0x5f7a6c88537967faaeba280a25103b17d1afaa3c</v>
      </c>
      <c r="J1126" s="11">
        <v>175.040628924495</v>
      </c>
      <c r="K1126" s="12">
        <v>388.97917538776665</v>
      </c>
      <c r="L1126" s="13">
        <v>3.8897917538776665E20</v>
      </c>
      <c r="M1126" s="9">
        <v>3.889791753877667E19</v>
      </c>
    </row>
    <row r="1127" ht="15.75" customHeight="1">
      <c r="A1127" s="8"/>
      <c r="B1127" s="8"/>
      <c r="C1127" s="8"/>
      <c r="D1127" s="8">
        <v>27.9026907562088</v>
      </c>
      <c r="E1127" s="9" t="s">
        <v>1136</v>
      </c>
      <c r="I1127" s="12" t="str">
        <f>IFERROR(__xludf.DUMMYFUNCTION("""COMPUTED_VALUE"""),"0x5f8dde914a27fc368d7a91a6849da5e03e7fe1c7")</f>
        <v>0x5f8dde914a27fc368d7a91a6849da5e03e7fe1c7</v>
      </c>
      <c r="J1127" s="11">
        <v>91.1199983031448</v>
      </c>
      <c r="K1127" s="12">
        <v>202.48888511809955</v>
      </c>
      <c r="L1127" s="13">
        <v>2.0248888511809955E20</v>
      </c>
      <c r="M1127" s="9">
        <v>2.0248888511809958E19</v>
      </c>
    </row>
    <row r="1128" ht="15.75" customHeight="1">
      <c r="A1128" s="8"/>
      <c r="B1128" s="8"/>
      <c r="C1128" s="8"/>
      <c r="D1128" s="8">
        <v>27.9026907562088</v>
      </c>
      <c r="E1128" s="9" t="s">
        <v>1137</v>
      </c>
      <c r="I1128" s="12" t="str">
        <f>IFERROR(__xludf.DUMMYFUNCTION("""COMPUTED_VALUE"""),"0x5f92949152eda7e3e89f2262fade2e61d1b3b1ea")</f>
        <v>0x5f92949152eda7e3e89f2262fade2e61d1b3b1ea</v>
      </c>
      <c r="J1128" s="11">
        <v>91.1199983031448</v>
      </c>
      <c r="K1128" s="12">
        <v>202.48888511809955</v>
      </c>
      <c r="L1128" s="13">
        <v>2.0248888511809955E20</v>
      </c>
      <c r="M1128" s="9">
        <v>2.0248888511809958E19</v>
      </c>
    </row>
    <row r="1129" ht="15.75" customHeight="1">
      <c r="A1129" s="8"/>
      <c r="B1129" s="8"/>
      <c r="C1129" s="8"/>
      <c r="D1129" s="8">
        <v>27.9026907562088</v>
      </c>
      <c r="E1129" s="9" t="s">
        <v>1138</v>
      </c>
      <c r="I1129" s="12" t="str">
        <f>IFERROR(__xludf.DUMMYFUNCTION("""COMPUTED_VALUE"""),"0x5f9e5e87e19f9d86d58a75697c53447616392f62")</f>
        <v>0x5f9e5e87e19f9d86d58a75697c53447616392f62</v>
      </c>
      <c r="J1129" s="11">
        <v>27.9026907562088</v>
      </c>
      <c r="K1129" s="12">
        <v>62.005979458241775</v>
      </c>
      <c r="L1129" s="13">
        <v>6.200597945824177E19</v>
      </c>
      <c r="M1129" s="9">
        <v>6.2005979458241782E18</v>
      </c>
    </row>
    <row r="1130" ht="15.75" customHeight="1">
      <c r="A1130" s="8"/>
      <c r="B1130" s="8"/>
      <c r="C1130" s="8"/>
      <c r="D1130" s="8">
        <v>23.61775850147</v>
      </c>
      <c r="E1130" s="9" t="s">
        <v>1139</v>
      </c>
      <c r="I1130" s="12" t="str">
        <f>IFERROR(__xludf.DUMMYFUNCTION("""COMPUTED_VALUE"""),"0x5fb0058280611b57e7fd96dc4ba3616bd0d29806")</f>
        <v>0x5fb0058280611b57e7fd96dc4ba3616bd0d29806</v>
      </c>
      <c r="J1130" s="11">
        <v>77.68623956648699</v>
      </c>
      <c r="K1130" s="12">
        <v>172.63608792552665</v>
      </c>
      <c r="L1130" s="13">
        <v>1.7263608792552666E20</v>
      </c>
      <c r="M1130" s="9">
        <v>1.7263608792552667E19</v>
      </c>
    </row>
    <row r="1131" ht="15.75" customHeight="1">
      <c r="A1131" s="8"/>
      <c r="B1131" s="8"/>
      <c r="C1131" s="8"/>
      <c r="D1131" s="8">
        <v>14.9848318248773</v>
      </c>
      <c r="E1131" s="9" t="s">
        <v>1140</v>
      </c>
      <c r="I1131" s="12" t="str">
        <f>IFERROR(__xludf.DUMMYFUNCTION("""COMPUTED_VALUE"""),"0x5fdedc3f3f211f15c8a0c2d8330e2affc49e3157")</f>
        <v>0x5fdedc3f3f211f15c8a0c2d8330e2affc49e3157</v>
      </c>
      <c r="J1131" s="11">
        <v>14.9848318248773</v>
      </c>
      <c r="K1131" s="12">
        <v>33.29962627750511</v>
      </c>
      <c r="L1131" s="13">
        <v>3.3299626277505114E19</v>
      </c>
      <c r="M1131" s="9">
        <v>3.3299626277505116E18</v>
      </c>
    </row>
    <row r="1132" ht="15.75" customHeight="1">
      <c r="A1132" s="8"/>
      <c r="B1132" s="8"/>
      <c r="C1132" s="8"/>
      <c r="D1132" s="8">
        <v>27.9026907562088</v>
      </c>
      <c r="E1132" s="9" t="s">
        <v>1141</v>
      </c>
      <c r="I1132" s="12" t="str">
        <f>IFERROR(__xludf.DUMMYFUNCTION("""COMPUTED_VALUE"""),"0x5feea6457cccacc612f0915f4dac6687674a644e")</f>
        <v>0x5feea6457cccacc612f0915f4dac6687674a644e</v>
      </c>
      <c r="J1132" s="11">
        <v>66.9970822571959</v>
      </c>
      <c r="K1132" s="12">
        <v>148.88240501599088</v>
      </c>
      <c r="L1132" s="13">
        <v>1.488824050159909E20</v>
      </c>
      <c r="M1132" s="9">
        <v>1.488824050159909E19</v>
      </c>
    </row>
    <row r="1133" ht="15.75" customHeight="1">
      <c r="A1133" s="8"/>
      <c r="B1133" s="8"/>
      <c r="C1133" s="8"/>
      <c r="D1133" s="8">
        <v>27.9026907562088</v>
      </c>
      <c r="E1133" s="9" t="s">
        <v>1142</v>
      </c>
      <c r="I1133" s="12" t="str">
        <f>IFERROR(__xludf.DUMMYFUNCTION("""COMPUTED_VALUE"""),"0x5ff7050c8164e85139d396e259da5d612ed6ff62")</f>
        <v>0x5ff7050c8164e85139d396e259da5d612ed6ff62</v>
      </c>
      <c r="J1133" s="11">
        <v>27.9026907562088</v>
      </c>
      <c r="K1133" s="12">
        <v>62.005979458241775</v>
      </c>
      <c r="L1133" s="13">
        <v>6.200597945824177E19</v>
      </c>
      <c r="M1133" s="9">
        <v>6.2005979458241782E18</v>
      </c>
    </row>
    <row r="1134" ht="15.75" customHeight="1">
      <c r="A1134" s="8"/>
      <c r="B1134" s="8"/>
      <c r="C1134" s="8"/>
      <c r="D1134" s="8">
        <v>15.065414042735</v>
      </c>
      <c r="E1134" s="9" t="s">
        <v>1143</v>
      </c>
      <c r="I1134" s="12" t="str">
        <f>IFERROR(__xludf.DUMMYFUNCTION("""COMPUTED_VALUE"""),"0x5ffbd158745d3c9cb66638bc00242095ed1ac228")</f>
        <v>0x5ffbd158745d3c9cb66638bc00242095ed1ac228</v>
      </c>
      <c r="J1134" s="11">
        <v>15.065414042735</v>
      </c>
      <c r="K1134" s="12">
        <v>33.47869787274444</v>
      </c>
      <c r="L1134" s="13">
        <v>3.347869787274444E19</v>
      </c>
      <c r="M1134" s="9">
        <v>3.3478697872744443E18</v>
      </c>
    </row>
    <row r="1135" ht="15.75" customHeight="1">
      <c r="A1135" s="8"/>
      <c r="B1135" s="8"/>
      <c r="C1135" s="8"/>
      <c r="D1135" s="8">
        <v>21.4240761425078</v>
      </c>
      <c r="E1135" s="9" t="s">
        <v>1144</v>
      </c>
      <c r="I1135" s="12" t="str">
        <f>IFERROR(__xludf.DUMMYFUNCTION("""COMPUTED_VALUE"""),"0x60218fc75e1232f632dcb4bec447f1a9b61a9876")</f>
        <v>0x60218fc75e1232f632dcb4bec447f1a9b61a9876</v>
      </c>
      <c r="J1135" s="11">
        <v>21.4240761425078</v>
      </c>
      <c r="K1135" s="12">
        <v>47.60905809446178</v>
      </c>
      <c r="L1135" s="13">
        <v>4.760905809446178E19</v>
      </c>
      <c r="M1135" s="9">
        <v>4.7609058094461778E18</v>
      </c>
    </row>
    <row r="1136" ht="15.75" customHeight="1">
      <c r="A1136" s="8"/>
      <c r="B1136" s="8"/>
      <c r="C1136" s="8"/>
      <c r="D1136" s="8">
        <v>27.9026907562088</v>
      </c>
      <c r="E1136" s="9" t="s">
        <v>1145</v>
      </c>
      <c r="I1136" s="12" t="str">
        <f>IFERROR(__xludf.DUMMYFUNCTION("""COMPUTED_VALUE"""),"0x602fbda816e9c95b03c4aab11dcc572595ced21e")</f>
        <v>0x602fbda816e9c95b03c4aab11dcc572595ced21e</v>
      </c>
      <c r="J1136" s="11">
        <v>27.9026907562088</v>
      </c>
      <c r="K1136" s="12">
        <v>62.005979458241775</v>
      </c>
      <c r="L1136" s="13">
        <v>6.200597945824177E19</v>
      </c>
      <c r="M1136" s="9">
        <v>6.2005979458241782E18</v>
      </c>
    </row>
    <row r="1137" ht="15.75" customHeight="1">
      <c r="A1137" s="8"/>
      <c r="B1137" s="8"/>
      <c r="C1137" s="8"/>
      <c r="D1137" s="8">
        <v>24.4791074629784</v>
      </c>
      <c r="E1137" s="9" t="s">
        <v>1146</v>
      </c>
      <c r="I1137" s="12" t="str">
        <f>IFERROR(__xludf.DUMMYFUNCTION("""COMPUTED_VALUE"""),"0x6033b5dcd6f4c523b6498dcc7390a3b03e898cbc")</f>
        <v>0x6033b5dcd6f4c523b6498dcc7390a3b03e898cbc</v>
      </c>
      <c r="J1137" s="11">
        <v>24.479107737062428</v>
      </c>
      <c r="K1137" s="12">
        <v>54.39801719347206</v>
      </c>
      <c r="L1137" s="13">
        <v>5.439801719347206E19</v>
      </c>
      <c r="M1137" s="9">
        <v>5.4398017193472061E18</v>
      </c>
    </row>
    <row r="1138" ht="15.75" customHeight="1">
      <c r="A1138" s="8"/>
      <c r="B1138" s="8"/>
      <c r="C1138" s="8"/>
      <c r="D1138" s="8">
        <v>22.3403641653226</v>
      </c>
      <c r="E1138" s="9" t="s">
        <v>1147</v>
      </c>
      <c r="I1138" s="12" t="str">
        <f>IFERROR(__xludf.DUMMYFUNCTION("""COMPUTED_VALUE"""),"0x60567172ba6dd95329c18f424e8b664711eda119")</f>
        <v>0x60567172ba6dd95329c18f424e8b664711eda119</v>
      </c>
      <c r="J1138" s="11">
        <v>22.3403641653226</v>
      </c>
      <c r="K1138" s="12">
        <v>49.64525370071689</v>
      </c>
      <c r="L1138" s="13">
        <v>4.96452537007169E19</v>
      </c>
      <c r="M1138" s="9">
        <v>4.9645253700716902E18</v>
      </c>
    </row>
    <row r="1139" ht="15.75" customHeight="1">
      <c r="A1139" s="8"/>
      <c r="B1139" s="8"/>
      <c r="C1139" s="8"/>
      <c r="D1139" s="8">
        <v>27.9026907562088</v>
      </c>
      <c r="E1139" s="9" t="s">
        <v>1148</v>
      </c>
      <c r="I1139" s="12" t="str">
        <f>IFERROR(__xludf.DUMMYFUNCTION("""COMPUTED_VALUE"""),"0x605981cfc1a070f08fcf206e258458836251c429")</f>
        <v>0x605981cfc1a070f08fcf206e258458836251c429</v>
      </c>
      <c r="J1139" s="11">
        <v>91.1199983031448</v>
      </c>
      <c r="K1139" s="12">
        <v>202.48888511809955</v>
      </c>
      <c r="L1139" s="13">
        <v>2.0248888511809955E20</v>
      </c>
      <c r="M1139" s="9">
        <v>2.0248888511809958E19</v>
      </c>
    </row>
    <row r="1140" ht="15.75" customHeight="1">
      <c r="A1140" s="8"/>
      <c r="B1140" s="8"/>
      <c r="C1140" s="8"/>
      <c r="D1140" s="8">
        <v>13.744531491448</v>
      </c>
      <c r="E1140" s="9" t="s">
        <v>1149</v>
      </c>
      <c r="I1140" s="12" t="str">
        <f>IFERROR(__xludf.DUMMYFUNCTION("""COMPUTED_VALUE"""),"0x606eb644dbdfc222686eecf4d08dfccd230e601f")</f>
        <v>0x606eb644dbdfc222686eecf4d08dfccd230e601f</v>
      </c>
      <c r="J1140" s="11">
        <v>13.744531491448</v>
      </c>
      <c r="K1140" s="12">
        <v>30.54340331432889</v>
      </c>
      <c r="L1140" s="13">
        <v>3.054340331432889E19</v>
      </c>
      <c r="M1140" s="9">
        <v>3.0543403314328893E18</v>
      </c>
    </row>
    <row r="1141" ht="15.75" customHeight="1">
      <c r="A1141" s="8"/>
      <c r="B1141" s="8"/>
      <c r="C1141" s="8"/>
      <c r="D1141" s="8">
        <v>27.9026907562088</v>
      </c>
      <c r="E1141" s="9" t="s">
        <v>1150</v>
      </c>
      <c r="I1141" s="12" t="str">
        <f>IFERROR(__xludf.DUMMYFUNCTION("""COMPUTED_VALUE"""),"0x607ce91180ec37cd68f0e0aae428478926aa9b11")</f>
        <v>0x607ce91180ec37cd68f0e0aae428478926aa9b11</v>
      </c>
      <c r="J1141" s="11">
        <v>91.1199983031448</v>
      </c>
      <c r="K1141" s="12">
        <v>202.48888511809955</v>
      </c>
      <c r="L1141" s="13">
        <v>2.0248888511809955E20</v>
      </c>
      <c r="M1141" s="9">
        <v>2.0248888511809958E19</v>
      </c>
    </row>
    <row r="1142" ht="15.75" customHeight="1">
      <c r="A1142" s="8"/>
      <c r="B1142" s="8"/>
      <c r="C1142" s="8"/>
      <c r="D1142" s="8">
        <v>27.9026907562088</v>
      </c>
      <c r="E1142" s="9" t="s">
        <v>1151</v>
      </c>
      <c r="I1142" s="12" t="str">
        <f>IFERROR(__xludf.DUMMYFUNCTION("""COMPUTED_VALUE"""),"0x60a6321ea71d37102dbf923aae2e08d005c4e403")</f>
        <v>0x60a6321ea71d37102dbf923aae2e08d005c4e403</v>
      </c>
      <c r="J1142" s="11">
        <v>91.1199983031448</v>
      </c>
      <c r="K1142" s="12">
        <v>202.48888511809955</v>
      </c>
      <c r="L1142" s="13">
        <v>2.0248888511809955E20</v>
      </c>
      <c r="M1142" s="9">
        <v>2.0248888511809958E19</v>
      </c>
    </row>
    <row r="1143" ht="15.75" customHeight="1">
      <c r="A1143" s="8"/>
      <c r="B1143" s="8"/>
      <c r="C1143" s="8"/>
      <c r="D1143" s="8">
        <v>27.9026907562088</v>
      </c>
      <c r="E1143" s="9" t="s">
        <v>1152</v>
      </c>
      <c r="I1143" s="12" t="str">
        <f>IFERROR(__xludf.DUMMYFUNCTION("""COMPUTED_VALUE"""),"0x60eccc389551d6d971460c62f7da40e7c74fa41a")</f>
        <v>0x60eccc389551d6d971460c62f7da40e7c74fa41a</v>
      </c>
      <c r="J1143" s="11">
        <v>27.9026907562088</v>
      </c>
      <c r="K1143" s="12">
        <v>62.005979458241775</v>
      </c>
      <c r="L1143" s="13">
        <v>6.200597945824177E19</v>
      </c>
      <c r="M1143" s="9">
        <v>6.2005979458241782E18</v>
      </c>
    </row>
    <row r="1144" ht="15.75" customHeight="1">
      <c r="A1144" s="8"/>
      <c r="B1144" s="8"/>
      <c r="C1144" s="8"/>
      <c r="D1144" s="8">
        <v>27.9026907562088</v>
      </c>
      <c r="E1144" s="9" t="s">
        <v>1153</v>
      </c>
      <c r="I1144" s="12" t="str">
        <f>IFERROR(__xludf.DUMMYFUNCTION("""COMPUTED_VALUE"""),"0x60fc26b4246613ada6823524a9dd7036fa4b7d50")</f>
        <v>0x60fc26b4246613ada6823524a9dd7036fa4b7d50</v>
      </c>
      <c r="J1144" s="11">
        <v>27.9026907562088</v>
      </c>
      <c r="K1144" s="12">
        <v>62.005979458241775</v>
      </c>
      <c r="L1144" s="13">
        <v>6.200597945824177E19</v>
      </c>
      <c r="M1144" s="9">
        <v>6.2005979458241782E18</v>
      </c>
    </row>
    <row r="1145" ht="15.75" customHeight="1">
      <c r="A1145" s="8"/>
      <c r="B1145" s="8"/>
      <c r="C1145" s="8"/>
      <c r="D1145" s="8">
        <v>27.9026907562088</v>
      </c>
      <c r="E1145" s="9" t="s">
        <v>1154</v>
      </c>
      <c r="I1145" s="12" t="str">
        <f>IFERROR(__xludf.DUMMYFUNCTION("""COMPUTED_VALUE"""),"0x6111cc8b85570acf8d54497908b0c01c58622180")</f>
        <v>0x6111cc8b85570acf8d54497908b0c01c58622180</v>
      </c>
      <c r="J1145" s="11">
        <v>27.9026907562088</v>
      </c>
      <c r="K1145" s="12">
        <v>62.005979458241775</v>
      </c>
      <c r="L1145" s="13">
        <v>6.200597945824177E19</v>
      </c>
      <c r="M1145" s="9">
        <v>6.2005979458241782E18</v>
      </c>
    </row>
    <row r="1146" ht="15.75" customHeight="1">
      <c r="A1146" s="8"/>
      <c r="B1146" s="8"/>
      <c r="C1146" s="8"/>
      <c r="D1146" s="8">
        <v>15.7428598262408</v>
      </c>
      <c r="E1146" s="9" t="s">
        <v>1155</v>
      </c>
      <c r="I1146" s="12" t="str">
        <f>IFERROR(__xludf.DUMMYFUNCTION("""COMPUTED_VALUE"""),"0x6112201625f14d89012df7ec2424b24f10db8f62")</f>
        <v>0x6112201625f14d89012df7ec2424b24f10db8f62</v>
      </c>
      <c r="J1146" s="11">
        <v>15.7428598262408</v>
      </c>
      <c r="K1146" s="12">
        <v>34.98413294720178</v>
      </c>
      <c r="L1146" s="13">
        <v>3.4984132947201778E19</v>
      </c>
      <c r="M1146" s="9">
        <v>3.4984132947201782E18</v>
      </c>
    </row>
    <row r="1147" ht="15.75" customHeight="1">
      <c r="A1147" s="8"/>
      <c r="B1147" s="8"/>
      <c r="C1147" s="8"/>
      <c r="D1147" s="8">
        <v>27.9026907562088</v>
      </c>
      <c r="E1147" s="9" t="s">
        <v>1156</v>
      </c>
      <c r="I1147" s="12" t="str">
        <f>IFERROR(__xludf.DUMMYFUNCTION("""COMPUTED_VALUE"""),"0x6118ca30c70bcdb59a380887dc29ab7039c7ce04")</f>
        <v>0x6118ca30c70bcdb59a380887dc29ab7039c7ce04</v>
      </c>
      <c r="J1147" s="11">
        <v>27.9026907562088</v>
      </c>
      <c r="K1147" s="12">
        <v>62.005979458241775</v>
      </c>
      <c r="L1147" s="13">
        <v>6.200597945824177E19</v>
      </c>
      <c r="M1147" s="9">
        <v>6.2005979458241782E18</v>
      </c>
    </row>
    <row r="1148" ht="15.75" customHeight="1">
      <c r="A1148" s="8"/>
      <c r="B1148" s="8"/>
      <c r="C1148" s="8"/>
      <c r="D1148" s="8">
        <v>27.9026907562088</v>
      </c>
      <c r="E1148" s="9" t="s">
        <v>1157</v>
      </c>
      <c r="I1148" s="12" t="str">
        <f>IFERROR(__xludf.DUMMYFUNCTION("""COMPUTED_VALUE"""),"0x6146a628269f41c032497ffe9c816ed386df4466")</f>
        <v>0x6146a628269f41c032497ffe9c816ed386df4466</v>
      </c>
      <c r="J1148" s="11">
        <v>91.1199983031448</v>
      </c>
      <c r="K1148" s="12">
        <v>202.48888511809955</v>
      </c>
      <c r="L1148" s="13">
        <v>2.0248888511809955E20</v>
      </c>
      <c r="M1148" s="9">
        <v>2.0248888511809958E19</v>
      </c>
    </row>
    <row r="1149" ht="15.75" customHeight="1">
      <c r="A1149" s="8"/>
      <c r="B1149" s="8"/>
      <c r="C1149" s="8"/>
      <c r="D1149" s="8">
        <v>27.5433126363761</v>
      </c>
      <c r="E1149" s="9" t="s">
        <v>1158</v>
      </c>
      <c r="I1149" s="12" t="str">
        <f>IFERROR(__xludf.DUMMYFUNCTION("""COMPUTED_VALUE"""),"0x616dd90f22319e97cba078c81e6b42c87e5dcdc2")</f>
        <v>0x616dd90f22319e97cba078c81e6b42c87e5dcdc2</v>
      </c>
      <c r="J1149" s="11">
        <v>27.5433126363761</v>
      </c>
      <c r="K1149" s="12">
        <v>61.207361414169114</v>
      </c>
      <c r="L1149" s="13">
        <v>6.120736141416912E19</v>
      </c>
      <c r="M1149" s="9">
        <v>6.1207361414169119E18</v>
      </c>
    </row>
    <row r="1150" ht="15.75" customHeight="1">
      <c r="A1150" s="8"/>
      <c r="B1150" s="8"/>
      <c r="C1150" s="8"/>
      <c r="D1150" s="8">
        <v>27.9026907562088</v>
      </c>
      <c r="E1150" s="9" t="s">
        <v>1159</v>
      </c>
      <c r="I1150" s="12" t="str">
        <f>IFERROR(__xludf.DUMMYFUNCTION("""COMPUTED_VALUE"""),"0x616ddc02e666f1cb8294c3342b21611ebb0d538a")</f>
        <v>0x616ddc02e666f1cb8294c3342b21611ebb0d538a</v>
      </c>
      <c r="J1150" s="11">
        <v>27.9026907562088</v>
      </c>
      <c r="K1150" s="12">
        <v>62.005979458241775</v>
      </c>
      <c r="L1150" s="13">
        <v>6.200597945824177E19</v>
      </c>
      <c r="M1150" s="9">
        <v>6.2005979458241782E18</v>
      </c>
    </row>
    <row r="1151" ht="15.75" customHeight="1">
      <c r="A1151" s="8"/>
      <c r="B1151" s="8"/>
      <c r="C1151" s="8"/>
      <c r="D1151" s="8">
        <v>7.86542925689077</v>
      </c>
      <c r="E1151" s="9" t="s">
        <v>1160</v>
      </c>
      <c r="I1151" s="12" t="str">
        <f>IFERROR(__xludf.DUMMYFUNCTION("""COMPUTED_VALUE"""),"0x61709ba988d4af045181ee2b0cf0f79a20f821e1")</f>
        <v>0x61709ba988d4af045181ee2b0cf0f79a20f821e1</v>
      </c>
      <c r="J1151" s="11">
        <v>26.14527574660307</v>
      </c>
      <c r="K1151" s="12">
        <v>58.10061277022904</v>
      </c>
      <c r="L1151" s="13">
        <v>5.810061277022904E19</v>
      </c>
      <c r="M1151" s="9">
        <v>5.8100612770229043E18</v>
      </c>
    </row>
    <row r="1152" ht="15.75" customHeight="1">
      <c r="A1152" s="8"/>
      <c r="B1152" s="8"/>
      <c r="C1152" s="8"/>
      <c r="D1152" s="8">
        <v>27.9026907562088</v>
      </c>
      <c r="E1152" s="9" t="s">
        <v>1161</v>
      </c>
      <c r="I1152" s="12" t="str">
        <f>IFERROR(__xludf.DUMMYFUNCTION("""COMPUTED_VALUE"""),"0x61b3dbe98960fe01f361571f35e0f5257c1eecd8")</f>
        <v>0x61b3dbe98960fe01f361571f35e0f5257c1eecd8</v>
      </c>
      <c r="J1152" s="11">
        <v>91.1199983031448</v>
      </c>
      <c r="K1152" s="12">
        <v>202.48888511809955</v>
      </c>
      <c r="L1152" s="13">
        <v>2.0248888511809955E20</v>
      </c>
      <c r="M1152" s="9">
        <v>2.0248888511809958E19</v>
      </c>
    </row>
    <row r="1153" ht="15.75" customHeight="1">
      <c r="A1153" s="8"/>
      <c r="B1153" s="8"/>
      <c r="C1153" s="8"/>
      <c r="D1153" s="8">
        <v>27.9026907562088</v>
      </c>
      <c r="E1153" s="9" t="s">
        <v>1162</v>
      </c>
      <c r="I1153" s="12" t="str">
        <f>IFERROR(__xludf.DUMMYFUNCTION("""COMPUTED_VALUE"""),"0x61c507032da31d57c59ac02a6b044444e9d3b643")</f>
        <v>0x61c507032da31d57c59ac02a6b044444e9d3b643</v>
      </c>
      <c r="J1153" s="11">
        <v>91.1199983031448</v>
      </c>
      <c r="K1153" s="12">
        <v>202.48888511809955</v>
      </c>
      <c r="L1153" s="13">
        <v>2.0248888511809955E20</v>
      </c>
      <c r="M1153" s="9">
        <v>2.0248888511809958E19</v>
      </c>
    </row>
    <row r="1154" ht="15.75" customHeight="1">
      <c r="A1154" s="8"/>
      <c r="B1154" s="8"/>
      <c r="C1154" s="8"/>
      <c r="D1154" s="8">
        <v>27.5638384303402</v>
      </c>
      <c r="E1154" s="9" t="s">
        <v>1163</v>
      </c>
      <c r="I1154" s="12" t="str">
        <f>IFERROR(__xludf.DUMMYFUNCTION("""COMPUTED_VALUE"""),"0x61e5776b24e2e2db07d2ac729a39ed70f96a9b7c")</f>
        <v>0x61e5776b24e2e2db07d2ac729a39ed70f96a9b7c</v>
      </c>
      <c r="J1154" s="11">
        <v>155.58857440492352</v>
      </c>
      <c r="K1154" s="12">
        <v>345.7523875664967</v>
      </c>
      <c r="L1154" s="13">
        <v>3.457523875664967E20</v>
      </c>
      <c r="M1154" s="9">
        <v>3.4575238756649673E19</v>
      </c>
    </row>
    <row r="1155" ht="15.75" customHeight="1">
      <c r="A1155" s="8"/>
      <c r="B1155" s="8"/>
      <c r="C1155" s="8"/>
      <c r="D1155" s="8">
        <v>27.9026907562088</v>
      </c>
      <c r="E1155" s="9" t="s">
        <v>1164</v>
      </c>
      <c r="I1155" s="12" t="str">
        <f>IFERROR(__xludf.DUMMYFUNCTION("""COMPUTED_VALUE"""),"0x61f4e0111ca69a2547b56ce9e6a93d38b02175d3")</f>
        <v>0x61f4e0111ca69a2547b56ce9e6a93d38b02175d3</v>
      </c>
      <c r="J1155" s="11">
        <v>99.60364417590982</v>
      </c>
      <c r="K1155" s="12">
        <v>221.3414315020218</v>
      </c>
      <c r="L1155" s="13">
        <v>2.2134143150202182E20</v>
      </c>
      <c r="M1155" s="9">
        <v>2.2134143150202184E19</v>
      </c>
    </row>
    <row r="1156" ht="15.75" customHeight="1">
      <c r="A1156" s="8"/>
      <c r="B1156" s="8"/>
      <c r="C1156" s="8"/>
      <c r="D1156" s="8">
        <v>27.9026907562088</v>
      </c>
      <c r="E1156" s="9" t="s">
        <v>1165</v>
      </c>
      <c r="I1156" s="12" t="str">
        <f>IFERROR(__xludf.DUMMYFUNCTION("""COMPUTED_VALUE"""),"0x61fcb864d0ee3892e7dea89107fb5fdaa8dd6605")</f>
        <v>0x61fcb864d0ee3892e7dea89107fb5fdaa8dd6605</v>
      </c>
      <c r="J1156" s="11">
        <v>91.1199983031448</v>
      </c>
      <c r="K1156" s="12">
        <v>202.48888511809955</v>
      </c>
      <c r="L1156" s="13">
        <v>2.0248888511809955E20</v>
      </c>
      <c r="M1156" s="9">
        <v>2.0248888511809958E19</v>
      </c>
    </row>
    <row r="1157" ht="15.75" customHeight="1">
      <c r="A1157" s="8"/>
      <c r="B1157" s="8"/>
      <c r="C1157" s="8"/>
      <c r="D1157" s="8">
        <v>27.9026907562088</v>
      </c>
      <c r="E1157" s="9" t="s">
        <v>1166</v>
      </c>
      <c r="I1157" s="12" t="str">
        <f>IFERROR(__xludf.DUMMYFUNCTION("""COMPUTED_VALUE"""),"0x620462ab7a62eac171eb3e56c88d35a2a2e86958")</f>
        <v>0x620462ab7a62eac171eb3e56c88d35a2a2e86958</v>
      </c>
      <c r="J1157" s="11">
        <v>157.4326633202922</v>
      </c>
      <c r="K1157" s="12">
        <v>349.85036293398264</v>
      </c>
      <c r="L1157" s="13">
        <v>3.4985036293398266E20</v>
      </c>
      <c r="M1157" s="9">
        <v>3.4985036293398266E19</v>
      </c>
    </row>
    <row r="1158" ht="15.75" customHeight="1">
      <c r="A1158" s="8"/>
      <c r="B1158" s="8"/>
      <c r="C1158" s="8"/>
      <c r="D1158" s="8">
        <v>27.2874259177438</v>
      </c>
      <c r="E1158" s="9" t="s">
        <v>1167</v>
      </c>
      <c r="I1158" s="12" t="str">
        <f>IFERROR(__xludf.DUMMYFUNCTION("""COMPUTED_VALUE"""),"0x620ded9a1e010500573f6c1d51883c1cc20345af")</f>
        <v>0x620ded9a1e010500573f6c1d51883c1cc20345af</v>
      </c>
      <c r="J1158" s="11">
        <v>27.2874259177438</v>
      </c>
      <c r="K1158" s="12">
        <v>60.63872426165289</v>
      </c>
      <c r="L1158" s="13">
        <v>6.063872426165289E19</v>
      </c>
      <c r="M1158" s="9">
        <v>6.063872426165289E18</v>
      </c>
    </row>
    <row r="1159" ht="15.75" customHeight="1">
      <c r="A1159" s="8"/>
      <c r="B1159" s="8"/>
      <c r="C1159" s="8"/>
      <c r="D1159" s="8">
        <v>27.9026907562088</v>
      </c>
      <c r="E1159" s="9" t="s">
        <v>1168</v>
      </c>
      <c r="I1159" s="12" t="str">
        <f>IFERROR(__xludf.DUMMYFUNCTION("""COMPUTED_VALUE"""),"0x624deae333aa3e1eff645cfd258cc1e409f20585")</f>
        <v>0x624deae333aa3e1eff645cfd258cc1e409f20585</v>
      </c>
      <c r="J1159" s="11">
        <v>95.53661689835694</v>
      </c>
      <c r="K1159" s="12">
        <v>212.30359310745985</v>
      </c>
      <c r="L1159" s="13">
        <v>2.1230359310745983E20</v>
      </c>
      <c r="M1159" s="9">
        <v>2.1230359310745985E19</v>
      </c>
    </row>
    <row r="1160" ht="15.75" customHeight="1">
      <c r="A1160" s="8"/>
      <c r="B1160" s="8"/>
      <c r="C1160" s="8"/>
      <c r="D1160" s="8">
        <v>27.8504623071228</v>
      </c>
      <c r="E1160" s="9" t="s">
        <v>1169</v>
      </c>
      <c r="I1160" s="12" t="str">
        <f>IFERROR(__xludf.DUMMYFUNCTION("""COMPUTED_VALUE"""),"0x62a7167a61742f71b1540ac2795ad95417a2b031")</f>
        <v>0x62a7167a61742f71b1540ac2795ad95417a2b031</v>
      </c>
      <c r="J1160" s="11">
        <v>27.8504623071228</v>
      </c>
      <c r="K1160" s="12">
        <v>61.88991623805067</v>
      </c>
      <c r="L1160" s="13">
        <v>6.1889916238050664E19</v>
      </c>
      <c r="M1160" s="9">
        <v>6.1889916238050673E18</v>
      </c>
    </row>
    <row r="1161" ht="15.75" customHeight="1">
      <c r="A1161" s="8"/>
      <c r="B1161" s="8"/>
      <c r="C1161" s="8"/>
      <c r="D1161" s="8">
        <v>27.9026907562088</v>
      </c>
      <c r="E1161" s="9" t="s">
        <v>1170</v>
      </c>
      <c r="I1161" s="12" t="str">
        <f>IFERROR(__xludf.DUMMYFUNCTION("""COMPUTED_VALUE"""),"0x62c989bdaaedc2078f3ed396a26a323cbcf1a57c")</f>
        <v>0x62c989bdaaedc2078f3ed396a26a323cbcf1a57c</v>
      </c>
      <c r="J1161" s="11">
        <v>120.17956763004929</v>
      </c>
      <c r="K1161" s="12">
        <v>267.065705844554</v>
      </c>
      <c r="L1161" s="13">
        <v>2.6706570584455397E20</v>
      </c>
      <c r="M1161" s="9">
        <v>2.6706570584455397E19</v>
      </c>
    </row>
    <row r="1162" ht="15.75" customHeight="1">
      <c r="A1162" s="8"/>
      <c r="B1162" s="8"/>
      <c r="C1162" s="8"/>
      <c r="D1162" s="8">
        <v>22.9476698827157</v>
      </c>
      <c r="E1162" s="9" t="s">
        <v>1171</v>
      </c>
      <c r="I1162" s="12" t="str">
        <f>IFERROR(__xludf.DUMMYFUNCTION("""COMPUTED_VALUE"""),"0x6305b950c99c64786492c52066cc797e9aa2c115")</f>
        <v>0x6305b950c99c64786492c52066cc797e9aa2c115</v>
      </c>
      <c r="J1162" s="11">
        <v>312.4554050890355</v>
      </c>
      <c r="K1162" s="12">
        <v>694.345344642301</v>
      </c>
      <c r="L1162" s="13">
        <v>6.94345344642301E20</v>
      </c>
      <c r="M1162" s="9">
        <v>6.9434534464230105E19</v>
      </c>
    </row>
    <row r="1163" ht="15.75" customHeight="1">
      <c r="A1163" s="8"/>
      <c r="B1163" s="8"/>
      <c r="C1163" s="8"/>
      <c r="D1163" s="8">
        <v>14.7516672052817</v>
      </c>
      <c r="E1163" s="9" t="s">
        <v>1172</v>
      </c>
      <c r="I1163" s="12" t="str">
        <f>IFERROR(__xludf.DUMMYFUNCTION("""COMPUTED_VALUE"""),"0x6315d1bcee8f94276d532420fd09ca9f222cba85")</f>
        <v>0x6315d1bcee8f94276d532420fd09ca9f222cba85</v>
      </c>
      <c r="J1163" s="11">
        <v>14.7516672052817</v>
      </c>
      <c r="K1163" s="12">
        <v>32.781482678403776</v>
      </c>
      <c r="L1163" s="13">
        <v>3.2781482678403777E19</v>
      </c>
      <c r="M1163" s="9">
        <v>3.2781482678403779E18</v>
      </c>
    </row>
    <row r="1164" ht="15.75" customHeight="1">
      <c r="A1164" s="8"/>
      <c r="B1164" s="8"/>
      <c r="C1164" s="8"/>
      <c r="D1164" s="8">
        <v>24.9277963939175</v>
      </c>
      <c r="E1164" s="9" t="s">
        <v>1173</v>
      </c>
      <c r="I1164" s="12" t="str">
        <f>IFERROR(__xludf.DUMMYFUNCTION("""COMPUTED_VALUE"""),"0x631b4d15799fe8840c2d68c8d4a57cd774fd9b90")</f>
        <v>0x631b4d15799fe8840c2d68c8d4a57cd774fd9b90</v>
      </c>
      <c r="J1164" s="11">
        <v>24.9277963939175</v>
      </c>
      <c r="K1164" s="12">
        <v>55.39510309759444</v>
      </c>
      <c r="L1164" s="13">
        <v>5.5395103097594446E19</v>
      </c>
      <c r="M1164" s="9">
        <v>5.539510309759445E18</v>
      </c>
    </row>
    <row r="1165" ht="15.75" customHeight="1">
      <c r="A1165" s="8"/>
      <c r="B1165" s="8"/>
      <c r="C1165" s="8"/>
      <c r="D1165" s="8">
        <v>27.9026907562088</v>
      </c>
      <c r="E1165" s="9" t="s">
        <v>1174</v>
      </c>
      <c r="I1165" s="12" t="str">
        <f>IFERROR(__xludf.DUMMYFUNCTION("""COMPUTED_VALUE"""),"0x631e0d8cf69b1f7debdf1728f1ee0b9d20fb7e1f")</f>
        <v>0x631e0d8cf69b1f7debdf1728f1ee0b9d20fb7e1f</v>
      </c>
      <c r="J1165" s="11">
        <v>27.9026907562088</v>
      </c>
      <c r="K1165" s="12">
        <v>62.005979458241775</v>
      </c>
      <c r="L1165" s="13">
        <v>6.200597945824177E19</v>
      </c>
      <c r="M1165" s="9">
        <v>6.2005979458241782E18</v>
      </c>
    </row>
    <row r="1166" ht="15.75" customHeight="1">
      <c r="A1166" s="8"/>
      <c r="B1166" s="8"/>
      <c r="C1166" s="8"/>
      <c r="D1166" s="8">
        <v>27.9026907562088</v>
      </c>
      <c r="E1166" s="9" t="s">
        <v>1175</v>
      </c>
      <c r="I1166" s="12" t="str">
        <f>IFERROR(__xludf.DUMMYFUNCTION("""COMPUTED_VALUE"""),"0x632215ff0690084212cbb3d59ca0a6a6713d9e02")</f>
        <v>0x632215ff0690084212cbb3d59ca0a6a6713d9e02</v>
      </c>
      <c r="J1166" s="11">
        <v>137.8715027492286</v>
      </c>
      <c r="K1166" s="12">
        <v>306.381117220508</v>
      </c>
      <c r="L1166" s="13">
        <v>3.0638111722050794E20</v>
      </c>
      <c r="M1166" s="9">
        <v>3.0638111722050798E19</v>
      </c>
    </row>
    <row r="1167" ht="15.75" customHeight="1">
      <c r="A1167" s="8"/>
      <c r="B1167" s="8"/>
      <c r="C1167" s="8"/>
      <c r="D1167" s="8">
        <v>25.1797258677423</v>
      </c>
      <c r="E1167" s="9" t="s">
        <v>1176</v>
      </c>
      <c r="I1167" s="12" t="str">
        <f>IFERROR(__xludf.DUMMYFUNCTION("""COMPUTED_VALUE"""),"0x635e7c3e084f8c62ab8e3a3a1ad57be36d2ae8b4")</f>
        <v>0x635e7c3e084f8c62ab8e3a3a1ad57be36d2ae8b4</v>
      </c>
      <c r="J1167" s="11">
        <v>25.1797258677423</v>
      </c>
      <c r="K1167" s="12">
        <v>55.95494637276066</v>
      </c>
      <c r="L1167" s="13">
        <v>5.595494637276066E19</v>
      </c>
      <c r="M1167" s="9">
        <v>5.5954946372760658E18</v>
      </c>
    </row>
    <row r="1168" ht="15.75" customHeight="1">
      <c r="A1168" s="8"/>
      <c r="B1168" s="8"/>
      <c r="C1168" s="8"/>
      <c r="D1168" s="8">
        <v>27.9026907562088</v>
      </c>
      <c r="E1168" s="9" t="s">
        <v>1177</v>
      </c>
      <c r="I1168" s="12" t="str">
        <f>IFERROR(__xludf.DUMMYFUNCTION("""COMPUTED_VALUE"""),"0x639f902a99be30fbe5da41ec59b0e680882839ce")</f>
        <v>0x639f902a99be30fbe5da41ec59b0e680882839ce</v>
      </c>
      <c r="J1168" s="11">
        <v>118.7241071359958</v>
      </c>
      <c r="K1168" s="12">
        <v>263.83134919110176</v>
      </c>
      <c r="L1168" s="13">
        <v>2.6383134919110178E20</v>
      </c>
      <c r="M1168" s="9">
        <v>2.638313491911018E19</v>
      </c>
    </row>
    <row r="1169" ht="15.75" customHeight="1">
      <c r="A1169" s="8"/>
      <c r="B1169" s="8"/>
      <c r="C1169" s="8"/>
      <c r="D1169" s="8">
        <v>27.9026907562088</v>
      </c>
      <c r="E1169" s="9" t="s">
        <v>1178</v>
      </c>
      <c r="I1169" s="12" t="str">
        <f>IFERROR(__xludf.DUMMYFUNCTION("""COMPUTED_VALUE"""),"0x63b9e4e757fc107250790a10db00d6e0b18b2f39")</f>
        <v>0x63b9e4e757fc107250790a10db00d6e0b18b2f39</v>
      </c>
      <c r="J1169" s="11">
        <v>27.9026907562088</v>
      </c>
      <c r="K1169" s="12">
        <v>62.005979458241775</v>
      </c>
      <c r="L1169" s="13">
        <v>6.200597945824177E19</v>
      </c>
      <c r="M1169" s="9">
        <v>6.2005979458241782E18</v>
      </c>
    </row>
    <row r="1170" ht="15.75" customHeight="1">
      <c r="A1170" s="8"/>
      <c r="B1170" s="8"/>
      <c r="C1170" s="8"/>
      <c r="D1170" s="8">
        <v>26.2432337804066</v>
      </c>
      <c r="E1170" s="9" t="s">
        <v>1179</v>
      </c>
      <c r="I1170" s="12" t="str">
        <f>IFERROR(__xludf.DUMMYFUNCTION("""COMPUTED_VALUE"""),"0x63bfa80bbb56bd91167ec6d1492ad41969bf1ac4")</f>
        <v>0x63bfa80bbb56bd91167ec6d1492ad41969bf1ac4</v>
      </c>
      <c r="J1170" s="11">
        <v>26.2432337804066</v>
      </c>
      <c r="K1170" s="12">
        <v>58.31829728979245</v>
      </c>
      <c r="L1170" s="13">
        <v>5.831829728979245E19</v>
      </c>
      <c r="M1170" s="9">
        <v>5.8318297289792451E18</v>
      </c>
    </row>
    <row r="1171" ht="15.75" customHeight="1">
      <c r="A1171" s="8"/>
      <c r="B1171" s="8"/>
      <c r="C1171" s="8"/>
      <c r="D1171" s="8">
        <v>27.9026907562088</v>
      </c>
      <c r="E1171" s="9" t="s">
        <v>1180</v>
      </c>
      <c r="I1171" s="12" t="str">
        <f>IFERROR(__xludf.DUMMYFUNCTION("""COMPUTED_VALUE"""),"0x63c45da07dce54f58589807c00bd6f0d9be180a8")</f>
        <v>0x63c45da07dce54f58589807c00bd6f0d9be180a8</v>
      </c>
      <c r="J1171" s="11">
        <v>27.9026907562088</v>
      </c>
      <c r="K1171" s="12">
        <v>62.005979458241775</v>
      </c>
      <c r="L1171" s="13">
        <v>6.200597945824177E19</v>
      </c>
      <c r="M1171" s="9">
        <v>6.2005979458241782E18</v>
      </c>
    </row>
    <row r="1172" ht="15.75" customHeight="1">
      <c r="A1172" s="8"/>
      <c r="B1172" s="8"/>
      <c r="C1172" s="8"/>
      <c r="D1172" s="8">
        <v>27.9026907562088</v>
      </c>
      <c r="E1172" s="9" t="s">
        <v>1181</v>
      </c>
      <c r="I1172" s="12" t="str">
        <f>IFERROR(__xludf.DUMMYFUNCTION("""COMPUTED_VALUE"""),"0x63ce6e3af8dfe967edcdca99f9d866454b5fd25d")</f>
        <v>0x63ce6e3af8dfe967edcdca99f9d866454b5fd25d</v>
      </c>
      <c r="J1172" s="11">
        <v>92.30508295248698</v>
      </c>
      <c r="K1172" s="12">
        <v>205.1224065610822</v>
      </c>
      <c r="L1172" s="13">
        <v>2.0512240656108218E20</v>
      </c>
      <c r="M1172" s="9">
        <v>2.051224065610822E19</v>
      </c>
    </row>
    <row r="1173" ht="15.75" customHeight="1">
      <c r="A1173" s="8"/>
      <c r="B1173" s="8"/>
      <c r="C1173" s="8"/>
      <c r="D1173" s="8">
        <v>27.9026907562088</v>
      </c>
      <c r="E1173" s="9" t="s">
        <v>1182</v>
      </c>
      <c r="I1173" s="12" t="str">
        <f>IFERROR(__xludf.DUMMYFUNCTION("""COMPUTED_VALUE"""),"0x63cfd8675c33a2579a319aaaf4b763549edaa796")</f>
        <v>0x63cfd8675c33a2579a319aaaf4b763549edaa796</v>
      </c>
      <c r="J1173" s="11">
        <v>27.9026907562088</v>
      </c>
      <c r="K1173" s="12">
        <v>62.005979458241775</v>
      </c>
      <c r="L1173" s="13">
        <v>6.200597945824177E19</v>
      </c>
      <c r="M1173" s="9">
        <v>6.2005979458241782E18</v>
      </c>
    </row>
    <row r="1174" ht="15.75" customHeight="1">
      <c r="A1174" s="8"/>
      <c r="B1174" s="8"/>
      <c r="C1174" s="8"/>
      <c r="D1174" s="8">
        <v>23.4719049191115</v>
      </c>
      <c r="E1174" s="9" t="s">
        <v>1183</v>
      </c>
      <c r="I1174" s="12" t="str">
        <f>IFERROR(__xludf.DUMMYFUNCTION("""COMPUTED_VALUE"""),"0x6408c67d9da1282f545517b2010e4c918891dbe0")</f>
        <v>0x6408c67d9da1282f545517b2010e4c918891dbe0</v>
      </c>
      <c r="J1174" s="11">
        <v>24.268160402115978</v>
      </c>
      <c r="K1174" s="12">
        <v>53.92924533803551</v>
      </c>
      <c r="L1174" s="13">
        <v>5.39292453380355E19</v>
      </c>
      <c r="M1174" s="9">
        <v>5.3929245338035507E18</v>
      </c>
    </row>
    <row r="1175" ht="15.75" customHeight="1">
      <c r="A1175" s="8"/>
      <c r="B1175" s="8"/>
      <c r="C1175" s="8"/>
      <c r="D1175" s="8">
        <v>3.06422364576506</v>
      </c>
      <c r="E1175" s="9" t="s">
        <v>1184</v>
      </c>
      <c r="I1175" s="12" t="str">
        <f>IFERROR(__xludf.DUMMYFUNCTION("""COMPUTED_VALUE"""),"0x6417a1bb0a60c249e4830631952be8733f97bc97")</f>
        <v>0x6417a1bb0a60c249e4830631952be8733f97bc97</v>
      </c>
      <c r="J1175" s="11">
        <v>3.06422364576506</v>
      </c>
      <c r="K1175" s="12">
        <v>6.809385879477911</v>
      </c>
      <c r="L1175" s="13">
        <v>6.8093858794779105E18</v>
      </c>
      <c r="M1175" s="9">
        <v>6.809385879477911E17</v>
      </c>
    </row>
    <row r="1176" ht="15.75" customHeight="1">
      <c r="A1176" s="8"/>
      <c r="B1176" s="8"/>
      <c r="C1176" s="8"/>
      <c r="D1176" s="8">
        <v>19.8060126825461</v>
      </c>
      <c r="E1176" s="9" t="s">
        <v>1185</v>
      </c>
      <c r="I1176" s="12" t="str">
        <f>IFERROR(__xludf.DUMMYFUNCTION("""COMPUTED_VALUE"""),"0x6435937fcbaaa77ca69defe4a6873b539555fdc4")</f>
        <v>0x6435937fcbaaa77ca69defe4a6873b539555fdc4</v>
      </c>
      <c r="J1176" s="11">
        <v>84.986946424849</v>
      </c>
      <c r="K1176" s="12">
        <v>188.85988094410888</v>
      </c>
      <c r="L1176" s="13">
        <v>1.888598809441089E20</v>
      </c>
      <c r="M1176" s="9">
        <v>1.888598809441089E19</v>
      </c>
    </row>
    <row r="1177" ht="15.75" customHeight="1">
      <c r="A1177" s="8"/>
      <c r="B1177" s="8"/>
      <c r="C1177" s="8"/>
      <c r="D1177" s="8">
        <v>27.9026907562088</v>
      </c>
      <c r="E1177" s="9" t="s">
        <v>1186</v>
      </c>
      <c r="I1177" s="12" t="str">
        <f>IFERROR(__xludf.DUMMYFUNCTION("""COMPUTED_VALUE"""),"0x6458f999e595d3bda5692db9df011ccd4ab13a96")</f>
        <v>0x6458f999e595d3bda5692db9df011ccd4ab13a96</v>
      </c>
      <c r="J1177" s="11">
        <v>137.8193318299617</v>
      </c>
      <c r="K1177" s="12">
        <v>306.26518184435935</v>
      </c>
      <c r="L1177" s="13">
        <v>3.0626518184435935E20</v>
      </c>
      <c r="M1177" s="9">
        <v>3.0626518184435937E19</v>
      </c>
    </row>
    <row r="1178" ht="15.75" customHeight="1">
      <c r="A1178" s="8"/>
      <c r="B1178" s="8"/>
      <c r="C1178" s="8"/>
      <c r="D1178" s="8">
        <v>27.9026907562088</v>
      </c>
      <c r="E1178" s="9" t="s">
        <v>1187</v>
      </c>
      <c r="I1178" s="12" t="str">
        <f>IFERROR(__xludf.DUMMYFUNCTION("""COMPUTED_VALUE"""),"0x645a689e1f9e23b1a2a8b98d390e6af2a5068589")</f>
        <v>0x645a689e1f9e23b1a2a8b98d390e6af2a5068589</v>
      </c>
      <c r="J1178" s="11">
        <v>27.9026907562088</v>
      </c>
      <c r="K1178" s="12">
        <v>62.005979458241775</v>
      </c>
      <c r="L1178" s="13">
        <v>6.200597945824177E19</v>
      </c>
      <c r="M1178" s="9">
        <v>6.2005979458241782E18</v>
      </c>
    </row>
    <row r="1179" ht="15.75" customHeight="1">
      <c r="A1179" s="8"/>
      <c r="B1179" s="8"/>
      <c r="C1179" s="8"/>
      <c r="D1179" s="8">
        <v>27.9026907562088</v>
      </c>
      <c r="E1179" s="9" t="s">
        <v>1188</v>
      </c>
      <c r="I1179" s="12" t="str">
        <f>IFERROR(__xludf.DUMMYFUNCTION("""COMPUTED_VALUE"""),"0x645faca6f73cd783ae1c856b2a70cbb00d345b49")</f>
        <v>0x645faca6f73cd783ae1c856b2a70cbb00d345b49</v>
      </c>
      <c r="J1179" s="11">
        <v>91.1199983031448</v>
      </c>
      <c r="K1179" s="12">
        <v>202.48888511809955</v>
      </c>
      <c r="L1179" s="13">
        <v>2.0248888511809955E20</v>
      </c>
      <c r="M1179" s="9">
        <v>2.0248888511809958E19</v>
      </c>
    </row>
    <row r="1180" ht="15.75" customHeight="1">
      <c r="A1180" s="8"/>
      <c r="B1180" s="8"/>
      <c r="C1180" s="8"/>
      <c r="D1180" s="8">
        <v>27.208533126561</v>
      </c>
      <c r="E1180" s="9" t="s">
        <v>1189</v>
      </c>
      <c r="I1180" s="12" t="str">
        <f>IFERROR(__xludf.DUMMYFUNCTION("""COMPUTED_VALUE"""),"0x64753453c29bc397d42d4f59f77cfd41efa162eb")</f>
        <v>0x64753453c29bc397d42d4f59f77cfd41efa162eb</v>
      </c>
      <c r="J1180" s="11">
        <v>27.208533126561</v>
      </c>
      <c r="K1180" s="12">
        <v>60.463406947913334</v>
      </c>
      <c r="L1180" s="13">
        <v>6.0463406947913335E19</v>
      </c>
      <c r="M1180" s="9">
        <v>6.0463406947913339E18</v>
      </c>
    </row>
    <row r="1181" ht="15.75" customHeight="1">
      <c r="A1181" s="8"/>
      <c r="B1181" s="8"/>
      <c r="C1181" s="8"/>
      <c r="D1181" s="8">
        <v>24.1816445161447</v>
      </c>
      <c r="E1181" s="9" t="s">
        <v>1190</v>
      </c>
      <c r="I1181" s="12" t="str">
        <f>IFERROR(__xludf.DUMMYFUNCTION("""COMPUTED_VALUE"""),"0x6494baf946f2928f17e6ee584b9bf6e3cb8be878")</f>
        <v>0x6494baf946f2928f17e6ee584b9bf6e3cb8be878</v>
      </c>
      <c r="J1181" s="11">
        <v>24.1816445161447</v>
      </c>
      <c r="K1181" s="12">
        <v>53.73698781365489</v>
      </c>
      <c r="L1181" s="13">
        <v>5.373698781365489E19</v>
      </c>
      <c r="M1181" s="9">
        <v>5.3736987813654886E18</v>
      </c>
    </row>
    <row r="1182" ht="15.75" customHeight="1">
      <c r="A1182" s="8"/>
      <c r="B1182" s="8"/>
      <c r="C1182" s="8"/>
      <c r="D1182" s="8">
        <v>13.8505479116191</v>
      </c>
      <c r="E1182" s="9" t="s">
        <v>1191</v>
      </c>
      <c r="I1182" s="12" t="str">
        <f>IFERROR(__xludf.DUMMYFUNCTION("""COMPUTED_VALUE"""),"0x6495f48a4bcbb693a49babe93ca827f9c2e18c69")</f>
        <v>0x6495f48a4bcbb693a49babe93ca827f9c2e18c69</v>
      </c>
      <c r="J1182" s="11">
        <v>13.8505479116191</v>
      </c>
      <c r="K1182" s="12">
        <v>30.778995359153555</v>
      </c>
      <c r="L1182" s="13">
        <v>3.0778995359153553E19</v>
      </c>
      <c r="M1182" s="9">
        <v>3.0778995359153556E18</v>
      </c>
    </row>
    <row r="1183" ht="15.75" customHeight="1">
      <c r="A1183" s="8"/>
      <c r="B1183" s="8"/>
      <c r="C1183" s="8"/>
      <c r="D1183" s="8">
        <v>27.9026907562088</v>
      </c>
      <c r="E1183" s="9" t="s">
        <v>1192</v>
      </c>
      <c r="I1183" s="12" t="str">
        <f>IFERROR(__xludf.DUMMYFUNCTION("""COMPUTED_VALUE"""),"0x64b2fcf9194fde5de1a59d3b1685c56efdb401a9")</f>
        <v>0x64b2fcf9194fde5de1a59d3b1685c56efdb401a9</v>
      </c>
      <c r="J1183" s="11">
        <v>91.1199983031448</v>
      </c>
      <c r="K1183" s="12">
        <v>202.48888511809955</v>
      </c>
      <c r="L1183" s="13">
        <v>2.0248888511809955E20</v>
      </c>
      <c r="M1183" s="9">
        <v>2.0248888511809958E19</v>
      </c>
    </row>
    <row r="1184" ht="15.75" customHeight="1">
      <c r="A1184" s="8"/>
      <c r="B1184" s="8"/>
      <c r="C1184" s="8"/>
      <c r="D1184" s="8">
        <v>27.9026907562088</v>
      </c>
      <c r="E1184" s="9" t="s">
        <v>1193</v>
      </c>
      <c r="I1184" s="12" t="str">
        <f>IFERROR(__xludf.DUMMYFUNCTION("""COMPUTED_VALUE"""),"0x64b384e47d67b62d981aee727018e765a8540072")</f>
        <v>0x64b384e47d67b62d981aee727018e765a8540072</v>
      </c>
      <c r="J1184" s="11">
        <v>178.6880859257615</v>
      </c>
      <c r="K1184" s="12">
        <v>397.08463539058107</v>
      </c>
      <c r="L1184" s="13">
        <v>3.970846353905811E20</v>
      </c>
      <c r="M1184" s="9">
        <v>3.970846353905811E19</v>
      </c>
    </row>
    <row r="1185" ht="15.75" customHeight="1">
      <c r="A1185" s="8"/>
      <c r="B1185" s="8"/>
      <c r="C1185" s="8"/>
      <c r="D1185" s="8">
        <v>24.7294587722478</v>
      </c>
      <c r="E1185" s="9" t="s">
        <v>1194</v>
      </c>
      <c r="I1185" s="12" t="str">
        <f>IFERROR(__xludf.DUMMYFUNCTION("""COMPUTED_VALUE"""),"0x64bf4f1a47c45facab8bbb084b0b4e8a1ade244a")</f>
        <v>0x64bf4f1a47c45facab8bbb084b0b4e8a1ade244a</v>
      </c>
      <c r="J1185" s="11">
        <v>24.7294587722478</v>
      </c>
      <c r="K1185" s="12">
        <v>54.95435282721733</v>
      </c>
      <c r="L1185" s="13">
        <v>5.495435282721733E19</v>
      </c>
      <c r="M1185" s="9">
        <v>5.4954352827217336E18</v>
      </c>
    </row>
    <row r="1186" ht="15.75" customHeight="1">
      <c r="A1186" s="8"/>
      <c r="B1186" s="8"/>
      <c r="C1186" s="8"/>
      <c r="D1186" s="8">
        <v>27.8015681542674</v>
      </c>
      <c r="E1186" s="9" t="s">
        <v>1195</v>
      </c>
      <c r="I1186" s="12" t="str">
        <f>IFERROR(__xludf.DUMMYFUNCTION("""COMPUTED_VALUE"""),"0x64d2fcfac493729d1c50cae847580a59ae831555")</f>
        <v>0x64d2fcfac493729d1c50cae847580a59ae831555</v>
      </c>
      <c r="J1186" s="11">
        <v>27.8015681542674</v>
      </c>
      <c r="K1186" s="12">
        <v>61.781262565038666</v>
      </c>
      <c r="L1186" s="13">
        <v>6.178126256503867E19</v>
      </c>
      <c r="M1186" s="9">
        <v>6.1781262565038674E18</v>
      </c>
    </row>
    <row r="1187" ht="15.75" customHeight="1">
      <c r="A1187" s="8"/>
      <c r="B1187" s="8"/>
      <c r="C1187" s="8"/>
      <c r="D1187" s="8">
        <v>15.0514231505977</v>
      </c>
      <c r="E1187" s="9" t="s">
        <v>1196</v>
      </c>
      <c r="I1187" s="12" t="str">
        <f>IFERROR(__xludf.DUMMYFUNCTION("""COMPUTED_VALUE"""),"0x64d5ca788269d8d4c56190f48c0cb4ed8b44c4e0")</f>
        <v>0x64d5ca788269d8d4c56190f48c0cb4ed8b44c4e0</v>
      </c>
      <c r="J1187" s="11">
        <v>49.8074158574218</v>
      </c>
      <c r="K1187" s="12">
        <v>110.68314634982622</v>
      </c>
      <c r="L1187" s="13">
        <v>1.1068314634982621E20</v>
      </c>
      <c r="M1187" s="9">
        <v>1.1068314634982621E19</v>
      </c>
    </row>
    <row r="1188" ht="15.75" customHeight="1">
      <c r="A1188" s="8"/>
      <c r="B1188" s="8"/>
      <c r="C1188" s="8"/>
      <c r="D1188" s="8">
        <v>27.9026907562088</v>
      </c>
      <c r="E1188" s="9" t="s">
        <v>1197</v>
      </c>
      <c r="I1188" s="12" t="str">
        <f>IFERROR(__xludf.DUMMYFUNCTION("""COMPUTED_VALUE"""),"0x64d6f4d5bfb3b19a4c06ee912937680b7a8debb0")</f>
        <v>0x64d6f4d5bfb3b19a4c06ee912937680b7a8debb0</v>
      </c>
      <c r="J1188" s="11">
        <v>27.9026907562088</v>
      </c>
      <c r="K1188" s="12">
        <v>62.005979458241775</v>
      </c>
      <c r="L1188" s="13">
        <v>6.200597945824177E19</v>
      </c>
      <c r="M1188" s="9">
        <v>6.2005979458241782E18</v>
      </c>
    </row>
    <row r="1189" ht="15.75" customHeight="1">
      <c r="A1189" s="8"/>
      <c r="B1189" s="8"/>
      <c r="C1189" s="8"/>
      <c r="D1189" s="8">
        <v>21.4127326388844</v>
      </c>
      <c r="E1189" s="9" t="s">
        <v>1198</v>
      </c>
      <c r="I1189" s="12" t="str">
        <f>IFERROR(__xludf.DUMMYFUNCTION("""COMPUTED_VALUE"""),"0x64d9418b1cbf1371e595e9e34a4818348b8c44b4")</f>
        <v>0x64d9418b1cbf1371e595e9e34a4818348b8c44b4</v>
      </c>
      <c r="J1189" s="11">
        <v>21.4127326388844</v>
      </c>
      <c r="K1189" s="12">
        <v>47.583850308632</v>
      </c>
      <c r="L1189" s="13">
        <v>4.7583850308632E19</v>
      </c>
      <c r="M1189" s="9">
        <v>4.7583850308632003E18</v>
      </c>
    </row>
    <row r="1190" ht="15.75" customHeight="1">
      <c r="A1190" s="8"/>
      <c r="B1190" s="8"/>
      <c r="C1190" s="8"/>
      <c r="D1190" s="8">
        <v>1.91578197619547</v>
      </c>
      <c r="E1190" s="9" t="s">
        <v>1199</v>
      </c>
      <c r="I1190" s="12" t="str">
        <f>IFERROR(__xludf.DUMMYFUNCTION("""COMPUTED_VALUE"""),"0x64e5ae6f1dd38adc13b4707b6b9fe1b93f42aaad")</f>
        <v>0x64e5ae6f1dd38adc13b4707b6b9fe1b93f42aaad</v>
      </c>
      <c r="J1190" s="11">
        <v>1.91578197619547</v>
      </c>
      <c r="K1190" s="12">
        <v>4.257293280434378</v>
      </c>
      <c r="L1190" s="13">
        <v>4.2572932804343777E18</v>
      </c>
      <c r="M1190" s="9">
        <v>4.2572932804343782E17</v>
      </c>
    </row>
    <row r="1191" ht="15.75" customHeight="1">
      <c r="A1191" s="8"/>
      <c r="B1191" s="8"/>
      <c r="C1191" s="8"/>
      <c r="D1191" s="8">
        <v>27.9026907562088</v>
      </c>
      <c r="E1191" s="9" t="s">
        <v>1200</v>
      </c>
      <c r="I1191" s="12" t="str">
        <f>IFERROR(__xludf.DUMMYFUNCTION("""COMPUTED_VALUE"""),"0x650a66ae41e88b3b3007e8c01993ea56c4f2f79e")</f>
        <v>0x650a66ae41e88b3b3007e8c01993ea56c4f2f79e</v>
      </c>
      <c r="J1191" s="11">
        <v>27.9026907562088</v>
      </c>
      <c r="K1191" s="12">
        <v>62.005979458241775</v>
      </c>
      <c r="L1191" s="13">
        <v>6.200597945824177E19</v>
      </c>
      <c r="M1191" s="9">
        <v>6.2005979458241782E18</v>
      </c>
    </row>
    <row r="1192" ht="15.75" customHeight="1">
      <c r="A1192" s="8"/>
      <c r="B1192" s="8"/>
      <c r="C1192" s="8"/>
      <c r="D1192" s="8">
        <v>27.9026907562088</v>
      </c>
      <c r="E1192" s="9" t="s">
        <v>1201</v>
      </c>
      <c r="I1192" s="12" t="str">
        <f>IFERROR(__xludf.DUMMYFUNCTION("""COMPUTED_VALUE"""),"0x650b9c677a024209fc82c8c9f4c2247c371b6b2a")</f>
        <v>0x650b9c677a024209fc82c8c9f4c2247c371b6b2a</v>
      </c>
      <c r="J1192" s="11">
        <v>27.9026907562088</v>
      </c>
      <c r="K1192" s="12">
        <v>62.005979458241775</v>
      </c>
      <c r="L1192" s="13">
        <v>6.200597945824177E19</v>
      </c>
      <c r="M1192" s="9">
        <v>6.2005979458241782E18</v>
      </c>
    </row>
    <row r="1193" ht="15.75" customHeight="1">
      <c r="A1193" s="8"/>
      <c r="B1193" s="8"/>
      <c r="C1193" s="8"/>
      <c r="D1193" s="8">
        <v>27.9026907562088</v>
      </c>
      <c r="E1193" s="9" t="s">
        <v>1202</v>
      </c>
      <c r="I1193" s="12" t="str">
        <f>IFERROR(__xludf.DUMMYFUNCTION("""COMPUTED_VALUE"""),"0x650dcfa7b29af392a0591d6debe239d907d1e54b")</f>
        <v>0x650dcfa7b29af392a0591d6debe239d907d1e54b</v>
      </c>
      <c r="J1193" s="11">
        <v>27.9026907562088</v>
      </c>
      <c r="K1193" s="12">
        <v>62.005979458241775</v>
      </c>
      <c r="L1193" s="13">
        <v>6.200597945824177E19</v>
      </c>
      <c r="M1193" s="9">
        <v>6.2005979458241782E18</v>
      </c>
    </row>
    <row r="1194" ht="15.75" customHeight="1">
      <c r="A1194" s="8"/>
      <c r="B1194" s="8"/>
      <c r="C1194" s="8"/>
      <c r="D1194" s="8">
        <v>27.9026907562088</v>
      </c>
      <c r="E1194" s="9" t="s">
        <v>1203</v>
      </c>
      <c r="I1194" s="12" t="str">
        <f>IFERROR(__xludf.DUMMYFUNCTION("""COMPUTED_VALUE"""),"0x653b929df60484f5bb9cc324b54b211821fbc3ee")</f>
        <v>0x653b929df60484f5bb9cc324b54b211821fbc3ee</v>
      </c>
      <c r="J1194" s="11">
        <v>91.1199983031448</v>
      </c>
      <c r="K1194" s="12">
        <v>202.48888511809955</v>
      </c>
      <c r="L1194" s="13">
        <v>2.0248888511809955E20</v>
      </c>
      <c r="M1194" s="9">
        <v>2.0248888511809958E19</v>
      </c>
    </row>
    <row r="1195" ht="15.75" customHeight="1">
      <c r="A1195" s="8"/>
      <c r="B1195" s="8"/>
      <c r="C1195" s="8"/>
      <c r="D1195" s="8">
        <v>27.9026907562088</v>
      </c>
      <c r="E1195" s="9" t="s">
        <v>1204</v>
      </c>
      <c r="I1195" s="12" t="str">
        <f>IFERROR(__xludf.DUMMYFUNCTION("""COMPUTED_VALUE"""),"0x6545c3f95c0fa51a0e4d9f7fc2f77dae133717e6")</f>
        <v>0x6545c3f95c0fa51a0e4d9f7fc2f77dae133717e6</v>
      </c>
      <c r="J1195" s="11">
        <v>91.1199983031448</v>
      </c>
      <c r="K1195" s="12">
        <v>202.48888511809955</v>
      </c>
      <c r="L1195" s="13">
        <v>2.0248888511809955E20</v>
      </c>
      <c r="M1195" s="9">
        <v>2.0248888511809958E19</v>
      </c>
    </row>
    <row r="1196" ht="15.75" customHeight="1">
      <c r="A1196" s="8"/>
      <c r="B1196" s="8"/>
      <c r="C1196" s="8"/>
      <c r="D1196" s="8">
        <v>27.9026907562088</v>
      </c>
      <c r="E1196" s="9" t="s">
        <v>1205</v>
      </c>
      <c r="I1196" s="12" t="str">
        <f>IFERROR(__xludf.DUMMYFUNCTION("""COMPUTED_VALUE"""),"0x65c1425bf0067d3855b72da10b2040c2e4942675")</f>
        <v>0x65c1425bf0067d3855b72da10b2040c2e4942675</v>
      </c>
      <c r="J1196" s="11">
        <v>91.1199983031448</v>
      </c>
      <c r="K1196" s="12">
        <v>202.48888511809955</v>
      </c>
      <c r="L1196" s="13">
        <v>2.0248888511809955E20</v>
      </c>
      <c r="M1196" s="9">
        <v>2.0248888511809958E19</v>
      </c>
    </row>
    <row r="1197" ht="15.75" customHeight="1">
      <c r="A1197" s="8"/>
      <c r="B1197" s="8"/>
      <c r="C1197" s="8"/>
      <c r="D1197" s="8">
        <v>27.9026907562088</v>
      </c>
      <c r="E1197" s="9" t="s">
        <v>1206</v>
      </c>
      <c r="I1197" s="12" t="str">
        <f>IFERROR(__xludf.DUMMYFUNCTION("""COMPUTED_VALUE"""),"0x65d736c629e8cd47ec7af6eb7181e192c1d97505")</f>
        <v>0x65d736c629e8cd47ec7af6eb7181e192c1d97505</v>
      </c>
      <c r="J1197" s="11">
        <v>27.9026907562088</v>
      </c>
      <c r="K1197" s="12">
        <v>62.005979458241775</v>
      </c>
      <c r="L1197" s="13">
        <v>6.200597945824177E19</v>
      </c>
      <c r="M1197" s="9">
        <v>6.2005979458241782E18</v>
      </c>
    </row>
    <row r="1198" ht="15.75" customHeight="1">
      <c r="A1198" s="8"/>
      <c r="B1198" s="8"/>
      <c r="C1198" s="8"/>
      <c r="D1198" s="8">
        <v>27.9026907562088</v>
      </c>
      <c r="E1198" s="9" t="s">
        <v>1207</v>
      </c>
      <c r="I1198" s="12" t="str">
        <f>IFERROR(__xludf.DUMMYFUNCTION("""COMPUTED_VALUE"""),"0x65e59f03b7082e776fc7858c12bc974147e303d5")</f>
        <v>0x65e59f03b7082e776fc7858c12bc974147e303d5</v>
      </c>
      <c r="J1198" s="11">
        <v>27.9026907562088</v>
      </c>
      <c r="K1198" s="12">
        <v>62.005979458241775</v>
      </c>
      <c r="L1198" s="13">
        <v>6.200597945824177E19</v>
      </c>
      <c r="M1198" s="9">
        <v>6.2005979458241782E18</v>
      </c>
    </row>
    <row r="1199" ht="15.75" customHeight="1">
      <c r="A1199" s="8"/>
      <c r="B1199" s="8"/>
      <c r="C1199" s="8"/>
      <c r="D1199" s="8">
        <v>27.9026907562088</v>
      </c>
      <c r="E1199" s="9" t="s">
        <v>1208</v>
      </c>
      <c r="I1199" s="12" t="str">
        <f>IFERROR(__xludf.DUMMYFUNCTION("""COMPUTED_VALUE"""),"0x660e9f304787f9486838a62b1dcafe328b4ea015")</f>
        <v>0x660e9f304787f9486838a62b1dcafe328b4ea015</v>
      </c>
      <c r="J1199" s="11">
        <v>29.74044388459037</v>
      </c>
      <c r="K1199" s="12">
        <v>66.08987529908971</v>
      </c>
      <c r="L1199" s="13">
        <v>6.608987529908971E19</v>
      </c>
      <c r="M1199" s="9">
        <v>6.6089875299089715E18</v>
      </c>
    </row>
    <row r="1200" ht="15.75" customHeight="1">
      <c r="A1200" s="8"/>
      <c r="B1200" s="8"/>
      <c r="C1200" s="8"/>
      <c r="D1200" s="8">
        <v>27.9026907562088</v>
      </c>
      <c r="E1200" s="9" t="s">
        <v>1209</v>
      </c>
      <c r="I1200" s="12" t="str">
        <f>IFERROR(__xludf.DUMMYFUNCTION("""COMPUTED_VALUE"""),"0x662778a2af62ffff54b3d71dba8b0a3e2997fdcb")</f>
        <v>0x662778a2af62ffff54b3d71dba8b0a3e2997fdcb</v>
      </c>
      <c r="J1200" s="11">
        <v>91.1199983031448</v>
      </c>
      <c r="K1200" s="12">
        <v>202.48888511809955</v>
      </c>
      <c r="L1200" s="13">
        <v>2.0248888511809955E20</v>
      </c>
      <c r="M1200" s="9">
        <v>2.0248888511809958E19</v>
      </c>
    </row>
    <row r="1201" ht="15.75" customHeight="1">
      <c r="A1201" s="8"/>
      <c r="B1201" s="8"/>
      <c r="C1201" s="8"/>
      <c r="D1201" s="8">
        <v>16.9145261017337</v>
      </c>
      <c r="E1201" s="9" t="s">
        <v>1210</v>
      </c>
      <c r="I1201" s="12" t="str">
        <f>IFERROR(__xludf.DUMMYFUNCTION("""COMPUTED_VALUE"""),"0x662deccbc86b30d846e251ccde1a72c1f80483cd")</f>
        <v>0x662deccbc86b30d846e251ccde1a72c1f80483cd</v>
      </c>
      <c r="J1201" s="11">
        <v>64.0283220680753</v>
      </c>
      <c r="K1201" s="12">
        <v>142.28516015127843</v>
      </c>
      <c r="L1201" s="13">
        <v>1.4228516015127844E20</v>
      </c>
      <c r="M1201" s="9">
        <v>1.4228516015127845E19</v>
      </c>
    </row>
    <row r="1202" ht="15.75" customHeight="1">
      <c r="A1202" s="8"/>
      <c r="B1202" s="8"/>
      <c r="C1202" s="8"/>
      <c r="D1202" s="8">
        <v>27.9026907562088</v>
      </c>
      <c r="E1202" s="9" t="s">
        <v>1211</v>
      </c>
      <c r="I1202" s="12" t="str">
        <f>IFERROR(__xludf.DUMMYFUNCTION("""COMPUTED_VALUE"""),"0x665969c956b40bab9eb428981448c6b00e467e12")</f>
        <v>0x665969c956b40bab9eb428981448c6b00e467e12</v>
      </c>
      <c r="J1202" s="11">
        <v>27.9026907562088</v>
      </c>
      <c r="K1202" s="12">
        <v>62.005979458241775</v>
      </c>
      <c r="L1202" s="13">
        <v>6.200597945824177E19</v>
      </c>
      <c r="M1202" s="9">
        <v>6.2005979458241782E18</v>
      </c>
    </row>
    <row r="1203" ht="15.75" customHeight="1">
      <c r="A1203" s="8"/>
      <c r="B1203" s="8"/>
      <c r="C1203" s="8"/>
      <c r="D1203" s="8">
        <v>27.9026907562088</v>
      </c>
      <c r="E1203" s="9" t="s">
        <v>1212</v>
      </c>
      <c r="I1203" s="12" t="str">
        <f>IFERROR(__xludf.DUMMYFUNCTION("""COMPUTED_VALUE"""),"0x66648e1009590fc266f79ff100eee8d572b39a69")</f>
        <v>0x66648e1009590fc266f79ff100eee8d572b39a69</v>
      </c>
      <c r="J1203" s="11">
        <v>91.1199983031448</v>
      </c>
      <c r="K1203" s="12">
        <v>202.48888511809955</v>
      </c>
      <c r="L1203" s="13">
        <v>2.0248888511809955E20</v>
      </c>
      <c r="M1203" s="9">
        <v>2.0248888511809958E19</v>
      </c>
    </row>
    <row r="1204" ht="15.75" customHeight="1">
      <c r="A1204" s="8"/>
      <c r="B1204" s="8"/>
      <c r="C1204" s="8"/>
      <c r="D1204" s="8">
        <v>5.58053815124177</v>
      </c>
      <c r="E1204" s="9" t="s">
        <v>1213</v>
      </c>
      <c r="I1204" s="12" t="str">
        <f>IFERROR(__xludf.DUMMYFUNCTION("""COMPUTED_VALUE"""),"0x668c782b981d497e5810481b57e39fd641cec8d9")</f>
        <v>0x668c782b981d497e5810481b57e39fd641cec8d9</v>
      </c>
      <c r="J1204" s="11">
        <v>5.58053815124177</v>
      </c>
      <c r="K1204" s="12">
        <v>12.401195891648378</v>
      </c>
      <c r="L1204" s="13">
        <v>1.2401195891648377E19</v>
      </c>
      <c r="M1204" s="9">
        <v>1.24011958916483763E18</v>
      </c>
    </row>
    <row r="1205" ht="15.75" customHeight="1">
      <c r="A1205" s="8"/>
      <c r="B1205" s="8"/>
      <c r="C1205" s="8"/>
      <c r="D1205" s="8">
        <v>27.9026907562088</v>
      </c>
      <c r="E1205" s="9" t="s">
        <v>1214</v>
      </c>
      <c r="I1205" s="12" t="str">
        <f>IFERROR(__xludf.DUMMYFUNCTION("""COMPUTED_VALUE"""),"0x6699c7a0592cccb1d60f5abd52dc824b70baa570")</f>
        <v>0x6699c7a0592cccb1d60f5abd52dc824b70baa570</v>
      </c>
      <c r="J1205" s="11">
        <v>91.1199983031448</v>
      </c>
      <c r="K1205" s="12">
        <v>202.48888511809955</v>
      </c>
      <c r="L1205" s="13">
        <v>2.0248888511809955E20</v>
      </c>
      <c r="M1205" s="9">
        <v>2.0248888511809958E19</v>
      </c>
    </row>
    <row r="1206" ht="15.75" customHeight="1">
      <c r="A1206" s="8"/>
      <c r="B1206" s="8"/>
      <c r="C1206" s="8"/>
      <c r="D1206" s="8">
        <v>14.661029520497</v>
      </c>
      <c r="E1206" s="9" t="s">
        <v>1215</v>
      </c>
      <c r="I1206" s="12" t="str">
        <f>IFERROR(__xludf.DUMMYFUNCTION("""COMPUTED_VALUE"""),"0x66ae45eed472d36f4756fdf42efae7610b6f9f7a")</f>
        <v>0x66ae45eed472d36f4756fdf42efae7610b6f9f7a</v>
      </c>
      <c r="J1206" s="11">
        <v>14.661029520497</v>
      </c>
      <c r="K1206" s="12">
        <v>32.580065601104444</v>
      </c>
      <c r="L1206" s="13">
        <v>3.2580065601104445E19</v>
      </c>
      <c r="M1206" s="9">
        <v>3.2580065601104445E18</v>
      </c>
    </row>
    <row r="1207" ht="15.75" customHeight="1">
      <c r="A1207" s="8"/>
      <c r="B1207" s="8"/>
      <c r="C1207" s="8"/>
      <c r="D1207" s="8">
        <v>27.9026907562088</v>
      </c>
      <c r="E1207" s="9" t="s">
        <v>1216</v>
      </c>
      <c r="I1207" s="12" t="str">
        <f>IFERROR(__xludf.DUMMYFUNCTION("""COMPUTED_VALUE"""),"0x66c088ae7427bcbf07078ea9480749fb4364c2c3")</f>
        <v>0x66c088ae7427bcbf07078ea9480749fb4364c2c3</v>
      </c>
      <c r="J1207" s="11">
        <v>91.3145773369238</v>
      </c>
      <c r="K1207" s="12">
        <v>202.92128297094177</v>
      </c>
      <c r="L1207" s="13">
        <v>2.029212829709418E20</v>
      </c>
      <c r="M1207" s="9">
        <v>2.029212829709418E19</v>
      </c>
    </row>
    <row r="1208" ht="15.75" customHeight="1">
      <c r="A1208" s="8"/>
      <c r="B1208" s="8"/>
      <c r="C1208" s="8"/>
      <c r="D1208" s="8">
        <v>14.2758781445119</v>
      </c>
      <c r="E1208" s="9" t="s">
        <v>1217</v>
      </c>
      <c r="I1208" s="12" t="str">
        <f>IFERROR(__xludf.DUMMYFUNCTION("""COMPUTED_VALUE"""),"0x66c56bb6201e732774c6bf6dd6e03b49d4a5b52f")</f>
        <v>0x66c56bb6201e732774c6bf6dd6e03b49d4a5b52f</v>
      </c>
      <c r="J1208" s="11">
        <v>14.2758781445119</v>
      </c>
      <c r="K1208" s="12">
        <v>31.72417365447089</v>
      </c>
      <c r="L1208" s="13">
        <v>3.172417365447089E19</v>
      </c>
      <c r="M1208" s="9">
        <v>3.1724173654470892E18</v>
      </c>
    </row>
    <row r="1209" ht="15.75" customHeight="1">
      <c r="A1209" s="8"/>
      <c r="B1209" s="8"/>
      <c r="C1209" s="8"/>
      <c r="D1209" s="8">
        <v>23.6100650350297</v>
      </c>
      <c r="E1209" s="9" t="s">
        <v>1218</v>
      </c>
      <c r="I1209" s="12" t="str">
        <f>IFERROR(__xludf.DUMMYFUNCTION("""COMPUTED_VALUE"""),"0x66d3df3febaa2384834432ed4935d0682cba14f1")</f>
        <v>0x66d3df3febaa2384834432ed4935d0682cba14f1</v>
      </c>
      <c r="J1209" s="11">
        <v>23.6100650350297</v>
      </c>
      <c r="K1209" s="12">
        <v>52.466811188954885</v>
      </c>
      <c r="L1209" s="13">
        <v>5.246681118895488E19</v>
      </c>
      <c r="M1209" s="9">
        <v>5.246681118895488E18</v>
      </c>
    </row>
    <row r="1210" ht="15.75" customHeight="1">
      <c r="A1210" s="8"/>
      <c r="B1210" s="8"/>
      <c r="C1210" s="8"/>
      <c r="D1210" s="8">
        <v>24.3789856196615</v>
      </c>
      <c r="E1210" s="9" t="s">
        <v>1219</v>
      </c>
      <c r="I1210" s="12" t="str">
        <f>IFERROR(__xludf.DUMMYFUNCTION("""COMPUTED_VALUE"""),"0x66d45a4ea62d3f1335632c0c254004d05e9701f6")</f>
        <v>0x66d45a4ea62d3f1335632c0c254004d05e9701f6</v>
      </c>
      <c r="J1210" s="11">
        <v>138.3163890768782</v>
      </c>
      <c r="K1210" s="12">
        <v>307.3697535041738</v>
      </c>
      <c r="L1210" s="13">
        <v>3.073697535041738E20</v>
      </c>
      <c r="M1210" s="9">
        <v>3.073697535041738E19</v>
      </c>
    </row>
    <row r="1211" ht="15.75" customHeight="1">
      <c r="A1211" s="8"/>
      <c r="B1211" s="8"/>
      <c r="C1211" s="8"/>
      <c r="D1211" s="8">
        <v>27.9026907562088</v>
      </c>
      <c r="E1211" s="9" t="s">
        <v>1220</v>
      </c>
      <c r="I1211" s="12" t="str">
        <f>IFERROR(__xludf.DUMMYFUNCTION("""COMPUTED_VALUE"""),"0x6709a89090732f5695aa07ea29fb7318aa08e895")</f>
        <v>0x6709a89090732f5695aa07ea29fb7318aa08e895</v>
      </c>
      <c r="J1211" s="11">
        <v>27.9026907562088</v>
      </c>
      <c r="K1211" s="12">
        <v>62.005979458241775</v>
      </c>
      <c r="L1211" s="13">
        <v>6.200597945824177E19</v>
      </c>
      <c r="M1211" s="9">
        <v>6.2005979458241782E18</v>
      </c>
    </row>
    <row r="1212" ht="15.75" customHeight="1">
      <c r="A1212" s="8"/>
      <c r="B1212" s="8"/>
      <c r="C1212" s="8"/>
      <c r="D1212" s="8">
        <v>27.9026907562088</v>
      </c>
      <c r="E1212" s="9" t="s">
        <v>1221</v>
      </c>
      <c r="I1212" s="12" t="str">
        <f>IFERROR(__xludf.DUMMYFUNCTION("""COMPUTED_VALUE"""),"0x67484feedb5034f234b4282daad95d51c6041974")</f>
        <v>0x67484feedb5034f234b4282daad95d51c6041974</v>
      </c>
      <c r="J1212" s="11">
        <v>27.9026907562088</v>
      </c>
      <c r="K1212" s="12">
        <v>62.005979458241775</v>
      </c>
      <c r="L1212" s="13">
        <v>6.200597945824177E19</v>
      </c>
      <c r="M1212" s="9">
        <v>6.2005979458241782E18</v>
      </c>
    </row>
    <row r="1213" ht="15.75" customHeight="1">
      <c r="A1213" s="8"/>
      <c r="B1213" s="8"/>
      <c r="C1213" s="8"/>
      <c r="D1213" s="8">
        <v>27.9026907562088</v>
      </c>
      <c r="E1213" s="9" t="s">
        <v>1222</v>
      </c>
      <c r="I1213" s="12" t="str">
        <f>IFERROR(__xludf.DUMMYFUNCTION("""COMPUTED_VALUE"""),"0x674d679a61f5895ccfe1805548a13ce77d3c1893")</f>
        <v>0x674d679a61f5895ccfe1805548a13ce77d3c1893</v>
      </c>
      <c r="J1213" s="11">
        <v>91.1199983031448</v>
      </c>
      <c r="K1213" s="12">
        <v>202.48888511809955</v>
      </c>
      <c r="L1213" s="13">
        <v>2.0248888511809955E20</v>
      </c>
      <c r="M1213" s="9">
        <v>2.0248888511809958E19</v>
      </c>
    </row>
    <row r="1214" ht="15.75" customHeight="1">
      <c r="A1214" s="8"/>
      <c r="B1214" s="8"/>
      <c r="C1214" s="8"/>
      <c r="D1214" s="8">
        <v>27.9026907562088</v>
      </c>
      <c r="E1214" s="9" t="s">
        <v>1223</v>
      </c>
      <c r="I1214" s="12" t="str">
        <f>IFERROR(__xludf.DUMMYFUNCTION("""COMPUTED_VALUE"""),"0x674f357be1c16b6e7e29e1ecf3565fe876d7f5eb")</f>
        <v>0x674f357be1c16b6e7e29e1ecf3565fe876d7f5eb</v>
      </c>
      <c r="J1214" s="11">
        <v>94.65537542084601</v>
      </c>
      <c r="K1214" s="12">
        <v>210.34527871299113</v>
      </c>
      <c r="L1214" s="13">
        <v>2.1034527871299112E20</v>
      </c>
      <c r="M1214" s="9">
        <v>2.1034527871299113E19</v>
      </c>
    </row>
    <row r="1215" ht="15.75" customHeight="1">
      <c r="A1215" s="8"/>
      <c r="B1215" s="8"/>
      <c r="C1215" s="8"/>
      <c r="D1215" s="8">
        <v>12.6654359652158</v>
      </c>
      <c r="E1215" s="9" t="s">
        <v>1224</v>
      </c>
      <c r="I1215" s="12" t="str">
        <f>IFERROR(__xludf.DUMMYFUNCTION("""COMPUTED_VALUE"""),"0x6766bf4940844a82194245b437d854971bc0a641")</f>
        <v>0x6766bf4940844a82194245b437d854971bc0a641</v>
      </c>
      <c r="J1215" s="11">
        <v>12.6654359652158</v>
      </c>
      <c r="K1215" s="12">
        <v>28.14541325603511</v>
      </c>
      <c r="L1215" s="13">
        <v>2.814541325603511E19</v>
      </c>
      <c r="M1215" s="9">
        <v>2.8145413256035113E18</v>
      </c>
    </row>
    <row r="1216" ht="15.75" customHeight="1">
      <c r="A1216" s="8"/>
      <c r="B1216" s="8"/>
      <c r="C1216" s="8"/>
      <c r="D1216" s="8">
        <v>27.9026907562088</v>
      </c>
      <c r="E1216" s="9" t="s">
        <v>1225</v>
      </c>
      <c r="I1216" s="12" t="str">
        <f>IFERROR(__xludf.DUMMYFUNCTION("""COMPUTED_VALUE"""),"0x677e7c05275d49ae41f99937558092f0b52c9a9a")</f>
        <v>0x677e7c05275d49ae41f99937558092f0b52c9a9a</v>
      </c>
      <c r="J1216" s="11">
        <v>27.9026907562088</v>
      </c>
      <c r="K1216" s="12">
        <v>62.005979458241775</v>
      </c>
      <c r="L1216" s="13">
        <v>6.200597945824177E19</v>
      </c>
      <c r="M1216" s="9">
        <v>6.2005979458241782E18</v>
      </c>
    </row>
    <row r="1217" ht="15.75" customHeight="1">
      <c r="A1217" s="8"/>
      <c r="B1217" s="8"/>
      <c r="C1217" s="8"/>
      <c r="D1217" s="8">
        <v>27.8741592197577</v>
      </c>
      <c r="E1217" s="9" t="s">
        <v>1226</v>
      </c>
      <c r="I1217" s="12" t="str">
        <f>IFERROR(__xludf.DUMMYFUNCTION("""COMPUTED_VALUE"""),"0x678fc33d60f7bdc0db38b240add9c5fb1886042e")</f>
        <v>0x678fc33d60f7bdc0db38b240add9c5fb1886042e</v>
      </c>
      <c r="J1217" s="11">
        <v>27.8741592197577</v>
      </c>
      <c r="K1217" s="12">
        <v>61.942576043906</v>
      </c>
      <c r="L1217" s="13">
        <v>6.1942576043906E19</v>
      </c>
      <c r="M1217" s="9">
        <v>6.1942576043906007E18</v>
      </c>
    </row>
    <row r="1218" ht="15.75" customHeight="1">
      <c r="A1218" s="8"/>
      <c r="B1218" s="8"/>
      <c r="C1218" s="8"/>
      <c r="D1218" s="8">
        <v>27.9026907562088</v>
      </c>
      <c r="E1218" s="9" t="s">
        <v>1227</v>
      </c>
      <c r="I1218" s="12" t="str">
        <f>IFERROR(__xludf.DUMMYFUNCTION("""COMPUTED_VALUE"""),"0x67975a056d3d96f80dcbbd7de6f03d591bc0e2d7")</f>
        <v>0x67975a056d3d96f80dcbbd7de6f03d591bc0e2d7</v>
      </c>
      <c r="J1218" s="11">
        <v>27.9026907562088</v>
      </c>
      <c r="K1218" s="12">
        <v>62.005979458241775</v>
      </c>
      <c r="L1218" s="13">
        <v>6.200597945824177E19</v>
      </c>
      <c r="M1218" s="9">
        <v>6.2005979458241782E18</v>
      </c>
    </row>
    <row r="1219" ht="15.75" customHeight="1">
      <c r="A1219" s="8"/>
      <c r="B1219" s="8"/>
      <c r="C1219" s="8"/>
      <c r="D1219" s="8">
        <v>19.8374437801733</v>
      </c>
      <c r="E1219" s="9" t="s">
        <v>1228</v>
      </c>
      <c r="I1219" s="12" t="str">
        <f>IFERROR(__xludf.DUMMYFUNCTION("""COMPUTED_VALUE"""),"0x679c4cd7de5635de8b61e1169f681ad30ee52ea0")</f>
        <v>0x679c4cd7de5635de8b61e1169f681ad30ee52ea0</v>
      </c>
      <c r="J1219" s="11">
        <v>65.2787670285972</v>
      </c>
      <c r="K1219" s="12">
        <v>145.063926730216</v>
      </c>
      <c r="L1219" s="13">
        <v>1.45063926730216E20</v>
      </c>
      <c r="M1219" s="9">
        <v>1.45063926730216E19</v>
      </c>
    </row>
    <row r="1220" ht="15.75" customHeight="1">
      <c r="A1220" s="8"/>
      <c r="B1220" s="8"/>
      <c r="C1220" s="8"/>
      <c r="D1220" s="8">
        <v>27.9026907562088</v>
      </c>
      <c r="E1220" s="9" t="s">
        <v>1229</v>
      </c>
      <c r="I1220" s="12" t="str">
        <f>IFERROR(__xludf.DUMMYFUNCTION("""COMPUTED_VALUE"""),"0x679db7d89e3c6c5873a6272c58a26f98229b3a38")</f>
        <v>0x679db7d89e3c6c5873a6272c58a26f98229b3a38</v>
      </c>
      <c r="J1220" s="11">
        <v>119.4117898146135</v>
      </c>
      <c r="K1220" s="12">
        <v>265.3595329213633</v>
      </c>
      <c r="L1220" s="13">
        <v>2.6535953292136333E20</v>
      </c>
      <c r="M1220" s="9">
        <v>2.6535953292136333E19</v>
      </c>
    </row>
    <row r="1221" ht="15.75" customHeight="1">
      <c r="A1221" s="8"/>
      <c r="B1221" s="8"/>
      <c r="C1221" s="8"/>
      <c r="D1221" s="8">
        <v>27.9026907562088</v>
      </c>
      <c r="E1221" s="9" t="s">
        <v>1230</v>
      </c>
      <c r="I1221" s="12" t="str">
        <f>IFERROR(__xludf.DUMMYFUNCTION("""COMPUTED_VALUE"""),"0x67afd790133ea65c16a1ac0734345c5151a2a042")</f>
        <v>0x67afd790133ea65c16a1ac0734345c5151a2a042</v>
      </c>
      <c r="J1221" s="11">
        <v>27.9026907562088</v>
      </c>
      <c r="K1221" s="12">
        <v>62.005979458241775</v>
      </c>
      <c r="L1221" s="13">
        <v>6.200597945824177E19</v>
      </c>
      <c r="M1221" s="9">
        <v>6.2005979458241782E18</v>
      </c>
    </row>
    <row r="1222" ht="15.75" customHeight="1">
      <c r="A1222" s="8"/>
      <c r="B1222" s="8"/>
      <c r="C1222" s="8"/>
      <c r="D1222" s="8">
        <v>27.9026907562088</v>
      </c>
      <c r="E1222" s="9" t="s">
        <v>1231</v>
      </c>
      <c r="I1222" s="12" t="str">
        <f>IFERROR(__xludf.DUMMYFUNCTION("""COMPUTED_VALUE"""),"0x67d4b45b0e048a0d817ffdac54f0789afa143c2a")</f>
        <v>0x67d4b45b0e048a0d817ffdac54f0789afa143c2a</v>
      </c>
      <c r="J1222" s="11">
        <v>27.9026907562088</v>
      </c>
      <c r="K1222" s="12">
        <v>62.005979458241775</v>
      </c>
      <c r="L1222" s="13">
        <v>6.200597945824177E19</v>
      </c>
      <c r="M1222" s="9">
        <v>6.2005979458241782E18</v>
      </c>
    </row>
    <row r="1223" ht="15.75" customHeight="1">
      <c r="A1223" s="8"/>
      <c r="B1223" s="8"/>
      <c r="C1223" s="8"/>
      <c r="D1223" s="8">
        <v>27.9026907562088</v>
      </c>
      <c r="E1223" s="9" t="s">
        <v>1232</v>
      </c>
      <c r="I1223" s="12" t="str">
        <f>IFERROR(__xludf.DUMMYFUNCTION("""COMPUTED_VALUE"""),"0x67e145058d70601f6efd2ad575a5ba54bba1b810")</f>
        <v>0x67e145058d70601f6efd2ad575a5ba54bba1b810</v>
      </c>
      <c r="J1223" s="11">
        <v>27.9026907562088</v>
      </c>
      <c r="K1223" s="12">
        <v>62.005979458241775</v>
      </c>
      <c r="L1223" s="13">
        <v>6.200597945824177E19</v>
      </c>
      <c r="M1223" s="9">
        <v>6.2005979458241782E18</v>
      </c>
    </row>
    <row r="1224" ht="15.75" customHeight="1">
      <c r="A1224" s="8"/>
      <c r="B1224" s="8"/>
      <c r="C1224" s="8"/>
      <c r="D1224" s="8">
        <v>20.9495661691334</v>
      </c>
      <c r="E1224" s="9" t="s">
        <v>1233</v>
      </c>
      <c r="I1224" s="12" t="str">
        <f>IFERROR(__xludf.DUMMYFUNCTION("""COMPUTED_VALUE"""),"0x6818b420611e6770040bd8ec96f853510f1f1a84")</f>
        <v>0x6818b420611e6770040bd8ec96f853510f1f1a84</v>
      </c>
      <c r="J1224" s="11">
        <v>20.9495661691334</v>
      </c>
      <c r="K1224" s="12">
        <v>46.55459148696311</v>
      </c>
      <c r="L1224" s="13">
        <v>4.655459148696311E19</v>
      </c>
      <c r="M1224" s="9">
        <v>4.6554591486963118E18</v>
      </c>
    </row>
    <row r="1225" ht="15.75" customHeight="1">
      <c r="A1225" s="8"/>
      <c r="B1225" s="8"/>
      <c r="C1225" s="8"/>
      <c r="D1225" s="8">
        <v>27.8159896543737</v>
      </c>
      <c r="E1225" s="9" t="s">
        <v>1234</v>
      </c>
      <c r="I1225" s="12" t="str">
        <f>IFERROR(__xludf.DUMMYFUNCTION("""COMPUTED_VALUE"""),"0x681a14d7b08f1de027b84e9f1591a33bdc89f3e5")</f>
        <v>0x681a14d7b08f1de027b84e9f1591a33bdc89f3e5</v>
      </c>
      <c r="J1225" s="11">
        <v>32.68204918829291</v>
      </c>
      <c r="K1225" s="12">
        <v>72.62677597398424</v>
      </c>
      <c r="L1225" s="13">
        <v>7.262677597398424E19</v>
      </c>
      <c r="M1225" s="9">
        <v>7.2626775973984246E18</v>
      </c>
    </row>
    <row r="1226" ht="15.75" customHeight="1">
      <c r="A1226" s="8"/>
      <c r="B1226" s="8"/>
      <c r="C1226" s="8"/>
      <c r="D1226" s="8">
        <v>27.9026907562088</v>
      </c>
      <c r="E1226" s="9" t="s">
        <v>1235</v>
      </c>
      <c r="I1226" s="12" t="str">
        <f>IFERROR(__xludf.DUMMYFUNCTION("""COMPUTED_VALUE"""),"0x681c9617cd40921b804cc0556e0e1855e366b3b4")</f>
        <v>0x681c9617cd40921b804cc0556e0e1855e366b3b4</v>
      </c>
      <c r="J1226" s="11">
        <v>59.800036764364194</v>
      </c>
      <c r="K1226" s="12">
        <v>132.888970587476</v>
      </c>
      <c r="L1226" s="13">
        <v>1.32888970587476E20</v>
      </c>
      <c r="M1226" s="9">
        <v>1.32888970587476E19</v>
      </c>
    </row>
    <row r="1227" ht="15.75" customHeight="1">
      <c r="A1227" s="8"/>
      <c r="B1227" s="8"/>
      <c r="C1227" s="8"/>
      <c r="D1227" s="8">
        <v>27.9026907562088</v>
      </c>
      <c r="E1227" s="9" t="s">
        <v>1236</v>
      </c>
      <c r="I1227" s="12" t="str">
        <f>IFERROR(__xludf.DUMMYFUNCTION("""COMPUTED_VALUE"""),"0x6826bb2d6aadb36b22684bd9eeb652f931d5d1af")</f>
        <v>0x6826bb2d6aadb36b22684bd9eeb652f931d5d1af</v>
      </c>
      <c r="J1227" s="11">
        <v>91.1199983031448</v>
      </c>
      <c r="K1227" s="12">
        <v>202.48888511809955</v>
      </c>
      <c r="L1227" s="13">
        <v>2.0248888511809955E20</v>
      </c>
      <c r="M1227" s="9">
        <v>2.0248888511809958E19</v>
      </c>
    </row>
    <row r="1228" ht="15.75" customHeight="1">
      <c r="A1228" s="8"/>
      <c r="B1228" s="8"/>
      <c r="C1228" s="8"/>
      <c r="D1228" s="8">
        <v>27.9026907562088</v>
      </c>
      <c r="E1228" s="9" t="s">
        <v>1237</v>
      </c>
      <c r="I1228" s="12" t="str">
        <f>IFERROR(__xludf.DUMMYFUNCTION("""COMPUTED_VALUE"""),"0x684ecf4be1d20cc84c8eacd7b354246cee49c0d1")</f>
        <v>0x684ecf4be1d20cc84c8eacd7b354246cee49c0d1</v>
      </c>
      <c r="J1228" s="11">
        <v>27.9026907562088</v>
      </c>
      <c r="K1228" s="12">
        <v>62.005979458241775</v>
      </c>
      <c r="L1228" s="13">
        <v>6.200597945824177E19</v>
      </c>
      <c r="M1228" s="9">
        <v>6.2005979458241782E18</v>
      </c>
    </row>
    <row r="1229" ht="15.75" customHeight="1">
      <c r="A1229" s="8"/>
      <c r="B1229" s="8"/>
      <c r="C1229" s="8"/>
      <c r="D1229" s="8">
        <v>27.9026907562088</v>
      </c>
      <c r="E1229" s="9" t="s">
        <v>1238</v>
      </c>
      <c r="I1229" s="12" t="str">
        <f>IFERROR(__xludf.DUMMYFUNCTION("""COMPUTED_VALUE"""),"0x68b8f0373bb2de234e3bad1d86a9fbde2d317a9e")</f>
        <v>0x68b8f0373bb2de234e3bad1d86a9fbde2d317a9e</v>
      </c>
      <c r="J1229" s="11">
        <v>27.9026907562088</v>
      </c>
      <c r="K1229" s="12">
        <v>62.005979458241775</v>
      </c>
      <c r="L1229" s="13">
        <v>6.200597945824177E19</v>
      </c>
      <c r="M1229" s="9">
        <v>6.2005979458241782E18</v>
      </c>
    </row>
    <row r="1230" ht="15.75" customHeight="1">
      <c r="A1230" s="8"/>
      <c r="B1230" s="8"/>
      <c r="C1230" s="8"/>
      <c r="D1230" s="8">
        <v>27.9026907562088</v>
      </c>
      <c r="E1230" s="9" t="s">
        <v>1239</v>
      </c>
      <c r="I1230" s="12" t="str">
        <f>IFERROR(__xludf.DUMMYFUNCTION("""COMPUTED_VALUE"""),"0x68bc004538a15a93a41c90d9d527845024723510")</f>
        <v>0x68bc004538a15a93a41c90d9d527845024723510</v>
      </c>
      <c r="J1230" s="11">
        <v>27.9026907562088</v>
      </c>
      <c r="K1230" s="12">
        <v>62.005979458241775</v>
      </c>
      <c r="L1230" s="13">
        <v>6.200597945824177E19</v>
      </c>
      <c r="M1230" s="9">
        <v>6.2005979458241782E18</v>
      </c>
    </row>
    <row r="1231" ht="15.75" customHeight="1">
      <c r="A1231" s="8"/>
      <c r="B1231" s="8"/>
      <c r="C1231" s="8"/>
      <c r="D1231" s="8">
        <v>27.9026907562088</v>
      </c>
      <c r="E1231" s="9" t="s">
        <v>1240</v>
      </c>
      <c r="I1231" s="12" t="str">
        <f>IFERROR(__xludf.DUMMYFUNCTION("""COMPUTED_VALUE"""),"0x68eb4d6a646ed184f3b1d89d26abf1502970ce19")</f>
        <v>0x68eb4d6a646ed184f3b1d89d26abf1502970ce19</v>
      </c>
      <c r="J1231" s="11">
        <v>91.1199983031448</v>
      </c>
      <c r="K1231" s="12">
        <v>202.48888511809955</v>
      </c>
      <c r="L1231" s="13">
        <v>2.0248888511809955E20</v>
      </c>
      <c r="M1231" s="9">
        <v>2.0248888511809958E19</v>
      </c>
    </row>
    <row r="1232" ht="15.75" customHeight="1">
      <c r="A1232" s="8"/>
      <c r="B1232" s="8"/>
      <c r="C1232" s="8"/>
      <c r="D1232" s="8">
        <v>27.9026907562088</v>
      </c>
      <c r="E1232" s="9" t="s">
        <v>1241</v>
      </c>
      <c r="I1232" s="12" t="str">
        <f>IFERROR(__xludf.DUMMYFUNCTION("""COMPUTED_VALUE"""),"0x690089308d22eae319bb00732a8fe0a738cdb1d3")</f>
        <v>0x690089308d22eae319bb00732a8fe0a738cdb1d3</v>
      </c>
      <c r="J1232" s="11">
        <v>91.1199983031448</v>
      </c>
      <c r="K1232" s="12">
        <v>202.48888511809955</v>
      </c>
      <c r="L1232" s="13">
        <v>2.0248888511809955E20</v>
      </c>
      <c r="M1232" s="9">
        <v>2.0248888511809958E19</v>
      </c>
    </row>
    <row r="1233" ht="15.75" customHeight="1">
      <c r="A1233" s="8"/>
      <c r="B1233" s="8"/>
      <c r="C1233" s="8"/>
      <c r="D1233" s="8">
        <v>27.9026907562088</v>
      </c>
      <c r="E1233" s="9" t="s">
        <v>1242</v>
      </c>
      <c r="I1233" s="12" t="str">
        <f>IFERROR(__xludf.DUMMYFUNCTION("""COMPUTED_VALUE"""),"0x6905030bab047b4a65b28db078e8d844b83d6fbf")</f>
        <v>0x6905030bab047b4a65b28db078e8d844b83d6fbf</v>
      </c>
      <c r="J1233" s="11">
        <v>61.2972729797064</v>
      </c>
      <c r="K1233" s="12">
        <v>136.21616217712534</v>
      </c>
      <c r="L1233" s="13">
        <v>1.3621616217712534E20</v>
      </c>
      <c r="M1233" s="9">
        <v>1.3621616217712534E19</v>
      </c>
    </row>
    <row r="1234" ht="15.75" customHeight="1">
      <c r="A1234" s="8"/>
      <c r="B1234" s="8"/>
      <c r="C1234" s="8"/>
      <c r="D1234" s="8">
        <v>27.9026907562088</v>
      </c>
      <c r="E1234" s="9" t="s">
        <v>1243</v>
      </c>
      <c r="I1234" s="12" t="str">
        <f>IFERROR(__xludf.DUMMYFUNCTION("""COMPUTED_VALUE"""),"0x690524a31ce96bea837f32e43c7492f3031450a8")</f>
        <v>0x690524a31ce96bea837f32e43c7492f3031450a8</v>
      </c>
      <c r="J1234" s="11">
        <v>390.77171032282683</v>
      </c>
      <c r="K1234" s="12">
        <v>868.3815784951707</v>
      </c>
      <c r="L1234" s="13">
        <v>8.683815784951707E20</v>
      </c>
      <c r="M1234" s="9">
        <v>8.683815784951708E19</v>
      </c>
    </row>
    <row r="1235" ht="15.75" customHeight="1">
      <c r="A1235" s="8"/>
      <c r="B1235" s="8"/>
      <c r="C1235" s="8"/>
      <c r="D1235" s="8">
        <v>27.9026907562088</v>
      </c>
      <c r="E1235" s="9" t="s">
        <v>1244</v>
      </c>
      <c r="I1235" s="12" t="str">
        <f>IFERROR(__xludf.DUMMYFUNCTION("""COMPUTED_VALUE"""),"0x690603a54222d3d58ed5e95b13e55dda1bc86452")</f>
        <v>0x690603a54222d3d58ed5e95b13e55dda1bc86452</v>
      </c>
      <c r="J1235" s="11">
        <v>157.2768697880097</v>
      </c>
      <c r="K1235" s="12">
        <v>349.504155084466</v>
      </c>
      <c r="L1235" s="13">
        <v>3.4950415508446596E20</v>
      </c>
      <c r="M1235" s="9">
        <v>3.4950415508446597E19</v>
      </c>
    </row>
    <row r="1236" ht="15.75" customHeight="1">
      <c r="A1236" s="8"/>
      <c r="B1236" s="8"/>
      <c r="C1236" s="8"/>
      <c r="D1236" s="8">
        <v>27.9026907562088</v>
      </c>
      <c r="E1236" s="9" t="s">
        <v>1245</v>
      </c>
      <c r="I1236" s="12" t="str">
        <f>IFERROR(__xludf.DUMMYFUNCTION("""COMPUTED_VALUE"""),"0x6910de965e7910823303ecded5720de3c71cfb4f")</f>
        <v>0x6910de965e7910823303ecded5720de3c71cfb4f</v>
      </c>
      <c r="J1236" s="11">
        <v>27.9026907562088</v>
      </c>
      <c r="K1236" s="12">
        <v>62.005979458241775</v>
      </c>
      <c r="L1236" s="13">
        <v>6.200597945824177E19</v>
      </c>
      <c r="M1236" s="9">
        <v>6.2005979458241782E18</v>
      </c>
    </row>
    <row r="1237" ht="15.75" customHeight="1">
      <c r="A1237" s="8"/>
      <c r="B1237" s="8"/>
      <c r="C1237" s="8"/>
      <c r="D1237" s="8">
        <v>27.9026907562088</v>
      </c>
      <c r="E1237" s="9" t="s">
        <v>1246</v>
      </c>
      <c r="I1237" s="12" t="str">
        <f>IFERROR(__xludf.DUMMYFUNCTION("""COMPUTED_VALUE"""),"0x691c61b6a26cd7fff6e6c1604acd31d47804be86")</f>
        <v>0x691c61b6a26cd7fff6e6c1604acd31d47804be86</v>
      </c>
      <c r="J1237" s="11">
        <v>102.7947403298856</v>
      </c>
      <c r="K1237" s="12">
        <v>228.43275628863466</v>
      </c>
      <c r="L1237" s="13">
        <v>2.2843275628863465E20</v>
      </c>
      <c r="M1237" s="9">
        <v>2.2843275628863468E19</v>
      </c>
    </row>
    <row r="1238" ht="15.75" customHeight="1">
      <c r="A1238" s="8"/>
      <c r="B1238" s="8"/>
      <c r="C1238" s="8"/>
      <c r="D1238" s="8">
        <v>27.9026907562088</v>
      </c>
      <c r="E1238" s="9" t="s">
        <v>1247</v>
      </c>
      <c r="I1238" s="12" t="str">
        <f>IFERROR(__xludf.DUMMYFUNCTION("""COMPUTED_VALUE"""),"0x6937dea4fd5896865ad1d1d07c391597542de9d7")</f>
        <v>0x6937dea4fd5896865ad1d1d07c391597542de9d7</v>
      </c>
      <c r="J1238" s="11">
        <v>102.7947403298856</v>
      </c>
      <c r="K1238" s="12">
        <v>228.43275628863466</v>
      </c>
      <c r="L1238" s="13">
        <v>2.2843275628863465E20</v>
      </c>
      <c r="M1238" s="9">
        <v>2.2843275628863468E19</v>
      </c>
    </row>
    <row r="1239" ht="15.75" customHeight="1">
      <c r="A1239" s="8"/>
      <c r="B1239" s="8"/>
      <c r="C1239" s="8"/>
      <c r="D1239" s="8">
        <v>27.9026907562088</v>
      </c>
      <c r="E1239" s="9" t="s">
        <v>1248</v>
      </c>
      <c r="I1239" s="12" t="str">
        <f>IFERROR(__xludf.DUMMYFUNCTION("""COMPUTED_VALUE"""),"0x6939f1af0a0fba6b6cbfc7c92d4d95feff609486")</f>
        <v>0x6939f1af0a0fba6b6cbfc7c92d4d95feff609486</v>
      </c>
      <c r="J1239" s="11">
        <v>91.1199983031448</v>
      </c>
      <c r="K1239" s="12">
        <v>202.48888511809955</v>
      </c>
      <c r="L1239" s="13">
        <v>2.0248888511809955E20</v>
      </c>
      <c r="M1239" s="9">
        <v>2.0248888511809958E19</v>
      </c>
    </row>
    <row r="1240" ht="15.75" customHeight="1">
      <c r="A1240" s="8"/>
      <c r="B1240" s="8"/>
      <c r="C1240" s="8"/>
      <c r="D1240" s="8">
        <v>27.9026907562088</v>
      </c>
      <c r="E1240" s="9" t="s">
        <v>1249</v>
      </c>
      <c r="I1240" s="12" t="str">
        <f>IFERROR(__xludf.DUMMYFUNCTION("""COMPUTED_VALUE"""),"0x6952c85c9e263f7686a1a9a35c6bd5653ce9fe08")</f>
        <v>0x6952c85c9e263f7686a1a9a35c6bd5653ce9fe08</v>
      </c>
      <c r="J1240" s="11">
        <v>27.9026907562088</v>
      </c>
      <c r="K1240" s="12">
        <v>62.005979458241775</v>
      </c>
      <c r="L1240" s="13">
        <v>6.200597945824177E19</v>
      </c>
      <c r="M1240" s="9">
        <v>6.2005979458241782E18</v>
      </c>
    </row>
    <row r="1241" ht="15.75" customHeight="1">
      <c r="A1241" s="8"/>
      <c r="B1241" s="8"/>
      <c r="C1241" s="8"/>
      <c r="D1241" s="8">
        <v>27.9026907562088</v>
      </c>
      <c r="E1241" s="9" t="s">
        <v>1250</v>
      </c>
      <c r="I1241" s="12" t="str">
        <f>IFERROR(__xludf.DUMMYFUNCTION("""COMPUTED_VALUE"""),"0x696ae40635975450de2e11a83fd8eede156af7f8")</f>
        <v>0x696ae40635975450de2e11a83fd8eede156af7f8</v>
      </c>
      <c r="J1241" s="11">
        <v>27.9026907562088</v>
      </c>
      <c r="K1241" s="12">
        <v>62.005979458241775</v>
      </c>
      <c r="L1241" s="13">
        <v>6.200597945824177E19</v>
      </c>
      <c r="M1241" s="9">
        <v>6.2005979458241782E18</v>
      </c>
    </row>
    <row r="1242" ht="15.75" customHeight="1">
      <c r="A1242" s="8"/>
      <c r="B1242" s="8"/>
      <c r="C1242" s="8"/>
      <c r="D1242" s="8">
        <v>27.9026907562088</v>
      </c>
      <c r="E1242" s="9" t="s">
        <v>1251</v>
      </c>
      <c r="I1242" s="12" t="str">
        <f>IFERROR(__xludf.DUMMYFUNCTION("""COMPUTED_VALUE"""),"0x697fe5f62ddeebc15d4001b4477be8684f3354db")</f>
        <v>0x697fe5f62ddeebc15d4001b4477be8684f3354db</v>
      </c>
      <c r="J1242" s="11">
        <v>27.9026907562088</v>
      </c>
      <c r="K1242" s="12">
        <v>62.005979458241775</v>
      </c>
      <c r="L1242" s="13">
        <v>6.200597945824177E19</v>
      </c>
      <c r="M1242" s="9">
        <v>6.2005979458241782E18</v>
      </c>
    </row>
    <row r="1243" ht="15.75" customHeight="1">
      <c r="A1243" s="8"/>
      <c r="B1243" s="8"/>
      <c r="C1243" s="8"/>
      <c r="D1243" s="8">
        <v>27.9026907562088</v>
      </c>
      <c r="E1243" s="9" t="s">
        <v>1252</v>
      </c>
      <c r="I1243" s="12" t="str">
        <f>IFERROR(__xludf.DUMMYFUNCTION("""COMPUTED_VALUE"""),"0x6994e8297f41e4d53fd2496ba47ae347a1f512c9")</f>
        <v>0x6994e8297f41e4d53fd2496ba47ae347a1f512c9</v>
      </c>
      <c r="J1243" s="11">
        <v>116.97208005747869</v>
      </c>
      <c r="K1243" s="12">
        <v>259.93795568328596</v>
      </c>
      <c r="L1243" s="13">
        <v>2.5993795568328596E20</v>
      </c>
      <c r="M1243" s="9">
        <v>2.5993795568328598E19</v>
      </c>
    </row>
    <row r="1244" ht="15.75" customHeight="1">
      <c r="A1244" s="8"/>
      <c r="B1244" s="8"/>
      <c r="C1244" s="8"/>
      <c r="D1244" s="8">
        <v>27.9026907562088</v>
      </c>
      <c r="E1244" s="9" t="s">
        <v>1253</v>
      </c>
      <c r="I1244" s="12" t="str">
        <f>IFERROR(__xludf.DUMMYFUNCTION("""COMPUTED_VALUE"""),"0x699aac4b3311ee327782a7c720f2a5b5c132daa5")</f>
        <v>0x699aac4b3311ee327782a7c720f2a5b5c132daa5</v>
      </c>
      <c r="J1244" s="11">
        <v>7682.866170773955</v>
      </c>
      <c r="K1244" s="12">
        <v>17073.03593505323</v>
      </c>
      <c r="L1244" s="13">
        <v>1.7073035935053232E22</v>
      </c>
      <c r="M1244" s="9">
        <v>1.7073035935053232E21</v>
      </c>
    </row>
    <row r="1245" ht="15.75" customHeight="1">
      <c r="A1245" s="8"/>
      <c r="B1245" s="8"/>
      <c r="C1245" s="8"/>
      <c r="D1245" s="8">
        <v>27.9026907562088</v>
      </c>
      <c r="E1245" s="9" t="s">
        <v>1254</v>
      </c>
      <c r="I1245" s="12" t="str">
        <f>IFERROR(__xludf.DUMMYFUNCTION("""COMPUTED_VALUE"""),"0x69a3813a3d073d2e0218042679f42495fe4793b5")</f>
        <v>0x69a3813a3d073d2e0218042679f42495fe4793b5</v>
      </c>
      <c r="J1245" s="11">
        <v>27.9026907562088</v>
      </c>
      <c r="K1245" s="12">
        <v>62.005979458241775</v>
      </c>
      <c r="L1245" s="13">
        <v>6.200597945824177E19</v>
      </c>
      <c r="M1245" s="9">
        <v>6.2005979458241782E18</v>
      </c>
    </row>
    <row r="1246" ht="15.75" customHeight="1">
      <c r="A1246" s="8"/>
      <c r="B1246" s="8"/>
      <c r="C1246" s="8"/>
      <c r="D1246" s="8">
        <v>24.6818042220791</v>
      </c>
      <c r="E1246" s="9" t="s">
        <v>1255</v>
      </c>
      <c r="I1246" s="12" t="str">
        <f>IFERROR(__xludf.DUMMYFUNCTION("""COMPUTED_VALUE"""),"0x69b6f50a18ac3e3c7ebde2335d05ea5a8426e5e1")</f>
        <v>0x69b6f50a18ac3e3c7ebde2335d05ea5a8426e5e1</v>
      </c>
      <c r="J1246" s="11">
        <v>24.6818042220791</v>
      </c>
      <c r="K1246" s="12">
        <v>54.848453826842444</v>
      </c>
      <c r="L1246" s="13">
        <v>5.484845382684244E19</v>
      </c>
      <c r="M1246" s="9">
        <v>5.484845382684245E18</v>
      </c>
    </row>
    <row r="1247" ht="15.75" customHeight="1">
      <c r="A1247" s="8"/>
      <c r="B1247" s="8"/>
      <c r="C1247" s="8"/>
      <c r="D1247" s="8">
        <v>27.9026907562088</v>
      </c>
      <c r="E1247" s="9" t="s">
        <v>1256</v>
      </c>
      <c r="I1247" s="12" t="str">
        <f>IFERROR(__xludf.DUMMYFUNCTION("""COMPUTED_VALUE"""),"0x69c3541fd1eaa0da10cb8a40c5d45f2c9cb591f4")</f>
        <v>0x69c3541fd1eaa0da10cb8a40c5d45f2c9cb591f4</v>
      </c>
      <c r="J1247" s="11">
        <v>102.0283070317568</v>
      </c>
      <c r="K1247" s="12">
        <v>226.72957118168176</v>
      </c>
      <c r="L1247" s="13">
        <v>2.2672957118168177E20</v>
      </c>
      <c r="M1247" s="9">
        <v>2.267295711816818E19</v>
      </c>
    </row>
    <row r="1248" ht="15.75" customHeight="1">
      <c r="A1248" s="8"/>
      <c r="B1248" s="8"/>
      <c r="C1248" s="8"/>
      <c r="D1248" s="8">
        <v>27.9026907562088</v>
      </c>
      <c r="E1248" s="9" t="s">
        <v>1257</v>
      </c>
      <c r="I1248" s="12" t="str">
        <f>IFERROR(__xludf.DUMMYFUNCTION("""COMPUTED_VALUE"""),"0x69ccba053ef42e77de0058e1bdfbab089c78a471")</f>
        <v>0x69ccba053ef42e77de0058e1bdfbab089c78a471</v>
      </c>
      <c r="J1248" s="11">
        <v>90.65828049066221</v>
      </c>
      <c r="K1248" s="12">
        <v>201.4628455348049</v>
      </c>
      <c r="L1248" s="13">
        <v>2.014628455348049E20</v>
      </c>
      <c r="M1248" s="9">
        <v>2.014628455348049E19</v>
      </c>
    </row>
    <row r="1249" ht="15.75" customHeight="1">
      <c r="A1249" s="8"/>
      <c r="B1249" s="8"/>
      <c r="C1249" s="8"/>
      <c r="D1249" s="8">
        <v>27.9026907562088</v>
      </c>
      <c r="E1249" s="9" t="s">
        <v>1258</v>
      </c>
      <c r="I1249" s="12" t="str">
        <f>IFERROR(__xludf.DUMMYFUNCTION("""COMPUTED_VALUE"""),"0x69d87bc770540735071a922b7d2faddc6056ab80")</f>
        <v>0x69d87bc770540735071a922b7d2faddc6056ab80</v>
      </c>
      <c r="J1249" s="11">
        <v>27.9026907562088</v>
      </c>
      <c r="K1249" s="12">
        <v>62.005979458241775</v>
      </c>
      <c r="L1249" s="13">
        <v>6.200597945824177E19</v>
      </c>
      <c r="M1249" s="9">
        <v>6.2005979458241782E18</v>
      </c>
    </row>
    <row r="1250" ht="15.75" customHeight="1">
      <c r="A1250" s="8"/>
      <c r="B1250" s="8"/>
      <c r="C1250" s="8"/>
      <c r="D1250" s="8">
        <v>27.9026907562088</v>
      </c>
      <c r="E1250" s="9" t="s">
        <v>1259</v>
      </c>
      <c r="I1250" s="12" t="str">
        <f>IFERROR(__xludf.DUMMYFUNCTION("""COMPUTED_VALUE"""),"0x69e6f591bf49329f575bb4c9037ad28fa0312f1e")</f>
        <v>0x69e6f591bf49329f575bb4c9037ad28fa0312f1e</v>
      </c>
      <c r="J1250" s="11">
        <v>91.1199983031448</v>
      </c>
      <c r="K1250" s="12">
        <v>202.48888511809955</v>
      </c>
      <c r="L1250" s="13">
        <v>2.0248888511809955E20</v>
      </c>
      <c r="M1250" s="9">
        <v>2.0248888511809958E19</v>
      </c>
    </row>
    <row r="1251" ht="15.75" customHeight="1">
      <c r="A1251" s="8"/>
      <c r="B1251" s="8"/>
      <c r="C1251" s="8"/>
      <c r="D1251" s="8">
        <v>19.3039265072248</v>
      </c>
      <c r="E1251" s="9" t="s">
        <v>1260</v>
      </c>
      <c r="I1251" s="12" t="str">
        <f>IFERROR(__xludf.DUMMYFUNCTION("""COMPUTED_VALUE"""),"0x6a0b5ecd6c853648349036172c4a07f6f693a048")</f>
        <v>0x6a0b5ecd6c853648349036172c4a07f6f693a048</v>
      </c>
      <c r="J1251" s="11">
        <v>19.3039265072248</v>
      </c>
      <c r="K1251" s="12">
        <v>42.89761446049956</v>
      </c>
      <c r="L1251" s="13">
        <v>4.289761446049956E19</v>
      </c>
      <c r="M1251" s="9">
        <v>4.2897614460499558E18</v>
      </c>
    </row>
    <row r="1252" ht="15.75" customHeight="1">
      <c r="A1252" s="8"/>
      <c r="B1252" s="8"/>
      <c r="C1252" s="8"/>
      <c r="D1252" s="8">
        <v>27.9026907562088</v>
      </c>
      <c r="E1252" s="9" t="s">
        <v>1261</v>
      </c>
      <c r="I1252" s="12" t="str">
        <f>IFERROR(__xludf.DUMMYFUNCTION("""COMPUTED_VALUE"""),"0x6a278e8e329e0d325fe610f6030efbb3a912f6e4")</f>
        <v>0x6a278e8e329e0d325fe610f6030efbb3a912f6e4</v>
      </c>
      <c r="J1252" s="11">
        <v>27.9026907562088</v>
      </c>
      <c r="K1252" s="12">
        <v>62.005979458241775</v>
      </c>
      <c r="L1252" s="13">
        <v>6.200597945824177E19</v>
      </c>
      <c r="M1252" s="9">
        <v>6.2005979458241782E18</v>
      </c>
    </row>
    <row r="1253" ht="15.75" customHeight="1">
      <c r="A1253" s="8"/>
      <c r="B1253" s="8"/>
      <c r="C1253" s="8"/>
      <c r="D1253" s="8">
        <v>27.9026907562088</v>
      </c>
      <c r="E1253" s="9" t="s">
        <v>1262</v>
      </c>
      <c r="I1253" s="12" t="str">
        <f>IFERROR(__xludf.DUMMYFUNCTION("""COMPUTED_VALUE"""),"0x6a551d451ebb019bf66c94d31f4d5d0fe03d7cf2")</f>
        <v>0x6a551d451ebb019bf66c94d31f4d5d0fe03d7cf2</v>
      </c>
      <c r="J1253" s="11">
        <v>91.1199983031448</v>
      </c>
      <c r="K1253" s="12">
        <v>202.48888511809955</v>
      </c>
      <c r="L1253" s="13">
        <v>2.0248888511809955E20</v>
      </c>
      <c r="M1253" s="9">
        <v>2.0248888511809958E19</v>
      </c>
    </row>
    <row r="1254" ht="15.75" customHeight="1">
      <c r="A1254" s="8"/>
      <c r="B1254" s="8"/>
      <c r="C1254" s="8"/>
      <c r="D1254" s="8">
        <v>18.1090205338709</v>
      </c>
      <c r="E1254" s="9" t="s">
        <v>1263</v>
      </c>
      <c r="I1254" s="12" t="str">
        <f>IFERROR(__xludf.DUMMYFUNCTION("""COMPUTED_VALUE"""),"0x6a7d847bf157b7d2fcb3c6aee1a25ba036c6d017")</f>
        <v>0x6a7d847bf157b7d2fcb3c6aee1a25ba036c6d017</v>
      </c>
      <c r="J1254" s="11">
        <v>18.1090205338709</v>
      </c>
      <c r="K1254" s="12">
        <v>40.24226785304644</v>
      </c>
      <c r="L1254" s="13">
        <v>4.024226785304644E19</v>
      </c>
      <c r="M1254" s="9">
        <v>4.0242267853046441E18</v>
      </c>
    </row>
    <row r="1255" ht="15.75" customHeight="1">
      <c r="A1255" s="8"/>
      <c r="B1255" s="8"/>
      <c r="C1255" s="8"/>
      <c r="D1255" s="8">
        <v>13.9878332114957</v>
      </c>
      <c r="E1255" s="9" t="s">
        <v>1264</v>
      </c>
      <c r="I1255" s="12" t="str">
        <f>IFERROR(__xludf.DUMMYFUNCTION("""COMPUTED_VALUE"""),"0x6a8d3da1296f4539dae462d748a5a0260baba11b")</f>
        <v>0x6a8d3da1296f4539dae462d748a5a0260baba11b</v>
      </c>
      <c r="J1255" s="11">
        <v>13.9878332114957</v>
      </c>
      <c r="K1255" s="12">
        <v>31.084073803323776</v>
      </c>
      <c r="L1255" s="13">
        <v>3.1084073803323777E19</v>
      </c>
      <c r="M1255" s="9">
        <v>3.1084073803323781E18</v>
      </c>
    </row>
    <row r="1256" ht="15.75" customHeight="1">
      <c r="A1256" s="8"/>
      <c r="B1256" s="8"/>
      <c r="C1256" s="8"/>
      <c r="D1256" s="8">
        <v>27.9026907562088</v>
      </c>
      <c r="E1256" s="9" t="s">
        <v>1265</v>
      </c>
      <c r="I1256" s="12" t="str">
        <f>IFERROR(__xludf.DUMMYFUNCTION("""COMPUTED_VALUE"""),"0x6a93dd0795cb13b1f4c97603e6b3243c15383981")</f>
        <v>0x6a93dd0795cb13b1f4c97603e6b3243c15383981</v>
      </c>
      <c r="J1256" s="11">
        <v>27.9026907562088</v>
      </c>
      <c r="K1256" s="12">
        <v>62.005979458241775</v>
      </c>
      <c r="L1256" s="13">
        <v>6.200597945824177E19</v>
      </c>
      <c r="M1256" s="9">
        <v>6.2005979458241782E18</v>
      </c>
    </row>
    <row r="1257" ht="15.75" customHeight="1">
      <c r="A1257" s="8"/>
      <c r="B1257" s="8"/>
      <c r="C1257" s="8"/>
      <c r="D1257" s="8">
        <v>27.9026907562088</v>
      </c>
      <c r="E1257" s="9" t="s">
        <v>1266</v>
      </c>
      <c r="I1257" s="12" t="str">
        <f>IFERROR(__xludf.DUMMYFUNCTION("""COMPUTED_VALUE"""),"0x6aac65351fd7f80e6142c3c7a0240416e3b94cc1")</f>
        <v>0x6aac65351fd7f80e6142c3c7a0240416e3b94cc1</v>
      </c>
      <c r="J1257" s="11">
        <v>91.1199983031448</v>
      </c>
      <c r="K1257" s="12">
        <v>202.48888511809955</v>
      </c>
      <c r="L1257" s="13">
        <v>2.0248888511809955E20</v>
      </c>
      <c r="M1257" s="9">
        <v>2.0248888511809958E19</v>
      </c>
    </row>
    <row r="1258" ht="15.75" customHeight="1">
      <c r="A1258" s="8"/>
      <c r="B1258" s="8"/>
      <c r="C1258" s="8"/>
      <c r="D1258" s="8">
        <v>27.9026907562088</v>
      </c>
      <c r="E1258" s="9" t="s">
        <v>1267</v>
      </c>
      <c r="I1258" s="12" t="str">
        <f>IFERROR(__xludf.DUMMYFUNCTION("""COMPUTED_VALUE"""),"0x6ab3dccdd7a0b6a8c543fe73af55fa7901c75ade")</f>
        <v>0x6ab3dccdd7a0b6a8c543fe73af55fa7901c75ade</v>
      </c>
      <c r="J1258" s="11">
        <v>27.9026907562088</v>
      </c>
      <c r="K1258" s="12">
        <v>62.005979458241775</v>
      </c>
      <c r="L1258" s="13">
        <v>6.200597945824177E19</v>
      </c>
      <c r="M1258" s="9">
        <v>6.2005979458241782E18</v>
      </c>
    </row>
    <row r="1259" ht="15.75" customHeight="1">
      <c r="A1259" s="8"/>
      <c r="B1259" s="8"/>
      <c r="C1259" s="8"/>
      <c r="D1259" s="8">
        <v>27.9026907562088</v>
      </c>
      <c r="E1259" s="9" t="s">
        <v>1268</v>
      </c>
      <c r="I1259" s="12" t="str">
        <f>IFERROR(__xludf.DUMMYFUNCTION("""COMPUTED_VALUE"""),"0x6ab75ab3ef9d354032a956158c65812f3cb0ee31")</f>
        <v>0x6ab75ab3ef9d354032a956158c65812f3cb0ee31</v>
      </c>
      <c r="J1259" s="11">
        <v>27.9026907562088</v>
      </c>
      <c r="K1259" s="12">
        <v>62.005979458241775</v>
      </c>
      <c r="L1259" s="13">
        <v>6.200597945824177E19</v>
      </c>
      <c r="M1259" s="9">
        <v>6.2005979458241782E18</v>
      </c>
    </row>
    <row r="1260" ht="15.75" customHeight="1">
      <c r="A1260" s="8"/>
      <c r="B1260" s="8"/>
      <c r="C1260" s="8"/>
      <c r="D1260" s="8">
        <v>27.9026907562088</v>
      </c>
      <c r="E1260" s="9" t="s">
        <v>1269</v>
      </c>
      <c r="I1260" s="12" t="str">
        <f>IFERROR(__xludf.DUMMYFUNCTION("""COMPUTED_VALUE"""),"0x6adcc16f521f34ca5ce0b98f61823ed73cbd0cb3")</f>
        <v>0x6adcc16f521f34ca5ce0b98f61823ed73cbd0cb3</v>
      </c>
      <c r="J1260" s="11">
        <v>92.87068381864844</v>
      </c>
      <c r="K1260" s="12">
        <v>206.37929737477432</v>
      </c>
      <c r="L1260" s="13">
        <v>2.0637929737477433E20</v>
      </c>
      <c r="M1260" s="9">
        <v>2.0637929737477435E19</v>
      </c>
    </row>
    <row r="1261" ht="15.75" customHeight="1">
      <c r="A1261" s="8"/>
      <c r="B1261" s="8"/>
      <c r="C1261" s="8"/>
      <c r="D1261" s="8">
        <v>27.9026907562088</v>
      </c>
      <c r="E1261" s="9" t="s">
        <v>1270</v>
      </c>
      <c r="I1261" s="12" t="str">
        <f>IFERROR(__xludf.DUMMYFUNCTION("""COMPUTED_VALUE"""),"0x6ae2bbeca3f6fa9e955d1a1005de71b97a56e2f0")</f>
        <v>0x6ae2bbeca3f6fa9e955d1a1005de71b97a56e2f0</v>
      </c>
      <c r="J1261" s="11">
        <v>91.1199983031448</v>
      </c>
      <c r="K1261" s="12">
        <v>202.48888511809955</v>
      </c>
      <c r="L1261" s="13">
        <v>2.0248888511809955E20</v>
      </c>
      <c r="M1261" s="9">
        <v>2.0248888511809958E19</v>
      </c>
    </row>
    <row r="1262" ht="15.75" customHeight="1">
      <c r="A1262" s="8"/>
      <c r="B1262" s="8"/>
      <c r="C1262" s="8"/>
      <c r="D1262" s="8">
        <v>27.9026907562088</v>
      </c>
      <c r="E1262" s="9" t="s">
        <v>1271</v>
      </c>
      <c r="I1262" s="12" t="str">
        <f>IFERROR(__xludf.DUMMYFUNCTION("""COMPUTED_VALUE"""),"0x6af87a6f9d62d5e2a34b734aa594d0990e7382ab")</f>
        <v>0x6af87a6f9d62d5e2a34b734aa594d0990e7382ab</v>
      </c>
      <c r="J1262" s="11">
        <v>27.9026907562088</v>
      </c>
      <c r="K1262" s="12">
        <v>62.005979458241775</v>
      </c>
      <c r="L1262" s="13">
        <v>6.200597945824177E19</v>
      </c>
      <c r="M1262" s="9">
        <v>6.2005979458241782E18</v>
      </c>
    </row>
    <row r="1263" ht="15.75" customHeight="1">
      <c r="A1263" s="8"/>
      <c r="B1263" s="8"/>
      <c r="C1263" s="8"/>
      <c r="D1263" s="8">
        <v>27.9026907562088</v>
      </c>
      <c r="E1263" s="9" t="s">
        <v>1272</v>
      </c>
      <c r="I1263" s="12" t="str">
        <f>IFERROR(__xludf.DUMMYFUNCTION("""COMPUTED_VALUE"""),"0x6afb5fc7ae34e7d7294163ff1fce247f7e2bf3ed")</f>
        <v>0x6afb5fc7ae34e7d7294163ff1fce247f7e2bf3ed</v>
      </c>
      <c r="J1263" s="11">
        <v>27.9026907562088</v>
      </c>
      <c r="K1263" s="12">
        <v>62.005979458241775</v>
      </c>
      <c r="L1263" s="13">
        <v>6.200597945824177E19</v>
      </c>
      <c r="M1263" s="9">
        <v>6.2005979458241782E18</v>
      </c>
    </row>
    <row r="1264" ht="15.75" customHeight="1">
      <c r="A1264" s="8"/>
      <c r="B1264" s="8"/>
      <c r="C1264" s="8"/>
      <c r="D1264" s="8">
        <v>26.3225331976949</v>
      </c>
      <c r="E1264" s="9" t="s">
        <v>1273</v>
      </c>
      <c r="I1264" s="12" t="str">
        <f>IFERROR(__xludf.DUMMYFUNCTION("""COMPUTED_VALUE"""),"0x6b1fd0afb323c5899df2746195afc17f64cf143b")</f>
        <v>0x6b1fd0afb323c5899df2746195afc17f64cf143b</v>
      </c>
      <c r="J1264" s="11">
        <v>26.3225331976949</v>
      </c>
      <c r="K1264" s="12">
        <v>58.494518217099774</v>
      </c>
      <c r="L1264" s="13">
        <v>5.849451821709977E19</v>
      </c>
      <c r="M1264" s="9">
        <v>5.8494518217099776E18</v>
      </c>
    </row>
    <row r="1265" ht="15.75" customHeight="1">
      <c r="A1265" s="8"/>
      <c r="B1265" s="8"/>
      <c r="C1265" s="8"/>
      <c r="D1265" s="8">
        <v>27.9026907562088</v>
      </c>
      <c r="E1265" s="9" t="s">
        <v>1274</v>
      </c>
      <c r="I1265" s="12" t="str">
        <f>IFERROR(__xludf.DUMMYFUNCTION("""COMPUTED_VALUE"""),"0x6b76d661278cf1d0fcba72499fde37abaef808ae")</f>
        <v>0x6b76d661278cf1d0fcba72499fde37abaef808ae</v>
      </c>
      <c r="J1265" s="11">
        <v>27.9026907562088</v>
      </c>
      <c r="K1265" s="12">
        <v>62.005979458241775</v>
      </c>
      <c r="L1265" s="13">
        <v>6.200597945824177E19</v>
      </c>
      <c r="M1265" s="9">
        <v>6.2005979458241782E18</v>
      </c>
    </row>
    <row r="1266" ht="15.75" customHeight="1">
      <c r="A1266" s="8"/>
      <c r="B1266" s="8"/>
      <c r="C1266" s="8"/>
      <c r="D1266" s="8">
        <v>27.9026907562088</v>
      </c>
      <c r="E1266" s="9" t="s">
        <v>1275</v>
      </c>
      <c r="I1266" s="12" t="str">
        <f>IFERROR(__xludf.DUMMYFUNCTION("""COMPUTED_VALUE"""),"0x6b7e9f34d9b18d8faf1a69a529f85e594d70a2ee")</f>
        <v>0x6b7e9f34d9b18d8faf1a69a529f85e594d70a2ee</v>
      </c>
      <c r="J1266" s="11">
        <v>91.1199983031448</v>
      </c>
      <c r="K1266" s="12">
        <v>202.48888511809955</v>
      </c>
      <c r="L1266" s="13">
        <v>2.0248888511809955E20</v>
      </c>
      <c r="M1266" s="9">
        <v>2.0248888511809958E19</v>
      </c>
    </row>
    <row r="1267" ht="15.75" customHeight="1">
      <c r="A1267" s="8"/>
      <c r="B1267" s="8"/>
      <c r="C1267" s="8"/>
      <c r="D1267" s="8">
        <v>27.7788632138446</v>
      </c>
      <c r="E1267" s="9" t="s">
        <v>1276</v>
      </c>
      <c r="I1267" s="12" t="str">
        <f>IFERROR(__xludf.DUMMYFUNCTION("""COMPUTED_VALUE"""),"0x6b888b30b242e52f2a1f3243a6bd16a846be2b98")</f>
        <v>0x6b888b30b242e52f2a1f3243a6bd16a846be2b98</v>
      </c>
      <c r="J1267" s="11">
        <v>27.7788632138446</v>
      </c>
      <c r="K1267" s="12">
        <v>61.73080714187688</v>
      </c>
      <c r="L1267" s="13">
        <v>6.173080714187688E19</v>
      </c>
      <c r="M1267" s="9">
        <v>6.173080714187689E18</v>
      </c>
    </row>
    <row r="1268" ht="15.75" customHeight="1">
      <c r="A1268" s="8"/>
      <c r="B1268" s="8"/>
      <c r="C1268" s="8"/>
      <c r="D1268" s="8">
        <v>27.9026907562088</v>
      </c>
      <c r="E1268" s="9" t="s">
        <v>1277</v>
      </c>
      <c r="I1268" s="12" t="str">
        <f>IFERROR(__xludf.DUMMYFUNCTION("""COMPUTED_VALUE"""),"0x6b9c04d707a4b3e9fabed5f9db1a2c2e42255bb7")</f>
        <v>0x6b9c04d707a4b3e9fabed5f9db1a2c2e42255bb7</v>
      </c>
      <c r="J1268" s="11">
        <v>27.9026907562088</v>
      </c>
      <c r="K1268" s="12">
        <v>62.005979458241775</v>
      </c>
      <c r="L1268" s="13">
        <v>6.200597945824177E19</v>
      </c>
      <c r="M1268" s="9">
        <v>6.2005979458241782E18</v>
      </c>
    </row>
    <row r="1269" ht="15.75" customHeight="1">
      <c r="A1269" s="8"/>
      <c r="B1269" s="8"/>
      <c r="C1269" s="8"/>
      <c r="D1269" s="8">
        <v>27.9026907562088</v>
      </c>
      <c r="E1269" s="9" t="s">
        <v>1278</v>
      </c>
      <c r="I1269" s="12" t="str">
        <f>IFERROR(__xludf.DUMMYFUNCTION("""COMPUTED_VALUE"""),"0x6bd37908cbb377ac8f14835815ecbbd173a3174f")</f>
        <v>0x6bd37908cbb377ac8f14835815ecbbd173a3174f</v>
      </c>
      <c r="J1269" s="11">
        <v>27.9026907562088</v>
      </c>
      <c r="K1269" s="12">
        <v>62.005979458241775</v>
      </c>
      <c r="L1269" s="13">
        <v>6.200597945824177E19</v>
      </c>
      <c r="M1269" s="9">
        <v>6.2005979458241782E18</v>
      </c>
    </row>
    <row r="1270" ht="15.75" customHeight="1">
      <c r="A1270" s="8"/>
      <c r="B1270" s="8"/>
      <c r="C1270" s="8"/>
      <c r="D1270" s="8">
        <v>27.9026907562088</v>
      </c>
      <c r="E1270" s="9" t="s">
        <v>1279</v>
      </c>
      <c r="I1270" s="12" t="str">
        <f>IFERROR(__xludf.DUMMYFUNCTION("""COMPUTED_VALUE"""),"0x6bd42311c53db0a5f66029f1a3d0451ab029c281")</f>
        <v>0x6bd42311c53db0a5f66029f1a3d0451ab029c281</v>
      </c>
      <c r="J1270" s="11">
        <v>32.65224873545021</v>
      </c>
      <c r="K1270" s="12">
        <v>72.56055274544491</v>
      </c>
      <c r="L1270" s="13">
        <v>7.256055274544491E19</v>
      </c>
      <c r="M1270" s="9">
        <v>7.2560552745444915E18</v>
      </c>
    </row>
    <row r="1271" ht="15.75" customHeight="1">
      <c r="A1271" s="8"/>
      <c r="B1271" s="8"/>
      <c r="C1271" s="8"/>
      <c r="D1271" s="8">
        <v>27.9026907562088</v>
      </c>
      <c r="E1271" s="9" t="s">
        <v>1280</v>
      </c>
      <c r="I1271" s="12" t="str">
        <f>IFERROR(__xludf.DUMMYFUNCTION("""COMPUTED_VALUE"""),"0x6bdf72fe7e389e89dc1b53a8352a90c8244b1d6a")</f>
        <v>0x6bdf72fe7e389e89dc1b53a8352a90c8244b1d6a</v>
      </c>
      <c r="J1271" s="11">
        <v>91.1199983031448</v>
      </c>
      <c r="K1271" s="12">
        <v>202.48888511809955</v>
      </c>
      <c r="L1271" s="13">
        <v>2.0248888511809955E20</v>
      </c>
      <c r="M1271" s="9">
        <v>2.0248888511809958E19</v>
      </c>
    </row>
    <row r="1272" ht="15.75" customHeight="1">
      <c r="A1272" s="8"/>
      <c r="B1272" s="8"/>
      <c r="C1272" s="8"/>
      <c r="D1272" s="8">
        <v>27.9026907562088</v>
      </c>
      <c r="E1272" s="9" t="s">
        <v>1281</v>
      </c>
      <c r="I1272" s="12" t="str">
        <f>IFERROR(__xludf.DUMMYFUNCTION("""COMPUTED_VALUE"""),"0x6bf23a7642c94cb644b0db9882c57789d3e85960")</f>
        <v>0x6bf23a7642c94cb644b0db9882c57789d3e85960</v>
      </c>
      <c r="J1272" s="11">
        <v>27.9026907562088</v>
      </c>
      <c r="K1272" s="12">
        <v>62.005979458241775</v>
      </c>
      <c r="L1272" s="13">
        <v>6.200597945824177E19</v>
      </c>
      <c r="M1272" s="9">
        <v>6.2005979458241782E18</v>
      </c>
    </row>
    <row r="1273" ht="15.75" customHeight="1">
      <c r="A1273" s="8"/>
      <c r="B1273" s="8"/>
      <c r="C1273" s="8"/>
      <c r="D1273" s="8">
        <v>27.9026907562088</v>
      </c>
      <c r="E1273" s="9" t="s">
        <v>1282</v>
      </c>
      <c r="I1273" s="12" t="str">
        <f>IFERROR(__xludf.DUMMYFUNCTION("""COMPUTED_VALUE"""),"0x6c0afd34effae03e8450138f6c1756208ac05d19")</f>
        <v>0x6c0afd34effae03e8450138f6c1756208ac05d19</v>
      </c>
      <c r="J1273" s="11">
        <v>27.9026907562088</v>
      </c>
      <c r="K1273" s="12">
        <v>62.005979458241775</v>
      </c>
      <c r="L1273" s="13">
        <v>6.200597945824177E19</v>
      </c>
      <c r="M1273" s="9">
        <v>6.2005979458241782E18</v>
      </c>
    </row>
    <row r="1274" ht="15.75" customHeight="1">
      <c r="A1274" s="8"/>
      <c r="B1274" s="8"/>
      <c r="C1274" s="8"/>
      <c r="D1274" s="8">
        <v>27.9026907562088</v>
      </c>
      <c r="E1274" s="9" t="s">
        <v>1283</v>
      </c>
      <c r="I1274" s="12" t="str">
        <f>IFERROR(__xludf.DUMMYFUNCTION("""COMPUTED_VALUE"""),"0x6c1dadd809435a33ee0aebb1c4e167f25a6ca625")</f>
        <v>0x6c1dadd809435a33ee0aebb1c4e167f25a6ca625</v>
      </c>
      <c r="J1274" s="11">
        <v>97.52003515883554</v>
      </c>
      <c r="K1274" s="12">
        <v>216.71118924185674</v>
      </c>
      <c r="L1274" s="13">
        <v>2.1671118924185675E20</v>
      </c>
      <c r="M1274" s="9">
        <v>2.1671118924185678E19</v>
      </c>
    </row>
    <row r="1275" ht="15.75" customHeight="1">
      <c r="A1275" s="8"/>
      <c r="B1275" s="8"/>
      <c r="C1275" s="8"/>
      <c r="D1275" s="8">
        <v>26.5395976786001</v>
      </c>
      <c r="E1275" s="9" t="s">
        <v>1284</v>
      </c>
      <c r="I1275" s="12" t="str">
        <f>IFERROR(__xludf.DUMMYFUNCTION("""COMPUTED_VALUE"""),"0x6c3aee123e944f823fb2c10c12d64527d5651972")</f>
        <v>0x6c3aee123e944f823fb2c10c12d64527d5651972</v>
      </c>
      <c r="J1275" s="11">
        <v>26.5395976786001</v>
      </c>
      <c r="K1275" s="12">
        <v>58.97688373022244</v>
      </c>
      <c r="L1275" s="13">
        <v>5.897688373022244E19</v>
      </c>
      <c r="M1275" s="9">
        <v>5.8976883730222449E18</v>
      </c>
    </row>
    <row r="1276" ht="15.75" customHeight="1">
      <c r="A1276" s="8"/>
      <c r="B1276" s="8"/>
      <c r="C1276" s="8"/>
      <c r="D1276" s="8">
        <v>27.9026907562088</v>
      </c>
      <c r="E1276" s="9" t="s">
        <v>1285</v>
      </c>
      <c r="I1276" s="12" t="str">
        <f>IFERROR(__xludf.DUMMYFUNCTION("""COMPUTED_VALUE"""),"0x6c4b6224865952638226795ac3ab501072053d10")</f>
        <v>0x6c4b6224865952638226795ac3ab501072053d10</v>
      </c>
      <c r="J1276" s="11">
        <v>53.1886803658741</v>
      </c>
      <c r="K1276" s="12">
        <v>118.19706747972022</v>
      </c>
      <c r="L1276" s="13">
        <v>1.1819706747972021E20</v>
      </c>
      <c r="M1276" s="9">
        <v>1.1819706747972022E19</v>
      </c>
    </row>
    <row r="1277" ht="15.75" customHeight="1">
      <c r="A1277" s="8"/>
      <c r="B1277" s="8"/>
      <c r="C1277" s="8"/>
      <c r="D1277" s="8">
        <v>27.9026907562088</v>
      </c>
      <c r="E1277" s="9" t="s">
        <v>1286</v>
      </c>
      <c r="I1277" s="12" t="str">
        <f>IFERROR(__xludf.DUMMYFUNCTION("""COMPUTED_VALUE"""),"0x6c5b9d3e3f6e8d28b0a27bd8aabe8e160370d521")</f>
        <v>0x6c5b9d3e3f6e8d28b0a27bd8aabe8e160370d521</v>
      </c>
      <c r="J1277" s="11">
        <v>99.94779222137409</v>
      </c>
      <c r="K1277" s="12">
        <v>222.10620493638686</v>
      </c>
      <c r="L1277" s="13">
        <v>2.2210620493638687E20</v>
      </c>
      <c r="M1277" s="9">
        <v>2.221062049363869E19</v>
      </c>
    </row>
    <row r="1278" ht="15.75" customHeight="1">
      <c r="A1278" s="8"/>
      <c r="B1278" s="8"/>
      <c r="C1278" s="8"/>
      <c r="D1278" s="8">
        <v>27.9026907562088</v>
      </c>
      <c r="E1278" s="9" t="s">
        <v>1287</v>
      </c>
      <c r="I1278" s="12" t="str">
        <f>IFERROR(__xludf.DUMMYFUNCTION("""COMPUTED_VALUE"""),"0x6c61bdb4dc3d44c5da61c8868275818ef9ea9c7b")</f>
        <v>0x6c61bdb4dc3d44c5da61c8868275818ef9ea9c7b</v>
      </c>
      <c r="J1278" s="11">
        <v>27.9026907562088</v>
      </c>
      <c r="K1278" s="12">
        <v>62.005979458241775</v>
      </c>
      <c r="L1278" s="13">
        <v>6.200597945824177E19</v>
      </c>
      <c r="M1278" s="9">
        <v>6.2005979458241782E18</v>
      </c>
    </row>
    <row r="1279" ht="15.75" customHeight="1">
      <c r="A1279" s="8"/>
      <c r="B1279" s="8"/>
      <c r="C1279" s="8"/>
      <c r="D1279" s="8">
        <v>27.9026907562088</v>
      </c>
      <c r="E1279" s="9" t="s">
        <v>1288</v>
      </c>
      <c r="I1279" s="12" t="str">
        <f>IFERROR(__xludf.DUMMYFUNCTION("""COMPUTED_VALUE"""),"0x6c71eecabdd774e5aa8becf31b61cbf6280b108e")</f>
        <v>0x6c71eecabdd774e5aa8becf31b61cbf6280b108e</v>
      </c>
      <c r="J1279" s="11">
        <v>27.9026907562088</v>
      </c>
      <c r="K1279" s="12">
        <v>62.005979458241775</v>
      </c>
      <c r="L1279" s="13">
        <v>6.200597945824177E19</v>
      </c>
      <c r="M1279" s="9">
        <v>6.2005979458241782E18</v>
      </c>
    </row>
    <row r="1280" ht="15.75" customHeight="1">
      <c r="A1280" s="8"/>
      <c r="B1280" s="8"/>
      <c r="C1280" s="8"/>
      <c r="D1280" s="8">
        <v>27.9026907562088</v>
      </c>
      <c r="E1280" s="9" t="s">
        <v>1289</v>
      </c>
      <c r="I1280" s="12" t="str">
        <f>IFERROR(__xludf.DUMMYFUNCTION("""COMPUTED_VALUE"""),"0x6cab3eea2799bb0c91be9faaec28e4076c763e1d")</f>
        <v>0x6cab3eea2799bb0c91be9faaec28e4076c763e1d</v>
      </c>
      <c r="J1280" s="11">
        <v>263.9615637308068</v>
      </c>
      <c r="K1280" s="12">
        <v>586.5812527351262</v>
      </c>
      <c r="L1280" s="13">
        <v>5.865812527351262E20</v>
      </c>
      <c r="M1280" s="9">
        <v>5.8658125273512624E19</v>
      </c>
    </row>
    <row r="1281" ht="15.75" customHeight="1">
      <c r="A1281" s="8"/>
      <c r="B1281" s="8"/>
      <c r="C1281" s="8"/>
      <c r="D1281" s="8">
        <v>27.9026907562088</v>
      </c>
      <c r="E1281" s="9" t="s">
        <v>1290</v>
      </c>
      <c r="I1281" s="12" t="str">
        <f>IFERROR(__xludf.DUMMYFUNCTION("""COMPUTED_VALUE"""),"0x6cc86c6eef8ddd9818003120e7e7a46900ed9e32")</f>
        <v>0x6cc86c6eef8ddd9818003120e7e7a46900ed9e32</v>
      </c>
      <c r="J1281" s="11">
        <v>449.30824977485884</v>
      </c>
      <c r="K1281" s="12">
        <v>998.462777277464</v>
      </c>
      <c r="L1281" s="13">
        <v>9.98462777277464E20</v>
      </c>
      <c r="M1281" s="9">
        <v>9.984627772774641E19</v>
      </c>
    </row>
    <row r="1282" ht="15.75" customHeight="1">
      <c r="A1282" s="8"/>
      <c r="B1282" s="8"/>
      <c r="C1282" s="8"/>
      <c r="D1282" s="8">
        <v>20.8477236993929</v>
      </c>
      <c r="E1282" s="9" t="s">
        <v>1291</v>
      </c>
      <c r="I1282" s="12" t="str">
        <f>IFERROR(__xludf.DUMMYFUNCTION("""COMPUTED_VALUE"""),"0x6cca55161a068bff9453cb952156335fc408316b")</f>
        <v>0x6cca55161a068bff9453cb952156335fc408316b</v>
      </c>
      <c r="J1282" s="11">
        <v>20.8477236993929</v>
      </c>
      <c r="K1282" s="12">
        <v>46.32827488753978</v>
      </c>
      <c r="L1282" s="13">
        <v>4.632827488753978E19</v>
      </c>
      <c r="M1282" s="9">
        <v>4.6328274887539784E18</v>
      </c>
    </row>
    <row r="1283" ht="15.75" customHeight="1">
      <c r="A1283" s="8"/>
      <c r="B1283" s="8"/>
      <c r="C1283" s="8"/>
      <c r="D1283" s="8">
        <v>25.2343320090545</v>
      </c>
      <c r="E1283" s="9" t="s">
        <v>1292</v>
      </c>
      <c r="I1283" s="12" t="str">
        <f>IFERROR(__xludf.DUMMYFUNCTION("""COMPUTED_VALUE"""),"0x6cd1a947af6f99767562b297e0907de9408651dc")</f>
        <v>0x6cd1a947af6f99767562b297e0907de9408651dc</v>
      </c>
      <c r="J1283" s="11">
        <v>44.8294855766668</v>
      </c>
      <c r="K1283" s="12">
        <v>99.62107905925954</v>
      </c>
      <c r="L1283" s="13">
        <v>9.962107905925954E19</v>
      </c>
      <c r="M1283" s="9">
        <v>9.962107905925954E18</v>
      </c>
    </row>
    <row r="1284" ht="15.75" customHeight="1">
      <c r="A1284" s="8"/>
      <c r="B1284" s="8"/>
      <c r="C1284" s="8"/>
      <c r="D1284" s="8">
        <v>27.9026907562088</v>
      </c>
      <c r="E1284" s="9" t="s">
        <v>1293</v>
      </c>
      <c r="I1284" s="12" t="str">
        <f>IFERROR(__xludf.DUMMYFUNCTION("""COMPUTED_VALUE"""),"0x6cef300f232ed696bdec38b22d58acea691ce5b9")</f>
        <v>0x6cef300f232ed696bdec38b22d58acea691ce5b9</v>
      </c>
      <c r="J1284" s="11">
        <v>1160.1372098850447</v>
      </c>
      <c r="K1284" s="12">
        <v>2578.0826886334326</v>
      </c>
      <c r="L1284" s="13">
        <v>2.5780826886334327E21</v>
      </c>
      <c r="M1284" s="9">
        <v>2.578082688633433E20</v>
      </c>
    </row>
    <row r="1285" ht="15.75" customHeight="1">
      <c r="A1285" s="8"/>
      <c r="B1285" s="8"/>
      <c r="C1285" s="8"/>
      <c r="D1285" s="8">
        <v>27.9026907562088</v>
      </c>
      <c r="E1285" s="9" t="s">
        <v>1294</v>
      </c>
      <c r="I1285" s="12" t="str">
        <f>IFERROR(__xludf.DUMMYFUNCTION("""COMPUTED_VALUE"""),"0x6d17b32853d641a0cfbf429cae5e7a99df0b87d6")</f>
        <v>0x6d17b32853d641a0cfbf429cae5e7a99df0b87d6</v>
      </c>
      <c r="J1285" s="11">
        <v>91.50915637070283</v>
      </c>
      <c r="K1285" s="12">
        <v>203.35368082378406</v>
      </c>
      <c r="L1285" s="13">
        <v>2.0335368082378405E20</v>
      </c>
      <c r="M1285" s="9">
        <v>2.0335368082378404E19</v>
      </c>
    </row>
    <row r="1286" ht="15.75" customHeight="1">
      <c r="A1286" s="8"/>
      <c r="B1286" s="8"/>
      <c r="C1286" s="8"/>
      <c r="D1286" s="8">
        <v>8.94543335681831</v>
      </c>
      <c r="E1286" s="9" t="s">
        <v>1295</v>
      </c>
      <c r="I1286" s="12" t="str">
        <f>IFERROR(__xludf.DUMMYFUNCTION("""COMPUTED_VALUE"""),"0x6d1d9279b6ce69e30818870d956eee1c0c295917")</f>
        <v>0x6d1d9279b6ce69e30818870d956eee1c0c295917</v>
      </c>
      <c r="J1286" s="11">
        <v>8.94543335681831</v>
      </c>
      <c r="K1286" s="12">
        <v>19.878740792929577</v>
      </c>
      <c r="L1286" s="13">
        <v>1.9878740792929575E19</v>
      </c>
      <c r="M1286" s="9">
        <v>1.9878740792929577E18</v>
      </c>
    </row>
    <row r="1287" ht="15.75" customHeight="1">
      <c r="A1287" s="8"/>
      <c r="B1287" s="8"/>
      <c r="C1287" s="8"/>
      <c r="D1287" s="8">
        <v>27.9026907562088</v>
      </c>
      <c r="E1287" s="9" t="s">
        <v>1296</v>
      </c>
      <c r="I1287" s="12" t="str">
        <f>IFERROR(__xludf.DUMMYFUNCTION("""COMPUTED_VALUE"""),"0x6d209c59082b61471883f04263c511ffb72b8279")</f>
        <v>0x6d209c59082b61471883f04263c511ffb72b8279</v>
      </c>
      <c r="J1287" s="11">
        <v>27.9026907562088</v>
      </c>
      <c r="K1287" s="12">
        <v>62.005979458241775</v>
      </c>
      <c r="L1287" s="13">
        <v>6.200597945824177E19</v>
      </c>
      <c r="M1287" s="9">
        <v>6.2005979458241782E18</v>
      </c>
    </row>
    <row r="1288" ht="15.75" customHeight="1">
      <c r="A1288" s="8"/>
      <c r="B1288" s="8"/>
      <c r="C1288" s="8"/>
      <c r="D1288" s="8">
        <v>13.359533291119</v>
      </c>
      <c r="E1288" s="9" t="s">
        <v>1297</v>
      </c>
      <c r="I1288" s="12" t="str">
        <f>IFERROR(__xludf.DUMMYFUNCTION("""COMPUTED_VALUE"""),"0x6d28dc770c3e9d5acba6db509032bb6f635ece03")</f>
        <v>0x6d28dc770c3e9d5acba6db509032bb6f635ece03</v>
      </c>
      <c r="J1288" s="11">
        <v>44.2590871675037</v>
      </c>
      <c r="K1288" s="12">
        <v>98.35352703889711</v>
      </c>
      <c r="L1288" s="13">
        <v>9.835352703889711E19</v>
      </c>
      <c r="M1288" s="9">
        <v>9.835352703889711E18</v>
      </c>
    </row>
    <row r="1289" ht="15.75" customHeight="1">
      <c r="A1289" s="8"/>
      <c r="B1289" s="8"/>
      <c r="C1289" s="8"/>
      <c r="D1289" s="8">
        <v>27.9026907562088</v>
      </c>
      <c r="E1289" s="9" t="s">
        <v>1298</v>
      </c>
      <c r="I1289" s="12" t="str">
        <f>IFERROR(__xludf.DUMMYFUNCTION("""COMPUTED_VALUE"""),"0x6d377b14ca14f59945b17c18fbc32f2018ee9917")</f>
        <v>0x6d377b14ca14f59945b17c18fbc32f2018ee9917</v>
      </c>
      <c r="J1289" s="11">
        <v>91.1199983031448</v>
      </c>
      <c r="K1289" s="12">
        <v>202.48888511809955</v>
      </c>
      <c r="L1289" s="13">
        <v>2.0248888511809955E20</v>
      </c>
      <c r="M1289" s="9">
        <v>2.0248888511809958E19</v>
      </c>
    </row>
    <row r="1290" ht="15.75" customHeight="1">
      <c r="A1290" s="8"/>
      <c r="B1290" s="8"/>
      <c r="C1290" s="8"/>
      <c r="D1290" s="8">
        <v>27.9026907562088</v>
      </c>
      <c r="E1290" s="9" t="s">
        <v>1299</v>
      </c>
      <c r="I1290" s="12" t="str">
        <f>IFERROR(__xludf.DUMMYFUNCTION("""COMPUTED_VALUE"""),"0x6d3b65fe59885bca1e690f22d54b3d1d1ee0f1aa")</f>
        <v>0x6d3b65fe59885bca1e690f22d54b3d1d1ee0f1aa</v>
      </c>
      <c r="J1290" s="11">
        <v>28.46368170196844</v>
      </c>
      <c r="K1290" s="12">
        <v>63.25262600437431</v>
      </c>
      <c r="L1290" s="13">
        <v>6.325262600437431E19</v>
      </c>
      <c r="M1290" s="9">
        <v>6.3252626004374313E18</v>
      </c>
    </row>
    <row r="1291" ht="15.75" customHeight="1">
      <c r="A1291" s="8"/>
      <c r="B1291" s="8"/>
      <c r="C1291" s="8"/>
      <c r="D1291" s="8">
        <v>27.9026907562088</v>
      </c>
      <c r="E1291" s="9" t="s">
        <v>1300</v>
      </c>
      <c r="I1291" s="12" t="str">
        <f>IFERROR(__xludf.DUMMYFUNCTION("""COMPUTED_VALUE"""),"0x6d3ed1d6af678f0e16b548531dbe507ebdf2ccc9")</f>
        <v>0x6d3ed1d6af678f0e16b548531dbe507ebdf2ccc9</v>
      </c>
      <c r="J1291" s="11">
        <v>119.3339582011018</v>
      </c>
      <c r="K1291" s="12">
        <v>265.1865737802262</v>
      </c>
      <c r="L1291" s="13">
        <v>2.6518657378022618E20</v>
      </c>
      <c r="M1291" s="9">
        <v>2.651865737802262E19</v>
      </c>
    </row>
    <row r="1292" ht="15.75" customHeight="1">
      <c r="A1292" s="8"/>
      <c r="B1292" s="8"/>
      <c r="C1292" s="8"/>
      <c r="D1292" s="8">
        <v>27.9026907562088</v>
      </c>
      <c r="E1292" s="9" t="s">
        <v>1301</v>
      </c>
      <c r="I1292" s="12" t="str">
        <f>IFERROR(__xludf.DUMMYFUNCTION("""COMPUTED_VALUE"""),"0x6d45979d28440d84c15644f0e3eaafb7ce73983c")</f>
        <v>0x6d45979d28440d84c15644f0e3eaafb7ce73983c</v>
      </c>
      <c r="J1292" s="11">
        <v>27.9026907562088</v>
      </c>
      <c r="K1292" s="12">
        <v>62.005979458241775</v>
      </c>
      <c r="L1292" s="13">
        <v>6.200597945824177E19</v>
      </c>
      <c r="M1292" s="9">
        <v>6.2005979458241782E18</v>
      </c>
    </row>
    <row r="1293" ht="15.75" customHeight="1">
      <c r="A1293" s="8"/>
      <c r="B1293" s="8"/>
      <c r="C1293" s="8"/>
      <c r="D1293" s="8">
        <v>27.9026907562088</v>
      </c>
      <c r="E1293" s="9" t="s">
        <v>1302</v>
      </c>
      <c r="I1293" s="12" t="str">
        <f>IFERROR(__xludf.DUMMYFUNCTION("""COMPUTED_VALUE"""),"0x6d5cbcd69e6083fcf355ffa3db8ed1dd16ee63f2")</f>
        <v>0x6d5cbcd69e6083fcf355ffa3db8ed1dd16ee63f2</v>
      </c>
      <c r="J1293" s="11">
        <v>120.9904389470646</v>
      </c>
      <c r="K1293" s="12">
        <v>268.867642104588</v>
      </c>
      <c r="L1293" s="13">
        <v>2.68867642104588E20</v>
      </c>
      <c r="M1293" s="9">
        <v>2.6886764210458804E19</v>
      </c>
    </row>
    <row r="1294" ht="15.75" customHeight="1">
      <c r="A1294" s="8"/>
      <c r="B1294" s="8"/>
      <c r="C1294" s="8"/>
      <c r="D1294" s="8">
        <v>27.9026907562088</v>
      </c>
      <c r="E1294" s="9" t="s">
        <v>1303</v>
      </c>
      <c r="I1294" s="12" t="str">
        <f>IFERROR(__xludf.DUMMYFUNCTION("""COMPUTED_VALUE"""),"0x6d6d4e2a13397990e445edbe4e2114d68bfc3b2f")</f>
        <v>0x6d6d4e2a13397990e445edbe4e2114d68bfc3b2f</v>
      </c>
      <c r="J1294" s="11">
        <v>27.9026907562088</v>
      </c>
      <c r="K1294" s="12">
        <v>62.005979458241775</v>
      </c>
      <c r="L1294" s="13">
        <v>6.200597945824177E19</v>
      </c>
      <c r="M1294" s="9">
        <v>6.2005979458241782E18</v>
      </c>
    </row>
    <row r="1295" ht="15.75" customHeight="1">
      <c r="A1295" s="8"/>
      <c r="B1295" s="8"/>
      <c r="C1295" s="8"/>
      <c r="D1295" s="8">
        <v>27.9026907562088</v>
      </c>
      <c r="E1295" s="9" t="s">
        <v>1304</v>
      </c>
      <c r="I1295" s="12" t="str">
        <f>IFERROR(__xludf.DUMMYFUNCTION("""COMPUTED_VALUE"""),"0x6d7f5b6985bb0c2354da923712826235be9006b1")</f>
        <v>0x6d7f5b6985bb0c2354da923712826235be9006b1</v>
      </c>
      <c r="J1295" s="11">
        <v>27.9026907562088</v>
      </c>
      <c r="K1295" s="12">
        <v>62.005979458241775</v>
      </c>
      <c r="L1295" s="13">
        <v>6.200597945824177E19</v>
      </c>
      <c r="M1295" s="9">
        <v>6.2005979458241782E18</v>
      </c>
    </row>
    <row r="1296" ht="15.75" customHeight="1">
      <c r="A1296" s="8"/>
      <c r="B1296" s="8"/>
      <c r="C1296" s="8"/>
      <c r="D1296" s="8">
        <v>27.9026907562088</v>
      </c>
      <c r="E1296" s="9" t="s">
        <v>1305</v>
      </c>
      <c r="I1296" s="12" t="str">
        <f>IFERROR(__xludf.DUMMYFUNCTION("""COMPUTED_VALUE"""),"0x6d84216b30f6f1e3e29d970c38ab7f6b640f6cd4")</f>
        <v>0x6d84216b30f6f1e3e29d970c38ab7f6b640f6cd4</v>
      </c>
      <c r="J1296" s="11">
        <v>27.9026907562088</v>
      </c>
      <c r="K1296" s="12">
        <v>62.005979458241775</v>
      </c>
      <c r="L1296" s="13">
        <v>6.200597945824177E19</v>
      </c>
      <c r="M1296" s="9">
        <v>6.2005979458241782E18</v>
      </c>
    </row>
    <row r="1297" ht="15.75" customHeight="1">
      <c r="A1297" s="8"/>
      <c r="B1297" s="8"/>
      <c r="C1297" s="8"/>
      <c r="D1297" s="8">
        <v>27.9026907562088</v>
      </c>
      <c r="E1297" s="9" t="s">
        <v>1306</v>
      </c>
      <c r="I1297" s="12" t="str">
        <f>IFERROR(__xludf.DUMMYFUNCTION("""COMPUTED_VALUE"""),"0x6da35093d7661418dc24606b5d3478cd1e64124d")</f>
        <v>0x6da35093d7661418dc24606b5d3478cd1e64124d</v>
      </c>
      <c r="J1297" s="11">
        <v>58.2773510012066</v>
      </c>
      <c r="K1297" s="12">
        <v>129.50522444712576</v>
      </c>
      <c r="L1297" s="13">
        <v>1.2950522444712575E20</v>
      </c>
      <c r="M1297" s="9">
        <v>1.2950522444712575E19</v>
      </c>
    </row>
    <row r="1298" ht="15.75" customHeight="1">
      <c r="A1298" s="8"/>
      <c r="B1298" s="8"/>
      <c r="C1298" s="8"/>
      <c r="D1298" s="8">
        <v>27.9026907562088</v>
      </c>
      <c r="E1298" s="9" t="s">
        <v>1307</v>
      </c>
      <c r="I1298" s="12" t="str">
        <f>IFERROR(__xludf.DUMMYFUNCTION("""COMPUTED_VALUE"""),"0x6dcd96c4c1e8b98c99db39d8c0b351a134631d01")</f>
        <v>0x6dcd96c4c1e8b98c99db39d8c0b351a134631d01</v>
      </c>
      <c r="J1298" s="11">
        <v>29.848481093998938</v>
      </c>
      <c r="K1298" s="12">
        <v>66.32995798666431</v>
      </c>
      <c r="L1298" s="13">
        <v>6.632995798666431E19</v>
      </c>
      <c r="M1298" s="9">
        <v>6.6329957986664315E18</v>
      </c>
    </row>
    <row r="1299" ht="15.75" customHeight="1">
      <c r="A1299" s="8"/>
      <c r="B1299" s="8"/>
      <c r="C1299" s="8"/>
      <c r="D1299" s="8">
        <v>27.9026907562088</v>
      </c>
      <c r="E1299" s="9" t="s">
        <v>1308</v>
      </c>
      <c r="I1299" s="12" t="str">
        <f>IFERROR(__xludf.DUMMYFUNCTION("""COMPUTED_VALUE"""),"0x6de00176b1b38864f6761dbdcb083e1aa9a43825")</f>
        <v>0x6de00176b1b38864f6761dbdcb083e1aa9a43825</v>
      </c>
      <c r="J1299" s="11">
        <v>52.7545916854468</v>
      </c>
      <c r="K1299" s="12">
        <v>117.23242596765955</v>
      </c>
      <c r="L1299" s="13">
        <v>1.1723242596765955E20</v>
      </c>
      <c r="M1299" s="9">
        <v>1.1723242596765956E19</v>
      </c>
    </row>
    <row r="1300" ht="15.75" customHeight="1">
      <c r="A1300" s="8"/>
      <c r="B1300" s="8"/>
      <c r="C1300" s="8"/>
      <c r="D1300" s="8">
        <v>27.9026907562088</v>
      </c>
      <c r="E1300" s="9" t="s">
        <v>1309</v>
      </c>
      <c r="I1300" s="12" t="str">
        <f>IFERROR(__xludf.DUMMYFUNCTION("""COMPUTED_VALUE"""),"0x6debd4db87ea6722d7ed0f16bdb76807d5ee61d7")</f>
        <v>0x6debd4db87ea6722d7ed0f16bdb76807d5ee61d7</v>
      </c>
      <c r="J1300" s="11">
        <v>27.9026907562088</v>
      </c>
      <c r="K1300" s="12">
        <v>62.005979458241775</v>
      </c>
      <c r="L1300" s="13">
        <v>6.200597945824177E19</v>
      </c>
      <c r="M1300" s="9">
        <v>6.2005979458241782E18</v>
      </c>
    </row>
    <row r="1301" ht="15.75" customHeight="1">
      <c r="A1301" s="8"/>
      <c r="B1301" s="8"/>
      <c r="C1301" s="8"/>
      <c r="D1301" s="8">
        <v>27.9026907562088</v>
      </c>
      <c r="E1301" s="9" t="s">
        <v>1310</v>
      </c>
      <c r="I1301" s="12" t="str">
        <f>IFERROR(__xludf.DUMMYFUNCTION("""COMPUTED_VALUE"""),"0x6e148350f29951dda162993ab91d8089255b1741")</f>
        <v>0x6e148350f29951dda162993ab91d8089255b1741</v>
      </c>
      <c r="J1301" s="11">
        <v>91.1199983031448</v>
      </c>
      <c r="K1301" s="12">
        <v>202.48888511809955</v>
      </c>
      <c r="L1301" s="13">
        <v>2.0248888511809955E20</v>
      </c>
      <c r="M1301" s="9">
        <v>2.0248888511809958E19</v>
      </c>
    </row>
    <row r="1302" ht="15.75" customHeight="1">
      <c r="A1302" s="8"/>
      <c r="B1302" s="8"/>
      <c r="C1302" s="8"/>
      <c r="D1302" s="8">
        <v>27.9026907562088</v>
      </c>
      <c r="E1302" s="9" t="s">
        <v>1311</v>
      </c>
      <c r="I1302" s="12" t="str">
        <f>IFERROR(__xludf.DUMMYFUNCTION("""COMPUTED_VALUE"""),"0x6e1758eb7ed2aaf7f34a52069f223fec027db7d2")</f>
        <v>0x6e1758eb7ed2aaf7f34a52069f223fec027db7d2</v>
      </c>
      <c r="J1302" s="11">
        <v>27.9026907562088</v>
      </c>
      <c r="K1302" s="12">
        <v>62.005979458241775</v>
      </c>
      <c r="L1302" s="13">
        <v>6.200597945824177E19</v>
      </c>
      <c r="M1302" s="9">
        <v>6.2005979458241782E18</v>
      </c>
    </row>
    <row r="1303" ht="15.75" customHeight="1">
      <c r="A1303" s="8"/>
      <c r="B1303" s="8"/>
      <c r="C1303" s="8"/>
      <c r="D1303" s="8">
        <v>27.9026907562088</v>
      </c>
      <c r="E1303" s="9" t="s">
        <v>1312</v>
      </c>
      <c r="I1303" s="12" t="str">
        <f>IFERROR(__xludf.DUMMYFUNCTION("""COMPUTED_VALUE"""),"0x6e1f27b32d23630be0e9606fd67151ea9ccbb7bd")</f>
        <v>0x6e1f27b32d23630be0e9606fd67151ea9ccbb7bd</v>
      </c>
      <c r="J1303" s="11">
        <v>27.9026907562088</v>
      </c>
      <c r="K1303" s="12">
        <v>62.005979458241775</v>
      </c>
      <c r="L1303" s="13">
        <v>6.200597945824177E19</v>
      </c>
      <c r="M1303" s="9">
        <v>6.2005979458241782E18</v>
      </c>
    </row>
    <row r="1304" ht="15.75" customHeight="1">
      <c r="A1304" s="8"/>
      <c r="B1304" s="8"/>
      <c r="C1304" s="8"/>
      <c r="D1304" s="8">
        <v>27.9026907562088</v>
      </c>
      <c r="E1304" s="9" t="s">
        <v>1313</v>
      </c>
      <c r="I1304" s="12" t="str">
        <f>IFERROR(__xludf.DUMMYFUNCTION("""COMPUTED_VALUE"""),"0x6e5b935ac926e11dec812eb0a5425ec5e4c96355")</f>
        <v>0x6e5b935ac926e11dec812eb0a5425ec5e4c96355</v>
      </c>
      <c r="J1304" s="11">
        <v>91.1199983031448</v>
      </c>
      <c r="K1304" s="12">
        <v>202.48888511809955</v>
      </c>
      <c r="L1304" s="13">
        <v>2.0248888511809955E20</v>
      </c>
      <c r="M1304" s="9">
        <v>2.0248888511809958E19</v>
      </c>
    </row>
    <row r="1305" ht="15.75" customHeight="1">
      <c r="A1305" s="8"/>
      <c r="B1305" s="8"/>
      <c r="C1305" s="8"/>
      <c r="D1305" s="8">
        <v>27.9026907562088</v>
      </c>
      <c r="E1305" s="9" t="s">
        <v>1314</v>
      </c>
      <c r="I1305" s="12" t="str">
        <f>IFERROR(__xludf.DUMMYFUNCTION("""COMPUTED_VALUE"""),"0x6e812f8645b13368aaea1b505cf3df98fedfdbf6")</f>
        <v>0x6e812f8645b13368aaea1b505cf3df98fedfdbf6</v>
      </c>
      <c r="J1305" s="11">
        <v>27.9026907562088</v>
      </c>
      <c r="K1305" s="12">
        <v>62.005979458241775</v>
      </c>
      <c r="L1305" s="13">
        <v>6.200597945824177E19</v>
      </c>
      <c r="M1305" s="9">
        <v>6.2005979458241782E18</v>
      </c>
    </row>
    <row r="1306" ht="15.75" customHeight="1">
      <c r="A1306" s="8"/>
      <c r="B1306" s="8"/>
      <c r="C1306" s="8"/>
      <c r="D1306" s="8">
        <v>19.294249443877</v>
      </c>
      <c r="E1306" s="9" t="s">
        <v>1315</v>
      </c>
      <c r="I1306" s="12" t="str">
        <f>IFERROR(__xludf.DUMMYFUNCTION("""COMPUTED_VALUE"""),"0x6eb47085637c78cabe826cab252eb1ec6848c652")</f>
        <v>0x6eb47085637c78cabe826cab252eb1ec6848c652</v>
      </c>
      <c r="J1306" s="11">
        <v>19.294249443877</v>
      </c>
      <c r="K1306" s="12">
        <v>42.87610987528222</v>
      </c>
      <c r="L1306" s="13">
        <v>4.2876109875282215E19</v>
      </c>
      <c r="M1306" s="9">
        <v>4.2876109875282217E18</v>
      </c>
    </row>
    <row r="1307" ht="15.75" customHeight="1">
      <c r="A1307" s="8"/>
      <c r="B1307" s="8"/>
      <c r="C1307" s="8"/>
      <c r="D1307" s="8">
        <v>27.9026907562088</v>
      </c>
      <c r="E1307" s="9" t="s">
        <v>1316</v>
      </c>
      <c r="I1307" s="12" t="str">
        <f>IFERROR(__xludf.DUMMYFUNCTION("""COMPUTED_VALUE"""),"0x6eb51af850c21dc02d996599f3342fff22356ef7")</f>
        <v>0x6eb51af850c21dc02d996599f3342fff22356ef7</v>
      </c>
      <c r="J1307" s="11">
        <v>91.1199983031448</v>
      </c>
      <c r="K1307" s="12">
        <v>202.48888511809955</v>
      </c>
      <c r="L1307" s="13">
        <v>2.0248888511809955E20</v>
      </c>
      <c r="M1307" s="9">
        <v>2.0248888511809958E19</v>
      </c>
    </row>
    <row r="1308" ht="15.75" customHeight="1">
      <c r="A1308" s="8"/>
      <c r="B1308" s="8"/>
      <c r="C1308" s="8"/>
      <c r="D1308" s="8">
        <v>27.9026907562088</v>
      </c>
      <c r="E1308" s="9" t="s">
        <v>1317</v>
      </c>
      <c r="I1308" s="12" t="str">
        <f>IFERROR(__xludf.DUMMYFUNCTION("""COMPUTED_VALUE"""),"0x6eb5eeb10a2e529f340b80496de8ce1313225ed8")</f>
        <v>0x6eb5eeb10a2e529f340b80496de8ce1313225ed8</v>
      </c>
      <c r="J1308" s="11">
        <v>64.4458442020181</v>
      </c>
      <c r="K1308" s="12">
        <v>143.21298711559575</v>
      </c>
      <c r="L1308" s="13">
        <v>1.4321298711559576E20</v>
      </c>
      <c r="M1308" s="9">
        <v>1.4321298711559578E19</v>
      </c>
    </row>
    <row r="1309" ht="15.75" customHeight="1">
      <c r="A1309" s="8"/>
      <c r="B1309" s="8"/>
      <c r="C1309" s="8"/>
      <c r="D1309" s="8">
        <v>27.9026907562088</v>
      </c>
      <c r="E1309" s="9" t="s">
        <v>1318</v>
      </c>
      <c r="I1309" s="12" t="str">
        <f>IFERROR(__xludf.DUMMYFUNCTION("""COMPUTED_VALUE"""),"0x6ecc30b98c86259b4eaeb64c82784a7972fb40b8")</f>
        <v>0x6ecc30b98c86259b4eaeb64c82784a7972fb40b8</v>
      </c>
      <c r="J1309" s="11">
        <v>91.1199983031448</v>
      </c>
      <c r="K1309" s="12">
        <v>202.48888511809955</v>
      </c>
      <c r="L1309" s="13">
        <v>2.0248888511809955E20</v>
      </c>
      <c r="M1309" s="9">
        <v>2.0248888511809958E19</v>
      </c>
    </row>
    <row r="1310" ht="15.75" customHeight="1">
      <c r="A1310" s="8"/>
      <c r="B1310" s="8"/>
      <c r="C1310" s="8"/>
      <c r="D1310" s="8">
        <v>27.9026907562088</v>
      </c>
      <c r="E1310" s="9" t="s">
        <v>1319</v>
      </c>
      <c r="I1310" s="12" t="str">
        <f>IFERROR(__xludf.DUMMYFUNCTION("""COMPUTED_VALUE"""),"0x6ecea903ba649dc2b8decf5c88391d2553a0522f")</f>
        <v>0x6ecea903ba649dc2b8decf5c88391d2553a0522f</v>
      </c>
      <c r="J1310" s="11">
        <v>91.1199983031448</v>
      </c>
      <c r="K1310" s="12">
        <v>202.48888511809955</v>
      </c>
      <c r="L1310" s="13">
        <v>2.0248888511809955E20</v>
      </c>
      <c r="M1310" s="9">
        <v>2.0248888511809958E19</v>
      </c>
    </row>
    <row r="1311" ht="15.75" customHeight="1">
      <c r="A1311" s="8"/>
      <c r="B1311" s="8"/>
      <c r="C1311" s="8"/>
      <c r="D1311" s="8">
        <v>27.9026907562088</v>
      </c>
      <c r="E1311" s="9" t="s">
        <v>1320</v>
      </c>
      <c r="I1311" s="12" t="str">
        <f>IFERROR(__xludf.DUMMYFUNCTION("""COMPUTED_VALUE"""),"0x6eea589b494de0ab2195662d4da5a38de361de8a")</f>
        <v>0x6eea589b494de0ab2195662d4da5a38de361de8a</v>
      </c>
      <c r="J1311" s="11">
        <v>27.9026907562088</v>
      </c>
      <c r="K1311" s="12">
        <v>62.005979458241775</v>
      </c>
      <c r="L1311" s="13">
        <v>6.200597945824177E19</v>
      </c>
      <c r="M1311" s="9">
        <v>6.2005979458241782E18</v>
      </c>
    </row>
    <row r="1312" ht="15.75" customHeight="1">
      <c r="A1312" s="8"/>
      <c r="B1312" s="8"/>
      <c r="C1312" s="8"/>
      <c r="D1312" s="8">
        <v>27.9026907562088</v>
      </c>
      <c r="E1312" s="9" t="s">
        <v>1321</v>
      </c>
      <c r="I1312" s="12" t="str">
        <f>IFERROR(__xludf.DUMMYFUNCTION("""COMPUTED_VALUE"""),"0x6eeb59abdb4250e5085517259d9adb9a3b396f9b")</f>
        <v>0x6eeb59abdb4250e5085517259d9adb9a3b396f9b</v>
      </c>
      <c r="J1312" s="11">
        <v>91.1199983031448</v>
      </c>
      <c r="K1312" s="12">
        <v>202.48888511809955</v>
      </c>
      <c r="L1312" s="13">
        <v>2.0248888511809955E20</v>
      </c>
      <c r="M1312" s="9">
        <v>2.0248888511809958E19</v>
      </c>
    </row>
    <row r="1313" ht="15.75" customHeight="1">
      <c r="A1313" s="8"/>
      <c r="B1313" s="8"/>
      <c r="C1313" s="8"/>
      <c r="D1313" s="8">
        <v>27.9026907562088</v>
      </c>
      <c r="E1313" s="9" t="s">
        <v>1322</v>
      </c>
      <c r="I1313" s="12" t="str">
        <f>IFERROR(__xludf.DUMMYFUNCTION("""COMPUTED_VALUE"""),"0x6ef825030c919f1382dd5ac1bc65b82ea7dc0574")</f>
        <v>0x6ef825030c919f1382dd5ac1bc65b82ea7dc0574</v>
      </c>
      <c r="J1313" s="11">
        <v>27.9026907562088</v>
      </c>
      <c r="K1313" s="12">
        <v>62.005979458241775</v>
      </c>
      <c r="L1313" s="13">
        <v>6.200597945824177E19</v>
      </c>
      <c r="M1313" s="9">
        <v>6.2005979458241782E18</v>
      </c>
    </row>
    <row r="1314" ht="15.75" customHeight="1">
      <c r="A1314" s="8"/>
      <c r="B1314" s="8"/>
      <c r="C1314" s="8"/>
      <c r="D1314" s="8">
        <v>27.9026907562088</v>
      </c>
      <c r="E1314" s="9" t="s">
        <v>1323</v>
      </c>
      <c r="I1314" s="12" t="str">
        <f>IFERROR(__xludf.DUMMYFUNCTION("""COMPUTED_VALUE"""),"0x6efbd48a79a569fcebda1e428a069f668ec6191c")</f>
        <v>0x6efbd48a79a569fcebda1e428a069f668ec6191c</v>
      </c>
      <c r="J1314" s="11">
        <v>27.9026907562088</v>
      </c>
      <c r="K1314" s="12">
        <v>62.005979458241775</v>
      </c>
      <c r="L1314" s="13">
        <v>6.200597945824177E19</v>
      </c>
      <c r="M1314" s="9">
        <v>6.2005979458241782E18</v>
      </c>
    </row>
    <row r="1315" ht="15.75" customHeight="1">
      <c r="A1315" s="8"/>
      <c r="B1315" s="8"/>
      <c r="C1315" s="8"/>
      <c r="D1315" s="8">
        <v>25.7088324882077</v>
      </c>
      <c r="E1315" s="9" t="s">
        <v>1324</v>
      </c>
      <c r="I1315" s="12" t="str">
        <f>IFERROR(__xludf.DUMMYFUNCTION("""COMPUTED_VALUE"""),"0x6f0a765dde3c28f0950bf09725287bba27254a79")</f>
        <v>0x6f0a765dde3c28f0950bf09725287bba27254a79</v>
      </c>
      <c r="J1315" s="11">
        <v>25.7088324882077</v>
      </c>
      <c r="K1315" s="12">
        <v>57.13073886268378</v>
      </c>
      <c r="L1315" s="13">
        <v>5.7130738862683775E19</v>
      </c>
      <c r="M1315" s="9">
        <v>5.7130738862683781E18</v>
      </c>
    </row>
    <row r="1316" ht="15.75" customHeight="1">
      <c r="A1316" s="8"/>
      <c r="B1316" s="8"/>
      <c r="C1316" s="8"/>
      <c r="D1316" s="8">
        <v>27.9026907562088</v>
      </c>
      <c r="E1316" s="9" t="s">
        <v>1325</v>
      </c>
      <c r="I1316" s="12" t="str">
        <f>IFERROR(__xludf.DUMMYFUNCTION("""COMPUTED_VALUE"""),"0x6f1826a4425d92ddb5d4c4ff90211d34c177aab9")</f>
        <v>0x6f1826a4425d92ddb5d4c4ff90211d34c177aab9</v>
      </c>
      <c r="J1316" s="11">
        <v>27.9026907562088</v>
      </c>
      <c r="K1316" s="12">
        <v>62.005979458241775</v>
      </c>
      <c r="L1316" s="13">
        <v>6.200597945824177E19</v>
      </c>
      <c r="M1316" s="9">
        <v>6.2005979458241782E18</v>
      </c>
    </row>
    <row r="1317" ht="15.75" customHeight="1">
      <c r="A1317" s="8"/>
      <c r="B1317" s="8"/>
      <c r="C1317" s="8"/>
      <c r="D1317" s="8">
        <v>24.5543678654638</v>
      </c>
      <c r="E1317" s="9" t="s">
        <v>1326</v>
      </c>
      <c r="I1317" s="12" t="str">
        <f>IFERROR(__xludf.DUMMYFUNCTION("""COMPUTED_VALUE"""),"0x6f7499ae339f3b03dcf9582debe12b2856829561")</f>
        <v>0x6f7499ae339f3b03dcf9582debe12b2856829561</v>
      </c>
      <c r="J1317" s="11">
        <v>121.35601664265761</v>
      </c>
      <c r="K1317" s="12">
        <v>269.6800369836836</v>
      </c>
      <c r="L1317" s="13">
        <v>2.6968003698368358E20</v>
      </c>
      <c r="M1317" s="9">
        <v>2.696800369836836E19</v>
      </c>
    </row>
    <row r="1318" ht="15.75" customHeight="1">
      <c r="A1318" s="8"/>
      <c r="B1318" s="8"/>
      <c r="C1318" s="8"/>
      <c r="D1318" s="8">
        <v>27.9026907562088</v>
      </c>
      <c r="E1318" s="9" t="s">
        <v>1327</v>
      </c>
      <c r="I1318" s="12" t="str">
        <f>IFERROR(__xludf.DUMMYFUNCTION("""COMPUTED_VALUE"""),"0x6f755270bb755be07686af68ade9b798f0ec7515")</f>
        <v>0x6f755270bb755be07686af68ade9b798f0ec7515</v>
      </c>
      <c r="J1318" s="11">
        <v>91.1199983031448</v>
      </c>
      <c r="K1318" s="12">
        <v>202.48888511809955</v>
      </c>
      <c r="L1318" s="13">
        <v>2.0248888511809955E20</v>
      </c>
      <c r="M1318" s="9">
        <v>2.0248888511809958E19</v>
      </c>
    </row>
    <row r="1319" ht="15.75" customHeight="1">
      <c r="A1319" s="8"/>
      <c r="B1319" s="8"/>
      <c r="C1319" s="8"/>
      <c r="D1319" s="8">
        <v>27.9026907562088</v>
      </c>
      <c r="E1319" s="9" t="s">
        <v>1328</v>
      </c>
      <c r="I1319" s="12" t="str">
        <f>IFERROR(__xludf.DUMMYFUNCTION("""COMPUTED_VALUE"""),"0x6fa0f10b6da6507695cc7d9dc3989ba93e8edf02")</f>
        <v>0x6fa0f10b6da6507695cc7d9dc3989ba93e8edf02</v>
      </c>
      <c r="J1319" s="11">
        <v>97.47139556852667</v>
      </c>
      <c r="K1319" s="12">
        <v>216.6031012633926</v>
      </c>
      <c r="L1319" s="13">
        <v>2.166031012633926E20</v>
      </c>
      <c r="M1319" s="9">
        <v>2.166031012633926E19</v>
      </c>
    </row>
    <row r="1320" ht="15.75" customHeight="1">
      <c r="A1320" s="8"/>
      <c r="B1320" s="8"/>
      <c r="C1320" s="8"/>
      <c r="D1320" s="8">
        <v>27.0596369878706</v>
      </c>
      <c r="E1320" s="9" t="s">
        <v>1329</v>
      </c>
      <c r="I1320" s="12" t="str">
        <f>IFERROR(__xludf.DUMMYFUNCTION("""COMPUTED_VALUE"""),"0x6fa36bc5c282c47b0a22ebedceb31f57f5094233")</f>
        <v>0x6fa36bc5c282c47b0a22ebedceb31f57f5094233</v>
      </c>
      <c r="J1320" s="11">
        <v>27.0596369878706</v>
      </c>
      <c r="K1320" s="12">
        <v>60.132526639712445</v>
      </c>
      <c r="L1320" s="13">
        <v>6.0132526639712444E19</v>
      </c>
      <c r="M1320" s="9">
        <v>6.0132526639712451E18</v>
      </c>
    </row>
    <row r="1321" ht="15.75" customHeight="1">
      <c r="A1321" s="8"/>
      <c r="B1321" s="8"/>
      <c r="C1321" s="8"/>
      <c r="D1321" s="8">
        <v>9.15380861499044</v>
      </c>
      <c r="E1321" s="9" t="s">
        <v>1330</v>
      </c>
      <c r="I1321" s="12" t="str">
        <f>IFERROR(__xludf.DUMMYFUNCTION("""COMPUTED_VALUE"""),"0x6fe5a15cd0dfae14c8f18992810875407201eea8")</f>
        <v>0x6fe5a15cd0dfae14c8f18992810875407201eea8</v>
      </c>
      <c r="J1321" s="11">
        <v>9.15380861499044</v>
      </c>
      <c r="K1321" s="12">
        <v>20.341796922200977</v>
      </c>
      <c r="L1321" s="13">
        <v>2.0341796922200977E19</v>
      </c>
      <c r="M1321" s="9">
        <v>2.03417969222009779E18</v>
      </c>
    </row>
    <row r="1322" ht="15.75" customHeight="1">
      <c r="A1322" s="8"/>
      <c r="B1322" s="8"/>
      <c r="C1322" s="8"/>
      <c r="D1322" s="8">
        <v>1.10274078796293</v>
      </c>
      <c r="E1322" s="9" t="s">
        <v>1331</v>
      </c>
      <c r="I1322" s="12" t="str">
        <f>IFERROR(__xludf.DUMMYFUNCTION("""COMPUTED_VALUE"""),"0x6febc32b23f5a9f110b2d9e6f4a7d1e6125ee206")</f>
        <v>0x6febc32b23f5a9f110b2d9e6f4a7d1e6125ee206</v>
      </c>
      <c r="J1322" s="11">
        <v>1.10274078796293</v>
      </c>
      <c r="K1322" s="12">
        <v>2.4505350843620666</v>
      </c>
      <c r="L1322" s="13">
        <v>2.4505350843620664E18</v>
      </c>
      <c r="M1322" s="9">
        <v>2.45053508436206656E17</v>
      </c>
    </row>
    <row r="1323" ht="15.75" customHeight="1">
      <c r="A1323" s="8"/>
      <c r="B1323" s="8"/>
      <c r="C1323" s="8"/>
      <c r="D1323" s="8">
        <v>27.9026907562088</v>
      </c>
      <c r="E1323" s="9" t="s">
        <v>1332</v>
      </c>
      <c r="I1323" s="12" t="str">
        <f>IFERROR(__xludf.DUMMYFUNCTION("""COMPUTED_VALUE"""),"0x6feccb7781158675b4e6d3de1602a12dd2057e3b")</f>
        <v>0x6feccb7781158675b4e6d3de1602a12dd2057e3b</v>
      </c>
      <c r="J1323" s="11">
        <v>27.9026907562088</v>
      </c>
      <c r="K1323" s="12">
        <v>62.005979458241775</v>
      </c>
      <c r="L1323" s="13">
        <v>6.200597945824177E19</v>
      </c>
      <c r="M1323" s="9">
        <v>6.2005979458241782E18</v>
      </c>
    </row>
    <row r="1324" ht="15.75" customHeight="1">
      <c r="A1324" s="8"/>
      <c r="B1324" s="8"/>
      <c r="C1324" s="8"/>
      <c r="D1324" s="8">
        <v>27.9026907562088</v>
      </c>
      <c r="E1324" s="9" t="s">
        <v>1333</v>
      </c>
      <c r="I1324" s="12" t="str">
        <f>IFERROR(__xludf.DUMMYFUNCTION("""COMPUTED_VALUE"""),"0x6ff83f09d701be04fa6a65397fb93c73c761ac5e")</f>
        <v>0x6ff83f09d701be04fa6a65397fb93c73c761ac5e</v>
      </c>
      <c r="J1324" s="11">
        <v>27.9026907562088</v>
      </c>
      <c r="K1324" s="12">
        <v>62.005979458241775</v>
      </c>
      <c r="L1324" s="13">
        <v>6.200597945824177E19</v>
      </c>
      <c r="M1324" s="9">
        <v>6.2005979458241782E18</v>
      </c>
    </row>
    <row r="1325" ht="15.75" customHeight="1">
      <c r="A1325" s="8"/>
      <c r="B1325" s="8"/>
      <c r="C1325" s="8"/>
      <c r="D1325" s="8">
        <v>27.9026907562088</v>
      </c>
      <c r="E1325" s="9" t="s">
        <v>1334</v>
      </c>
      <c r="I1325" s="12" t="str">
        <f>IFERROR(__xludf.DUMMYFUNCTION("""COMPUTED_VALUE"""),"0x7000ac1fbeb346692878cec9e3823cff0d782b72")</f>
        <v>0x7000ac1fbeb346692878cec9e3823cff0d782b72</v>
      </c>
      <c r="J1325" s="11">
        <v>139.5317654088663</v>
      </c>
      <c r="K1325" s="12">
        <v>310.0705897974807</v>
      </c>
      <c r="L1325" s="13">
        <v>3.1007058979748066E20</v>
      </c>
      <c r="M1325" s="9">
        <v>3.100705897974807E19</v>
      </c>
    </row>
    <row r="1326" ht="15.75" customHeight="1">
      <c r="A1326" s="8"/>
      <c r="B1326" s="8"/>
      <c r="C1326" s="8"/>
      <c r="D1326" s="8">
        <v>27.9026907562088</v>
      </c>
      <c r="E1326" s="9" t="s">
        <v>1335</v>
      </c>
      <c r="I1326" s="12" t="str">
        <f>IFERROR(__xludf.DUMMYFUNCTION("""COMPUTED_VALUE"""),"0x7007a468b10eab21564c98dff036d335b9ff0910")</f>
        <v>0x7007a468b10eab21564c98dff036d335b9ff0910</v>
      </c>
      <c r="J1326" s="11">
        <v>121.7924785845741</v>
      </c>
      <c r="K1326" s="12">
        <v>270.64995241016464</v>
      </c>
      <c r="L1326" s="13">
        <v>2.7064995241016466E20</v>
      </c>
      <c r="M1326" s="9">
        <v>2.7064995241016467E19</v>
      </c>
    </row>
    <row r="1327" ht="15.75" customHeight="1">
      <c r="A1327" s="8"/>
      <c r="B1327" s="8"/>
      <c r="C1327" s="8"/>
      <c r="D1327" s="8">
        <v>27.9026907562088</v>
      </c>
      <c r="E1327" s="9" t="s">
        <v>1336</v>
      </c>
      <c r="I1327" s="12" t="str">
        <f>IFERROR(__xludf.DUMMYFUNCTION("""COMPUTED_VALUE"""),"0x70241ba067e05db0835b5a7fc2b4eaff239fee32")</f>
        <v>0x70241ba067e05db0835b5a7fc2b4eaff239fee32</v>
      </c>
      <c r="J1327" s="11">
        <v>90.7987090781008</v>
      </c>
      <c r="K1327" s="12">
        <v>201.77490906244623</v>
      </c>
      <c r="L1327" s="13">
        <v>2.0177490906244622E20</v>
      </c>
      <c r="M1327" s="9">
        <v>2.0177490906244624E19</v>
      </c>
    </row>
    <row r="1328" ht="15.75" customHeight="1">
      <c r="A1328" s="8"/>
      <c r="B1328" s="8"/>
      <c r="C1328" s="8"/>
      <c r="D1328" s="8">
        <v>27.9026907562088</v>
      </c>
      <c r="E1328" s="9" t="s">
        <v>1337</v>
      </c>
      <c r="I1328" s="12" t="str">
        <f>IFERROR(__xludf.DUMMYFUNCTION("""COMPUTED_VALUE"""),"0x702c4a349dd7006861c173bd17368b83db1fa80e")</f>
        <v>0x702c4a349dd7006861c173bd17368b83db1fa80e</v>
      </c>
      <c r="J1328" s="11">
        <v>95.27597686140467</v>
      </c>
      <c r="K1328" s="12">
        <v>211.72439302534372</v>
      </c>
      <c r="L1328" s="13">
        <v>2.1172439302534372E20</v>
      </c>
      <c r="M1328" s="9">
        <v>2.1172439302534373E19</v>
      </c>
    </row>
    <row r="1329" ht="15.75" customHeight="1">
      <c r="A1329" s="8"/>
      <c r="B1329" s="8"/>
      <c r="C1329" s="8"/>
      <c r="D1329" s="8">
        <v>14.2939557295878</v>
      </c>
      <c r="E1329" s="9" t="s">
        <v>1338</v>
      </c>
      <c r="I1329" s="12" t="str">
        <f>IFERROR(__xludf.DUMMYFUNCTION("""COMPUTED_VALUE"""),"0x703cc6c96d6b154c52fdaaeb18adf0504abc2459")</f>
        <v>0x703cc6c96d6b154c52fdaaeb18adf0504abc2459</v>
      </c>
      <c r="J1329" s="11">
        <v>14.2939557295878</v>
      </c>
      <c r="K1329" s="12">
        <v>31.764346065750665</v>
      </c>
      <c r="L1329" s="13">
        <v>3.1764346065750663E19</v>
      </c>
      <c r="M1329" s="9">
        <v>3.1764346065750666E18</v>
      </c>
    </row>
    <row r="1330" ht="15.75" customHeight="1">
      <c r="A1330" s="8"/>
      <c r="B1330" s="8"/>
      <c r="C1330" s="8"/>
      <c r="D1330" s="8">
        <v>27.9026907562088</v>
      </c>
      <c r="E1330" s="9" t="s">
        <v>1339</v>
      </c>
      <c r="I1330" s="12" t="str">
        <f>IFERROR(__xludf.DUMMYFUNCTION("""COMPUTED_VALUE"""),"0x70436e8a9c2ea2131529b4b825b8cbc7adafc920")</f>
        <v>0x70436e8a9c2ea2131529b4b825b8cbc7adafc920</v>
      </c>
      <c r="J1330" s="11">
        <v>27.9026907562088</v>
      </c>
      <c r="K1330" s="12">
        <v>62.005979458241775</v>
      </c>
      <c r="L1330" s="13">
        <v>6.200597945824177E19</v>
      </c>
      <c r="M1330" s="9">
        <v>6.2005979458241782E18</v>
      </c>
    </row>
    <row r="1331" ht="15.75" customHeight="1">
      <c r="A1331" s="8"/>
      <c r="B1331" s="8"/>
      <c r="C1331" s="8"/>
      <c r="D1331" s="8">
        <v>27.9026907562088</v>
      </c>
      <c r="E1331" s="9" t="s">
        <v>1340</v>
      </c>
      <c r="I1331" s="12" t="str">
        <f>IFERROR(__xludf.DUMMYFUNCTION("""COMPUTED_VALUE"""),"0x7052f42cdbf59eda50bef78890f98542a36bad17")</f>
        <v>0x7052f42cdbf59eda50bef78890f98542a36bad17</v>
      </c>
      <c r="J1331" s="11">
        <v>27.9026907562088</v>
      </c>
      <c r="K1331" s="12">
        <v>62.005979458241775</v>
      </c>
      <c r="L1331" s="13">
        <v>6.200597945824177E19</v>
      </c>
      <c r="M1331" s="9">
        <v>6.2005979458241782E18</v>
      </c>
    </row>
    <row r="1332" ht="15.75" customHeight="1">
      <c r="A1332" s="8"/>
      <c r="B1332" s="8"/>
      <c r="C1332" s="8"/>
      <c r="D1332" s="8">
        <v>20.033571435918</v>
      </c>
      <c r="E1332" s="9" t="s">
        <v>1341</v>
      </c>
      <c r="I1332" s="12" t="str">
        <f>IFERROR(__xludf.DUMMYFUNCTION("""COMPUTED_VALUE"""),"0x7056ef68890725e6e2092730ed2e7093b92b8375")</f>
        <v>0x7056ef68890725e6e2092730ed2e7093b92b8375</v>
      </c>
      <c r="J1332" s="11">
        <v>20.033571435918</v>
      </c>
      <c r="K1332" s="12">
        <v>44.51904763537333</v>
      </c>
      <c r="L1332" s="13">
        <v>4.4519047635373335E19</v>
      </c>
      <c r="M1332" s="9">
        <v>4.4519047635373338E18</v>
      </c>
    </row>
    <row r="1333" ht="15.75" customHeight="1">
      <c r="A1333" s="8"/>
      <c r="B1333" s="8"/>
      <c r="C1333" s="8"/>
      <c r="D1333" s="8">
        <v>27.9026907562088</v>
      </c>
      <c r="E1333" s="9" t="s">
        <v>1342</v>
      </c>
      <c r="I1333" s="12" t="str">
        <f>IFERROR(__xludf.DUMMYFUNCTION("""COMPUTED_VALUE"""),"0x708621fea6a3e127f775886f4fcc5a7edc6cc736")</f>
        <v>0x708621fea6a3e127f775886f4fcc5a7edc6cc736</v>
      </c>
      <c r="J1333" s="11">
        <v>98.90619508723233</v>
      </c>
      <c r="K1333" s="12">
        <v>219.79154463829406</v>
      </c>
      <c r="L1333" s="13">
        <v>2.1979154463829407E20</v>
      </c>
      <c r="M1333" s="9">
        <v>2.1979154463829406E19</v>
      </c>
    </row>
    <row r="1334" ht="15.75" customHeight="1">
      <c r="A1334" s="8"/>
      <c r="B1334" s="8"/>
      <c r="C1334" s="8"/>
      <c r="D1334" s="8">
        <v>18.118725336977</v>
      </c>
      <c r="E1334" s="9" t="s">
        <v>1343</v>
      </c>
      <c r="I1334" s="12" t="str">
        <f>IFERROR(__xludf.DUMMYFUNCTION("""COMPUTED_VALUE"""),"0x709003ce518a5c4e7e1c84e1e40a90f032a239f1")</f>
        <v>0x709003ce518a5c4e7e1c84e1e40a90f032a239f1</v>
      </c>
      <c r="J1334" s="11">
        <v>18.118725336977</v>
      </c>
      <c r="K1334" s="12">
        <v>40.26383408217111</v>
      </c>
      <c r="L1334" s="13">
        <v>4.026383408217111E19</v>
      </c>
      <c r="M1334" s="9">
        <v>4.026383408217111E18</v>
      </c>
    </row>
    <row r="1335" ht="15.75" customHeight="1">
      <c r="A1335" s="8"/>
      <c r="B1335" s="8"/>
      <c r="C1335" s="8"/>
      <c r="D1335" s="8">
        <v>27.9026907562088</v>
      </c>
      <c r="E1335" s="9" t="s">
        <v>1344</v>
      </c>
      <c r="I1335" s="12" t="str">
        <f>IFERROR(__xludf.DUMMYFUNCTION("""COMPUTED_VALUE"""),"0x7097d850a9ef60699d6349801427d46a786e9e6d")</f>
        <v>0x7097d850a9ef60699d6349801427d46a786e9e6d</v>
      </c>
      <c r="J1335" s="11">
        <v>157.2768721692679</v>
      </c>
      <c r="K1335" s="12">
        <v>349.5041603761509</v>
      </c>
      <c r="L1335" s="13">
        <v>3.495041603761509E20</v>
      </c>
      <c r="M1335" s="9">
        <v>3.495041603761509E19</v>
      </c>
    </row>
    <row r="1336" ht="15.75" customHeight="1">
      <c r="A1336" s="8"/>
      <c r="B1336" s="8"/>
      <c r="C1336" s="8"/>
      <c r="D1336" s="8">
        <v>25.9939942279735</v>
      </c>
      <c r="E1336" s="9" t="s">
        <v>1345</v>
      </c>
      <c r="I1336" s="12" t="str">
        <f>IFERROR(__xludf.DUMMYFUNCTION("""COMPUTED_VALUE"""),"0x70a10fadf2c394a174df6a6de97f7ec97ba3e941")</f>
        <v>0x70a10fadf2c394a174df6a6de97f7ec97ba3e941</v>
      </c>
      <c r="J1336" s="11">
        <v>25.9939942279735</v>
      </c>
      <c r="K1336" s="12">
        <v>57.764431617718884</v>
      </c>
      <c r="L1336" s="13">
        <v>5.776443161771889E19</v>
      </c>
      <c r="M1336" s="9">
        <v>5.7764431617718886E18</v>
      </c>
    </row>
    <row r="1337" ht="15.75" customHeight="1">
      <c r="A1337" s="8"/>
      <c r="B1337" s="8"/>
      <c r="C1337" s="8"/>
      <c r="D1337" s="8">
        <v>27.9026907562088</v>
      </c>
      <c r="E1337" s="9" t="s">
        <v>1346</v>
      </c>
      <c r="I1337" s="12" t="str">
        <f>IFERROR(__xludf.DUMMYFUNCTION("""COMPUTED_VALUE"""),"0x70b3b0c2764addb8cc2b381d6d7f65d5a001f021")</f>
        <v>0x70b3b0c2764addb8cc2b381d6d7f65d5a001f021</v>
      </c>
      <c r="J1337" s="11">
        <v>293.4821934333198</v>
      </c>
      <c r="K1337" s="12">
        <v>652.1826520740441</v>
      </c>
      <c r="L1337" s="13">
        <v>6.52182652074044E20</v>
      </c>
      <c r="M1337" s="9">
        <v>6.5218265207404405E19</v>
      </c>
    </row>
    <row r="1338" ht="15.75" customHeight="1">
      <c r="A1338" s="8"/>
      <c r="B1338" s="8"/>
      <c r="C1338" s="8"/>
      <c r="D1338" s="8">
        <v>27.9026907562088</v>
      </c>
      <c r="E1338" s="9" t="s">
        <v>1347</v>
      </c>
      <c r="I1338" s="12" t="str">
        <f>IFERROR(__xludf.DUMMYFUNCTION("""COMPUTED_VALUE"""),"0x70f2c11d41e7c72c2cfaa0fd9bb7c41a1de9828f")</f>
        <v>0x70f2c11d41e7c72c2cfaa0fd9bb7c41a1de9828f</v>
      </c>
      <c r="J1338" s="11">
        <v>91.1199983031448</v>
      </c>
      <c r="K1338" s="12">
        <v>202.48888511809955</v>
      </c>
      <c r="L1338" s="13">
        <v>2.0248888511809955E20</v>
      </c>
      <c r="M1338" s="9">
        <v>2.0248888511809958E19</v>
      </c>
    </row>
    <row r="1339" ht="15.75" customHeight="1">
      <c r="A1339" s="8"/>
      <c r="B1339" s="8"/>
      <c r="C1339" s="8"/>
      <c r="D1339" s="8">
        <v>27.9026907562088</v>
      </c>
      <c r="E1339" s="9" t="s">
        <v>1348</v>
      </c>
      <c r="I1339" s="12" t="str">
        <f>IFERROR(__xludf.DUMMYFUNCTION("""COMPUTED_VALUE"""),"0x710ad656c7375e8a42afdc7484e87f2f50bb389b")</f>
        <v>0x710ad656c7375e8a42afdc7484e87f2f50bb389b</v>
      </c>
      <c r="J1339" s="11">
        <v>27.9026907562088</v>
      </c>
      <c r="K1339" s="12">
        <v>62.005979458241775</v>
      </c>
      <c r="L1339" s="13">
        <v>6.200597945824177E19</v>
      </c>
      <c r="M1339" s="9">
        <v>6.2005979458241782E18</v>
      </c>
    </row>
    <row r="1340" ht="15.75" customHeight="1">
      <c r="A1340" s="8"/>
      <c r="B1340" s="8"/>
      <c r="C1340" s="8"/>
      <c r="D1340" s="8">
        <v>3.14599977176984</v>
      </c>
      <c r="E1340" s="9" t="s">
        <v>1349</v>
      </c>
      <c r="I1340" s="12" t="str">
        <f>IFERROR(__xludf.DUMMYFUNCTION("""COMPUTED_VALUE"""),"0x7110694ea37d87eea42b4df5c881d9106d3a80eb")</f>
        <v>0x7110694ea37d87eea42b4df5c881d9106d3a80eb</v>
      </c>
      <c r="J1340" s="11">
        <v>3.14599977176984</v>
      </c>
      <c r="K1340" s="12">
        <v>6.991110603932977</v>
      </c>
      <c r="L1340" s="13">
        <v>6.9911106039329772E18</v>
      </c>
      <c r="M1340" s="9">
        <v>6.9911106039329779E17</v>
      </c>
    </row>
    <row r="1341" ht="15.75" customHeight="1">
      <c r="A1341" s="8"/>
      <c r="B1341" s="8"/>
      <c r="C1341" s="8"/>
      <c r="D1341" s="8">
        <v>27.9026907562088</v>
      </c>
      <c r="E1341" s="9" t="s">
        <v>1350</v>
      </c>
      <c r="I1341" s="12" t="str">
        <f>IFERROR(__xludf.DUMMYFUNCTION("""COMPUTED_VALUE"""),"0x712f8a9ea6341df8c6fa528419ea767a1bb92f61")</f>
        <v>0x712f8a9ea6341df8c6fa528419ea767a1bb92f61</v>
      </c>
      <c r="J1341" s="11">
        <v>27.9026907562088</v>
      </c>
      <c r="K1341" s="12">
        <v>62.005979458241775</v>
      </c>
      <c r="L1341" s="13">
        <v>6.200597945824177E19</v>
      </c>
      <c r="M1341" s="9">
        <v>6.2005979458241782E18</v>
      </c>
    </row>
    <row r="1342" ht="15.75" customHeight="1">
      <c r="A1342" s="8"/>
      <c r="B1342" s="8"/>
      <c r="C1342" s="8"/>
      <c r="D1342" s="8">
        <v>27.9026907562088</v>
      </c>
      <c r="E1342" s="9" t="s">
        <v>1351</v>
      </c>
      <c r="I1342" s="12" t="str">
        <f>IFERROR(__xludf.DUMMYFUNCTION("""COMPUTED_VALUE"""),"0x714b2f72042674bbb67ceae67767f2bf9e65514d")</f>
        <v>0x714b2f72042674bbb67ceae67767f2bf9e65514d</v>
      </c>
      <c r="J1342" s="11">
        <v>27.9026907562088</v>
      </c>
      <c r="K1342" s="12">
        <v>62.005979458241775</v>
      </c>
      <c r="L1342" s="13">
        <v>6.200597945824177E19</v>
      </c>
      <c r="M1342" s="9">
        <v>6.2005979458241782E18</v>
      </c>
    </row>
    <row r="1343" ht="15.75" customHeight="1">
      <c r="A1343" s="8"/>
      <c r="B1343" s="8"/>
      <c r="C1343" s="8"/>
      <c r="D1343" s="8">
        <v>27.9026907562088</v>
      </c>
      <c r="E1343" s="9" t="s">
        <v>1352</v>
      </c>
      <c r="I1343" s="12" t="str">
        <f>IFERROR(__xludf.DUMMYFUNCTION("""COMPUTED_VALUE"""),"0x717a9221e3ab144a21c5338907ee76058e508f2b")</f>
        <v>0x717a9221e3ab144a21c5338907ee76058e508f2b</v>
      </c>
      <c r="J1343" s="11">
        <v>91.1199983031448</v>
      </c>
      <c r="K1343" s="12">
        <v>202.48888511809955</v>
      </c>
      <c r="L1343" s="13">
        <v>2.0248888511809955E20</v>
      </c>
      <c r="M1343" s="9">
        <v>2.0248888511809958E19</v>
      </c>
    </row>
    <row r="1344" ht="15.75" customHeight="1">
      <c r="A1344" s="8"/>
      <c r="B1344" s="8"/>
      <c r="C1344" s="8"/>
      <c r="D1344" s="8">
        <v>27.9026907562088</v>
      </c>
      <c r="E1344" s="9" t="s">
        <v>1353</v>
      </c>
      <c r="I1344" s="12" t="str">
        <f>IFERROR(__xludf.DUMMYFUNCTION("""COMPUTED_VALUE"""),"0x71bd52ed250e6cc9d5be05c2572f2ac4b7799657")</f>
        <v>0x71bd52ed250e6cc9d5be05c2572f2ac4b7799657</v>
      </c>
      <c r="J1344" s="11">
        <v>91.1199983031448</v>
      </c>
      <c r="K1344" s="12">
        <v>202.48888511809955</v>
      </c>
      <c r="L1344" s="13">
        <v>2.0248888511809955E20</v>
      </c>
      <c r="M1344" s="9">
        <v>2.0248888511809958E19</v>
      </c>
    </row>
    <row r="1345" ht="15.75" customHeight="1">
      <c r="A1345" s="8"/>
      <c r="B1345" s="8"/>
      <c r="C1345" s="8"/>
      <c r="D1345" s="8">
        <v>27.9026907562088</v>
      </c>
      <c r="E1345" s="9" t="s">
        <v>1354</v>
      </c>
      <c r="I1345" s="12" t="str">
        <f>IFERROR(__xludf.DUMMYFUNCTION("""COMPUTED_VALUE"""),"0x71d3aa83e9cecb4430515d4b8274655d1206db45")</f>
        <v>0x71d3aa83e9cecb4430515d4b8274655d1206db45</v>
      </c>
      <c r="J1345" s="11">
        <v>27.9026907562088</v>
      </c>
      <c r="K1345" s="12">
        <v>62.005979458241775</v>
      </c>
      <c r="L1345" s="13">
        <v>6.200597945824177E19</v>
      </c>
      <c r="M1345" s="9">
        <v>6.2005979458241782E18</v>
      </c>
    </row>
    <row r="1346" ht="15.75" customHeight="1">
      <c r="A1346" s="8"/>
      <c r="B1346" s="8"/>
      <c r="C1346" s="8"/>
      <c r="D1346" s="8">
        <v>27.9026907562088</v>
      </c>
      <c r="E1346" s="9" t="s">
        <v>1355</v>
      </c>
      <c r="I1346" s="12" t="str">
        <f>IFERROR(__xludf.DUMMYFUNCTION("""COMPUTED_VALUE"""),"0x71d6c03cf9a9cbe383daa9d921c66698d81fc505")</f>
        <v>0x71d6c03cf9a9cbe383daa9d921c66698d81fc505</v>
      </c>
      <c r="J1346" s="11">
        <v>27.9026907562088</v>
      </c>
      <c r="K1346" s="12">
        <v>62.005979458241775</v>
      </c>
      <c r="L1346" s="13">
        <v>6.200597945824177E19</v>
      </c>
      <c r="M1346" s="9">
        <v>6.2005979458241782E18</v>
      </c>
    </row>
    <row r="1347" ht="15.75" customHeight="1">
      <c r="A1347" s="8"/>
      <c r="B1347" s="8"/>
      <c r="C1347" s="8"/>
      <c r="D1347" s="8">
        <v>27.9026907562088</v>
      </c>
      <c r="E1347" s="9" t="s">
        <v>1356</v>
      </c>
      <c r="I1347" s="12" t="str">
        <f>IFERROR(__xludf.DUMMYFUNCTION("""COMPUTED_VALUE"""),"0x71e5d30de03720dd8fbe09cc0464792a8ae8aa2b")</f>
        <v>0x71e5d30de03720dd8fbe09cc0464792a8ae8aa2b</v>
      </c>
      <c r="J1347" s="11">
        <v>100.30000416884307</v>
      </c>
      <c r="K1347" s="12">
        <v>222.8888981529846</v>
      </c>
      <c r="L1347" s="13">
        <v>2.228888981529846E20</v>
      </c>
      <c r="M1347" s="9">
        <v>2.228888981529846E19</v>
      </c>
    </row>
    <row r="1348" ht="15.75" customHeight="1">
      <c r="A1348" s="8"/>
      <c r="B1348" s="8"/>
      <c r="C1348" s="8"/>
      <c r="D1348" s="8">
        <v>27.9026907562088</v>
      </c>
      <c r="E1348" s="9" t="s">
        <v>1357</v>
      </c>
      <c r="I1348" s="12" t="str">
        <f>IFERROR(__xludf.DUMMYFUNCTION("""COMPUTED_VALUE"""),"0x7202f666e45cc0340d2af2c325e03832be394e7e")</f>
        <v>0x7202f666e45cc0340d2af2c325e03832be394e7e</v>
      </c>
      <c r="J1348" s="11">
        <v>27.9026907562088</v>
      </c>
      <c r="K1348" s="12">
        <v>62.005979458241775</v>
      </c>
      <c r="L1348" s="13">
        <v>6.200597945824177E19</v>
      </c>
      <c r="M1348" s="9">
        <v>6.2005979458241782E18</v>
      </c>
    </row>
    <row r="1349" ht="15.75" customHeight="1">
      <c r="A1349" s="8"/>
      <c r="B1349" s="8"/>
      <c r="C1349" s="8"/>
      <c r="D1349" s="8">
        <v>27.9026907562088</v>
      </c>
      <c r="E1349" s="9" t="s">
        <v>1358</v>
      </c>
      <c r="I1349" s="12" t="str">
        <f>IFERROR(__xludf.DUMMYFUNCTION("""COMPUTED_VALUE"""),"0x7205cd0d662488e89845160d69fe81673fb49a9e")</f>
        <v>0x7205cd0d662488e89845160d69fe81673fb49a9e</v>
      </c>
      <c r="J1349" s="11">
        <v>27.9026907562088</v>
      </c>
      <c r="K1349" s="12">
        <v>62.005979458241775</v>
      </c>
      <c r="L1349" s="13">
        <v>6.200597945824177E19</v>
      </c>
      <c r="M1349" s="9">
        <v>6.2005979458241782E18</v>
      </c>
    </row>
    <row r="1350" ht="15.75" customHeight="1">
      <c r="A1350" s="8"/>
      <c r="B1350" s="8"/>
      <c r="C1350" s="8"/>
      <c r="D1350" s="8">
        <v>27.9026907562088</v>
      </c>
      <c r="E1350" s="9" t="s">
        <v>1359</v>
      </c>
      <c r="I1350" s="12" t="str">
        <f>IFERROR(__xludf.DUMMYFUNCTION("""COMPUTED_VALUE"""),"0x7210e58b3ea624f900cefc4ca1a7b8c99d04caca")</f>
        <v>0x7210e58b3ea624f900cefc4ca1a7b8c99d04caca</v>
      </c>
      <c r="J1350" s="11">
        <v>27.9026907562088</v>
      </c>
      <c r="K1350" s="12">
        <v>62.005979458241775</v>
      </c>
      <c r="L1350" s="13">
        <v>6.200597945824177E19</v>
      </c>
      <c r="M1350" s="9">
        <v>6.2005979458241782E18</v>
      </c>
    </row>
    <row r="1351" ht="15.75" customHeight="1">
      <c r="A1351" s="8"/>
      <c r="B1351" s="8"/>
      <c r="C1351" s="8"/>
      <c r="D1351" s="8">
        <v>27.9026907562088</v>
      </c>
      <c r="E1351" s="9" t="s">
        <v>1360</v>
      </c>
      <c r="I1351" s="12" t="str">
        <f>IFERROR(__xludf.DUMMYFUNCTION("""COMPUTED_VALUE"""),"0x722b1a192753cc45b5890923c18a95a84b6119b2")</f>
        <v>0x722b1a192753cc45b5890923c18a95a84b6119b2</v>
      </c>
      <c r="J1351" s="11">
        <v>84.3963304237369</v>
      </c>
      <c r="K1351" s="12">
        <v>187.54740094163756</v>
      </c>
      <c r="L1351" s="13">
        <v>1.8754740094163757E20</v>
      </c>
      <c r="M1351" s="9">
        <v>1.875474009416376E19</v>
      </c>
    </row>
    <row r="1352" ht="15.75" customHeight="1">
      <c r="A1352" s="8"/>
      <c r="B1352" s="8"/>
      <c r="C1352" s="8"/>
      <c r="D1352" s="8">
        <v>26.4343837976733</v>
      </c>
      <c r="E1352" s="9" t="s">
        <v>1361</v>
      </c>
      <c r="I1352" s="12" t="str">
        <f>IFERROR(__xludf.DUMMYFUNCTION("""COMPUTED_VALUE"""),"0x72340c8f56249d649c75b92b5302ce85d345a49c")</f>
        <v>0x72340c8f56249d649c75b92b5302ce85d345a49c</v>
      </c>
      <c r="J1352" s="11">
        <v>26.4343837976733</v>
      </c>
      <c r="K1352" s="12">
        <v>58.74307510594066</v>
      </c>
      <c r="L1352" s="13">
        <v>5.874307510594066E19</v>
      </c>
      <c r="M1352" s="9">
        <v>5.8743075105940664E18</v>
      </c>
    </row>
    <row r="1353" ht="15.75" customHeight="1">
      <c r="A1353" s="8"/>
      <c r="B1353" s="8"/>
      <c r="C1353" s="8"/>
      <c r="D1353" s="8">
        <v>27.9026907562088</v>
      </c>
      <c r="E1353" s="9" t="s">
        <v>1362</v>
      </c>
      <c r="I1353" s="12" t="str">
        <f>IFERROR(__xludf.DUMMYFUNCTION("""COMPUTED_VALUE"""),"0x7236b0d726e741f15e9caf44b012e9aeecf28dc8")</f>
        <v>0x7236b0d726e741f15e9caf44b012e9aeecf28dc8</v>
      </c>
      <c r="J1353" s="11">
        <v>79.04713376035</v>
      </c>
      <c r="K1353" s="12">
        <v>175.6602972452222</v>
      </c>
      <c r="L1353" s="13">
        <v>1.756602972452222E20</v>
      </c>
      <c r="M1353" s="9">
        <v>1.7566029724522222E19</v>
      </c>
    </row>
    <row r="1354" ht="15.75" customHeight="1">
      <c r="A1354" s="8"/>
      <c r="B1354" s="8"/>
      <c r="C1354" s="8"/>
      <c r="D1354" s="8">
        <v>27.9026907562088</v>
      </c>
      <c r="E1354" s="9" t="s">
        <v>1363</v>
      </c>
      <c r="I1354" s="12" t="str">
        <f>IFERROR(__xludf.DUMMYFUNCTION("""COMPUTED_VALUE"""),"0x723c121dea46af913be0d357b0659869c3338d1b")</f>
        <v>0x723c121dea46af913be0d357b0659869c3338d1b</v>
      </c>
      <c r="J1354" s="11">
        <v>162.61920640120888</v>
      </c>
      <c r="K1354" s="12">
        <v>361.3760142249086</v>
      </c>
      <c r="L1354" s="13">
        <v>3.613760142249086E20</v>
      </c>
      <c r="M1354" s="9">
        <v>3.613760142249086E19</v>
      </c>
    </row>
    <row r="1355" ht="15.75" customHeight="1">
      <c r="A1355" s="8"/>
      <c r="B1355" s="8"/>
      <c r="C1355" s="8"/>
      <c r="D1355" s="8">
        <v>27.9026907562088</v>
      </c>
      <c r="E1355" s="9" t="s">
        <v>1364</v>
      </c>
      <c r="I1355" s="12" t="str">
        <f>IFERROR(__xludf.DUMMYFUNCTION("""COMPUTED_VALUE"""),"0x724371396e1239f2534dc3681df33776a1eaa9b5")</f>
        <v>0x724371396e1239f2534dc3681df33776a1eaa9b5</v>
      </c>
      <c r="J1355" s="11">
        <v>91.1199983031448</v>
      </c>
      <c r="K1355" s="12">
        <v>202.48888511809955</v>
      </c>
      <c r="L1355" s="13">
        <v>2.0248888511809955E20</v>
      </c>
      <c r="M1355" s="9">
        <v>2.0248888511809958E19</v>
      </c>
    </row>
    <row r="1356" ht="15.75" customHeight="1">
      <c r="A1356" s="8"/>
      <c r="B1356" s="8"/>
      <c r="C1356" s="8"/>
      <c r="D1356" s="8">
        <v>27.9026907562088</v>
      </c>
      <c r="E1356" s="9" t="s">
        <v>1365</v>
      </c>
      <c r="I1356" s="12" t="str">
        <f>IFERROR(__xludf.DUMMYFUNCTION("""COMPUTED_VALUE"""),"0x7247f7919c64061492ee6868b89597656e3645ed")</f>
        <v>0x7247f7919c64061492ee6868b89597656e3645ed</v>
      </c>
      <c r="J1356" s="11">
        <v>27.9026907562088</v>
      </c>
      <c r="K1356" s="12">
        <v>62.005979458241775</v>
      </c>
      <c r="L1356" s="13">
        <v>6.200597945824177E19</v>
      </c>
      <c r="M1356" s="9">
        <v>6.2005979458241782E18</v>
      </c>
    </row>
    <row r="1357" ht="15.75" customHeight="1">
      <c r="A1357" s="8"/>
      <c r="B1357" s="8"/>
      <c r="C1357" s="8"/>
      <c r="D1357" s="8">
        <v>27.9026907562088</v>
      </c>
      <c r="E1357" s="9" t="s">
        <v>1366</v>
      </c>
      <c r="I1357" s="12" t="str">
        <f>IFERROR(__xludf.DUMMYFUNCTION("""COMPUTED_VALUE"""),"0x724a1cad85569187b2446a362aaada42f16bccc1")</f>
        <v>0x724a1cad85569187b2446a362aaada42f16bccc1</v>
      </c>
      <c r="J1357" s="11">
        <v>91.1199983031448</v>
      </c>
      <c r="K1357" s="12">
        <v>202.48888511809955</v>
      </c>
      <c r="L1357" s="13">
        <v>2.0248888511809955E20</v>
      </c>
      <c r="M1357" s="9">
        <v>2.0248888511809958E19</v>
      </c>
    </row>
    <row r="1358" ht="15.75" customHeight="1">
      <c r="A1358" s="8"/>
      <c r="B1358" s="8"/>
      <c r="C1358" s="8"/>
      <c r="D1358" s="8">
        <v>26.0074189293892</v>
      </c>
      <c r="E1358" s="9" t="s">
        <v>1367</v>
      </c>
      <c r="I1358" s="12" t="str">
        <f>IFERROR(__xludf.DUMMYFUNCTION("""COMPUTED_VALUE"""),"0x725bcadc2a7d68b6513de68dc92d79d4f4e9c088")</f>
        <v>0x725bcadc2a7d68b6513de68dc92d79d4f4e9c088</v>
      </c>
      <c r="J1358" s="11">
        <v>26.0074189293892</v>
      </c>
      <c r="K1358" s="12">
        <v>57.794264287531554</v>
      </c>
      <c r="L1358" s="13">
        <v>5.779426428753156E19</v>
      </c>
      <c r="M1358" s="9">
        <v>5.7794264287531561E18</v>
      </c>
    </row>
    <row r="1359" ht="15.75" customHeight="1">
      <c r="A1359" s="8"/>
      <c r="B1359" s="8"/>
      <c r="C1359" s="8"/>
      <c r="D1359" s="8">
        <v>27.9026907562088</v>
      </c>
      <c r="E1359" s="9" t="s">
        <v>1368</v>
      </c>
      <c r="I1359" s="12" t="str">
        <f>IFERROR(__xludf.DUMMYFUNCTION("""COMPUTED_VALUE"""),"0x726b7d1e563eef3784fefa3b3f740a56ac4a3565")</f>
        <v>0x726b7d1e563eef3784fefa3b3f740a56ac4a3565</v>
      </c>
      <c r="J1359" s="11">
        <v>27.9026907562088</v>
      </c>
      <c r="K1359" s="12">
        <v>62.005979458241775</v>
      </c>
      <c r="L1359" s="13">
        <v>6.200597945824177E19</v>
      </c>
      <c r="M1359" s="9">
        <v>6.2005979458241782E18</v>
      </c>
    </row>
    <row r="1360" ht="15.75" customHeight="1">
      <c r="A1360" s="8"/>
      <c r="B1360" s="8"/>
      <c r="C1360" s="8"/>
      <c r="D1360" s="8">
        <v>24.7664114629782</v>
      </c>
      <c r="E1360" s="9" t="s">
        <v>1369</v>
      </c>
      <c r="I1360" s="12" t="str">
        <f>IFERROR(__xludf.DUMMYFUNCTION("""COMPUTED_VALUE"""),"0x72a07660ac7527e44f4a8dd6207c19db9ecfd196")</f>
        <v>0x72a07660ac7527e44f4a8dd6207c19db9ecfd196</v>
      </c>
      <c r="J1360" s="11">
        <v>35.195089522093</v>
      </c>
      <c r="K1360" s="12">
        <v>78.21131004909556</v>
      </c>
      <c r="L1360" s="13">
        <v>7.821131004909557E19</v>
      </c>
      <c r="M1360" s="9">
        <v>7.8211310049095567E18</v>
      </c>
    </row>
    <row r="1361" ht="15.75" customHeight="1">
      <c r="A1361" s="8"/>
      <c r="B1361" s="8"/>
      <c r="C1361" s="8"/>
      <c r="D1361" s="8">
        <v>27.9026907562088</v>
      </c>
      <c r="E1361" s="9" t="s">
        <v>1370</v>
      </c>
      <c r="I1361" s="12" t="str">
        <f>IFERROR(__xludf.DUMMYFUNCTION("""COMPUTED_VALUE"""),"0x72ad643bd2ca84fa7c9cf2807441edb0fb47bf48")</f>
        <v>0x72ad643bd2ca84fa7c9cf2807441edb0fb47bf48</v>
      </c>
      <c r="J1361" s="11">
        <v>27.9026907562088</v>
      </c>
      <c r="K1361" s="12">
        <v>62.005979458241775</v>
      </c>
      <c r="L1361" s="13">
        <v>6.200597945824177E19</v>
      </c>
      <c r="M1361" s="9">
        <v>6.2005979458241782E18</v>
      </c>
    </row>
    <row r="1362" ht="15.75" customHeight="1">
      <c r="A1362" s="8"/>
      <c r="B1362" s="8"/>
      <c r="C1362" s="8"/>
      <c r="D1362" s="8">
        <v>14.2403580303366</v>
      </c>
      <c r="E1362" s="9" t="s">
        <v>1371</v>
      </c>
      <c r="I1362" s="12" t="str">
        <f>IFERROR(__xludf.DUMMYFUNCTION("""COMPUTED_VALUE"""),"0x72bb3eb15f285f8e2893a29287186d5210590c22")</f>
        <v>0x72bb3eb15f285f8e2893a29287186d5210590c22</v>
      </c>
      <c r="J1362" s="11">
        <v>14.2403580303366</v>
      </c>
      <c r="K1362" s="12">
        <v>31.645240067414665</v>
      </c>
      <c r="L1362" s="13">
        <v>3.1645240067414667E19</v>
      </c>
      <c r="M1362" s="9">
        <v>3.1645240067414671E18</v>
      </c>
    </row>
    <row r="1363" ht="15.75" customHeight="1">
      <c r="A1363" s="8"/>
      <c r="B1363" s="8"/>
      <c r="C1363" s="8"/>
      <c r="D1363" s="8">
        <v>24.4319940853267</v>
      </c>
      <c r="E1363" s="9" t="s">
        <v>1372</v>
      </c>
      <c r="I1363" s="12" t="str">
        <f>IFERROR(__xludf.DUMMYFUNCTION("""COMPUTED_VALUE"""),"0x72d6f7d82cd922aacf690362d717ceb108e4d317")</f>
        <v>0x72d6f7d82cd922aacf690362d717ceb108e4d317</v>
      </c>
      <c r="J1363" s="11">
        <v>24.4319940853267</v>
      </c>
      <c r="K1363" s="12">
        <v>54.29332018961489</v>
      </c>
      <c r="L1363" s="13">
        <v>5.429332018961489E19</v>
      </c>
      <c r="M1363" s="9">
        <v>5.4293320189614889E18</v>
      </c>
    </row>
    <row r="1364" ht="15.75" customHeight="1">
      <c r="A1364" s="8"/>
      <c r="B1364" s="8"/>
      <c r="C1364" s="8"/>
      <c r="D1364" s="8">
        <v>27.0532960387002</v>
      </c>
      <c r="E1364" s="9" t="s">
        <v>1373</v>
      </c>
      <c r="I1364" s="12" t="str">
        <f>IFERROR(__xludf.DUMMYFUNCTION("""COMPUTED_VALUE"""),"0x72fecb76a39536f6851cb53deae03e66cf3a8d4a")</f>
        <v>0x72fecb76a39536f6851cb53deae03e66cf3a8d4a</v>
      </c>
      <c r="J1364" s="11">
        <v>28.97680868387257</v>
      </c>
      <c r="K1364" s="12">
        <v>64.39290818638348</v>
      </c>
      <c r="L1364" s="13">
        <v>6.439290818638348E19</v>
      </c>
      <c r="M1364" s="9">
        <v>6.4392908186383483E18</v>
      </c>
    </row>
    <row r="1365" ht="15.75" customHeight="1">
      <c r="A1365" s="8"/>
      <c r="B1365" s="8"/>
      <c r="C1365" s="8"/>
      <c r="D1365" s="8">
        <v>27.9026907562088</v>
      </c>
      <c r="E1365" s="9" t="s">
        <v>1374</v>
      </c>
      <c r="I1365" s="12" t="str">
        <f>IFERROR(__xludf.DUMMYFUNCTION("""COMPUTED_VALUE"""),"0x7311202ad30470135a7ba6ad43a12e1c7382498d")</f>
        <v>0x7311202ad30470135a7ba6ad43a12e1c7382498d</v>
      </c>
      <c r="J1365" s="11">
        <v>91.1199983031448</v>
      </c>
      <c r="K1365" s="12">
        <v>202.48888511809955</v>
      </c>
      <c r="L1365" s="13">
        <v>2.0248888511809955E20</v>
      </c>
      <c r="M1365" s="9">
        <v>2.0248888511809958E19</v>
      </c>
    </row>
    <row r="1366" ht="15.75" customHeight="1">
      <c r="A1366" s="8"/>
      <c r="B1366" s="8"/>
      <c r="C1366" s="8"/>
      <c r="D1366" s="8">
        <v>27.9026907562088</v>
      </c>
      <c r="E1366" s="9" t="s">
        <v>1375</v>
      </c>
      <c r="I1366" s="12" t="str">
        <f>IFERROR(__xludf.DUMMYFUNCTION("""COMPUTED_VALUE"""),"0x733db7050c16a76eee3d56de7445d293ec6bceea")</f>
        <v>0x733db7050c16a76eee3d56de7445d293ec6bceea</v>
      </c>
      <c r="J1366" s="11">
        <v>91.1199983031448</v>
      </c>
      <c r="K1366" s="12">
        <v>202.48888511809955</v>
      </c>
      <c r="L1366" s="13">
        <v>2.0248888511809955E20</v>
      </c>
      <c r="M1366" s="9">
        <v>2.0248888511809958E19</v>
      </c>
    </row>
    <row r="1367" ht="15.75" customHeight="1">
      <c r="A1367" s="8"/>
      <c r="B1367" s="8"/>
      <c r="C1367" s="8"/>
      <c r="D1367" s="8">
        <v>27.9026907562088</v>
      </c>
      <c r="E1367" s="9" t="s">
        <v>1376</v>
      </c>
      <c r="I1367" s="12" t="str">
        <f>IFERROR(__xludf.DUMMYFUNCTION("""COMPUTED_VALUE"""),"0x73421de1ff15bd2d49d77a374802f5bbf17fc957")</f>
        <v>0x73421de1ff15bd2d49d77a374802f5bbf17fc957</v>
      </c>
      <c r="J1367" s="11">
        <v>27.9026907562088</v>
      </c>
      <c r="K1367" s="12">
        <v>62.005979458241775</v>
      </c>
      <c r="L1367" s="13">
        <v>6.200597945824177E19</v>
      </c>
      <c r="M1367" s="9">
        <v>6.2005979458241782E18</v>
      </c>
    </row>
    <row r="1368" ht="15.75" customHeight="1">
      <c r="A1368" s="8"/>
      <c r="B1368" s="8"/>
      <c r="C1368" s="8"/>
      <c r="D1368" s="8">
        <v>19.5008342576231</v>
      </c>
      <c r="E1368" s="9" t="s">
        <v>1377</v>
      </c>
      <c r="I1368" s="12" t="str">
        <f>IFERROR(__xludf.DUMMYFUNCTION("""COMPUTED_VALUE"""),"0x734d5a3597f197dcfff9de6806d7b249a5877ec8")</f>
        <v>0x734d5a3597f197dcfff9de6806d7b249a5877ec8</v>
      </c>
      <c r="J1368" s="11">
        <v>19.5008342576231</v>
      </c>
      <c r="K1368" s="12">
        <v>43.335187239162444</v>
      </c>
      <c r="L1368" s="13">
        <v>4.3335187239162446E19</v>
      </c>
      <c r="M1368" s="9">
        <v>4.333518723916245E18</v>
      </c>
    </row>
    <row r="1369" ht="15.75" customHeight="1">
      <c r="A1369" s="8"/>
      <c r="B1369" s="8"/>
      <c r="C1369" s="8"/>
      <c r="D1369" s="8">
        <v>27.9026907562088</v>
      </c>
      <c r="E1369" s="9" t="s">
        <v>1378</v>
      </c>
      <c r="I1369" s="12" t="str">
        <f>IFERROR(__xludf.DUMMYFUNCTION("""COMPUTED_VALUE"""),"0x7362bcb5a29a84bc8400bbf23e22183e1695f794")</f>
        <v>0x7362bcb5a29a84bc8400bbf23e22183e1695f794</v>
      </c>
      <c r="J1369" s="11">
        <v>27.9026907562088</v>
      </c>
      <c r="K1369" s="12">
        <v>62.005979458241775</v>
      </c>
      <c r="L1369" s="13">
        <v>6.200597945824177E19</v>
      </c>
      <c r="M1369" s="9">
        <v>6.2005979458241782E18</v>
      </c>
    </row>
    <row r="1370" ht="15.75" customHeight="1">
      <c r="A1370" s="8"/>
      <c r="B1370" s="8"/>
      <c r="C1370" s="8"/>
      <c r="D1370" s="8">
        <v>27.9026907562088</v>
      </c>
      <c r="E1370" s="9" t="s">
        <v>1379</v>
      </c>
      <c r="I1370" s="12" t="str">
        <f>IFERROR(__xludf.DUMMYFUNCTION("""COMPUTED_VALUE"""),"0x737784dd5039bf407c3fc31425303f0860416547")</f>
        <v>0x737784dd5039bf407c3fc31425303f0860416547</v>
      </c>
      <c r="J1370" s="11">
        <v>132.27269621563119</v>
      </c>
      <c r="K1370" s="12">
        <v>293.93932492362484</v>
      </c>
      <c r="L1370" s="13">
        <v>2.9393932492362485E20</v>
      </c>
      <c r="M1370" s="9">
        <v>2.9393932492362486E19</v>
      </c>
    </row>
    <row r="1371" ht="15.75" customHeight="1">
      <c r="A1371" s="8"/>
      <c r="B1371" s="8"/>
      <c r="C1371" s="8"/>
      <c r="D1371" s="8">
        <v>20.5314463849977</v>
      </c>
      <c r="E1371" s="9" t="s">
        <v>1380</v>
      </c>
      <c r="I1371" s="12" t="str">
        <f>IFERROR(__xludf.DUMMYFUNCTION("""COMPUTED_VALUE"""),"0x73779567a13a46143eb23ba5935226d2b2dcd81e")</f>
        <v>0x73779567a13a46143eb23ba5935226d2b2dcd81e</v>
      </c>
      <c r="J1371" s="11">
        <v>20.5314463849977</v>
      </c>
      <c r="K1371" s="12">
        <v>45.625436411106</v>
      </c>
      <c r="L1371" s="13">
        <v>4.5625436411106E19</v>
      </c>
      <c r="M1371" s="9">
        <v>4.5625436411106002E18</v>
      </c>
    </row>
    <row r="1372" ht="15.75" customHeight="1">
      <c r="A1372" s="8"/>
      <c r="B1372" s="8"/>
      <c r="C1372" s="8"/>
      <c r="D1372" s="8">
        <v>27.9026907562088</v>
      </c>
      <c r="E1372" s="9" t="s">
        <v>1381</v>
      </c>
      <c r="I1372" s="12" t="str">
        <f>IFERROR(__xludf.DUMMYFUNCTION("""COMPUTED_VALUE"""),"0x737afa38651e46a0f2d598156780ccdad7a65fbf")</f>
        <v>0x737afa38651e46a0f2d598156780ccdad7a65fbf</v>
      </c>
      <c r="J1372" s="11">
        <v>274.0242900554178</v>
      </c>
      <c r="K1372" s="12">
        <v>608.9428667898173</v>
      </c>
      <c r="L1372" s="13">
        <v>6.089428667898174E20</v>
      </c>
      <c r="M1372" s="9">
        <v>6.089428667898174E19</v>
      </c>
    </row>
    <row r="1373" ht="15.75" customHeight="1">
      <c r="A1373" s="8"/>
      <c r="B1373" s="8"/>
      <c r="C1373" s="8"/>
      <c r="D1373" s="8">
        <v>27.9026907562088</v>
      </c>
      <c r="E1373" s="9" t="s">
        <v>1382</v>
      </c>
      <c r="I1373" s="12" t="str">
        <f>IFERROR(__xludf.DUMMYFUNCTION("""COMPUTED_VALUE"""),"0x73888b896e7f4e034141d89d857a3a0d8728b75c")</f>
        <v>0x73888b896e7f4e034141d89d857a3a0d8728b75c</v>
      </c>
      <c r="J1373" s="11">
        <v>27.9026907562088</v>
      </c>
      <c r="K1373" s="12">
        <v>62.005979458241775</v>
      </c>
      <c r="L1373" s="13">
        <v>6.200597945824177E19</v>
      </c>
      <c r="M1373" s="9">
        <v>6.2005979458241782E18</v>
      </c>
    </row>
    <row r="1374" ht="15.75" customHeight="1">
      <c r="A1374" s="8"/>
      <c r="B1374" s="8"/>
      <c r="C1374" s="8"/>
      <c r="D1374" s="8">
        <v>20.8382535267455</v>
      </c>
      <c r="E1374" s="9" t="s">
        <v>1383</v>
      </c>
      <c r="I1374" s="12" t="str">
        <f>IFERROR(__xludf.DUMMYFUNCTION("""COMPUTED_VALUE"""),"0x738b08bc77322f75e8901ebe409f3cc7958bff51")</f>
        <v>0x738b08bc77322f75e8901ebe409f3cc7958bff51</v>
      </c>
      <c r="J1374" s="11">
        <v>20.8382535267455</v>
      </c>
      <c r="K1374" s="12">
        <v>46.307230059434445</v>
      </c>
      <c r="L1374" s="13">
        <v>4.630723005943444E19</v>
      </c>
      <c r="M1374" s="9">
        <v>4.6307230059434445E18</v>
      </c>
    </row>
    <row r="1375" ht="15.75" customHeight="1">
      <c r="A1375" s="8"/>
      <c r="B1375" s="8"/>
      <c r="C1375" s="8"/>
      <c r="D1375" s="8">
        <v>27.9026907562088</v>
      </c>
      <c r="E1375" s="9" t="s">
        <v>1384</v>
      </c>
      <c r="I1375" s="12" t="str">
        <f>IFERROR(__xludf.DUMMYFUNCTION("""COMPUTED_VALUE"""),"0x73aa6bf7fecc75a399aa06be3055102f034f21ed")</f>
        <v>0x73aa6bf7fecc75a399aa06be3055102f034f21ed</v>
      </c>
      <c r="J1375" s="11">
        <v>27.9026907562088</v>
      </c>
      <c r="K1375" s="12">
        <v>62.005979458241775</v>
      </c>
      <c r="L1375" s="13">
        <v>6.200597945824177E19</v>
      </c>
      <c r="M1375" s="9">
        <v>6.2005979458241782E18</v>
      </c>
    </row>
    <row r="1376" ht="15.75" customHeight="1">
      <c r="A1376" s="8"/>
      <c r="B1376" s="8"/>
      <c r="C1376" s="8"/>
      <c r="D1376" s="8">
        <v>27.9026907562088</v>
      </c>
      <c r="E1376" s="9" t="s">
        <v>1385</v>
      </c>
      <c r="I1376" s="12" t="str">
        <f>IFERROR(__xludf.DUMMYFUNCTION("""COMPUTED_VALUE"""),"0x73ae5b993038aa91df76866ef71cfb248b2bc75f")</f>
        <v>0x73ae5b993038aa91df76866ef71cfb248b2bc75f</v>
      </c>
      <c r="J1376" s="11">
        <v>95.7319736745</v>
      </c>
      <c r="K1376" s="12">
        <v>212.73771927666667</v>
      </c>
      <c r="L1376" s="13">
        <v>2.1273771927666665E20</v>
      </c>
      <c r="M1376" s="9">
        <v>2.1273771927666668E19</v>
      </c>
    </row>
    <row r="1377" ht="15.75" customHeight="1">
      <c r="A1377" s="8"/>
      <c r="B1377" s="8"/>
      <c r="C1377" s="8"/>
      <c r="D1377" s="8">
        <v>27.9026907562088</v>
      </c>
      <c r="E1377" s="9" t="s">
        <v>1386</v>
      </c>
      <c r="I1377" s="12" t="str">
        <f>IFERROR(__xludf.DUMMYFUNCTION("""COMPUTED_VALUE"""),"0x73b88df8b69f7d1b56ab6c4a5aab641f5ca46698")</f>
        <v>0x73b88df8b69f7d1b56ab6c4a5aab641f5ca46698</v>
      </c>
      <c r="J1377" s="11">
        <v>75.1037443408903</v>
      </c>
      <c r="K1377" s="12">
        <v>166.89720964642288</v>
      </c>
      <c r="L1377" s="13">
        <v>1.668972096464229E20</v>
      </c>
      <c r="M1377" s="9">
        <v>1.668972096464229E19</v>
      </c>
    </row>
    <row r="1378" ht="15.75" customHeight="1">
      <c r="A1378" s="8"/>
      <c r="B1378" s="8"/>
      <c r="C1378" s="8"/>
      <c r="D1378" s="8">
        <v>27.9026907562088</v>
      </c>
      <c r="E1378" s="9" t="s">
        <v>1387</v>
      </c>
      <c r="I1378" s="12" t="str">
        <f>IFERROR(__xludf.DUMMYFUNCTION("""COMPUTED_VALUE"""),"0x73cebfe82faa666cc3ec9b646c89ba89b1dc9060")</f>
        <v>0x73cebfe82faa666cc3ec9b646c89ba89b1dc9060</v>
      </c>
      <c r="J1378" s="11">
        <v>27.9026907562088</v>
      </c>
      <c r="K1378" s="12">
        <v>62.005979458241775</v>
      </c>
      <c r="L1378" s="13">
        <v>6.200597945824177E19</v>
      </c>
      <c r="M1378" s="9">
        <v>6.2005979458241782E18</v>
      </c>
    </row>
    <row r="1379" ht="15.75" customHeight="1">
      <c r="A1379" s="8"/>
      <c r="B1379" s="8"/>
      <c r="C1379" s="8"/>
      <c r="D1379" s="8">
        <v>18.1645282781969</v>
      </c>
      <c r="E1379" s="9" t="s">
        <v>1388</v>
      </c>
      <c r="I1379" s="12" t="str">
        <f>IFERROR(__xludf.DUMMYFUNCTION("""COMPUTED_VALUE"""),"0x73d2d9adc1f26f84c16b951c19b298e93d708544")</f>
        <v>0x73d2d9adc1f26f84c16b951c19b298e93d708544</v>
      </c>
      <c r="J1379" s="11">
        <v>18.1645282781969</v>
      </c>
      <c r="K1379" s="12">
        <v>40.36561839599311</v>
      </c>
      <c r="L1379" s="13">
        <v>4.036561839599311E19</v>
      </c>
      <c r="M1379" s="9">
        <v>4.0365618395993114E18</v>
      </c>
    </row>
    <row r="1380" ht="15.75" customHeight="1">
      <c r="A1380" s="8"/>
      <c r="B1380" s="8"/>
      <c r="C1380" s="8"/>
      <c r="D1380" s="8">
        <v>27.9026907562088</v>
      </c>
      <c r="E1380" s="9" t="s">
        <v>1389</v>
      </c>
      <c r="I1380" s="12" t="str">
        <f>IFERROR(__xludf.DUMMYFUNCTION("""COMPUTED_VALUE"""),"0x73fa065c018e5659b25eb6544c4f0bd91cd6181e")</f>
        <v>0x73fa065c018e5659b25eb6544c4f0bd91cd6181e</v>
      </c>
      <c r="J1380" s="11">
        <v>91.1199983031448</v>
      </c>
      <c r="K1380" s="12">
        <v>202.48888511809955</v>
      </c>
      <c r="L1380" s="13">
        <v>2.0248888511809955E20</v>
      </c>
      <c r="M1380" s="9">
        <v>2.0248888511809958E19</v>
      </c>
    </row>
    <row r="1381" ht="15.75" customHeight="1">
      <c r="A1381" s="8"/>
      <c r="B1381" s="8"/>
      <c r="C1381" s="8"/>
      <c r="D1381" s="8">
        <v>27.9026907562088</v>
      </c>
      <c r="E1381" s="9" t="s">
        <v>1390</v>
      </c>
      <c r="I1381" s="12" t="str">
        <f>IFERROR(__xludf.DUMMYFUNCTION("""COMPUTED_VALUE"""),"0x73fad72df5ad5bde9f42ab6d968b64c513a75315")</f>
        <v>0x73fad72df5ad5bde9f42ab6d968b64c513a75315</v>
      </c>
      <c r="J1381" s="11">
        <v>91.1199983031448</v>
      </c>
      <c r="K1381" s="12">
        <v>202.48888511809955</v>
      </c>
      <c r="L1381" s="13">
        <v>2.0248888511809955E20</v>
      </c>
      <c r="M1381" s="9">
        <v>2.0248888511809958E19</v>
      </c>
    </row>
    <row r="1382" ht="15.75" customHeight="1">
      <c r="A1382" s="8"/>
      <c r="B1382" s="8"/>
      <c r="C1382" s="8"/>
      <c r="D1382" s="8">
        <v>26.7598977567177</v>
      </c>
      <c r="E1382" s="9" t="s">
        <v>1391</v>
      </c>
      <c r="I1382" s="12" t="str">
        <f>IFERROR(__xludf.DUMMYFUNCTION("""COMPUTED_VALUE"""),"0x73fafefb6e97e29d6d5fe7efe409a37873ea3fef")</f>
        <v>0x73fafefb6e97e29d6d5fe7efe409a37873ea3fef</v>
      </c>
      <c r="J1382" s="11">
        <v>26.7598977567177</v>
      </c>
      <c r="K1382" s="12">
        <v>59.466439459372666</v>
      </c>
      <c r="L1382" s="13">
        <v>5.946643945937266E19</v>
      </c>
      <c r="M1382" s="9">
        <v>5.9466439459372667E18</v>
      </c>
    </row>
    <row r="1383" ht="15.75" customHeight="1">
      <c r="A1383" s="8"/>
      <c r="B1383" s="8"/>
      <c r="C1383" s="8"/>
      <c r="D1383" s="8">
        <v>27.9026907562088</v>
      </c>
      <c r="E1383" s="9" t="s">
        <v>1392</v>
      </c>
      <c r="I1383" s="12" t="str">
        <f>IFERROR(__xludf.DUMMYFUNCTION("""COMPUTED_VALUE"""),"0x73ff39ee11ac14be9b215f7e923349dba255437c")</f>
        <v>0x73ff39ee11ac14be9b215f7e923349dba255437c</v>
      </c>
      <c r="J1383" s="11">
        <v>93.06578864093494</v>
      </c>
      <c r="K1383" s="12">
        <v>206.8128636465221</v>
      </c>
      <c r="L1383" s="13">
        <v>2.0681286364652208E20</v>
      </c>
      <c r="M1383" s="9">
        <v>2.068128636465221E19</v>
      </c>
    </row>
    <row r="1384" ht="15.75" customHeight="1">
      <c r="A1384" s="8"/>
      <c r="B1384" s="8"/>
      <c r="C1384" s="8"/>
      <c r="D1384" s="8">
        <v>27.9026907562088</v>
      </c>
      <c r="E1384" s="9" t="s">
        <v>1393</v>
      </c>
      <c r="I1384" s="12" t="str">
        <f>IFERROR(__xludf.DUMMYFUNCTION("""COMPUTED_VALUE"""),"0x740320f15bf19a2ece2eb13576e69fd6700bb8d4")</f>
        <v>0x740320f15bf19a2ece2eb13576e69fd6700bb8d4</v>
      </c>
      <c r="J1384" s="11">
        <v>157.59870350988018</v>
      </c>
      <c r="K1384" s="12">
        <v>350.2193411330671</v>
      </c>
      <c r="L1384" s="13">
        <v>3.5021934113306706E20</v>
      </c>
      <c r="M1384" s="9">
        <v>3.5021934113306706E19</v>
      </c>
    </row>
    <row r="1385" ht="15.75" customHeight="1">
      <c r="A1385" s="8"/>
      <c r="B1385" s="8"/>
      <c r="C1385" s="8"/>
      <c r="D1385" s="8">
        <v>27.9026907562088</v>
      </c>
      <c r="E1385" s="9" t="s">
        <v>1394</v>
      </c>
      <c r="I1385" s="12" t="str">
        <f>IFERROR(__xludf.DUMMYFUNCTION("""COMPUTED_VALUE"""),"0x7418a8171c526f2307fb1f6c957b9e7465693756")</f>
        <v>0x7418a8171c526f2307fb1f6c957b9e7465693756</v>
      </c>
      <c r="J1385" s="11">
        <v>93.10376992541418</v>
      </c>
      <c r="K1385" s="12">
        <v>206.8972665009204</v>
      </c>
      <c r="L1385" s="13">
        <v>2.068972665009204E20</v>
      </c>
      <c r="M1385" s="9">
        <v>2.068972665009204E19</v>
      </c>
    </row>
    <row r="1386" ht="15.75" customHeight="1">
      <c r="A1386" s="8"/>
      <c r="B1386" s="8"/>
      <c r="C1386" s="8"/>
      <c r="D1386" s="8">
        <v>27.9026907562088</v>
      </c>
      <c r="E1386" s="9" t="s">
        <v>1395</v>
      </c>
      <c r="I1386" s="12" t="str">
        <f>IFERROR(__xludf.DUMMYFUNCTION("""COMPUTED_VALUE"""),"0x741a52ce9283d35b2caa623f838abc16778abd5b")</f>
        <v>0x741a52ce9283d35b2caa623f838abc16778abd5b</v>
      </c>
      <c r="J1386" s="11">
        <v>27.9026907562088</v>
      </c>
      <c r="K1386" s="12">
        <v>62.005979458241775</v>
      </c>
      <c r="L1386" s="13">
        <v>6.200597945824177E19</v>
      </c>
      <c r="M1386" s="9">
        <v>6.2005979458241782E18</v>
      </c>
    </row>
    <row r="1387" ht="15.75" customHeight="1">
      <c r="A1387" s="8"/>
      <c r="B1387" s="8"/>
      <c r="C1387" s="8"/>
      <c r="D1387" s="8">
        <v>27.9026907562088</v>
      </c>
      <c r="E1387" s="9" t="s">
        <v>1396</v>
      </c>
      <c r="I1387" s="12" t="str">
        <f>IFERROR(__xludf.DUMMYFUNCTION("""COMPUTED_VALUE"""),"0x741b150a2d750c304401a569bad735e0cfc363d7")</f>
        <v>0x741b150a2d750c304401a569bad735e0cfc363d7</v>
      </c>
      <c r="J1387" s="11">
        <v>53.1896137749832</v>
      </c>
      <c r="K1387" s="12">
        <v>118.19914172218489</v>
      </c>
      <c r="L1387" s="13">
        <v>1.181991417221849E20</v>
      </c>
      <c r="M1387" s="9">
        <v>1.181991417221849E19</v>
      </c>
    </row>
    <row r="1388" ht="15.75" customHeight="1">
      <c r="A1388" s="8"/>
      <c r="B1388" s="8"/>
      <c r="C1388" s="8"/>
      <c r="D1388" s="8">
        <v>20.1113003078626</v>
      </c>
      <c r="E1388" s="9" t="s">
        <v>1397</v>
      </c>
      <c r="I1388" s="12" t="str">
        <f>IFERROR(__xludf.DUMMYFUNCTION("""COMPUTED_VALUE"""),"0x74404934e906a6cc05f16ddbb880fd15d2508005")</f>
        <v>0x74404934e906a6cc05f16ddbb880fd15d2508005</v>
      </c>
      <c r="J1388" s="11">
        <v>20.1113003078626</v>
      </c>
      <c r="K1388" s="12">
        <v>44.69177846191689</v>
      </c>
      <c r="L1388" s="13">
        <v>4.469177846191689E19</v>
      </c>
      <c r="M1388" s="9">
        <v>4.4691778461916892E18</v>
      </c>
    </row>
    <row r="1389" ht="15.75" customHeight="1">
      <c r="A1389" s="8"/>
      <c r="B1389" s="8"/>
      <c r="C1389" s="8"/>
      <c r="D1389" s="8">
        <v>27.9026907562088</v>
      </c>
      <c r="E1389" s="9" t="s">
        <v>1398</v>
      </c>
      <c r="I1389" s="12" t="str">
        <f>IFERROR(__xludf.DUMMYFUNCTION("""COMPUTED_VALUE"""),"0x74426a653cb18199998ade61a0b973316d288850")</f>
        <v>0x74426a653cb18199998ade61a0b973316d288850</v>
      </c>
      <c r="J1389" s="11">
        <v>27.9026907562088</v>
      </c>
      <c r="K1389" s="12">
        <v>62.005979458241775</v>
      </c>
      <c r="L1389" s="13">
        <v>6.200597945824177E19</v>
      </c>
      <c r="M1389" s="9">
        <v>6.2005979458241782E18</v>
      </c>
    </row>
    <row r="1390" ht="15.75" customHeight="1">
      <c r="A1390" s="8"/>
      <c r="B1390" s="8"/>
      <c r="C1390" s="8"/>
      <c r="D1390" s="8">
        <v>27.9026907562088</v>
      </c>
      <c r="E1390" s="9" t="s">
        <v>1399</v>
      </c>
      <c r="I1390" s="12" t="str">
        <f>IFERROR(__xludf.DUMMYFUNCTION("""COMPUTED_VALUE"""),"0x7465a22ba37d72ed2995be8d5e94ab1a39338f30")</f>
        <v>0x7465a22ba37d72ed2995be8d5e94ab1a39338f30</v>
      </c>
      <c r="J1390" s="11">
        <v>91.1199983031448</v>
      </c>
      <c r="K1390" s="12">
        <v>202.48888511809955</v>
      </c>
      <c r="L1390" s="13">
        <v>2.0248888511809955E20</v>
      </c>
      <c r="M1390" s="9">
        <v>2.0248888511809958E19</v>
      </c>
    </row>
    <row r="1391" ht="15.75" customHeight="1">
      <c r="A1391" s="8"/>
      <c r="B1391" s="8"/>
      <c r="C1391" s="8"/>
      <c r="D1391" s="8">
        <v>27.9026907562088</v>
      </c>
      <c r="E1391" s="9" t="s">
        <v>1400</v>
      </c>
      <c r="I1391" s="12" t="str">
        <f>IFERROR(__xludf.DUMMYFUNCTION("""COMPUTED_VALUE"""),"0x74c57b95f30b9b96b9446f48add2ee622d58dfe8")</f>
        <v>0x74c57b95f30b9b96b9446f48add2ee622d58dfe8</v>
      </c>
      <c r="J1391" s="11">
        <v>91.1199983031448</v>
      </c>
      <c r="K1391" s="12">
        <v>202.48888511809955</v>
      </c>
      <c r="L1391" s="13">
        <v>2.0248888511809955E20</v>
      </c>
      <c r="M1391" s="9">
        <v>2.0248888511809958E19</v>
      </c>
    </row>
    <row r="1392" ht="15.75" customHeight="1">
      <c r="A1392" s="8"/>
      <c r="B1392" s="8"/>
      <c r="C1392" s="8"/>
      <c r="D1392" s="8">
        <v>24.5283665276113</v>
      </c>
      <c r="E1392" s="9" t="s">
        <v>1401</v>
      </c>
      <c r="I1392" s="12" t="str">
        <f>IFERROR(__xludf.DUMMYFUNCTION("""COMPUTED_VALUE"""),"0x74f654626fdab39d92159746bdc31ff826449ffe")</f>
        <v>0x74f654626fdab39d92159746bdc31ff826449ffe</v>
      </c>
      <c r="J1392" s="11">
        <v>24.5283665276113</v>
      </c>
      <c r="K1392" s="12">
        <v>54.507481172469554</v>
      </c>
      <c r="L1392" s="13">
        <v>5.4507481172469555E19</v>
      </c>
      <c r="M1392" s="9">
        <v>5.4507481172469555E18</v>
      </c>
    </row>
    <row r="1393" ht="15.75" customHeight="1">
      <c r="A1393" s="8"/>
      <c r="B1393" s="8"/>
      <c r="C1393" s="8"/>
      <c r="D1393" s="8">
        <v>27.9026907562088</v>
      </c>
      <c r="E1393" s="9" t="s">
        <v>1402</v>
      </c>
      <c r="I1393" s="12" t="str">
        <f>IFERROR(__xludf.DUMMYFUNCTION("""COMPUTED_VALUE"""),"0x750da89b3f07b252d1078ef22d61a87d1803ecf0")</f>
        <v>0x750da89b3f07b252d1078ef22d61a87d1803ecf0</v>
      </c>
      <c r="J1393" s="11">
        <v>27.9026907562088</v>
      </c>
      <c r="K1393" s="12">
        <v>62.005979458241775</v>
      </c>
      <c r="L1393" s="13">
        <v>6.200597945824177E19</v>
      </c>
      <c r="M1393" s="9">
        <v>6.2005979458241782E18</v>
      </c>
    </row>
    <row r="1394" ht="15.75" customHeight="1">
      <c r="A1394" s="8"/>
      <c r="B1394" s="8"/>
      <c r="C1394" s="8"/>
      <c r="D1394" s="8">
        <v>27.9026907562088</v>
      </c>
      <c r="E1394" s="9" t="s">
        <v>1403</v>
      </c>
      <c r="I1394" s="12" t="str">
        <f>IFERROR(__xludf.DUMMYFUNCTION("""COMPUTED_VALUE"""),"0x751830d90224b6b4eedf41886778013a8ccaadc1")</f>
        <v>0x751830d90224b6b4eedf41886778013a8ccaadc1</v>
      </c>
      <c r="J1394" s="11">
        <v>51.1514650434389</v>
      </c>
      <c r="K1394" s="12">
        <v>113.6699223187531</v>
      </c>
      <c r="L1394" s="13">
        <v>1.1366992231875309E20</v>
      </c>
      <c r="M1394" s="9">
        <v>1.136699223187531E19</v>
      </c>
    </row>
    <row r="1395" ht="15.75" customHeight="1">
      <c r="A1395" s="8"/>
      <c r="B1395" s="8"/>
      <c r="C1395" s="8"/>
      <c r="D1395" s="8">
        <v>27.9026907562088</v>
      </c>
      <c r="E1395" s="9" t="s">
        <v>1404</v>
      </c>
      <c r="I1395" s="12" t="str">
        <f>IFERROR(__xludf.DUMMYFUNCTION("""COMPUTED_VALUE"""),"0x7522682a93738e7da3ab42959d61cd809fe62440")</f>
        <v>0x7522682a93738e7da3ab42959d61cd809fe62440</v>
      </c>
      <c r="J1395" s="11">
        <v>91.1199983031448</v>
      </c>
      <c r="K1395" s="12">
        <v>202.48888511809955</v>
      </c>
      <c r="L1395" s="13">
        <v>2.0248888511809955E20</v>
      </c>
      <c r="M1395" s="9">
        <v>2.0248888511809958E19</v>
      </c>
    </row>
    <row r="1396" ht="15.75" customHeight="1">
      <c r="A1396" s="8"/>
      <c r="B1396" s="8"/>
      <c r="C1396" s="8"/>
      <c r="D1396" s="8">
        <v>20.3079639231466</v>
      </c>
      <c r="E1396" s="9" t="s">
        <v>1405</v>
      </c>
      <c r="I1396" s="12" t="str">
        <f>IFERROR(__xludf.DUMMYFUNCTION("""COMPUTED_VALUE"""),"0x7537739d4be0ddf39239a37c13d11fcea420ba46")</f>
        <v>0x7537739d4be0ddf39239a37c13d11fcea420ba46</v>
      </c>
      <c r="J1396" s="11">
        <v>66.9823626766271</v>
      </c>
      <c r="K1396" s="12">
        <v>148.8496948369491</v>
      </c>
      <c r="L1396" s="13">
        <v>1.4884969483694912E20</v>
      </c>
      <c r="M1396" s="9">
        <v>1.4884969483694914E19</v>
      </c>
    </row>
    <row r="1397" ht="15.75" customHeight="1">
      <c r="A1397" s="8"/>
      <c r="B1397" s="8"/>
      <c r="C1397" s="8"/>
      <c r="D1397" s="8">
        <v>27.9026907562088</v>
      </c>
      <c r="E1397" s="9" t="s">
        <v>1406</v>
      </c>
      <c r="I1397" s="12" t="str">
        <f>IFERROR(__xludf.DUMMYFUNCTION("""COMPUTED_VALUE"""),"0x753b0dd94dda8098b256e3089028dbce9c220470")</f>
        <v>0x753b0dd94dda8098b256e3089028dbce9c220470</v>
      </c>
      <c r="J1397" s="11">
        <v>99.40246779880398</v>
      </c>
      <c r="K1397" s="12">
        <v>220.89437288623105</v>
      </c>
      <c r="L1397" s="13">
        <v>2.2089437288623106E20</v>
      </c>
      <c r="M1397" s="9">
        <v>2.208943728862311E19</v>
      </c>
    </row>
    <row r="1398" ht="15.75" customHeight="1">
      <c r="A1398" s="8"/>
      <c r="B1398" s="8"/>
      <c r="C1398" s="8"/>
      <c r="D1398" s="8">
        <v>26.4695829378746</v>
      </c>
      <c r="E1398" s="9" t="s">
        <v>1407</v>
      </c>
      <c r="I1398" s="12" t="str">
        <f>IFERROR(__xludf.DUMMYFUNCTION("""COMPUTED_VALUE"""),"0x7572d1b965ca1291e77075ce4122ce05b61cb23f")</f>
        <v>0x7572d1b965ca1291e77075ce4122ce05b61cb23f</v>
      </c>
      <c r="J1398" s="11">
        <v>26.4695829378746</v>
      </c>
      <c r="K1398" s="12">
        <v>58.82129541749911</v>
      </c>
      <c r="L1398" s="13">
        <v>5.882129541749911E19</v>
      </c>
      <c r="M1398" s="9">
        <v>5.8821295417499116E18</v>
      </c>
    </row>
    <row r="1399" ht="15.75" customHeight="1">
      <c r="A1399" s="8"/>
      <c r="B1399" s="8"/>
      <c r="C1399" s="8"/>
      <c r="D1399" s="8">
        <v>27.9026907562088</v>
      </c>
      <c r="E1399" s="9" t="s">
        <v>1408</v>
      </c>
      <c r="I1399" s="12" t="str">
        <f>IFERROR(__xludf.DUMMYFUNCTION("""COMPUTED_VALUE"""),"0x75afa0148a5330c0d54a63a2388fb4aefb36b540")</f>
        <v>0x75afa0148a5330c0d54a63a2388fb4aefb36b540</v>
      </c>
      <c r="J1399" s="11">
        <v>204.1501475752168</v>
      </c>
      <c r="K1399" s="12">
        <v>453.6669946115929</v>
      </c>
      <c r="L1399" s="13">
        <v>4.536669946115929E20</v>
      </c>
      <c r="M1399" s="9">
        <v>4.536669946115929E19</v>
      </c>
    </row>
    <row r="1400" ht="15.75" customHeight="1">
      <c r="A1400" s="8"/>
      <c r="B1400" s="8"/>
      <c r="C1400" s="8"/>
      <c r="D1400" s="8">
        <v>27.9026907562088</v>
      </c>
      <c r="E1400" s="9" t="s">
        <v>1409</v>
      </c>
      <c r="I1400" s="12" t="str">
        <f>IFERROR(__xludf.DUMMYFUNCTION("""COMPUTED_VALUE"""),"0x75d94db4af1519862a0d5e1f9ef818866f1fbc41")</f>
        <v>0x75d94db4af1519862a0d5e1f9ef818866f1fbc41</v>
      </c>
      <c r="J1400" s="11">
        <v>27.9026907562088</v>
      </c>
      <c r="K1400" s="12">
        <v>62.005979458241775</v>
      </c>
      <c r="L1400" s="13">
        <v>6.200597945824177E19</v>
      </c>
      <c r="M1400" s="9">
        <v>6.2005979458241782E18</v>
      </c>
    </row>
    <row r="1401" ht="15.75" customHeight="1">
      <c r="A1401" s="8"/>
      <c r="B1401" s="8"/>
      <c r="C1401" s="8"/>
      <c r="D1401" s="8">
        <v>24.6147045944478</v>
      </c>
      <c r="E1401" s="9" t="s">
        <v>1410</v>
      </c>
      <c r="I1401" s="12" t="str">
        <f>IFERROR(__xludf.DUMMYFUNCTION("""COMPUTED_VALUE"""),"0x75f73a37049cc0da983a938712412092c229a715")</f>
        <v>0x75f73a37049cc0da983a938712412092c229a715</v>
      </c>
      <c r="J1401" s="11">
        <v>24.6147045944478</v>
      </c>
      <c r="K1401" s="12">
        <v>54.69934354321733</v>
      </c>
      <c r="L1401" s="13">
        <v>5.469934354321733E19</v>
      </c>
      <c r="M1401" s="9">
        <v>5.4699343543217336E18</v>
      </c>
    </row>
    <row r="1402" ht="15.75" customHeight="1">
      <c r="A1402" s="8"/>
      <c r="B1402" s="8"/>
      <c r="C1402" s="8"/>
      <c r="D1402" s="8">
        <v>18.2603102932444</v>
      </c>
      <c r="E1402" s="9" t="s">
        <v>1411</v>
      </c>
      <c r="I1402" s="12" t="str">
        <f>IFERROR(__xludf.DUMMYFUNCTION("""COMPUTED_VALUE"""),"0x7607aedb36183deb0474037b8783f31d2026a36f")</f>
        <v>0x7607aedb36183deb0474037b8783f31d2026a36f</v>
      </c>
      <c r="J1402" s="11">
        <v>60.3535983241185</v>
      </c>
      <c r="K1402" s="12">
        <v>134.11910738693</v>
      </c>
      <c r="L1402" s="13">
        <v>1.3411910738693E20</v>
      </c>
      <c r="M1402" s="9">
        <v>1.3411910738693001E19</v>
      </c>
    </row>
    <row r="1403" ht="15.75" customHeight="1">
      <c r="A1403" s="8"/>
      <c r="B1403" s="8"/>
      <c r="C1403" s="8"/>
      <c r="D1403" s="8">
        <v>26.1510000103619</v>
      </c>
      <c r="E1403" s="9" t="s">
        <v>1412</v>
      </c>
      <c r="I1403" s="12" t="str">
        <f>IFERROR(__xludf.DUMMYFUNCTION("""COMPUTED_VALUE"""),"0x76125e86324deaa5286cd56f0b49df6b2d57d827")</f>
        <v>0x76125e86324deaa5286cd56f0b49df6b2d57d827</v>
      </c>
      <c r="J1403" s="11">
        <v>26.1510000103619</v>
      </c>
      <c r="K1403" s="12">
        <v>58.11333335635978</v>
      </c>
      <c r="L1403" s="13">
        <v>5.811333335635978E19</v>
      </c>
      <c r="M1403" s="9">
        <v>5.8113333356359782E18</v>
      </c>
    </row>
    <row r="1404" ht="15.75" customHeight="1">
      <c r="A1404" s="8"/>
      <c r="B1404" s="8"/>
      <c r="C1404" s="8"/>
      <c r="D1404" s="8">
        <v>27.9026907562088</v>
      </c>
      <c r="E1404" s="9" t="s">
        <v>1413</v>
      </c>
      <c r="I1404" s="12" t="str">
        <f>IFERROR(__xludf.DUMMYFUNCTION("""COMPUTED_VALUE"""),"0x76372a94fcb23b190838c493342d1e0d92eb0bf8")</f>
        <v>0x76372a94fcb23b190838c493342d1e0d92eb0bf8</v>
      </c>
      <c r="J1404" s="11">
        <v>27.9026907562088</v>
      </c>
      <c r="K1404" s="12">
        <v>62.005979458241775</v>
      </c>
      <c r="L1404" s="13">
        <v>6.200597945824177E19</v>
      </c>
      <c r="M1404" s="9">
        <v>6.2005979458241782E18</v>
      </c>
    </row>
    <row r="1405" ht="15.75" customHeight="1">
      <c r="A1405" s="8"/>
      <c r="B1405" s="8"/>
      <c r="C1405" s="8"/>
      <c r="D1405" s="8">
        <v>27.9026907562088</v>
      </c>
      <c r="E1405" s="9" t="s">
        <v>1414</v>
      </c>
      <c r="I1405" s="12" t="str">
        <f>IFERROR(__xludf.DUMMYFUNCTION("""COMPUTED_VALUE"""),"0x7657e4cdb6d8b00a14040e6c1af23203aac8876b")</f>
        <v>0x7657e4cdb6d8b00a14040e6c1af23203aac8876b</v>
      </c>
      <c r="J1405" s="11">
        <v>91.1199983031448</v>
      </c>
      <c r="K1405" s="12">
        <v>202.48888511809955</v>
      </c>
      <c r="L1405" s="13">
        <v>2.0248888511809955E20</v>
      </c>
      <c r="M1405" s="9">
        <v>2.0248888511809958E19</v>
      </c>
    </row>
    <row r="1406" ht="15.75" customHeight="1">
      <c r="A1406" s="8"/>
      <c r="B1406" s="8"/>
      <c r="C1406" s="8"/>
      <c r="D1406" s="8">
        <v>27.9026907562088</v>
      </c>
      <c r="E1406" s="9" t="s">
        <v>1415</v>
      </c>
      <c r="I1406" s="12" t="str">
        <f>IFERROR(__xludf.DUMMYFUNCTION("""COMPUTED_VALUE"""),"0x767d24f06ec7c4f5ef830b0132c48c1536cb68bd")</f>
        <v>0x767d24f06ec7c4f5ef830b0132c48c1536cb68bd</v>
      </c>
      <c r="J1406" s="11">
        <v>27.9026907562088</v>
      </c>
      <c r="K1406" s="12">
        <v>62.005979458241775</v>
      </c>
      <c r="L1406" s="13">
        <v>6.200597945824177E19</v>
      </c>
      <c r="M1406" s="9">
        <v>6.2005979458241782E18</v>
      </c>
    </row>
    <row r="1407" ht="15.75" customHeight="1">
      <c r="A1407" s="8"/>
      <c r="B1407" s="8"/>
      <c r="C1407" s="8"/>
      <c r="D1407" s="8">
        <v>27.9026907562088</v>
      </c>
      <c r="E1407" s="9" t="s">
        <v>1416</v>
      </c>
      <c r="I1407" s="12" t="str">
        <f>IFERROR(__xludf.DUMMYFUNCTION("""COMPUTED_VALUE"""),"0x7680598270be41895cc6fdb1e7572d73de86c509")</f>
        <v>0x7680598270be41895cc6fdb1e7572d73de86c509</v>
      </c>
      <c r="J1407" s="11">
        <v>102.7947403298856</v>
      </c>
      <c r="K1407" s="12">
        <v>228.43275628863466</v>
      </c>
      <c r="L1407" s="13">
        <v>2.2843275628863465E20</v>
      </c>
      <c r="M1407" s="9">
        <v>2.2843275628863468E19</v>
      </c>
    </row>
    <row r="1408" ht="15.75" customHeight="1">
      <c r="A1408" s="8"/>
      <c r="B1408" s="8"/>
      <c r="C1408" s="8"/>
      <c r="D1408" s="8">
        <v>24.843327729468</v>
      </c>
      <c r="E1408" s="9" t="s">
        <v>1417</v>
      </c>
      <c r="I1408" s="12" t="str">
        <f>IFERROR(__xludf.DUMMYFUNCTION("""COMPUTED_VALUE"""),"0x76bc0f1eafc820dd4c56b72d7adfb60dc2867ea3")</f>
        <v>0x76bc0f1eafc820dd4c56b72d7adfb60dc2867ea3</v>
      </c>
      <c r="J1408" s="11">
        <v>24.843327729468</v>
      </c>
      <c r="K1408" s="12">
        <v>55.207394954373335</v>
      </c>
      <c r="L1408" s="13">
        <v>5.520739495437333E19</v>
      </c>
      <c r="M1408" s="9">
        <v>5.5207394954373335E18</v>
      </c>
    </row>
    <row r="1409" ht="15.75" customHeight="1">
      <c r="A1409" s="8"/>
      <c r="B1409" s="8"/>
      <c r="C1409" s="8"/>
      <c r="D1409" s="8">
        <v>24.5517719141388</v>
      </c>
      <c r="E1409" s="9" t="s">
        <v>1418</v>
      </c>
      <c r="I1409" s="12" t="str">
        <f>IFERROR(__xludf.DUMMYFUNCTION("""COMPUTED_VALUE"""),"0x76d44a33156971ec900f15345f17c53424248446")</f>
        <v>0x76d44a33156971ec900f15345f17c53424248446</v>
      </c>
      <c r="J1409" s="11">
        <v>127.2184604239377</v>
      </c>
      <c r="K1409" s="12">
        <v>282.70768983097264</v>
      </c>
      <c r="L1409" s="13">
        <v>2.8270768983097265E20</v>
      </c>
      <c r="M1409" s="9">
        <v>2.8270768983097266E19</v>
      </c>
    </row>
    <row r="1410" ht="15.75" customHeight="1">
      <c r="A1410" s="8"/>
      <c r="B1410" s="8"/>
      <c r="C1410" s="8"/>
      <c r="D1410" s="8">
        <v>27.9026907562088</v>
      </c>
      <c r="E1410" s="9" t="s">
        <v>1419</v>
      </c>
      <c r="I1410" s="12" t="str">
        <f>IFERROR(__xludf.DUMMYFUNCTION("""COMPUTED_VALUE"""),"0x76ef2462d321c054a9ed3d2add9be79d97689514")</f>
        <v>0x76ef2462d321c054a9ed3d2add9be79d97689514</v>
      </c>
      <c r="J1410" s="11">
        <v>91.1199983031448</v>
      </c>
      <c r="K1410" s="12">
        <v>202.48888511809955</v>
      </c>
      <c r="L1410" s="13">
        <v>2.0248888511809955E20</v>
      </c>
      <c r="M1410" s="9">
        <v>2.0248888511809958E19</v>
      </c>
    </row>
    <row r="1411" ht="15.75" customHeight="1">
      <c r="A1411" s="8"/>
      <c r="B1411" s="8"/>
      <c r="C1411" s="8"/>
      <c r="D1411" s="8">
        <v>27.9026907562088</v>
      </c>
      <c r="E1411" s="9" t="s">
        <v>1420</v>
      </c>
      <c r="I1411" s="12" t="str">
        <f>IFERROR(__xludf.DUMMYFUNCTION("""COMPUTED_VALUE"""),"0x76f3d6f298a515ecb765bdcc7abbaa6ef9da0ec8")</f>
        <v>0x76f3d6f298a515ecb765bdcc7abbaa6ef9da0ec8</v>
      </c>
      <c r="J1411" s="11">
        <v>91.1199983031448</v>
      </c>
      <c r="K1411" s="12">
        <v>202.48888511809955</v>
      </c>
      <c r="L1411" s="13">
        <v>2.0248888511809955E20</v>
      </c>
      <c r="M1411" s="9">
        <v>2.0248888511809958E19</v>
      </c>
    </row>
    <row r="1412" ht="15.75" customHeight="1">
      <c r="A1412" s="8"/>
      <c r="B1412" s="8"/>
      <c r="C1412" s="8"/>
      <c r="D1412" s="8">
        <v>7.47993170802339</v>
      </c>
      <c r="E1412" s="9" t="s">
        <v>1421</v>
      </c>
      <c r="I1412" s="12" t="str">
        <f>IFERROR(__xludf.DUMMYFUNCTION("""COMPUTED_VALUE"""),"0x76fa5876ecef7cecfbe8f94566a1e7252c20bf39")</f>
        <v>0x76fa5876ecef7cecfbe8f94566a1e7252c20bf39</v>
      </c>
      <c r="J1412" s="11">
        <v>70.69723925495938</v>
      </c>
      <c r="K1412" s="12">
        <v>157.10497612213197</v>
      </c>
      <c r="L1412" s="13">
        <v>1.5710497612213197E20</v>
      </c>
      <c r="M1412" s="9">
        <v>1.5710497612213199E19</v>
      </c>
    </row>
    <row r="1413" ht="15.75" customHeight="1">
      <c r="A1413" s="8"/>
      <c r="B1413" s="8"/>
      <c r="C1413" s="8"/>
      <c r="D1413" s="8">
        <v>27.9026907562088</v>
      </c>
      <c r="E1413" s="9" t="s">
        <v>1422</v>
      </c>
      <c r="I1413" s="12" t="str">
        <f>IFERROR(__xludf.DUMMYFUNCTION("""COMPUTED_VALUE"""),"0x7700352e20140e1604c597cda9e5f17b057716c4")</f>
        <v>0x7700352e20140e1604c597cda9e5f17b057716c4</v>
      </c>
      <c r="J1413" s="11">
        <v>27.9026907562088</v>
      </c>
      <c r="K1413" s="12">
        <v>62.005979458241775</v>
      </c>
      <c r="L1413" s="13">
        <v>6.200597945824177E19</v>
      </c>
      <c r="M1413" s="9">
        <v>6.2005979458241782E18</v>
      </c>
    </row>
    <row r="1414" ht="15.75" customHeight="1">
      <c r="A1414" s="8"/>
      <c r="B1414" s="8"/>
      <c r="C1414" s="8"/>
      <c r="D1414" s="8">
        <v>27.9026907562088</v>
      </c>
      <c r="E1414" s="9" t="s">
        <v>1423</v>
      </c>
      <c r="I1414" s="12" t="str">
        <f>IFERROR(__xludf.DUMMYFUNCTION("""COMPUTED_VALUE"""),"0x77094aa58741d80aa1b6b6e935e6e8cde9115506")</f>
        <v>0x77094aa58741d80aa1b6b6e935e6e8cde9115506</v>
      </c>
      <c r="J1414" s="11">
        <v>27.9026907562088</v>
      </c>
      <c r="K1414" s="12">
        <v>62.005979458241775</v>
      </c>
      <c r="L1414" s="13">
        <v>6.200597945824177E19</v>
      </c>
      <c r="M1414" s="9">
        <v>6.2005979458241782E18</v>
      </c>
    </row>
    <row r="1415" ht="15.75" customHeight="1">
      <c r="A1415" s="8"/>
      <c r="B1415" s="8"/>
      <c r="C1415" s="8"/>
      <c r="D1415" s="8">
        <v>27.9026907562088</v>
      </c>
      <c r="E1415" s="9" t="s">
        <v>1424</v>
      </c>
      <c r="I1415" s="12" t="str">
        <f>IFERROR(__xludf.DUMMYFUNCTION("""COMPUTED_VALUE"""),"0x7717f84f529caafd879386b99972563deef753f7")</f>
        <v>0x7717f84f529caafd879386b99972563deef753f7</v>
      </c>
      <c r="J1415" s="11">
        <v>27.9026907562088</v>
      </c>
      <c r="K1415" s="12">
        <v>62.005979458241775</v>
      </c>
      <c r="L1415" s="13">
        <v>6.200597945824177E19</v>
      </c>
      <c r="M1415" s="9">
        <v>6.2005979458241782E18</v>
      </c>
    </row>
    <row r="1416" ht="15.75" customHeight="1">
      <c r="A1416" s="8"/>
      <c r="B1416" s="8"/>
      <c r="C1416" s="8"/>
      <c r="D1416" s="8">
        <v>27.9026907562088</v>
      </c>
      <c r="E1416" s="9" t="s">
        <v>1425</v>
      </c>
      <c r="I1416" s="12" t="str">
        <f>IFERROR(__xludf.DUMMYFUNCTION("""COMPUTED_VALUE"""),"0x771e2dbd34d17d30b5d324b43d4c32968513164c")</f>
        <v>0x771e2dbd34d17d30b5d324b43d4c32968513164c</v>
      </c>
      <c r="J1416" s="11">
        <v>92.18102743476214</v>
      </c>
      <c r="K1416" s="12">
        <v>204.84672763280474</v>
      </c>
      <c r="L1416" s="13">
        <v>2.0484672763280474E20</v>
      </c>
      <c r="M1416" s="9">
        <v>2.0484672763280474E19</v>
      </c>
    </row>
    <row r="1417" ht="15.75" customHeight="1">
      <c r="A1417" s="8"/>
      <c r="B1417" s="8"/>
      <c r="C1417" s="8"/>
      <c r="D1417" s="8">
        <v>27.9026907562088</v>
      </c>
      <c r="E1417" s="9" t="s">
        <v>1426</v>
      </c>
      <c r="I1417" s="12" t="str">
        <f>IFERROR(__xludf.DUMMYFUNCTION("""COMPUTED_VALUE"""),"0x7730c1da0c358e4eeb7f2641db77e82a5fdea6a4")</f>
        <v>0x7730c1da0c358e4eeb7f2641db77e82a5fdea6a4</v>
      </c>
      <c r="J1417" s="11">
        <v>27.9026907562088</v>
      </c>
      <c r="K1417" s="12">
        <v>62.005979458241775</v>
      </c>
      <c r="L1417" s="13">
        <v>6.200597945824177E19</v>
      </c>
      <c r="M1417" s="9">
        <v>6.2005979458241782E18</v>
      </c>
    </row>
    <row r="1418" ht="15.75" customHeight="1">
      <c r="A1418" s="8"/>
      <c r="B1418" s="8"/>
      <c r="C1418" s="8"/>
      <c r="D1418" s="8">
        <v>26.4805704481148</v>
      </c>
      <c r="E1418" s="9" t="s">
        <v>1427</v>
      </c>
      <c r="I1418" s="12" t="str">
        <f>IFERROR(__xludf.DUMMYFUNCTION("""COMPUTED_VALUE"""),"0x773106a0630dda384ea1b57b37a7ab69308804c4")</f>
        <v>0x773106a0630dda384ea1b57b37a7ab69308804c4</v>
      </c>
      <c r="J1418" s="11">
        <v>26.4805704481148</v>
      </c>
      <c r="K1418" s="12">
        <v>58.84571210692178</v>
      </c>
      <c r="L1418" s="13">
        <v>5.884571210692178E19</v>
      </c>
      <c r="M1418" s="9">
        <v>5.8845712106921779E18</v>
      </c>
    </row>
    <row r="1419" ht="15.75" customHeight="1">
      <c r="A1419" s="8"/>
      <c r="B1419" s="8"/>
      <c r="C1419" s="8"/>
      <c r="D1419" s="8">
        <v>27.9026907562088</v>
      </c>
      <c r="E1419" s="9" t="s">
        <v>1428</v>
      </c>
      <c r="I1419" s="12" t="str">
        <f>IFERROR(__xludf.DUMMYFUNCTION("""COMPUTED_VALUE"""),"0x7740423061557d3a467f92f86d4222a85a8d20bc")</f>
        <v>0x7740423061557d3a467f92f86d4222a85a8d20bc</v>
      </c>
      <c r="J1419" s="11">
        <v>27.9026907562088</v>
      </c>
      <c r="K1419" s="12">
        <v>62.005979458241775</v>
      </c>
      <c r="L1419" s="13">
        <v>6.200597945824177E19</v>
      </c>
      <c r="M1419" s="9">
        <v>6.2005979458241782E18</v>
      </c>
    </row>
    <row r="1420" ht="15.75" customHeight="1">
      <c r="A1420" s="8"/>
      <c r="B1420" s="8"/>
      <c r="C1420" s="8"/>
      <c r="D1420" s="8">
        <v>0.490345263190118</v>
      </c>
      <c r="E1420" s="9" t="s">
        <v>1429</v>
      </c>
      <c r="I1420" s="12" t="str">
        <f>IFERROR(__xludf.DUMMYFUNCTION("""COMPUTED_VALUE"""),"0x775560bb89540337d66fa10193403822cc68669f")</f>
        <v>0x775560bb89540337d66fa10193403822cc68669f</v>
      </c>
      <c r="J1420" s="11">
        <v>63.70765281012611</v>
      </c>
      <c r="K1420" s="12">
        <v>141.57256180028025</v>
      </c>
      <c r="L1420" s="13">
        <v>1.4157256180028026E20</v>
      </c>
      <c r="M1420" s="9">
        <v>1.4157256180028027E19</v>
      </c>
    </row>
    <row r="1421" ht="15.75" customHeight="1">
      <c r="A1421" s="8"/>
      <c r="B1421" s="8"/>
      <c r="C1421" s="8"/>
      <c r="D1421" s="8">
        <v>27.9026907562088</v>
      </c>
      <c r="E1421" s="9" t="s">
        <v>1430</v>
      </c>
      <c r="I1421" s="12" t="str">
        <f>IFERROR(__xludf.DUMMYFUNCTION("""COMPUTED_VALUE"""),"0x7777bd9a0db40450f5afd50022ac064f7b62bde9")</f>
        <v>0x7777bd9a0db40450f5afd50022ac064f7b62bde9</v>
      </c>
      <c r="J1421" s="11">
        <v>27.9026907562088</v>
      </c>
      <c r="K1421" s="12">
        <v>62.005979458241775</v>
      </c>
      <c r="L1421" s="13">
        <v>6.200597945824177E19</v>
      </c>
      <c r="M1421" s="9">
        <v>6.2005979458241782E18</v>
      </c>
    </row>
    <row r="1422" ht="15.75" customHeight="1">
      <c r="A1422" s="8"/>
      <c r="B1422" s="8"/>
      <c r="C1422" s="8"/>
      <c r="D1422" s="8">
        <v>27.9026907562088</v>
      </c>
      <c r="E1422" s="9" t="s">
        <v>1431</v>
      </c>
      <c r="I1422" s="12" t="str">
        <f>IFERROR(__xludf.DUMMYFUNCTION("""COMPUTED_VALUE"""),"0x779df50a790d0a74780e689d0e8035e0a524c159")</f>
        <v>0x779df50a790d0a74780e689d0e8035e0a524c159</v>
      </c>
      <c r="J1422" s="11">
        <v>71.3046055658224</v>
      </c>
      <c r="K1422" s="12">
        <v>158.4546790351609</v>
      </c>
      <c r="L1422" s="13">
        <v>1.584546790351609E20</v>
      </c>
      <c r="M1422" s="9">
        <v>1.584546790351609E19</v>
      </c>
    </row>
    <row r="1423" ht="15.75" customHeight="1">
      <c r="A1423" s="8"/>
      <c r="B1423" s="8"/>
      <c r="C1423" s="8"/>
      <c r="D1423" s="8">
        <v>18.8584179180136</v>
      </c>
      <c r="E1423" s="9" t="s">
        <v>1432</v>
      </c>
      <c r="I1423" s="12" t="str">
        <f>IFERROR(__xludf.DUMMYFUNCTION("""COMPUTED_VALUE"""),"0x77a171b18e19e4e7fa4fb08670c2319e6c055035")</f>
        <v>0x77a171b18e19e4e7fa4fb08670c2319e6c055035</v>
      </c>
      <c r="J1423" s="11">
        <v>18.8584179180136</v>
      </c>
      <c r="K1423" s="12">
        <v>41.907595373363556</v>
      </c>
      <c r="L1423" s="13">
        <v>4.190759537336355E19</v>
      </c>
      <c r="M1423" s="9">
        <v>4.1907595373363553E18</v>
      </c>
    </row>
    <row r="1424" ht="15.75" customHeight="1">
      <c r="A1424" s="8"/>
      <c r="B1424" s="8"/>
      <c r="C1424" s="8"/>
      <c r="D1424" s="8">
        <v>27.1080631648905</v>
      </c>
      <c r="E1424" s="9" t="s">
        <v>1433</v>
      </c>
      <c r="I1424" s="12" t="str">
        <f>IFERROR(__xludf.DUMMYFUNCTION("""COMPUTED_VALUE"""),"0x77a50d6457541d41fe2e67057b08cdeb120f6cbb")</f>
        <v>0x77a50d6457541d41fe2e67057b08cdeb120f6cbb</v>
      </c>
      <c r="J1424" s="11">
        <v>27.1080631648905</v>
      </c>
      <c r="K1424" s="12">
        <v>60.24014036642333</v>
      </c>
      <c r="L1424" s="13">
        <v>6.0240140366423335E19</v>
      </c>
      <c r="M1424" s="9">
        <v>6.0240140366423337E18</v>
      </c>
    </row>
    <row r="1425" ht="15.75" customHeight="1">
      <c r="A1425" s="8"/>
      <c r="B1425" s="8"/>
      <c r="C1425" s="8"/>
      <c r="D1425" s="8">
        <v>27.7783103576675</v>
      </c>
      <c r="E1425" s="9" t="s">
        <v>1434</v>
      </c>
      <c r="I1425" s="12" t="str">
        <f>IFERROR(__xludf.DUMMYFUNCTION("""COMPUTED_VALUE"""),"0x77b6196f5e800cd8cff9955a43694e358e115d85")</f>
        <v>0x77b6196f5e800cd8cff9955a43694e358e115d85</v>
      </c>
      <c r="J1425" s="11">
        <v>27.7783103576675</v>
      </c>
      <c r="K1425" s="12">
        <v>61.72957857259444</v>
      </c>
      <c r="L1425" s="13">
        <v>6.172957857259444E19</v>
      </c>
      <c r="M1425" s="9">
        <v>6.1729578572594442E18</v>
      </c>
    </row>
    <row r="1426" ht="15.75" customHeight="1">
      <c r="A1426" s="8"/>
      <c r="B1426" s="8"/>
      <c r="C1426" s="8"/>
      <c r="D1426" s="8">
        <v>27.9026907562088</v>
      </c>
      <c r="E1426" s="9" t="s">
        <v>1435</v>
      </c>
      <c r="I1426" s="12" t="str">
        <f>IFERROR(__xludf.DUMMYFUNCTION("""COMPUTED_VALUE"""),"0x77bb994a32abbd5fd8bf8007b1d152eb6c9f72eb")</f>
        <v>0x77bb994a32abbd5fd8bf8007b1d152eb6c9f72eb</v>
      </c>
      <c r="J1426" s="11">
        <v>27.9026907562088</v>
      </c>
      <c r="K1426" s="12">
        <v>62.005979458241775</v>
      </c>
      <c r="L1426" s="13">
        <v>6.200597945824177E19</v>
      </c>
      <c r="M1426" s="9">
        <v>6.2005979458241782E18</v>
      </c>
    </row>
    <row r="1427" ht="15.75" customHeight="1">
      <c r="A1427" s="8"/>
      <c r="B1427" s="8"/>
      <c r="C1427" s="8"/>
      <c r="D1427" s="8">
        <v>19.0682238303842</v>
      </c>
      <c r="E1427" s="9" t="s">
        <v>1436</v>
      </c>
      <c r="I1427" s="12" t="str">
        <f>IFERROR(__xludf.DUMMYFUNCTION("""COMPUTED_VALUE"""),"0x77f8d21e739dd90083122a97f2cd9987e791e605")</f>
        <v>0x77f8d21e739dd90083122a97f2cd9987e791e605</v>
      </c>
      <c r="J1427" s="11">
        <v>62.955849574586196</v>
      </c>
      <c r="K1427" s="12">
        <v>139.90188794352488</v>
      </c>
      <c r="L1427" s="13">
        <v>1.3990188794352488E20</v>
      </c>
      <c r="M1427" s="9">
        <v>1.3990188794352488E19</v>
      </c>
    </row>
    <row r="1428" ht="15.75" customHeight="1">
      <c r="A1428" s="8"/>
      <c r="B1428" s="8"/>
      <c r="C1428" s="8"/>
      <c r="D1428" s="8">
        <v>27.9026907562088</v>
      </c>
      <c r="E1428" s="9" t="s">
        <v>1437</v>
      </c>
      <c r="I1428" s="12" t="str">
        <f>IFERROR(__xludf.DUMMYFUNCTION("""COMPUTED_VALUE"""),"0x783f5c16094b30d610cb5d2f2eb12a91a452eff0")</f>
        <v>0x783f5c16094b30d610cb5d2f2eb12a91a452eff0</v>
      </c>
      <c r="J1428" s="11">
        <v>125.7939821225651</v>
      </c>
      <c r="K1428" s="12">
        <v>279.5421824945891</v>
      </c>
      <c r="L1428" s="13">
        <v>2.795421824945891E20</v>
      </c>
      <c r="M1428" s="9">
        <v>2.795421824945891E19</v>
      </c>
    </row>
    <row r="1429" ht="15.75" customHeight="1">
      <c r="A1429" s="8"/>
      <c r="B1429" s="8"/>
      <c r="C1429" s="8"/>
      <c r="D1429" s="8">
        <v>24.5387886768888</v>
      </c>
      <c r="E1429" s="9" t="s">
        <v>1438</v>
      </c>
      <c r="I1429" s="12" t="str">
        <f>IFERROR(__xludf.DUMMYFUNCTION("""COMPUTED_VALUE"""),"0x785c73db0baeff4b96701fdfd36f79b75453f741")</f>
        <v>0x785c73db0baeff4b96701fdfd36f79b75453f741</v>
      </c>
      <c r="J1429" s="11">
        <v>24.5387886768888</v>
      </c>
      <c r="K1429" s="12">
        <v>54.530641504197334</v>
      </c>
      <c r="L1429" s="13">
        <v>5.453064150419734E19</v>
      </c>
      <c r="M1429" s="9">
        <v>5.4530641504197335E18</v>
      </c>
    </row>
    <row r="1430" ht="15.75" customHeight="1">
      <c r="A1430" s="8"/>
      <c r="B1430" s="8"/>
      <c r="C1430" s="8"/>
      <c r="D1430" s="8">
        <v>19.9029374041768</v>
      </c>
      <c r="E1430" s="9" t="s">
        <v>1439</v>
      </c>
      <c r="I1430" s="12" t="str">
        <f>IFERROR(__xludf.DUMMYFUNCTION("""COMPUTED_VALUE"""),"0x7863fa4c0c67f6b2121920aeff3a55731fff2507")</f>
        <v>0x7863fa4c0c67f6b2121920aeff3a55731fff2507</v>
      </c>
      <c r="J1430" s="11">
        <v>19.9029374041768</v>
      </c>
      <c r="K1430" s="12">
        <v>44.228749787059556</v>
      </c>
      <c r="L1430" s="13">
        <v>4.422874978705955E19</v>
      </c>
      <c r="M1430" s="9">
        <v>4.4228749787059553E18</v>
      </c>
    </row>
    <row r="1431" ht="15.75" customHeight="1">
      <c r="A1431" s="8"/>
      <c r="B1431" s="8"/>
      <c r="C1431" s="8"/>
      <c r="D1431" s="8">
        <v>27.9026907562088</v>
      </c>
      <c r="E1431" s="9" t="s">
        <v>1440</v>
      </c>
      <c r="I1431" s="12" t="str">
        <f>IFERROR(__xludf.DUMMYFUNCTION("""COMPUTED_VALUE"""),"0x788d24a6839cdef858bc1ccb292dbdb190d5c2c9")</f>
        <v>0x788d24a6839cdef858bc1ccb292dbdb190d5c2c9</v>
      </c>
      <c r="J1431" s="11">
        <v>40.5201607894776</v>
      </c>
      <c r="K1431" s="12">
        <v>90.04480175439467</v>
      </c>
      <c r="L1431" s="13">
        <v>9.004480175439467E19</v>
      </c>
      <c r="M1431" s="9">
        <v>9.0044801754394675E18</v>
      </c>
    </row>
    <row r="1432" ht="15.75" customHeight="1">
      <c r="A1432" s="8"/>
      <c r="B1432" s="8"/>
      <c r="C1432" s="8"/>
      <c r="D1432" s="8">
        <v>27.9026907562088</v>
      </c>
      <c r="E1432" s="9" t="s">
        <v>1441</v>
      </c>
      <c r="I1432" s="12" t="str">
        <f>IFERROR(__xludf.DUMMYFUNCTION("""COMPUTED_VALUE"""),"0x7898807ee44e0112f93cd39b0a6a10b4dd2f26ec")</f>
        <v>0x7898807ee44e0112f93cd39b0a6a10b4dd2f26ec</v>
      </c>
      <c r="J1432" s="11">
        <v>236.7841651698748</v>
      </c>
      <c r="K1432" s="12">
        <v>526.1870337108329</v>
      </c>
      <c r="L1432" s="13">
        <v>5.261870337108329E20</v>
      </c>
      <c r="M1432" s="9">
        <v>5.261870337108329E19</v>
      </c>
    </row>
    <row r="1433" ht="15.75" customHeight="1">
      <c r="A1433" s="8"/>
      <c r="B1433" s="8"/>
      <c r="C1433" s="8"/>
      <c r="D1433" s="8">
        <v>27.9026907562088</v>
      </c>
      <c r="E1433" s="9" t="s">
        <v>1442</v>
      </c>
      <c r="I1433" s="12" t="str">
        <f>IFERROR(__xludf.DUMMYFUNCTION("""COMPUTED_VALUE"""),"0x78a694ec1e462012fa16ea1d3e6608ceeae06074")</f>
        <v>0x78a694ec1e462012fa16ea1d3e6608ceeae06074</v>
      </c>
      <c r="J1433" s="11">
        <v>91.1199983031448</v>
      </c>
      <c r="K1433" s="12">
        <v>202.48888511809955</v>
      </c>
      <c r="L1433" s="13">
        <v>2.0248888511809955E20</v>
      </c>
      <c r="M1433" s="9">
        <v>2.0248888511809958E19</v>
      </c>
    </row>
    <row r="1434" ht="15.75" customHeight="1">
      <c r="A1434" s="8"/>
      <c r="B1434" s="8"/>
      <c r="C1434" s="8"/>
      <c r="D1434" s="8">
        <v>27.9026907562088</v>
      </c>
      <c r="E1434" s="9" t="s">
        <v>1443</v>
      </c>
      <c r="I1434" s="12" t="str">
        <f>IFERROR(__xludf.DUMMYFUNCTION("""COMPUTED_VALUE"""),"0x78f48b160cc01001f01d317aa4b7c09f9fea7b8b")</f>
        <v>0x78f48b160cc01001f01d317aa4b7c09f9fea7b8b</v>
      </c>
      <c r="J1434" s="11">
        <v>60.7756906806155</v>
      </c>
      <c r="K1434" s="12">
        <v>135.05709040136776</v>
      </c>
      <c r="L1434" s="13">
        <v>1.3505709040136775E20</v>
      </c>
      <c r="M1434" s="9">
        <v>1.3505709040136776E19</v>
      </c>
    </row>
    <row r="1435" ht="15.75" customHeight="1">
      <c r="A1435" s="8"/>
      <c r="B1435" s="8"/>
      <c r="C1435" s="8"/>
      <c r="D1435" s="8">
        <v>27.9026907562088</v>
      </c>
      <c r="E1435" s="9" t="s">
        <v>1444</v>
      </c>
      <c r="I1435" s="12" t="str">
        <f>IFERROR(__xludf.DUMMYFUNCTION("""COMPUTED_VALUE"""),"0x78f64a5c3ea827c8a41fd76a2c59cac11ca17152")</f>
        <v>0x78f64a5c3ea827c8a41fd76a2c59cac11ca17152</v>
      </c>
      <c r="J1435" s="11">
        <v>130.0358050589476</v>
      </c>
      <c r="K1435" s="12">
        <v>288.9684556865502</v>
      </c>
      <c r="L1435" s="13">
        <v>2.8896845568655022E20</v>
      </c>
      <c r="M1435" s="9">
        <v>2.8896845568655024E19</v>
      </c>
    </row>
    <row r="1436" ht="15.75" customHeight="1">
      <c r="A1436" s="8"/>
      <c r="B1436" s="8"/>
      <c r="C1436" s="8"/>
      <c r="D1436" s="8">
        <v>27.9026907562088</v>
      </c>
      <c r="E1436" s="9" t="s">
        <v>1445</v>
      </c>
      <c r="I1436" s="12" t="str">
        <f>IFERROR(__xludf.DUMMYFUNCTION("""COMPUTED_VALUE"""),"0x790de6f4edcc1ecc49cfd1ecbddd320d851c4f15")</f>
        <v>0x790de6f4edcc1ecc49cfd1ecbddd320d851c4f15</v>
      </c>
      <c r="J1436" s="11">
        <v>27.9026907562088</v>
      </c>
      <c r="K1436" s="12">
        <v>62.005979458241775</v>
      </c>
      <c r="L1436" s="13">
        <v>6.200597945824177E19</v>
      </c>
      <c r="M1436" s="9">
        <v>6.2005979458241782E18</v>
      </c>
    </row>
    <row r="1437" ht="15.75" customHeight="1">
      <c r="A1437" s="8"/>
      <c r="B1437" s="8"/>
      <c r="C1437" s="8"/>
      <c r="D1437" s="8">
        <v>27.9026907562088</v>
      </c>
      <c r="E1437" s="9" t="s">
        <v>1446</v>
      </c>
      <c r="I1437" s="12" t="str">
        <f>IFERROR(__xludf.DUMMYFUNCTION("""COMPUTED_VALUE"""),"0x79163d478e6c608bede549bdd9b17adcfe362b6d")</f>
        <v>0x79163d478e6c608bede549bdd9b17adcfe362b6d</v>
      </c>
      <c r="J1437" s="11">
        <v>27.9026907562088</v>
      </c>
      <c r="K1437" s="12">
        <v>62.005979458241775</v>
      </c>
      <c r="L1437" s="13">
        <v>6.200597945824177E19</v>
      </c>
      <c r="M1437" s="9">
        <v>6.2005979458241782E18</v>
      </c>
    </row>
    <row r="1438" ht="15.75" customHeight="1">
      <c r="A1438" s="8"/>
      <c r="B1438" s="8"/>
      <c r="C1438" s="8"/>
      <c r="D1438" s="8">
        <v>27.9026907562088</v>
      </c>
      <c r="E1438" s="9" t="s">
        <v>1447</v>
      </c>
      <c r="I1438" s="12" t="str">
        <f>IFERROR(__xludf.DUMMYFUNCTION("""COMPUTED_VALUE"""),"0x7921780c2056488ba01ba469c1bb40151622bdac")</f>
        <v>0x7921780c2056488ba01ba469c1bb40151622bdac</v>
      </c>
      <c r="J1438" s="11">
        <v>91.1199983031448</v>
      </c>
      <c r="K1438" s="12">
        <v>202.48888511809955</v>
      </c>
      <c r="L1438" s="13">
        <v>2.0248888511809955E20</v>
      </c>
      <c r="M1438" s="9">
        <v>2.0248888511809958E19</v>
      </c>
    </row>
    <row r="1439" ht="15.75" customHeight="1">
      <c r="A1439" s="8"/>
      <c r="B1439" s="8"/>
      <c r="C1439" s="8"/>
      <c r="D1439" s="8">
        <v>27.9026907562088</v>
      </c>
      <c r="E1439" s="9" t="s">
        <v>1448</v>
      </c>
      <c r="I1439" s="12" t="str">
        <f>IFERROR(__xludf.DUMMYFUNCTION("""COMPUTED_VALUE"""),"0x792ff39e292d988efc05a850684b26908956a366")</f>
        <v>0x792ff39e292d988efc05a850684b26908956a366</v>
      </c>
      <c r="J1439" s="11">
        <v>27.9026907562088</v>
      </c>
      <c r="K1439" s="12">
        <v>62.005979458241775</v>
      </c>
      <c r="L1439" s="13">
        <v>6.200597945824177E19</v>
      </c>
      <c r="M1439" s="9">
        <v>6.2005979458241782E18</v>
      </c>
    </row>
    <row r="1440" ht="15.75" customHeight="1">
      <c r="A1440" s="8"/>
      <c r="B1440" s="8"/>
      <c r="C1440" s="8"/>
      <c r="D1440" s="8">
        <v>27.9026907562088</v>
      </c>
      <c r="E1440" s="9" t="s">
        <v>1449</v>
      </c>
      <c r="I1440" s="12" t="str">
        <f>IFERROR(__xludf.DUMMYFUNCTION("""COMPUTED_VALUE"""),"0x7956180b8f62d9744765d68d400040d0ff16173c")</f>
        <v>0x7956180b8f62d9744765d68d400040d0ff16173c</v>
      </c>
      <c r="J1440" s="11">
        <v>27.9026907562088</v>
      </c>
      <c r="K1440" s="12">
        <v>62.005979458241775</v>
      </c>
      <c r="L1440" s="13">
        <v>6.200597945824177E19</v>
      </c>
      <c r="M1440" s="9">
        <v>6.2005979458241782E18</v>
      </c>
    </row>
    <row r="1441" ht="15.75" customHeight="1">
      <c r="A1441" s="8"/>
      <c r="B1441" s="8"/>
      <c r="C1441" s="8"/>
      <c r="D1441" s="8">
        <v>27.9026907562088</v>
      </c>
      <c r="E1441" s="9" t="s">
        <v>1450</v>
      </c>
      <c r="I1441" s="12" t="str">
        <f>IFERROR(__xludf.DUMMYFUNCTION("""COMPUTED_VALUE"""),"0x7959f5ef5a0d293dd6af82d8547d21390d75194e")</f>
        <v>0x7959f5ef5a0d293dd6af82d8547d21390d75194e</v>
      </c>
      <c r="J1441" s="11">
        <v>27.9026907562088</v>
      </c>
      <c r="K1441" s="12">
        <v>62.005979458241775</v>
      </c>
      <c r="L1441" s="13">
        <v>6.200597945824177E19</v>
      </c>
      <c r="M1441" s="9">
        <v>6.2005979458241782E18</v>
      </c>
    </row>
    <row r="1442" ht="15.75" customHeight="1">
      <c r="A1442" s="8"/>
      <c r="B1442" s="8"/>
      <c r="C1442" s="8"/>
      <c r="D1442" s="8">
        <v>27.9026907562088</v>
      </c>
      <c r="E1442" s="9" t="s">
        <v>1451</v>
      </c>
      <c r="I1442" s="12" t="str">
        <f>IFERROR(__xludf.DUMMYFUNCTION("""COMPUTED_VALUE"""),"0x79660566763ee508f02e6067a702e71673440c46")</f>
        <v>0x79660566763ee508f02e6067a702e71673440c46</v>
      </c>
      <c r="J1442" s="11">
        <v>27.9026907562088</v>
      </c>
      <c r="K1442" s="12">
        <v>62.005979458241775</v>
      </c>
      <c r="L1442" s="13">
        <v>6.200597945824177E19</v>
      </c>
      <c r="M1442" s="9">
        <v>6.2005979458241782E18</v>
      </c>
    </row>
    <row r="1443" ht="15.75" customHeight="1">
      <c r="A1443" s="8"/>
      <c r="B1443" s="8"/>
      <c r="C1443" s="8"/>
      <c r="D1443" s="8">
        <v>27.5809579952627</v>
      </c>
      <c r="E1443" s="9" t="s">
        <v>1452</v>
      </c>
      <c r="I1443" s="12" t="str">
        <f>IFERROR(__xludf.DUMMYFUNCTION("""COMPUTED_VALUE"""),"0x796d36fcee30f16e247a879ae70622124e6d43ed")</f>
        <v>0x796d36fcee30f16e247a879ae70622124e6d43ed</v>
      </c>
      <c r="J1443" s="11">
        <v>27.5809579952627</v>
      </c>
      <c r="K1443" s="12">
        <v>61.291017767250445</v>
      </c>
      <c r="L1443" s="13">
        <v>6.1291017767250444E19</v>
      </c>
      <c r="M1443" s="9">
        <v>6.1291017767250452E18</v>
      </c>
    </row>
    <row r="1444" ht="15.75" customHeight="1">
      <c r="A1444" s="8"/>
      <c r="B1444" s="8"/>
      <c r="C1444" s="8"/>
      <c r="D1444" s="8">
        <v>27.9026907562088</v>
      </c>
      <c r="E1444" s="9" t="s">
        <v>1453</v>
      </c>
      <c r="I1444" s="12" t="str">
        <f>IFERROR(__xludf.DUMMYFUNCTION("""COMPUTED_VALUE"""),"0x7977a061378927bac23a93092adf5fdde8103924")</f>
        <v>0x7977a061378927bac23a93092adf5fdde8103924</v>
      </c>
      <c r="J1444" s="11">
        <v>91.1199983031448</v>
      </c>
      <c r="K1444" s="12">
        <v>202.48888511809955</v>
      </c>
      <c r="L1444" s="13">
        <v>2.0248888511809955E20</v>
      </c>
      <c r="M1444" s="9">
        <v>2.0248888511809958E19</v>
      </c>
    </row>
    <row r="1445" ht="15.75" customHeight="1">
      <c r="A1445" s="8"/>
      <c r="B1445" s="8"/>
      <c r="C1445" s="8"/>
      <c r="D1445" s="8">
        <v>27.9026907562088</v>
      </c>
      <c r="E1445" s="9" t="s">
        <v>1454</v>
      </c>
      <c r="I1445" s="12" t="str">
        <f>IFERROR(__xludf.DUMMYFUNCTION("""COMPUTED_VALUE"""),"0x79aab68ea04b5e0886d8e33748938ed4a8915e5d")</f>
        <v>0x79aab68ea04b5e0886d8e33748938ed4a8915e5d</v>
      </c>
      <c r="J1445" s="11">
        <v>27.9026907562088</v>
      </c>
      <c r="K1445" s="12">
        <v>62.005979458241775</v>
      </c>
      <c r="L1445" s="13">
        <v>6.200597945824177E19</v>
      </c>
      <c r="M1445" s="9">
        <v>6.2005979458241782E18</v>
      </c>
    </row>
    <row r="1446" ht="15.75" customHeight="1">
      <c r="A1446" s="8"/>
      <c r="B1446" s="8"/>
      <c r="C1446" s="8"/>
      <c r="D1446" s="8">
        <v>27.9026907562088</v>
      </c>
      <c r="E1446" s="9" t="s">
        <v>1455</v>
      </c>
      <c r="I1446" s="12" t="str">
        <f>IFERROR(__xludf.DUMMYFUNCTION("""COMPUTED_VALUE"""),"0x79ab4091336d65fe868e99f2cc8a32e7f059ce62")</f>
        <v>0x79ab4091336d65fe868e99f2cc8a32e7f059ce62</v>
      </c>
      <c r="J1446" s="11">
        <v>27.9026907562088</v>
      </c>
      <c r="K1446" s="12">
        <v>62.005979458241775</v>
      </c>
      <c r="L1446" s="13">
        <v>6.200597945824177E19</v>
      </c>
      <c r="M1446" s="9">
        <v>6.2005979458241782E18</v>
      </c>
    </row>
    <row r="1447" ht="15.75" customHeight="1">
      <c r="A1447" s="8"/>
      <c r="B1447" s="8"/>
      <c r="C1447" s="8"/>
      <c r="D1447" s="8">
        <v>24.5306811073698</v>
      </c>
      <c r="E1447" s="9" t="s">
        <v>1456</v>
      </c>
      <c r="I1447" s="12" t="str">
        <f>IFERROR(__xludf.DUMMYFUNCTION("""COMPUTED_VALUE"""),"0x7a146ab6a1eb2769c908a1daa164bcc33136f5c8")</f>
        <v>0x7a146ab6a1eb2769c908a1daa164bcc33136f5c8</v>
      </c>
      <c r="J1447" s="11">
        <v>24.5306811073698</v>
      </c>
      <c r="K1447" s="12">
        <v>54.512624683044</v>
      </c>
      <c r="L1447" s="13">
        <v>5.4512624683044E19</v>
      </c>
      <c r="M1447" s="9">
        <v>5.4512624683044004E18</v>
      </c>
    </row>
    <row r="1448" ht="15.75" customHeight="1">
      <c r="A1448" s="8"/>
      <c r="B1448" s="8"/>
      <c r="C1448" s="8"/>
      <c r="D1448" s="8">
        <v>27.9026907562088</v>
      </c>
      <c r="E1448" s="9" t="s">
        <v>1457</v>
      </c>
      <c r="I1448" s="12" t="str">
        <f>IFERROR(__xludf.DUMMYFUNCTION("""COMPUTED_VALUE"""),"0x7a2dcf8be9e1ba85ba3e390d2c9bb14fc98b606e")</f>
        <v>0x7a2dcf8be9e1ba85ba3e390d2c9bb14fc98b606e</v>
      </c>
      <c r="J1448" s="11">
        <v>27.9026907562088</v>
      </c>
      <c r="K1448" s="12">
        <v>62.005979458241775</v>
      </c>
      <c r="L1448" s="13">
        <v>6.200597945824177E19</v>
      </c>
      <c r="M1448" s="9">
        <v>6.2005979458241782E18</v>
      </c>
    </row>
    <row r="1449" ht="15.75" customHeight="1">
      <c r="A1449" s="8"/>
      <c r="B1449" s="8"/>
      <c r="C1449" s="8"/>
      <c r="D1449" s="8">
        <v>27.9026907562088</v>
      </c>
      <c r="E1449" s="9" t="s">
        <v>1458</v>
      </c>
      <c r="I1449" s="12" t="str">
        <f>IFERROR(__xludf.DUMMYFUNCTION("""COMPUTED_VALUE"""),"0x7a5bc6b106c8f7f92a2c28a7e3b6bf0c9b7ed57e")</f>
        <v>0x7a5bc6b106c8f7f92a2c28a7e3b6bf0c9b7ed57e</v>
      </c>
      <c r="J1449" s="11">
        <v>91.1199983031448</v>
      </c>
      <c r="K1449" s="12">
        <v>202.48888511809955</v>
      </c>
      <c r="L1449" s="13">
        <v>2.0248888511809955E20</v>
      </c>
      <c r="M1449" s="9">
        <v>2.0248888511809958E19</v>
      </c>
    </row>
    <row r="1450" ht="15.75" customHeight="1">
      <c r="A1450" s="8"/>
      <c r="B1450" s="8"/>
      <c r="C1450" s="8"/>
      <c r="D1450" s="8">
        <v>27.9026907562088</v>
      </c>
      <c r="E1450" s="9" t="s">
        <v>1459</v>
      </c>
      <c r="I1450" s="12" t="str">
        <f>IFERROR(__xludf.DUMMYFUNCTION("""COMPUTED_VALUE"""),"0x7a6588392d843eaa69373d85b3314d3ecb3fe9f3")</f>
        <v>0x7a6588392d843eaa69373d85b3314d3ecb3fe9f3</v>
      </c>
      <c r="J1450" s="11">
        <v>91.1199983031448</v>
      </c>
      <c r="K1450" s="12">
        <v>202.48888511809955</v>
      </c>
      <c r="L1450" s="13">
        <v>2.0248888511809955E20</v>
      </c>
      <c r="M1450" s="9">
        <v>2.0248888511809958E19</v>
      </c>
    </row>
    <row r="1451" ht="15.75" customHeight="1">
      <c r="A1451" s="8"/>
      <c r="B1451" s="8"/>
      <c r="C1451" s="8"/>
      <c r="D1451" s="8">
        <v>27.9026907562088</v>
      </c>
      <c r="E1451" s="9" t="s">
        <v>1460</v>
      </c>
      <c r="I1451" s="12" t="str">
        <f>IFERROR(__xludf.DUMMYFUNCTION("""COMPUTED_VALUE"""),"0x7a6fc813508f9d4bf4459e2cd9abe3e4127991cb")</f>
        <v>0x7a6fc813508f9d4bf4459e2cd9abe3e4127991cb</v>
      </c>
      <c r="J1451" s="11">
        <v>40.7990214957837</v>
      </c>
      <c r="K1451" s="12">
        <v>90.66449221285266</v>
      </c>
      <c r="L1451" s="13">
        <v>9.066449221285267E19</v>
      </c>
      <c r="M1451" s="9">
        <v>9.0664492212852675E18</v>
      </c>
    </row>
    <row r="1452" ht="15.75" customHeight="1">
      <c r="A1452" s="8"/>
      <c r="B1452" s="8"/>
      <c r="C1452" s="8"/>
      <c r="D1452" s="8">
        <v>27.9026907562088</v>
      </c>
      <c r="E1452" s="9" t="s">
        <v>1461</v>
      </c>
      <c r="I1452" s="12" t="str">
        <f>IFERROR(__xludf.DUMMYFUNCTION("""COMPUTED_VALUE"""),"0x7a9e2a02d8b060a0f614afec961feacb9dc24384")</f>
        <v>0x7a9e2a02d8b060a0f614afec961feacb9dc24384</v>
      </c>
      <c r="J1452" s="11">
        <v>332.8260740634358</v>
      </c>
      <c r="K1452" s="12">
        <v>739.6134979187461</v>
      </c>
      <c r="L1452" s="13">
        <v>7.396134979187461E20</v>
      </c>
      <c r="M1452" s="9">
        <v>7.396134979187461E19</v>
      </c>
    </row>
    <row r="1453" ht="15.75" customHeight="1">
      <c r="A1453" s="8"/>
      <c r="B1453" s="8"/>
      <c r="C1453" s="8"/>
      <c r="D1453" s="8">
        <v>26.8027471391571</v>
      </c>
      <c r="E1453" s="9" t="s">
        <v>1462</v>
      </c>
      <c r="I1453" s="12" t="str">
        <f>IFERROR(__xludf.DUMMYFUNCTION("""COMPUTED_VALUE"""),"0x7ab8ce296f460ee6565e37cf46b4598161b4a539")</f>
        <v>0x7ab8ce296f460ee6565e37cf46b4598161b4a539</v>
      </c>
      <c r="J1453" s="11">
        <v>39.0452936671325</v>
      </c>
      <c r="K1453" s="12">
        <v>86.76731926029444</v>
      </c>
      <c r="L1453" s="13">
        <v>8.676731926029445E19</v>
      </c>
      <c r="M1453" s="9">
        <v>8.6767319260294451E18</v>
      </c>
    </row>
    <row r="1454" ht="15.75" customHeight="1">
      <c r="A1454" s="8"/>
      <c r="B1454" s="8"/>
      <c r="C1454" s="8"/>
      <c r="D1454" s="8">
        <v>20.2483109444236</v>
      </c>
      <c r="E1454" s="9" t="s">
        <v>1463</v>
      </c>
      <c r="I1454" s="12" t="str">
        <f>IFERROR(__xludf.DUMMYFUNCTION("""COMPUTED_VALUE"""),"0x7abf0455aad4fcca29d4ceab525ba06e2431a544")</f>
        <v>0x7abf0455aad4fcca29d4ceab525ba06e2431a544</v>
      </c>
      <c r="J1454" s="11">
        <v>20.2483109444236</v>
      </c>
      <c r="K1454" s="12">
        <v>44.99624654316356</v>
      </c>
      <c r="L1454" s="13">
        <v>4.4996246543163556E19</v>
      </c>
      <c r="M1454" s="9">
        <v>4.4996246543163556E18</v>
      </c>
    </row>
    <row r="1455" ht="15.75" customHeight="1">
      <c r="A1455" s="8"/>
      <c r="B1455" s="8"/>
      <c r="C1455" s="8"/>
      <c r="D1455" s="8">
        <v>27.4803899843407</v>
      </c>
      <c r="E1455" s="9" t="s">
        <v>1464</v>
      </c>
      <c r="I1455" s="12" t="str">
        <f>IFERROR(__xludf.DUMMYFUNCTION("""COMPUTED_VALUE"""),"0x7ad66087430103caccc64eaaba8b1dbf4fe1c9fe")</f>
        <v>0x7ad66087430103caccc64eaaba8b1dbf4fe1c9fe</v>
      </c>
      <c r="J1455" s="11">
        <v>27.4803899843407</v>
      </c>
      <c r="K1455" s="12">
        <v>61.06753329853489</v>
      </c>
      <c r="L1455" s="13">
        <v>6.106753329853489E19</v>
      </c>
      <c r="M1455" s="9">
        <v>6.1067533298534892E18</v>
      </c>
    </row>
    <row r="1456" ht="15.75" customHeight="1">
      <c r="A1456" s="8"/>
      <c r="B1456" s="8"/>
      <c r="C1456" s="8"/>
      <c r="D1456" s="8">
        <v>27.9026907562088</v>
      </c>
      <c r="E1456" s="9" t="s">
        <v>1465</v>
      </c>
      <c r="I1456" s="12" t="str">
        <f>IFERROR(__xludf.DUMMYFUNCTION("""COMPUTED_VALUE"""),"0x7adee7a7b545c3af2a15370d8c70ef5bf942258b")</f>
        <v>0x7adee7a7b545c3af2a15370d8c70ef5bf942258b</v>
      </c>
      <c r="J1456" s="11">
        <v>27.9026907562088</v>
      </c>
      <c r="K1456" s="12">
        <v>62.005979458241775</v>
      </c>
      <c r="L1456" s="13">
        <v>6.200597945824177E19</v>
      </c>
      <c r="M1456" s="9">
        <v>6.2005979458241782E18</v>
      </c>
    </row>
    <row r="1457" ht="15.75" customHeight="1">
      <c r="A1457" s="8"/>
      <c r="B1457" s="8"/>
      <c r="C1457" s="8"/>
      <c r="D1457" s="8">
        <v>27.9026907562088</v>
      </c>
      <c r="E1457" s="9" t="s">
        <v>1466</v>
      </c>
      <c r="I1457" s="12" t="str">
        <f>IFERROR(__xludf.DUMMYFUNCTION("""COMPUTED_VALUE"""),"0x7afab1ab061627186568eddc5e963e61edebb87d")</f>
        <v>0x7afab1ab061627186568eddc5e963e61edebb87d</v>
      </c>
      <c r="J1457" s="11">
        <v>65.85866751815749</v>
      </c>
      <c r="K1457" s="12">
        <v>146.35259448479442</v>
      </c>
      <c r="L1457" s="13">
        <v>1.4635259448479443E20</v>
      </c>
      <c r="M1457" s="9">
        <v>1.4635259448479443E19</v>
      </c>
    </row>
    <row r="1458" ht="15.75" customHeight="1">
      <c r="A1458" s="8"/>
      <c r="B1458" s="8"/>
      <c r="C1458" s="8"/>
      <c r="D1458" s="8">
        <v>27.9026907562088</v>
      </c>
      <c r="E1458" s="9" t="s">
        <v>1467</v>
      </c>
      <c r="I1458" s="12" t="str">
        <f>IFERROR(__xludf.DUMMYFUNCTION("""COMPUTED_VALUE"""),"0x7b01289f65f037a0b2d68ea2de99bbdd6897d53a")</f>
        <v>0x7b01289f65f037a0b2d68ea2de99bbdd6897d53a</v>
      </c>
      <c r="J1458" s="11">
        <v>27.9026907562088</v>
      </c>
      <c r="K1458" s="12">
        <v>62.005979458241775</v>
      </c>
      <c r="L1458" s="13">
        <v>6.200597945824177E19</v>
      </c>
      <c r="M1458" s="9">
        <v>6.2005979458241782E18</v>
      </c>
    </row>
    <row r="1459" ht="15.75" customHeight="1">
      <c r="A1459" s="8"/>
      <c r="B1459" s="8"/>
      <c r="C1459" s="8"/>
      <c r="D1459" s="8">
        <v>27.9026907562088</v>
      </c>
      <c r="E1459" s="9" t="s">
        <v>1468</v>
      </c>
      <c r="I1459" s="12" t="str">
        <f>IFERROR(__xludf.DUMMYFUNCTION("""COMPUTED_VALUE"""),"0x7b200c3e7fb825b17c3d7da1e7d29379036cfbed")</f>
        <v>0x7b200c3e7fb825b17c3d7da1e7d29379036cfbed</v>
      </c>
      <c r="J1459" s="11">
        <v>91.1199983031448</v>
      </c>
      <c r="K1459" s="12">
        <v>202.48888511809955</v>
      </c>
      <c r="L1459" s="13">
        <v>2.0248888511809955E20</v>
      </c>
      <c r="M1459" s="9">
        <v>2.0248888511809958E19</v>
      </c>
    </row>
    <row r="1460" ht="15.75" customHeight="1">
      <c r="A1460" s="8"/>
      <c r="B1460" s="8"/>
      <c r="C1460" s="8"/>
      <c r="D1460" s="8">
        <v>27.9026907562088</v>
      </c>
      <c r="E1460" s="9" t="s">
        <v>1469</v>
      </c>
      <c r="I1460" s="12" t="str">
        <f>IFERROR(__xludf.DUMMYFUNCTION("""COMPUTED_VALUE"""),"0x7b28912e5b1e062a5316b4a0ffa76e7eaf1a4f8a")</f>
        <v>0x7b28912e5b1e062a5316b4a0ffa76e7eaf1a4f8a</v>
      </c>
      <c r="J1460" s="11">
        <v>27.9026907562088</v>
      </c>
      <c r="K1460" s="12">
        <v>62.005979458241775</v>
      </c>
      <c r="L1460" s="13">
        <v>6.200597945824177E19</v>
      </c>
      <c r="M1460" s="9">
        <v>6.2005979458241782E18</v>
      </c>
    </row>
    <row r="1461" ht="15.75" customHeight="1">
      <c r="A1461" s="8"/>
      <c r="B1461" s="8"/>
      <c r="C1461" s="8"/>
      <c r="D1461" s="8">
        <v>27.9026907562088</v>
      </c>
      <c r="E1461" s="9" t="s">
        <v>1470</v>
      </c>
      <c r="I1461" s="12" t="str">
        <f>IFERROR(__xludf.DUMMYFUNCTION("""COMPUTED_VALUE"""),"0x7b3c4f16639ee908e895cf3855afc14e1a95c10e")</f>
        <v>0x7b3c4f16639ee908e895cf3855afc14e1a95c10e</v>
      </c>
      <c r="J1461" s="11">
        <v>91.1199983031448</v>
      </c>
      <c r="K1461" s="12">
        <v>202.48888511809955</v>
      </c>
      <c r="L1461" s="13">
        <v>2.0248888511809955E20</v>
      </c>
      <c r="M1461" s="9">
        <v>2.0248888511809958E19</v>
      </c>
    </row>
    <row r="1462" ht="15.75" customHeight="1">
      <c r="A1462" s="8"/>
      <c r="B1462" s="8"/>
      <c r="C1462" s="8"/>
      <c r="D1462" s="8">
        <v>27.9026907562088</v>
      </c>
      <c r="E1462" s="9" t="s">
        <v>1471</v>
      </c>
      <c r="I1462" s="12" t="str">
        <f>IFERROR(__xludf.DUMMYFUNCTION("""COMPUTED_VALUE"""),"0x7b60440260b91a98f7b760c17795c5ff2dba094d")</f>
        <v>0x7b60440260b91a98f7b760c17795c5ff2dba094d</v>
      </c>
      <c r="J1462" s="11">
        <v>576.2833611277388</v>
      </c>
      <c r="K1462" s="12">
        <v>1280.629691394975</v>
      </c>
      <c r="L1462" s="13">
        <v>1.280629691394975E21</v>
      </c>
      <c r="M1462" s="9">
        <v>1.2806296913949752E20</v>
      </c>
    </row>
    <row r="1463" ht="15.75" customHeight="1">
      <c r="A1463" s="8"/>
      <c r="B1463" s="8"/>
      <c r="C1463" s="8"/>
      <c r="D1463" s="8">
        <v>27.9026907562088</v>
      </c>
      <c r="E1463" s="9" t="s">
        <v>1472</v>
      </c>
      <c r="I1463" s="12" t="str">
        <f>IFERROR(__xludf.DUMMYFUNCTION("""COMPUTED_VALUE"""),"0x7b81c0ec2aaac6a79231e5a4df89a8f6db01d20f")</f>
        <v>0x7b81c0ec2aaac6a79231e5a4df89a8f6db01d20f</v>
      </c>
      <c r="J1463" s="11">
        <v>27.9026907562088</v>
      </c>
      <c r="K1463" s="12">
        <v>62.005979458241775</v>
      </c>
      <c r="L1463" s="13">
        <v>6.200597945824177E19</v>
      </c>
      <c r="M1463" s="9">
        <v>6.2005979458241782E18</v>
      </c>
    </row>
    <row r="1464" ht="15.75" customHeight="1">
      <c r="A1464" s="8"/>
      <c r="B1464" s="8"/>
      <c r="C1464" s="8"/>
      <c r="D1464" s="8">
        <v>27.8148795674347</v>
      </c>
      <c r="E1464" s="9" t="s">
        <v>1473</v>
      </c>
      <c r="I1464" s="12" t="str">
        <f>IFERROR(__xludf.DUMMYFUNCTION("""COMPUTED_VALUE"""),"0x7b9cfdabaaf2cd7f0e659dca8cef5fafc6e4f081")</f>
        <v>0x7b9cfdabaaf2cd7f0e659dca8cef5fafc6e4f081</v>
      </c>
      <c r="J1464" s="11">
        <v>27.8148795674347</v>
      </c>
      <c r="K1464" s="12">
        <v>61.81084348318822</v>
      </c>
      <c r="L1464" s="13">
        <v>6.181084348318822E19</v>
      </c>
      <c r="M1464" s="9">
        <v>6.1810843483188224E18</v>
      </c>
    </row>
    <row r="1465" ht="15.75" customHeight="1">
      <c r="A1465" s="8"/>
      <c r="B1465" s="8"/>
      <c r="C1465" s="8"/>
      <c r="D1465" s="8">
        <v>14.8252425999109</v>
      </c>
      <c r="E1465" s="9" t="s">
        <v>1474</v>
      </c>
      <c r="I1465" s="12" t="str">
        <f>IFERROR(__xludf.DUMMYFUNCTION("""COMPUTED_VALUE"""),"0x7ba77e50a2c06b94e526b867fdddcf29140aba2f")</f>
        <v>0x7ba77e50a2c06b94e526b867fdddcf29140aba2f</v>
      </c>
      <c r="J1465" s="11">
        <v>53.92368272663159</v>
      </c>
      <c r="K1465" s="12">
        <v>119.83040605918131</v>
      </c>
      <c r="L1465" s="13">
        <v>1.1983040605918131E20</v>
      </c>
      <c r="M1465" s="9">
        <v>1.1983040605918132E19</v>
      </c>
    </row>
    <row r="1466" ht="15.75" customHeight="1">
      <c r="A1466" s="8"/>
      <c r="B1466" s="8"/>
      <c r="C1466" s="8"/>
      <c r="D1466" s="8">
        <v>27.9026907562088</v>
      </c>
      <c r="E1466" s="9" t="s">
        <v>1475</v>
      </c>
      <c r="I1466" s="12" t="str">
        <f>IFERROR(__xludf.DUMMYFUNCTION("""COMPUTED_VALUE"""),"0x7baf8687b6ee39214978058cc23a79765684fc5e")</f>
        <v>0x7baf8687b6ee39214978058cc23a79765684fc5e</v>
      </c>
      <c r="J1466" s="11">
        <v>27.9026907562088</v>
      </c>
      <c r="K1466" s="12">
        <v>62.005979458241775</v>
      </c>
      <c r="L1466" s="13">
        <v>6.200597945824177E19</v>
      </c>
      <c r="M1466" s="9">
        <v>6.2005979458241782E18</v>
      </c>
    </row>
    <row r="1467" ht="15.75" customHeight="1">
      <c r="A1467" s="8"/>
      <c r="B1467" s="8"/>
      <c r="C1467" s="8"/>
      <c r="D1467" s="8">
        <v>27.9026907562088</v>
      </c>
      <c r="E1467" s="9" t="s">
        <v>1476</v>
      </c>
      <c r="I1467" s="12" t="str">
        <f>IFERROR(__xludf.DUMMYFUNCTION("""COMPUTED_VALUE"""),"0x7bb6af3976357955f57c7e99c4527d255e8ee58c")</f>
        <v>0x7bb6af3976357955f57c7e99c4527d255e8ee58c</v>
      </c>
      <c r="J1467" s="11">
        <v>27.9026907562088</v>
      </c>
      <c r="K1467" s="12">
        <v>62.005979458241775</v>
      </c>
      <c r="L1467" s="13">
        <v>6.200597945824177E19</v>
      </c>
      <c r="M1467" s="9">
        <v>6.2005979458241782E18</v>
      </c>
    </row>
    <row r="1468" ht="15.75" customHeight="1">
      <c r="A1468" s="8"/>
      <c r="B1468" s="8"/>
      <c r="C1468" s="8"/>
      <c r="D1468" s="8">
        <v>27.9026907562088</v>
      </c>
      <c r="E1468" s="9" t="s">
        <v>1477</v>
      </c>
      <c r="I1468" s="12" t="str">
        <f>IFERROR(__xludf.DUMMYFUNCTION("""COMPUTED_VALUE"""),"0x7bca4afd65fbb3812047b700479fb3809daa872a")</f>
        <v>0x7bca4afd65fbb3812047b700479fb3809daa872a</v>
      </c>
      <c r="J1468" s="11">
        <v>37.63164244515952</v>
      </c>
      <c r="K1468" s="12">
        <v>83.62587210035448</v>
      </c>
      <c r="L1468" s="13">
        <v>8.362587210035449E19</v>
      </c>
      <c r="M1468" s="9">
        <v>8.3625872100354499E18</v>
      </c>
    </row>
    <row r="1469" ht="15.75" customHeight="1">
      <c r="A1469" s="8"/>
      <c r="B1469" s="8"/>
      <c r="C1469" s="8"/>
      <c r="D1469" s="8">
        <v>17.3718855514203</v>
      </c>
      <c r="E1469" s="9" t="s">
        <v>1478</v>
      </c>
      <c r="I1469" s="12" t="str">
        <f>IFERROR(__xludf.DUMMYFUNCTION("""COMPUTED_VALUE"""),"0x7c48a8bcadc6a591e7a72b6a41da6677ca46177e")</f>
        <v>0x7c48a8bcadc6a591e7a72b6a41da6677ca46177e</v>
      </c>
      <c r="J1469" s="11">
        <v>17.3718855514203</v>
      </c>
      <c r="K1469" s="12">
        <v>38.60419011426733</v>
      </c>
      <c r="L1469" s="13">
        <v>3.860419011426733E19</v>
      </c>
      <c r="M1469" s="9">
        <v>3.8604190114267336E18</v>
      </c>
    </row>
    <row r="1470" ht="15.75" customHeight="1">
      <c r="A1470" s="8"/>
      <c r="B1470" s="8"/>
      <c r="C1470" s="8"/>
      <c r="D1470" s="8">
        <v>27.9026907562088</v>
      </c>
      <c r="E1470" s="9" t="s">
        <v>1479</v>
      </c>
      <c r="I1470" s="12" t="str">
        <f>IFERROR(__xludf.DUMMYFUNCTION("""COMPUTED_VALUE"""),"0x7c608b36f8a0aa5dcd610fbf188c189fd27a1fdc")</f>
        <v>0x7c608b36f8a0aa5dcd610fbf188c189fd27a1fdc</v>
      </c>
      <c r="J1470" s="11">
        <v>91.1199983031448</v>
      </c>
      <c r="K1470" s="12">
        <v>202.48888511809955</v>
      </c>
      <c r="L1470" s="13">
        <v>2.0248888511809955E20</v>
      </c>
      <c r="M1470" s="9">
        <v>2.0248888511809958E19</v>
      </c>
    </row>
    <row r="1471" ht="15.75" customHeight="1">
      <c r="A1471" s="8"/>
      <c r="B1471" s="8"/>
      <c r="C1471" s="8"/>
      <c r="D1471" s="8">
        <v>27.9026907562088</v>
      </c>
      <c r="E1471" s="9" t="s">
        <v>1480</v>
      </c>
      <c r="I1471" s="12" t="str">
        <f>IFERROR(__xludf.DUMMYFUNCTION("""COMPUTED_VALUE"""),"0x7c614c9da4a195f209ef9e63e5c6f5801db86fab")</f>
        <v>0x7c614c9da4a195f209ef9e63e5c6f5801db86fab</v>
      </c>
      <c r="J1471" s="11">
        <v>91.1199983031448</v>
      </c>
      <c r="K1471" s="12">
        <v>202.48888511809955</v>
      </c>
      <c r="L1471" s="13">
        <v>2.0248888511809955E20</v>
      </c>
      <c r="M1471" s="9">
        <v>2.0248888511809958E19</v>
      </c>
    </row>
    <row r="1472" ht="15.75" customHeight="1">
      <c r="A1472" s="8"/>
      <c r="B1472" s="8"/>
      <c r="C1472" s="8"/>
      <c r="D1472" s="8">
        <v>27.9026907562088</v>
      </c>
      <c r="E1472" s="9" t="s">
        <v>1481</v>
      </c>
      <c r="I1472" s="12" t="str">
        <f>IFERROR(__xludf.DUMMYFUNCTION("""COMPUTED_VALUE"""),"0x7c74915377474f705d218c9a35f46ba2b5046e8c")</f>
        <v>0x7c74915377474f705d218c9a35f46ba2b5046e8c</v>
      </c>
      <c r="J1472" s="11">
        <v>66.22025877219822</v>
      </c>
      <c r="K1472" s="12">
        <v>147.15613060488494</v>
      </c>
      <c r="L1472" s="13">
        <v>1.4715613060488493E20</v>
      </c>
      <c r="M1472" s="9">
        <v>1.4715613060488495E19</v>
      </c>
    </row>
    <row r="1473" ht="15.75" customHeight="1">
      <c r="A1473" s="8"/>
      <c r="B1473" s="8"/>
      <c r="C1473" s="8"/>
      <c r="D1473" s="8">
        <v>27.9026907562088</v>
      </c>
      <c r="E1473" s="9" t="s">
        <v>1482</v>
      </c>
      <c r="I1473" s="12" t="str">
        <f>IFERROR(__xludf.DUMMYFUNCTION("""COMPUTED_VALUE"""),"0x7c7f139e15bc34989f0ec562bf34b03e33204a73")</f>
        <v>0x7c7f139e15bc34989f0ec562bf34b03e33204a73</v>
      </c>
      <c r="J1473" s="11">
        <v>102.8336561366414</v>
      </c>
      <c r="K1473" s="12">
        <v>228.5192358592031</v>
      </c>
      <c r="L1473" s="13">
        <v>2.285192358592031E20</v>
      </c>
      <c r="M1473" s="9">
        <v>2.285192358592031E19</v>
      </c>
    </row>
    <row r="1474" ht="15.75" customHeight="1">
      <c r="A1474" s="8"/>
      <c r="B1474" s="8"/>
      <c r="C1474" s="8"/>
      <c r="D1474" s="8">
        <v>27.9026907562088</v>
      </c>
      <c r="E1474" s="9" t="s">
        <v>1483</v>
      </c>
      <c r="I1474" s="12" t="str">
        <f>IFERROR(__xludf.DUMMYFUNCTION("""COMPUTED_VALUE"""),"0x7cc043fc64a839484427169b856e1d4931c09bd4")</f>
        <v>0x7cc043fc64a839484427169b856e1d4931c09bd4</v>
      </c>
      <c r="J1474" s="11">
        <v>27.9026907562088</v>
      </c>
      <c r="K1474" s="12">
        <v>62.005979458241775</v>
      </c>
      <c r="L1474" s="13">
        <v>6.200597945824177E19</v>
      </c>
      <c r="M1474" s="9">
        <v>6.2005979458241782E18</v>
      </c>
    </row>
    <row r="1475" ht="15.75" customHeight="1">
      <c r="A1475" s="8"/>
      <c r="B1475" s="8"/>
      <c r="C1475" s="8"/>
      <c r="D1475" s="8">
        <v>24.3755343671356</v>
      </c>
      <c r="E1475" s="9" t="s">
        <v>1484</v>
      </c>
      <c r="I1475" s="12" t="str">
        <f>IFERROR(__xludf.DUMMYFUNCTION("""COMPUTED_VALUE"""),"0x7cd462ae5181f9c55559d158e3efd79afd93f932")</f>
        <v>0x7cd462ae5181f9c55559d158e3efd79afd93f932</v>
      </c>
      <c r="J1475" s="11">
        <v>24.3755343671356</v>
      </c>
      <c r="K1475" s="12">
        <v>54.16785414919022</v>
      </c>
      <c r="L1475" s="13">
        <v>5.416785414919022E19</v>
      </c>
      <c r="M1475" s="9">
        <v>5.4167854149190226E18</v>
      </c>
    </row>
    <row r="1476" ht="15.75" customHeight="1">
      <c r="A1476" s="8"/>
      <c r="B1476" s="8"/>
      <c r="C1476" s="8"/>
      <c r="D1476" s="8">
        <v>27.9026907562088</v>
      </c>
      <c r="E1476" s="9" t="s">
        <v>1485</v>
      </c>
      <c r="I1476" s="12" t="str">
        <f>IFERROR(__xludf.DUMMYFUNCTION("""COMPUTED_VALUE"""),"0x7cdd3c5fa933194697c9bd12002b9dae5b4a4497")</f>
        <v>0x7cdd3c5fa933194697c9bd12002b9dae5b4a4497</v>
      </c>
      <c r="J1476" s="11">
        <v>90.9021689743024</v>
      </c>
      <c r="K1476" s="12">
        <v>202.00481994289422</v>
      </c>
      <c r="L1476" s="13">
        <v>2.020048199428942E20</v>
      </c>
      <c r="M1476" s="9">
        <v>2.0200481994289422E19</v>
      </c>
    </row>
    <row r="1477" ht="15.75" customHeight="1">
      <c r="A1477" s="8"/>
      <c r="B1477" s="8"/>
      <c r="C1477" s="8"/>
      <c r="D1477" s="8">
        <v>26.5581641663771</v>
      </c>
      <c r="E1477" s="9" t="s">
        <v>1486</v>
      </c>
      <c r="I1477" s="12" t="str">
        <f>IFERROR(__xludf.DUMMYFUNCTION("""COMPUTED_VALUE"""),"0x7ce7f7f57037a8990b96d6501f0ef809876a50c7")</f>
        <v>0x7ce7f7f57037a8990b96d6501f0ef809876a50c7</v>
      </c>
      <c r="J1477" s="11">
        <v>26.5581641663771</v>
      </c>
      <c r="K1477" s="12">
        <v>59.01814259194911</v>
      </c>
      <c r="L1477" s="13">
        <v>5.901814259194911E19</v>
      </c>
      <c r="M1477" s="9">
        <v>5.9018142591949117E18</v>
      </c>
    </row>
    <row r="1478" ht="15.75" customHeight="1">
      <c r="A1478" s="8"/>
      <c r="B1478" s="8"/>
      <c r="C1478" s="8"/>
      <c r="D1478" s="8">
        <v>27.9026907562088</v>
      </c>
      <c r="E1478" s="9" t="s">
        <v>1487</v>
      </c>
      <c r="I1478" s="12" t="str">
        <f>IFERROR(__xludf.DUMMYFUNCTION("""COMPUTED_VALUE"""),"0x7d07cf3cf1da0dff9dd0ee5766b517df69253948")</f>
        <v>0x7d07cf3cf1da0dff9dd0ee5766b517df69253948</v>
      </c>
      <c r="J1478" s="11">
        <v>27.9026907562088</v>
      </c>
      <c r="K1478" s="12">
        <v>62.005979458241775</v>
      </c>
      <c r="L1478" s="13">
        <v>6.200597945824177E19</v>
      </c>
      <c r="M1478" s="9">
        <v>6.2005979458241782E18</v>
      </c>
    </row>
    <row r="1479" ht="15.75" customHeight="1">
      <c r="A1479" s="8"/>
      <c r="B1479" s="8"/>
      <c r="C1479" s="8"/>
      <c r="D1479" s="8">
        <v>25.2102286592103</v>
      </c>
      <c r="E1479" s="9" t="s">
        <v>1488</v>
      </c>
      <c r="I1479" s="12" t="str">
        <f>IFERROR(__xludf.DUMMYFUNCTION("""COMPUTED_VALUE"""),"0x7d09d3a39afcba3663b675dc74e638fc8ee8c08a")</f>
        <v>0x7d09d3a39afcba3663b675dc74e638fc8ee8c08a</v>
      </c>
      <c r="J1479" s="11">
        <v>25.2102286592103</v>
      </c>
      <c r="K1479" s="12">
        <v>56.02273035380067</v>
      </c>
      <c r="L1479" s="13">
        <v>5.602273035380067E19</v>
      </c>
      <c r="M1479" s="9">
        <v>5.6022730353800673E18</v>
      </c>
    </row>
    <row r="1480" ht="15.75" customHeight="1">
      <c r="A1480" s="8"/>
      <c r="B1480" s="8"/>
      <c r="C1480" s="8"/>
      <c r="D1480" s="8">
        <v>27.9026907562088</v>
      </c>
      <c r="E1480" s="9" t="s">
        <v>1489</v>
      </c>
      <c r="I1480" s="12" t="str">
        <f>IFERROR(__xludf.DUMMYFUNCTION("""COMPUTED_VALUE"""),"0x7d0d0e6c6b57a116429ab14d08303e8f71b452f4")</f>
        <v>0x7d0d0e6c6b57a116429ab14d08303e8f71b452f4</v>
      </c>
      <c r="J1480" s="11">
        <v>1108.6637566768247</v>
      </c>
      <c r="K1480" s="12">
        <v>2463.6972370596104</v>
      </c>
      <c r="L1480" s="13">
        <v>2.4636972370596106E21</v>
      </c>
      <c r="M1480" s="9">
        <v>2.463697237059611E20</v>
      </c>
    </row>
    <row r="1481" ht="15.75" customHeight="1">
      <c r="A1481" s="8"/>
      <c r="B1481" s="8"/>
      <c r="C1481" s="8"/>
      <c r="D1481" s="8">
        <v>27.9026907562088</v>
      </c>
      <c r="E1481" s="9" t="s">
        <v>1490</v>
      </c>
      <c r="I1481" s="12" t="str">
        <f>IFERROR(__xludf.DUMMYFUNCTION("""COMPUTED_VALUE"""),"0x7d16d0e6768eabd9d5e8cda441e83f301d99ab5f")</f>
        <v>0x7d16d0e6768eabd9d5e8cda441e83f301d99ab5f</v>
      </c>
      <c r="J1481" s="11">
        <v>110.6464564660113</v>
      </c>
      <c r="K1481" s="12">
        <v>245.881014368914</v>
      </c>
      <c r="L1481" s="13">
        <v>2.45881014368914E20</v>
      </c>
      <c r="M1481" s="9">
        <v>2.4588101436891402E19</v>
      </c>
    </row>
    <row r="1482" ht="15.75" customHeight="1">
      <c r="A1482" s="8"/>
      <c r="B1482" s="8"/>
      <c r="C1482" s="8"/>
      <c r="D1482" s="8">
        <v>27.9026907562088</v>
      </c>
      <c r="E1482" s="9" t="s">
        <v>1491</v>
      </c>
      <c r="I1482" s="12" t="str">
        <f>IFERROR(__xludf.DUMMYFUNCTION("""COMPUTED_VALUE"""),"0x7d43106d1bab0ded316be5111c8db8d66898996d")</f>
        <v>0x7d43106d1bab0ded316be5111c8db8d66898996d</v>
      </c>
      <c r="J1482" s="11">
        <v>27.9026907562088</v>
      </c>
      <c r="K1482" s="12">
        <v>62.005979458241775</v>
      </c>
      <c r="L1482" s="13">
        <v>6.200597945824177E19</v>
      </c>
      <c r="M1482" s="9">
        <v>6.2005979458241782E18</v>
      </c>
    </row>
    <row r="1483" ht="15.75" customHeight="1">
      <c r="A1483" s="8"/>
      <c r="B1483" s="8"/>
      <c r="C1483" s="8"/>
      <c r="D1483" s="8">
        <v>27.9026907562088</v>
      </c>
      <c r="E1483" s="9" t="s">
        <v>1492</v>
      </c>
      <c r="I1483" s="12" t="str">
        <f>IFERROR(__xludf.DUMMYFUNCTION("""COMPUTED_VALUE"""),"0x7d4ae1aae068aea2b017440c52d1b69f3cd81d47")</f>
        <v>0x7d4ae1aae068aea2b017440c52d1b69f3cd81d47</v>
      </c>
      <c r="J1483" s="11">
        <v>27.9026907562088</v>
      </c>
      <c r="K1483" s="12">
        <v>62.005979458241775</v>
      </c>
      <c r="L1483" s="13">
        <v>6.200597945824177E19</v>
      </c>
      <c r="M1483" s="9">
        <v>6.2005979458241782E18</v>
      </c>
    </row>
    <row r="1484" ht="15.75" customHeight="1">
      <c r="A1484" s="8"/>
      <c r="B1484" s="8"/>
      <c r="C1484" s="8"/>
      <c r="D1484" s="8">
        <v>27.9026907562088</v>
      </c>
      <c r="E1484" s="9" t="s">
        <v>1493</v>
      </c>
      <c r="I1484" s="12" t="str">
        <f>IFERROR(__xludf.DUMMYFUNCTION("""COMPUTED_VALUE"""),"0x7d687319b77afd41a5d087cd52e2d0cefed55d83")</f>
        <v>0x7d687319b77afd41a5d087cd52e2d0cefed55d83</v>
      </c>
      <c r="J1484" s="11">
        <v>69.3329050762766</v>
      </c>
      <c r="K1484" s="12">
        <v>154.07312239172578</v>
      </c>
      <c r="L1484" s="13">
        <v>1.5407312239172577E20</v>
      </c>
      <c r="M1484" s="9">
        <v>1.5407312239172577E19</v>
      </c>
    </row>
    <row r="1485" ht="15.75" customHeight="1">
      <c r="A1485" s="8"/>
      <c r="B1485" s="8"/>
      <c r="C1485" s="8"/>
      <c r="D1485" s="8">
        <v>27.9026907562088</v>
      </c>
      <c r="E1485" s="9" t="s">
        <v>1494</v>
      </c>
      <c r="I1485" s="12" t="str">
        <f>IFERROR(__xludf.DUMMYFUNCTION("""COMPUTED_VALUE"""),"0x7d8b2b1556ad6ee6687236e75ab2fbb2a70f100d")</f>
        <v>0x7d8b2b1556ad6ee6687236e75ab2fbb2a70f100d</v>
      </c>
      <c r="J1485" s="11">
        <v>91.1199983031448</v>
      </c>
      <c r="K1485" s="12">
        <v>202.48888511809955</v>
      </c>
      <c r="L1485" s="13">
        <v>2.0248888511809955E20</v>
      </c>
      <c r="M1485" s="9">
        <v>2.0248888511809958E19</v>
      </c>
    </row>
    <row r="1486" ht="15.75" customHeight="1">
      <c r="A1486" s="8"/>
      <c r="B1486" s="8"/>
      <c r="C1486" s="8"/>
      <c r="D1486" s="8">
        <v>27.9026907562088</v>
      </c>
      <c r="E1486" s="9" t="s">
        <v>1495</v>
      </c>
      <c r="I1486" s="12" t="str">
        <f>IFERROR(__xludf.DUMMYFUNCTION("""COMPUTED_VALUE"""),"0x7da10ce8d5bd7abf0ee57433366bf1c2abbef02e")</f>
        <v>0x7da10ce8d5bd7abf0ee57433366bf1c2abbef02e</v>
      </c>
      <c r="J1486" s="11">
        <v>27.9026907562088</v>
      </c>
      <c r="K1486" s="12">
        <v>62.005979458241775</v>
      </c>
      <c r="L1486" s="13">
        <v>6.200597945824177E19</v>
      </c>
      <c r="M1486" s="9">
        <v>6.2005979458241782E18</v>
      </c>
    </row>
    <row r="1487" ht="15.75" customHeight="1">
      <c r="A1487" s="8"/>
      <c r="B1487" s="8"/>
      <c r="C1487" s="8"/>
      <c r="D1487" s="8">
        <v>27.9026907562088</v>
      </c>
      <c r="E1487" s="9" t="s">
        <v>1496</v>
      </c>
      <c r="I1487" s="12" t="str">
        <f>IFERROR(__xludf.DUMMYFUNCTION("""COMPUTED_VALUE"""),"0x7da2be1a4232a5c7ddefdba1e78f95da9def8bdb")</f>
        <v>0x7da2be1a4232a5c7ddefdba1e78f95da9def8bdb</v>
      </c>
      <c r="J1487" s="11">
        <v>27.9026907562088</v>
      </c>
      <c r="K1487" s="12">
        <v>62.005979458241775</v>
      </c>
      <c r="L1487" s="13">
        <v>6.200597945824177E19</v>
      </c>
      <c r="M1487" s="9">
        <v>6.2005979458241782E18</v>
      </c>
    </row>
    <row r="1488" ht="15.75" customHeight="1">
      <c r="A1488" s="8"/>
      <c r="B1488" s="8"/>
      <c r="C1488" s="8"/>
      <c r="D1488" s="8">
        <v>27.9026907562088</v>
      </c>
      <c r="E1488" s="9" t="s">
        <v>1497</v>
      </c>
      <c r="I1488" s="12" t="str">
        <f>IFERROR(__xludf.DUMMYFUNCTION("""COMPUTED_VALUE"""),"0x7da7cead3bdf8bb374c9c210b16c43dd9ad80c46")</f>
        <v>0x7da7cead3bdf8bb374c9c210b16c43dd9ad80c46</v>
      </c>
      <c r="J1488" s="11">
        <v>710.3365011318099</v>
      </c>
      <c r="K1488" s="12">
        <v>1578.5255580706885</v>
      </c>
      <c r="L1488" s="13">
        <v>1.5785255580706884E21</v>
      </c>
      <c r="M1488" s="9">
        <v>1.5785255580706885E20</v>
      </c>
    </row>
    <row r="1489" ht="15.75" customHeight="1">
      <c r="A1489" s="8"/>
      <c r="B1489" s="8"/>
      <c r="C1489" s="8"/>
      <c r="D1489" s="8">
        <v>4.97783778926346</v>
      </c>
      <c r="E1489" s="9" t="s">
        <v>1498</v>
      </c>
      <c r="I1489" s="12" t="str">
        <f>IFERROR(__xludf.DUMMYFUNCTION("""COMPUTED_VALUE"""),"0x7dba056ef0fe2ae7c329fa12d70144ff61089e2c")</f>
        <v>0x7dba056ef0fe2ae7c329fa12d70144ff61089e2c</v>
      </c>
      <c r="J1489" s="11">
        <v>4.97783778926346</v>
      </c>
      <c r="K1489" s="12">
        <v>11.0618617539188</v>
      </c>
      <c r="L1489" s="13">
        <v>1.10618617539188E19</v>
      </c>
      <c r="M1489" s="9">
        <v>1.10618617539188006E18</v>
      </c>
    </row>
    <row r="1490" ht="15.75" customHeight="1">
      <c r="A1490" s="8"/>
      <c r="B1490" s="8"/>
      <c r="C1490" s="8"/>
      <c r="D1490" s="8">
        <v>20.3210794895324</v>
      </c>
      <c r="E1490" s="9" t="s">
        <v>1499</v>
      </c>
      <c r="I1490" s="12" t="str">
        <f>IFERROR(__xludf.DUMMYFUNCTION("""COMPUTED_VALUE"""),"0x7de427b9340b89e41e791b8ed67aca5e942bc90f")</f>
        <v>0x7de427b9340b89e41e791b8ed67aca5e942bc90f</v>
      </c>
      <c r="J1490" s="11">
        <v>39.0027987956105</v>
      </c>
      <c r="K1490" s="12">
        <v>86.67288621246779</v>
      </c>
      <c r="L1490" s="13">
        <v>8.667288621246779E19</v>
      </c>
      <c r="M1490" s="9">
        <v>8.6672886212467794E18</v>
      </c>
    </row>
    <row r="1491" ht="15.75" customHeight="1">
      <c r="A1491" s="8"/>
      <c r="B1491" s="8"/>
      <c r="C1491" s="8"/>
      <c r="D1491" s="8">
        <v>21.3865067722004</v>
      </c>
      <c r="E1491" s="9" t="s">
        <v>1500</v>
      </c>
      <c r="I1491" s="12" t="str">
        <f>IFERROR(__xludf.DUMMYFUNCTION("""COMPUTED_VALUE"""),"0x7e05382a7463bffd77fd09b44ed261dd72d74aa1")</f>
        <v>0x7e05382a7463bffd77fd09b44ed261dd72d74aa1</v>
      </c>
      <c r="J1491" s="11">
        <v>24.920415072284808</v>
      </c>
      <c r="K1491" s="12">
        <v>55.3787001606329</v>
      </c>
      <c r="L1491" s="13">
        <v>5.5378700160632906E19</v>
      </c>
      <c r="M1491" s="9">
        <v>5.5378700160632914E18</v>
      </c>
    </row>
    <row r="1492" ht="15.75" customHeight="1">
      <c r="A1492" s="8"/>
      <c r="B1492" s="8"/>
      <c r="C1492" s="8"/>
      <c r="D1492" s="8">
        <v>27.9026907562088</v>
      </c>
      <c r="E1492" s="9" t="s">
        <v>1501</v>
      </c>
      <c r="I1492" s="12" t="str">
        <f>IFERROR(__xludf.DUMMYFUNCTION("""COMPUTED_VALUE"""),"0x7e0eb3f176bcd1215f9d9ab8984e544f37538e88")</f>
        <v>0x7e0eb3f176bcd1215f9d9ab8984e544f37538e88</v>
      </c>
      <c r="J1492" s="11">
        <v>27.9026907562088</v>
      </c>
      <c r="K1492" s="12">
        <v>62.005979458241775</v>
      </c>
      <c r="L1492" s="13">
        <v>6.200597945824177E19</v>
      </c>
      <c r="M1492" s="9">
        <v>6.2005979458241782E18</v>
      </c>
    </row>
    <row r="1493" ht="15.75" customHeight="1">
      <c r="A1493" s="8"/>
      <c r="B1493" s="8"/>
      <c r="C1493" s="8"/>
      <c r="D1493" s="8">
        <v>27.9026907562088</v>
      </c>
      <c r="E1493" s="9" t="s">
        <v>1502</v>
      </c>
      <c r="I1493" s="12" t="str">
        <f>IFERROR(__xludf.DUMMYFUNCTION("""COMPUTED_VALUE"""),"0x7e14020d4ccc7e490b34f7e3e8ff3799ef5b5c6f")</f>
        <v>0x7e14020d4ccc7e490b34f7e3e8ff3799ef5b5c6f</v>
      </c>
      <c r="J1493" s="11">
        <v>27.9026907562088</v>
      </c>
      <c r="K1493" s="12">
        <v>62.005979458241775</v>
      </c>
      <c r="L1493" s="13">
        <v>6.200597945824177E19</v>
      </c>
      <c r="M1493" s="9">
        <v>6.2005979458241782E18</v>
      </c>
    </row>
    <row r="1494" ht="15.75" customHeight="1">
      <c r="A1494" s="8"/>
      <c r="B1494" s="8"/>
      <c r="C1494" s="8"/>
      <c r="D1494" s="8">
        <v>27.9026907562088</v>
      </c>
      <c r="E1494" s="9" t="s">
        <v>1503</v>
      </c>
      <c r="I1494" s="12" t="str">
        <f>IFERROR(__xludf.DUMMYFUNCTION("""COMPUTED_VALUE"""),"0x7e6e004f6e22e310fdae7d16e2855bcf6ef69daa")</f>
        <v>0x7e6e004f6e22e310fdae7d16e2855bcf6ef69daa</v>
      </c>
      <c r="J1494" s="11">
        <v>65.83307528437041</v>
      </c>
      <c r="K1494" s="12">
        <v>146.29572285415645</v>
      </c>
      <c r="L1494" s="13">
        <v>1.4629572285415645E20</v>
      </c>
      <c r="M1494" s="9">
        <v>1.4629572285415645E19</v>
      </c>
    </row>
    <row r="1495" ht="15.75" customHeight="1">
      <c r="A1495" s="8"/>
      <c r="B1495" s="8"/>
      <c r="C1495" s="8"/>
      <c r="D1495" s="8">
        <v>26.6889577201996</v>
      </c>
      <c r="E1495" s="9" t="s">
        <v>1504</v>
      </c>
      <c r="I1495" s="12" t="str">
        <f>IFERROR(__xludf.DUMMYFUNCTION("""COMPUTED_VALUE"""),"0x7e95da20083bcb74fecec9c77966c7d376b5a0d0")</f>
        <v>0x7e95da20083bcb74fecec9c77966c7d376b5a0d0</v>
      </c>
      <c r="J1495" s="11">
        <v>26.6889577201996</v>
      </c>
      <c r="K1495" s="12">
        <v>59.30879493377689</v>
      </c>
      <c r="L1495" s="13">
        <v>5.930879493377688E19</v>
      </c>
      <c r="M1495" s="9">
        <v>5.9308794933776886E18</v>
      </c>
    </row>
    <row r="1496" ht="15.75" customHeight="1">
      <c r="A1496" s="8"/>
      <c r="B1496" s="8"/>
      <c r="C1496" s="8"/>
      <c r="D1496" s="8">
        <v>27.9026907562088</v>
      </c>
      <c r="E1496" s="9" t="s">
        <v>1505</v>
      </c>
      <c r="I1496" s="12" t="str">
        <f>IFERROR(__xludf.DUMMYFUNCTION("""COMPUTED_VALUE"""),"0x7e9d5da81c3826465d6958a3ff804d1f48dbece1")</f>
        <v>0x7e9d5da81c3826465d6958a3ff804d1f48dbece1</v>
      </c>
      <c r="J1496" s="11">
        <v>166.9033450940863</v>
      </c>
      <c r="K1496" s="12">
        <v>370.89632243130285</v>
      </c>
      <c r="L1496" s="13">
        <v>3.708963224313028E20</v>
      </c>
      <c r="M1496" s="9">
        <v>3.708963224313029E19</v>
      </c>
    </row>
    <row r="1497" ht="15.75" customHeight="1">
      <c r="A1497" s="8"/>
      <c r="B1497" s="8"/>
      <c r="C1497" s="8"/>
      <c r="D1497" s="8">
        <v>27.9026907562088</v>
      </c>
      <c r="E1497" s="9" t="s">
        <v>1506</v>
      </c>
      <c r="I1497" s="12" t="str">
        <f>IFERROR(__xludf.DUMMYFUNCTION("""COMPUTED_VALUE"""),"0x7ec682575e42024cbde4fdfbf3ebe7882a09ba07")</f>
        <v>0x7ec682575e42024cbde4fdfbf3ebe7882a09ba07</v>
      </c>
      <c r="J1497" s="11">
        <v>91.1199983031448</v>
      </c>
      <c r="K1497" s="12">
        <v>202.48888511809955</v>
      </c>
      <c r="L1497" s="13">
        <v>2.0248888511809955E20</v>
      </c>
      <c r="M1497" s="9">
        <v>2.0248888511809958E19</v>
      </c>
    </row>
    <row r="1498" ht="15.75" customHeight="1">
      <c r="A1498" s="8"/>
      <c r="B1498" s="8"/>
      <c r="C1498" s="8"/>
      <c r="D1498" s="8">
        <v>19.4353540375608</v>
      </c>
      <c r="E1498" s="9" t="s">
        <v>1507</v>
      </c>
      <c r="I1498" s="12" t="str">
        <f>IFERROR(__xludf.DUMMYFUNCTION("""COMPUTED_VALUE"""),"0x7ed7380023e63b1f59d546fd9b8e982f2a31ca73")</f>
        <v>0x7ed7380023e63b1f59d546fd9b8e982f2a31ca73</v>
      </c>
      <c r="J1498" s="11">
        <v>64.1853769129504</v>
      </c>
      <c r="K1498" s="12">
        <v>142.63417091766755</v>
      </c>
      <c r="L1498" s="13">
        <v>1.4263417091766755E20</v>
      </c>
      <c r="M1498" s="9">
        <v>1.4263417091766755E19</v>
      </c>
    </row>
    <row r="1499" ht="15.75" customHeight="1">
      <c r="A1499" s="8"/>
      <c r="B1499" s="8"/>
      <c r="C1499" s="8"/>
      <c r="D1499" s="8">
        <v>27.9026907562088</v>
      </c>
      <c r="E1499" s="9" t="s">
        <v>1508</v>
      </c>
      <c r="I1499" s="12" t="str">
        <f>IFERROR(__xludf.DUMMYFUNCTION("""COMPUTED_VALUE"""),"0x7eec1992852d626b843a256ee692015af346fd6d")</f>
        <v>0x7eec1992852d626b843a256ee692015af346fd6d</v>
      </c>
      <c r="J1499" s="11">
        <v>138.2830787023859</v>
      </c>
      <c r="K1499" s="12">
        <v>307.29573044974643</v>
      </c>
      <c r="L1499" s="13">
        <v>3.072957304497464E20</v>
      </c>
      <c r="M1499" s="9">
        <v>3.0729573044974645E19</v>
      </c>
    </row>
    <row r="1500" ht="15.75" customHeight="1">
      <c r="A1500" s="8"/>
      <c r="B1500" s="8"/>
      <c r="C1500" s="8"/>
      <c r="D1500" s="8">
        <v>25.5120560649252</v>
      </c>
      <c r="E1500" s="9" t="s">
        <v>1509</v>
      </c>
      <c r="I1500" s="12" t="str">
        <f>IFERROR(__xludf.DUMMYFUNCTION("""COMPUTED_VALUE"""),"0x7f1095afdfa5eafd35f2397926d953d097bed2fd")</f>
        <v>0x7f1095afdfa5eafd35f2397926d953d097bed2fd</v>
      </c>
      <c r="J1500" s="11">
        <v>25.5120560649252</v>
      </c>
      <c r="K1500" s="12">
        <v>56.693457922056</v>
      </c>
      <c r="L1500" s="13">
        <v>5.6693457922055995E19</v>
      </c>
      <c r="M1500" s="9">
        <v>5.6693457922055997E18</v>
      </c>
    </row>
    <row r="1501" ht="15.75" customHeight="1">
      <c r="A1501" s="8"/>
      <c r="B1501" s="8"/>
      <c r="C1501" s="8"/>
      <c r="D1501" s="8">
        <v>27.9026907562088</v>
      </c>
      <c r="E1501" s="9" t="s">
        <v>1510</v>
      </c>
      <c r="I1501" s="12" t="str">
        <f>IFERROR(__xludf.DUMMYFUNCTION("""COMPUTED_VALUE"""),"0x7f1499444eb8f141296951b579454ddf7abea8d6")</f>
        <v>0x7f1499444eb8f141296951b579454ddf7abea8d6</v>
      </c>
      <c r="J1501" s="11">
        <v>28.373455127709008</v>
      </c>
      <c r="K1501" s="12">
        <v>63.05212250602001</v>
      </c>
      <c r="L1501" s="13">
        <v>6.305212250602001E19</v>
      </c>
      <c r="M1501" s="9">
        <v>6.3052122506020014E18</v>
      </c>
    </row>
    <row r="1502" ht="15.75" customHeight="1">
      <c r="A1502" s="8"/>
      <c r="B1502" s="8"/>
      <c r="C1502" s="8"/>
      <c r="D1502" s="8">
        <v>27.9026907562088</v>
      </c>
      <c r="E1502" s="9" t="s">
        <v>1511</v>
      </c>
      <c r="I1502" s="12" t="str">
        <f>IFERROR(__xludf.DUMMYFUNCTION("""COMPUTED_VALUE"""),"0x7f1e7f6253dd2c64b6818fb2376f0e38e46f9ccd")</f>
        <v>0x7f1e7f6253dd2c64b6818fb2376f0e38e46f9ccd</v>
      </c>
      <c r="J1502" s="11">
        <v>91.1199983031448</v>
      </c>
      <c r="K1502" s="12">
        <v>202.48888511809955</v>
      </c>
      <c r="L1502" s="13">
        <v>2.0248888511809955E20</v>
      </c>
      <c r="M1502" s="9">
        <v>2.0248888511809958E19</v>
      </c>
    </row>
    <row r="1503" ht="15.75" customHeight="1">
      <c r="A1503" s="8"/>
      <c r="B1503" s="8"/>
      <c r="C1503" s="8"/>
      <c r="D1503" s="8">
        <v>27.9026907562088</v>
      </c>
      <c r="E1503" s="9" t="s">
        <v>1512</v>
      </c>
      <c r="I1503" s="12" t="str">
        <f>IFERROR(__xludf.DUMMYFUNCTION("""COMPUTED_VALUE"""),"0x7f27dc8a4c176be5536a186b7e6b784cf3a62ac0")</f>
        <v>0x7f27dc8a4c176be5536a186b7e6b784cf3a62ac0</v>
      </c>
      <c r="J1503" s="11">
        <v>27.9026907562088</v>
      </c>
      <c r="K1503" s="12">
        <v>62.005979458241775</v>
      </c>
      <c r="L1503" s="13">
        <v>6.200597945824177E19</v>
      </c>
      <c r="M1503" s="9">
        <v>6.2005979458241782E18</v>
      </c>
    </row>
    <row r="1504" ht="15.75" customHeight="1">
      <c r="A1504" s="8"/>
      <c r="B1504" s="8"/>
      <c r="C1504" s="8"/>
      <c r="D1504" s="8">
        <v>27.9026907562088</v>
      </c>
      <c r="E1504" s="9" t="s">
        <v>1513</v>
      </c>
      <c r="I1504" s="12" t="str">
        <f>IFERROR(__xludf.DUMMYFUNCTION("""COMPUTED_VALUE"""),"0x7f37712d5ec67a363100bd8f19cbb36871de0d39")</f>
        <v>0x7f37712d5ec67a363100bd8f19cbb36871de0d39</v>
      </c>
      <c r="J1504" s="11">
        <v>44.341657538164995</v>
      </c>
      <c r="K1504" s="12">
        <v>98.53701675147776</v>
      </c>
      <c r="L1504" s="13">
        <v>9.853701675147777E19</v>
      </c>
      <c r="M1504" s="9">
        <v>9.853701675147778E18</v>
      </c>
    </row>
    <row r="1505" ht="15.75" customHeight="1">
      <c r="A1505" s="8"/>
      <c r="B1505" s="8"/>
      <c r="C1505" s="8"/>
      <c r="D1505" s="8">
        <v>27.9026907562088</v>
      </c>
      <c r="E1505" s="9" t="s">
        <v>1514</v>
      </c>
      <c r="I1505" s="12" t="str">
        <f>IFERROR(__xludf.DUMMYFUNCTION("""COMPUTED_VALUE"""),"0x7f41f4e27194d83d04b6e7312f6207c157c54581")</f>
        <v>0x7f41f4e27194d83d04b6e7312f6207c157c54581</v>
      </c>
      <c r="J1505" s="11">
        <v>27.9026907562088</v>
      </c>
      <c r="K1505" s="12">
        <v>62.005979458241775</v>
      </c>
      <c r="L1505" s="13">
        <v>6.200597945824177E19</v>
      </c>
      <c r="M1505" s="9">
        <v>6.2005979458241782E18</v>
      </c>
    </row>
    <row r="1506" ht="15.75" customHeight="1">
      <c r="A1506" s="8"/>
      <c r="B1506" s="8"/>
      <c r="C1506" s="8"/>
      <c r="D1506" s="8">
        <v>27.9026907562088</v>
      </c>
      <c r="E1506" s="9" t="s">
        <v>1515</v>
      </c>
      <c r="I1506" s="12" t="str">
        <f>IFERROR(__xludf.DUMMYFUNCTION("""COMPUTED_VALUE"""),"0x7f950844fbce3e5c70ba16b012706605f353e0d0")</f>
        <v>0x7f950844fbce3e5c70ba16b012706605f353e0d0</v>
      </c>
      <c r="J1506" s="11">
        <v>630.7265747791068</v>
      </c>
      <c r="K1506" s="12">
        <v>1401.6146106202375</v>
      </c>
      <c r="L1506" s="13">
        <v>1.4016146106202375E21</v>
      </c>
      <c r="M1506" s="9">
        <v>1.4016146106202376E20</v>
      </c>
    </row>
    <row r="1507" ht="15.75" customHeight="1">
      <c r="A1507" s="8"/>
      <c r="B1507" s="8"/>
      <c r="C1507" s="8"/>
      <c r="D1507" s="8">
        <v>27.9026907562088</v>
      </c>
      <c r="E1507" s="9" t="s">
        <v>1516</v>
      </c>
      <c r="I1507" s="12" t="str">
        <f>IFERROR(__xludf.DUMMYFUNCTION("""COMPUTED_VALUE"""),"0x7fa70b57cf4600db894128a2eab39b9af06756b9")</f>
        <v>0x7fa70b57cf4600db894128a2eab39b9af06756b9</v>
      </c>
      <c r="J1507" s="11">
        <v>27.9026907562088</v>
      </c>
      <c r="K1507" s="12">
        <v>62.005979458241775</v>
      </c>
      <c r="L1507" s="13">
        <v>6.200597945824177E19</v>
      </c>
      <c r="M1507" s="9">
        <v>6.2005979458241782E18</v>
      </c>
    </row>
    <row r="1508" ht="15.75" customHeight="1">
      <c r="A1508" s="8"/>
      <c r="B1508" s="8"/>
      <c r="C1508" s="8"/>
      <c r="D1508" s="8">
        <v>1.72549056211909</v>
      </c>
      <c r="E1508" s="9" t="s">
        <v>1517</v>
      </c>
      <c r="I1508" s="12" t="str">
        <f>IFERROR(__xludf.DUMMYFUNCTION("""COMPUTED_VALUE"""),"0x7fa7d339d474d0f4c8caf4afd002b589f8b1a4b9")</f>
        <v>0x7fa7d339d474d0f4c8caf4afd002b589f8b1a4b9</v>
      </c>
      <c r="J1508" s="11">
        <v>1.72549056211909</v>
      </c>
      <c r="K1508" s="12">
        <v>3.8344234713757555</v>
      </c>
      <c r="L1508" s="13">
        <v>3.8344234713757553E18</v>
      </c>
      <c r="M1508" s="9">
        <v>3.8344234713757555E17</v>
      </c>
    </row>
    <row r="1509" ht="15.75" customHeight="1">
      <c r="A1509" s="8"/>
      <c r="B1509" s="8"/>
      <c r="C1509" s="8"/>
      <c r="D1509" s="8">
        <v>27.9026907562088</v>
      </c>
      <c r="E1509" s="9" t="s">
        <v>1518</v>
      </c>
      <c r="I1509" s="12" t="str">
        <f>IFERROR(__xludf.DUMMYFUNCTION("""COMPUTED_VALUE"""),"0x80099a284ec437108ec7e37b0e2cce53093d70ae")</f>
        <v>0x80099a284ec437108ec7e37b0e2cce53093d70ae</v>
      </c>
      <c r="J1509" s="11">
        <v>91.1199983031448</v>
      </c>
      <c r="K1509" s="12">
        <v>202.48888511809955</v>
      </c>
      <c r="L1509" s="13">
        <v>2.0248888511809955E20</v>
      </c>
      <c r="M1509" s="9">
        <v>2.0248888511809958E19</v>
      </c>
    </row>
    <row r="1510" ht="15.75" customHeight="1">
      <c r="A1510" s="8"/>
      <c r="B1510" s="8"/>
      <c r="C1510" s="8"/>
      <c r="D1510" s="8">
        <v>27.9026907562088</v>
      </c>
      <c r="E1510" s="9" t="s">
        <v>1519</v>
      </c>
      <c r="I1510" s="12" t="str">
        <f>IFERROR(__xludf.DUMMYFUNCTION("""COMPUTED_VALUE"""),"0x800ded7fcd76b351cf3747f4a72861f921dcc10b")</f>
        <v>0x800ded7fcd76b351cf3747f4a72861f921dcc10b</v>
      </c>
      <c r="J1510" s="11">
        <v>64.5687291334317</v>
      </c>
      <c r="K1510" s="12">
        <v>143.48606474095934</v>
      </c>
      <c r="L1510" s="13">
        <v>1.4348606474095934E20</v>
      </c>
      <c r="M1510" s="9">
        <v>1.4348606474095935E19</v>
      </c>
    </row>
    <row r="1511" ht="15.75" customHeight="1">
      <c r="A1511" s="8"/>
      <c r="B1511" s="8"/>
      <c r="C1511" s="8"/>
      <c r="D1511" s="8">
        <v>18.7410802843028</v>
      </c>
      <c r="E1511" s="9" t="s">
        <v>1520</v>
      </c>
      <c r="I1511" s="12" t="str">
        <f>IFERROR(__xludf.DUMMYFUNCTION("""COMPUTED_VALUE"""),"0x8023159ccb0a6096cc59d3405f9c9efa0b270790")</f>
        <v>0x8023159ccb0a6096cc59d3405f9c9efa0b270790</v>
      </c>
      <c r="J1511" s="11">
        <v>18.7410802843028</v>
      </c>
      <c r="K1511" s="12">
        <v>41.646845076228445</v>
      </c>
      <c r="L1511" s="13">
        <v>4.164684507622845E19</v>
      </c>
      <c r="M1511" s="9">
        <v>4.1646845076228449E18</v>
      </c>
    </row>
    <row r="1512" ht="15.75" customHeight="1">
      <c r="A1512" s="8"/>
      <c r="B1512" s="8"/>
      <c r="C1512" s="8"/>
      <c r="D1512" s="8">
        <v>27.9026907562088</v>
      </c>
      <c r="E1512" s="9" t="s">
        <v>1521</v>
      </c>
      <c r="I1512" s="12" t="str">
        <f>IFERROR(__xludf.DUMMYFUNCTION("""COMPUTED_VALUE"""),"0x8025c13878031c3a051773e617d0c581a1050a2e")</f>
        <v>0x8025c13878031c3a051773e617d0c581a1050a2e</v>
      </c>
      <c r="J1512" s="11">
        <v>27.9026907562088</v>
      </c>
      <c r="K1512" s="12">
        <v>62.005979458241775</v>
      </c>
      <c r="L1512" s="13">
        <v>6.200597945824177E19</v>
      </c>
      <c r="M1512" s="9">
        <v>6.2005979458241782E18</v>
      </c>
    </row>
    <row r="1513" ht="15.75" customHeight="1">
      <c r="A1513" s="8"/>
      <c r="B1513" s="8"/>
      <c r="C1513" s="8"/>
      <c r="D1513" s="8">
        <v>27.9026907562088</v>
      </c>
      <c r="E1513" s="9" t="s">
        <v>1522</v>
      </c>
      <c r="I1513" s="12" t="str">
        <f>IFERROR(__xludf.DUMMYFUNCTION("""COMPUTED_VALUE"""),"0x805d08ca6067f667a92d997435c1bdcc90ece4af")</f>
        <v>0x805d08ca6067f667a92d997435c1bdcc90ece4af</v>
      </c>
      <c r="J1513" s="11">
        <v>27.9026907562088</v>
      </c>
      <c r="K1513" s="12">
        <v>62.005979458241775</v>
      </c>
      <c r="L1513" s="13">
        <v>6.200597945824177E19</v>
      </c>
      <c r="M1513" s="9">
        <v>6.2005979458241782E18</v>
      </c>
    </row>
    <row r="1514" ht="15.75" customHeight="1">
      <c r="A1514" s="8"/>
      <c r="B1514" s="8"/>
      <c r="C1514" s="8"/>
      <c r="D1514" s="8">
        <v>26.5762458117356</v>
      </c>
      <c r="E1514" s="9" t="s">
        <v>1523</v>
      </c>
      <c r="I1514" s="12" t="str">
        <f>IFERROR(__xludf.DUMMYFUNCTION("""COMPUTED_VALUE"""),"0x8066f69802bd531a31a60ace16b2e5f68a8a9fdf")</f>
        <v>0x8066f69802bd531a31a60ace16b2e5f68a8a9fdf</v>
      </c>
      <c r="J1514" s="11">
        <v>26.5762458117356</v>
      </c>
      <c r="K1514" s="12">
        <v>59.058324026079106</v>
      </c>
      <c r="L1514" s="13">
        <v>5.905832402607911E19</v>
      </c>
      <c r="M1514" s="9">
        <v>5.9058324026079109E18</v>
      </c>
    </row>
    <row r="1515" ht="15.75" customHeight="1">
      <c r="A1515" s="8"/>
      <c r="B1515" s="8"/>
      <c r="C1515" s="8"/>
      <c r="D1515" s="8">
        <v>27.9026907562088</v>
      </c>
      <c r="E1515" s="9" t="s">
        <v>1524</v>
      </c>
      <c r="I1515" s="12" t="str">
        <f>IFERROR(__xludf.DUMMYFUNCTION("""COMPUTED_VALUE"""),"0x806be29fd63609604738e5b3cd82c7bcc6220ba3")</f>
        <v>0x806be29fd63609604738e5b3cd82c7bcc6220ba3</v>
      </c>
      <c r="J1515" s="11">
        <v>27.9026907562088</v>
      </c>
      <c r="K1515" s="12">
        <v>62.005979458241775</v>
      </c>
      <c r="L1515" s="13">
        <v>6.200597945824177E19</v>
      </c>
      <c r="M1515" s="9">
        <v>6.2005979458241782E18</v>
      </c>
    </row>
    <row r="1516" ht="15.75" customHeight="1">
      <c r="A1516" s="8"/>
      <c r="B1516" s="8"/>
      <c r="C1516" s="8"/>
      <c r="D1516" s="8">
        <v>27.2213381418716</v>
      </c>
      <c r="E1516" s="9" t="s">
        <v>1525</v>
      </c>
      <c r="I1516" s="12" t="str">
        <f>IFERROR(__xludf.DUMMYFUNCTION("""COMPUTED_VALUE"""),"0x807216ad4b005357a60e224a8fad7fa512430511")</f>
        <v>0x807216ad4b005357a60e224a8fad7fa512430511</v>
      </c>
      <c r="J1516" s="11">
        <v>27.2213381418716</v>
      </c>
      <c r="K1516" s="12">
        <v>60.49186253749244</v>
      </c>
      <c r="L1516" s="13">
        <v>6.049186253749244E19</v>
      </c>
      <c r="M1516" s="9">
        <v>6.0491862537492439E18</v>
      </c>
    </row>
    <row r="1517" ht="15.75" customHeight="1">
      <c r="A1517" s="8"/>
      <c r="B1517" s="8"/>
      <c r="C1517" s="8"/>
      <c r="D1517" s="8">
        <v>14.0881267156449</v>
      </c>
      <c r="E1517" s="9" t="s">
        <v>1526</v>
      </c>
      <c r="I1517" s="12" t="str">
        <f>IFERROR(__xludf.DUMMYFUNCTION("""COMPUTED_VALUE"""),"0x80820f9cd3687ea10a0f14c875b2b7edfdc18ce5")</f>
        <v>0x80820f9cd3687ea10a0f14c875b2b7edfdc18ce5</v>
      </c>
      <c r="J1517" s="11">
        <v>97.4656052107012</v>
      </c>
      <c r="K1517" s="12">
        <v>216.5902338015582</v>
      </c>
      <c r="L1517" s="13">
        <v>2.1659023380155823E20</v>
      </c>
      <c r="M1517" s="9">
        <v>2.1659023380155822E19</v>
      </c>
    </row>
    <row r="1518" ht="15.75" customHeight="1">
      <c r="A1518" s="8"/>
      <c r="B1518" s="8"/>
      <c r="C1518" s="8"/>
      <c r="D1518" s="8">
        <v>27.9026907562088</v>
      </c>
      <c r="E1518" s="9" t="s">
        <v>1527</v>
      </c>
      <c r="I1518" s="12" t="str">
        <f>IFERROR(__xludf.DUMMYFUNCTION("""COMPUTED_VALUE"""),"0x8087fee86e8967dbf76261f440e5f41b260ae224")</f>
        <v>0x8087fee86e8967dbf76261f440e5f41b260ae224</v>
      </c>
      <c r="J1518" s="11">
        <v>91.1199983031448</v>
      </c>
      <c r="K1518" s="12">
        <v>202.48888511809955</v>
      </c>
      <c r="L1518" s="13">
        <v>2.0248888511809955E20</v>
      </c>
      <c r="M1518" s="9">
        <v>2.0248888511809958E19</v>
      </c>
    </row>
    <row r="1519" ht="15.75" customHeight="1">
      <c r="A1519" s="8"/>
      <c r="B1519" s="8"/>
      <c r="C1519" s="8"/>
      <c r="D1519" s="8">
        <v>24.3835905343164</v>
      </c>
      <c r="E1519" s="9" t="s">
        <v>1528</v>
      </c>
      <c r="I1519" s="12" t="str">
        <f>IFERROR(__xludf.DUMMYFUNCTION("""COMPUTED_VALUE"""),"0x80a0b406a94fd1c2e90400be79b426c180b6b0ff")</f>
        <v>0x80a0b406a94fd1c2e90400be79b426c180b6b0ff</v>
      </c>
      <c r="J1519" s="11">
        <v>24.3835905343164</v>
      </c>
      <c r="K1519" s="12">
        <v>54.185756742925335</v>
      </c>
      <c r="L1519" s="13">
        <v>5.418575674292534E19</v>
      </c>
      <c r="M1519" s="9">
        <v>5.4185756742925343E18</v>
      </c>
    </row>
    <row r="1520" ht="15.75" customHeight="1">
      <c r="A1520" s="8"/>
      <c r="B1520" s="8"/>
      <c r="C1520" s="8"/>
      <c r="D1520" s="8">
        <v>27.9026907562088</v>
      </c>
      <c r="E1520" s="9" t="s">
        <v>1529</v>
      </c>
      <c r="I1520" s="12" t="str">
        <f>IFERROR(__xludf.DUMMYFUNCTION("""COMPUTED_VALUE"""),"0x80b506102d7874685ebd3d5f3e34a8011fab7d2b")</f>
        <v>0x80b506102d7874685ebd3d5f3e34a8011fab7d2b</v>
      </c>
      <c r="J1520" s="11">
        <v>27.9026907562088</v>
      </c>
      <c r="K1520" s="12">
        <v>62.005979458241775</v>
      </c>
      <c r="L1520" s="13">
        <v>6.200597945824177E19</v>
      </c>
      <c r="M1520" s="9">
        <v>6.2005979458241782E18</v>
      </c>
    </row>
    <row r="1521" ht="15.75" customHeight="1">
      <c r="A1521" s="8"/>
      <c r="B1521" s="8"/>
      <c r="C1521" s="8"/>
      <c r="D1521" s="8">
        <v>27.9026907562088</v>
      </c>
      <c r="E1521" s="9" t="s">
        <v>1530</v>
      </c>
      <c r="I1521" s="12" t="str">
        <f>IFERROR(__xludf.DUMMYFUNCTION("""COMPUTED_VALUE"""),"0x80c1adfb1192d781a03cae1ac84faecac5c91a8a")</f>
        <v>0x80c1adfb1192d781a03cae1ac84faecac5c91a8a</v>
      </c>
      <c r="J1521" s="11">
        <v>27.9026907562088</v>
      </c>
      <c r="K1521" s="12">
        <v>62.005979458241775</v>
      </c>
      <c r="L1521" s="13">
        <v>6.200597945824177E19</v>
      </c>
      <c r="M1521" s="9">
        <v>6.2005979458241782E18</v>
      </c>
    </row>
    <row r="1522" ht="15.75" customHeight="1">
      <c r="A1522" s="8"/>
      <c r="B1522" s="8"/>
      <c r="C1522" s="8"/>
      <c r="D1522" s="8">
        <v>27.9026907562088</v>
      </c>
      <c r="E1522" s="9" t="s">
        <v>1531</v>
      </c>
      <c r="I1522" s="12" t="str">
        <f>IFERROR(__xludf.DUMMYFUNCTION("""COMPUTED_VALUE"""),"0x80d082852bb1e1fdca41130afcb0469b6b8a66b3")</f>
        <v>0x80d082852bb1e1fdca41130afcb0469b6b8a66b3</v>
      </c>
      <c r="J1522" s="11">
        <v>126.1442243833674</v>
      </c>
      <c r="K1522" s="12">
        <v>280.32049862970536</v>
      </c>
      <c r="L1522" s="13">
        <v>2.8032049862970537E20</v>
      </c>
      <c r="M1522" s="9">
        <v>2.803204986297054E19</v>
      </c>
    </row>
    <row r="1523" ht="15.75" customHeight="1">
      <c r="A1523" s="8"/>
      <c r="B1523" s="8"/>
      <c r="C1523" s="8"/>
      <c r="D1523" s="8">
        <v>27.9026907562088</v>
      </c>
      <c r="E1523" s="9" t="s">
        <v>1532</v>
      </c>
      <c r="I1523" s="12" t="str">
        <f>IFERROR(__xludf.DUMMYFUNCTION("""COMPUTED_VALUE"""),"0x80d1060d9cff5e935b815f8cd125efd3f03640e0")</f>
        <v>0x80d1060d9cff5e935b815f8cd125efd3f03640e0</v>
      </c>
      <c r="J1523" s="11">
        <v>27.9026907562088</v>
      </c>
      <c r="K1523" s="12">
        <v>62.005979458241775</v>
      </c>
      <c r="L1523" s="13">
        <v>6.200597945824177E19</v>
      </c>
      <c r="M1523" s="9">
        <v>6.2005979458241782E18</v>
      </c>
    </row>
    <row r="1524" ht="15.75" customHeight="1">
      <c r="A1524" s="8"/>
      <c r="B1524" s="8"/>
      <c r="C1524" s="8"/>
      <c r="D1524" s="8">
        <v>27.5559502258439</v>
      </c>
      <c r="E1524" s="9" t="s">
        <v>1533</v>
      </c>
      <c r="I1524" s="12" t="str">
        <f>IFERROR(__xludf.DUMMYFUNCTION("""COMPUTED_VALUE"""),"0x80d36bebb754c3be49d26caec7ec1c3c4d0c9adc")</f>
        <v>0x80d36bebb754c3be49d26caec7ec1c3c4d0c9adc</v>
      </c>
      <c r="J1524" s="11">
        <v>90.0651643895043</v>
      </c>
      <c r="K1524" s="12">
        <v>200.144809754454</v>
      </c>
      <c r="L1524" s="13">
        <v>2.00144809754454E20</v>
      </c>
      <c r="M1524" s="9">
        <v>2.00144809754454E19</v>
      </c>
    </row>
    <row r="1525" ht="15.75" customHeight="1">
      <c r="A1525" s="8"/>
      <c r="B1525" s="8"/>
      <c r="C1525" s="8"/>
      <c r="D1525" s="8">
        <v>27.9026907562088</v>
      </c>
      <c r="E1525" s="9" t="s">
        <v>1534</v>
      </c>
      <c r="I1525" s="12" t="str">
        <f>IFERROR(__xludf.DUMMYFUNCTION("""COMPUTED_VALUE"""),"0x81025ad7ef745169186889effcdf7be125b74655")</f>
        <v>0x81025ad7ef745169186889effcdf7be125b74655</v>
      </c>
      <c r="J1525" s="11">
        <v>27.9026907562088</v>
      </c>
      <c r="K1525" s="12">
        <v>62.005979458241775</v>
      </c>
      <c r="L1525" s="13">
        <v>6.200597945824177E19</v>
      </c>
      <c r="M1525" s="9">
        <v>6.2005979458241782E18</v>
      </c>
    </row>
    <row r="1526" ht="15.75" customHeight="1">
      <c r="A1526" s="8"/>
      <c r="B1526" s="8"/>
      <c r="C1526" s="8"/>
      <c r="D1526" s="8">
        <v>8.0864817497163</v>
      </c>
      <c r="E1526" s="9" t="s">
        <v>1535</v>
      </c>
      <c r="I1526" s="12" t="str">
        <f>IFERROR(__xludf.DUMMYFUNCTION("""COMPUTED_VALUE"""),"0x81199a75141bf9b0ac662cd3cd71b8b403d4339f")</f>
        <v>0x81199a75141bf9b0ac662cd3cd71b8b403d4339f</v>
      </c>
      <c r="J1526" s="11">
        <v>8.0864817497163</v>
      </c>
      <c r="K1526" s="12">
        <v>17.969959443814002</v>
      </c>
      <c r="L1526" s="13">
        <v>1.7969959443814003E19</v>
      </c>
      <c r="M1526" s="9">
        <v>1.79699594438140032E18</v>
      </c>
    </row>
    <row r="1527" ht="15.75" customHeight="1">
      <c r="A1527" s="8"/>
      <c r="B1527" s="8"/>
      <c r="C1527" s="8"/>
      <c r="D1527" s="8">
        <v>27.9026907562088</v>
      </c>
      <c r="E1527" s="9" t="s">
        <v>1536</v>
      </c>
      <c r="I1527" s="12" t="str">
        <f>IFERROR(__xludf.DUMMYFUNCTION("""COMPUTED_VALUE"""),"0x81252eb6e884bfc452def81b3288e020cf9dd71f")</f>
        <v>0x81252eb6e884bfc452def81b3288e020cf9dd71f</v>
      </c>
      <c r="J1527" s="11">
        <v>40.917422983425496</v>
      </c>
      <c r="K1527" s="12">
        <v>90.92760662983443</v>
      </c>
      <c r="L1527" s="13">
        <v>9.092760662983442E19</v>
      </c>
      <c r="M1527" s="9">
        <v>9.0927606629834424E18</v>
      </c>
    </row>
    <row r="1528" ht="15.75" customHeight="1">
      <c r="A1528" s="8"/>
      <c r="B1528" s="8"/>
      <c r="C1528" s="8"/>
      <c r="D1528" s="8">
        <v>27.9026907562088</v>
      </c>
      <c r="E1528" s="9" t="s">
        <v>1537</v>
      </c>
      <c r="I1528" s="12" t="str">
        <f>IFERROR(__xludf.DUMMYFUNCTION("""COMPUTED_VALUE"""),"0x81389bf2b1fcda287b090119ea3cc706a16b6c36")</f>
        <v>0x81389bf2b1fcda287b090119ea3cc706a16b6c36</v>
      </c>
      <c r="J1528" s="11">
        <v>113.0502873483152</v>
      </c>
      <c r="K1528" s="12">
        <v>251.22286077403376</v>
      </c>
      <c r="L1528" s="13">
        <v>2.5122286077403375E20</v>
      </c>
      <c r="M1528" s="9">
        <v>2.5122286077403378E19</v>
      </c>
    </row>
    <row r="1529" ht="15.75" customHeight="1">
      <c r="A1529" s="8"/>
      <c r="B1529" s="8"/>
      <c r="C1529" s="8"/>
      <c r="D1529" s="8">
        <v>27.9026907562088</v>
      </c>
      <c r="E1529" s="9" t="s">
        <v>1538</v>
      </c>
      <c r="I1529" s="12" t="str">
        <f>IFERROR(__xludf.DUMMYFUNCTION("""COMPUTED_VALUE"""),"0x815400bf42a37af49f0229b502a15c880ad14ad2")</f>
        <v>0x815400bf42a37af49f0229b502a15c880ad14ad2</v>
      </c>
      <c r="J1529" s="11">
        <v>107.283992548269</v>
      </c>
      <c r="K1529" s="12">
        <v>238.40887232948666</v>
      </c>
      <c r="L1529" s="13">
        <v>2.3840887232948666E20</v>
      </c>
      <c r="M1529" s="9">
        <v>2.3840887232948666E19</v>
      </c>
    </row>
    <row r="1530" ht="15.75" customHeight="1">
      <c r="A1530" s="8"/>
      <c r="B1530" s="8"/>
      <c r="C1530" s="8"/>
      <c r="D1530" s="8">
        <v>27.9026907562088</v>
      </c>
      <c r="E1530" s="9" t="s">
        <v>1539</v>
      </c>
      <c r="I1530" s="12" t="str">
        <f>IFERROR(__xludf.DUMMYFUNCTION("""COMPUTED_VALUE"""),"0x815e116c9cc4604d3ea481ab55abe829ee885a88")</f>
        <v>0x815e116c9cc4604d3ea481ab55abe829ee885a88</v>
      </c>
      <c r="J1530" s="11">
        <v>78.47653679375759</v>
      </c>
      <c r="K1530" s="12">
        <v>174.39230398612798</v>
      </c>
      <c r="L1530" s="13">
        <v>1.74392303986128E20</v>
      </c>
      <c r="M1530" s="9">
        <v>1.74392303986128E19</v>
      </c>
    </row>
    <row r="1531" ht="15.75" customHeight="1">
      <c r="A1531" s="8"/>
      <c r="B1531" s="8"/>
      <c r="C1531" s="8"/>
      <c r="D1531" s="8">
        <v>27.9026907562088</v>
      </c>
      <c r="E1531" s="9" t="s">
        <v>1540</v>
      </c>
      <c r="I1531" s="12" t="str">
        <f>IFERROR(__xludf.DUMMYFUNCTION("""COMPUTED_VALUE"""),"0x8166e6476afe22d9b316a48b1a4d39dd51d08643")</f>
        <v>0x8166e6476afe22d9b316a48b1a4d39dd51d08643</v>
      </c>
      <c r="J1531" s="11">
        <v>91.1199983031448</v>
      </c>
      <c r="K1531" s="12">
        <v>202.48888511809955</v>
      </c>
      <c r="L1531" s="13">
        <v>2.0248888511809955E20</v>
      </c>
      <c r="M1531" s="9">
        <v>2.0248888511809958E19</v>
      </c>
    </row>
    <row r="1532" ht="15.75" customHeight="1">
      <c r="A1532" s="8"/>
      <c r="B1532" s="8"/>
      <c r="C1532" s="8"/>
      <c r="D1532" s="8">
        <v>27.9026907562088</v>
      </c>
      <c r="E1532" s="9" t="s">
        <v>1541</v>
      </c>
      <c r="I1532" s="12" t="str">
        <f>IFERROR(__xludf.DUMMYFUNCTION("""COMPUTED_VALUE"""),"0x816c98d83e0d6c1bee19d8ec3b059ecacb764132")</f>
        <v>0x816c98d83e0d6c1bee19d8ec3b059ecacb764132</v>
      </c>
      <c r="J1532" s="11">
        <v>75.5832748956881</v>
      </c>
      <c r="K1532" s="12">
        <v>167.96283310152913</v>
      </c>
      <c r="L1532" s="13">
        <v>1.6796283310152912E20</v>
      </c>
      <c r="M1532" s="9">
        <v>1.6796283310152913E19</v>
      </c>
    </row>
    <row r="1533" ht="15.75" customHeight="1">
      <c r="A1533" s="8"/>
      <c r="B1533" s="8"/>
      <c r="C1533" s="8"/>
      <c r="D1533" s="8">
        <v>27.9026907562088</v>
      </c>
      <c r="E1533" s="9" t="s">
        <v>1542</v>
      </c>
      <c r="I1533" s="12" t="str">
        <f>IFERROR(__xludf.DUMMYFUNCTION("""COMPUTED_VALUE"""),"0x817d3bd22c9d38253f931a5efaeb41d401e1dc69")</f>
        <v>0x817d3bd22c9d38253f931a5efaeb41d401e1dc69</v>
      </c>
      <c r="J1533" s="11">
        <v>91.1199983031448</v>
      </c>
      <c r="K1533" s="12">
        <v>202.48888511809955</v>
      </c>
      <c r="L1533" s="13">
        <v>2.0248888511809955E20</v>
      </c>
      <c r="M1533" s="9">
        <v>2.0248888511809958E19</v>
      </c>
    </row>
    <row r="1534" ht="15.75" customHeight="1">
      <c r="A1534" s="8"/>
      <c r="B1534" s="8"/>
      <c r="C1534" s="8"/>
      <c r="D1534" s="8">
        <v>18.1909390730958</v>
      </c>
      <c r="E1534" s="9" t="s">
        <v>1543</v>
      </c>
      <c r="I1534" s="12" t="str">
        <f>IFERROR(__xludf.DUMMYFUNCTION("""COMPUTED_VALUE"""),"0x818418eb4b2d93d8daebed1159c8fadc7a079c5d")</f>
        <v>0x818418eb4b2d93d8daebed1159c8fadc7a079c5d</v>
      </c>
      <c r="J1534" s="11">
        <v>18.1909390730958</v>
      </c>
      <c r="K1534" s="12">
        <v>40.424309051324</v>
      </c>
      <c r="L1534" s="13">
        <v>4.0424309051324E19</v>
      </c>
      <c r="M1534" s="9">
        <v>4.0424309051324001E18</v>
      </c>
    </row>
    <row r="1535" ht="15.75" customHeight="1">
      <c r="A1535" s="8"/>
      <c r="B1535" s="8"/>
      <c r="C1535" s="8"/>
      <c r="D1535" s="8">
        <v>27.9026907562088</v>
      </c>
      <c r="E1535" s="9" t="s">
        <v>1544</v>
      </c>
      <c r="I1535" s="12" t="str">
        <f>IFERROR(__xludf.DUMMYFUNCTION("""COMPUTED_VALUE"""),"0x81a72aa945f90142370fc7e3addf039ebbe2ef19")</f>
        <v>0x81a72aa945f90142370fc7e3addf039ebbe2ef19</v>
      </c>
      <c r="J1535" s="11">
        <v>91.1199983031448</v>
      </c>
      <c r="K1535" s="12">
        <v>202.48888511809955</v>
      </c>
      <c r="L1535" s="13">
        <v>2.0248888511809955E20</v>
      </c>
      <c r="M1535" s="9">
        <v>2.0248888511809958E19</v>
      </c>
    </row>
    <row r="1536" ht="15.75" customHeight="1">
      <c r="A1536" s="8"/>
      <c r="B1536" s="8"/>
      <c r="C1536" s="8"/>
      <c r="D1536" s="8">
        <v>27.9026907562088</v>
      </c>
      <c r="E1536" s="9" t="s">
        <v>1545</v>
      </c>
      <c r="I1536" s="12" t="str">
        <f>IFERROR(__xludf.DUMMYFUNCTION("""COMPUTED_VALUE"""),"0x81e34639ded2fc0ce0b46609ea41c5897f8143c2")</f>
        <v>0x81e34639ded2fc0ce0b46609ea41c5897f8143c2</v>
      </c>
      <c r="J1536" s="11">
        <v>27.9026907562088</v>
      </c>
      <c r="K1536" s="12">
        <v>62.005979458241775</v>
      </c>
      <c r="L1536" s="13">
        <v>6.200597945824177E19</v>
      </c>
      <c r="M1536" s="9">
        <v>6.2005979458241782E18</v>
      </c>
    </row>
    <row r="1537" ht="15.75" customHeight="1">
      <c r="A1537" s="8"/>
      <c r="B1537" s="8"/>
      <c r="C1537" s="8"/>
      <c r="D1537" s="8">
        <v>26.5984832159028</v>
      </c>
      <c r="E1537" s="9" t="s">
        <v>1546</v>
      </c>
      <c r="I1537" s="12" t="str">
        <f>IFERROR(__xludf.DUMMYFUNCTION("""COMPUTED_VALUE"""),"0x821b3ccb295debce08212ee06193cf404ab825a3")</f>
        <v>0x821b3ccb295debce08212ee06193cf404ab825a3</v>
      </c>
      <c r="J1537" s="11">
        <v>26.5984832159028</v>
      </c>
      <c r="K1537" s="12">
        <v>59.107740479784</v>
      </c>
      <c r="L1537" s="13">
        <v>5.9107740479784E19</v>
      </c>
      <c r="M1537" s="9">
        <v>5.9107740479784008E18</v>
      </c>
    </row>
    <row r="1538" ht="15.75" customHeight="1">
      <c r="A1538" s="8"/>
      <c r="B1538" s="8"/>
      <c r="C1538" s="8"/>
      <c r="D1538" s="8">
        <v>27.9026907562088</v>
      </c>
      <c r="E1538" s="9" t="s">
        <v>1547</v>
      </c>
      <c r="I1538" s="12" t="str">
        <f>IFERROR(__xludf.DUMMYFUNCTION("""COMPUTED_VALUE"""),"0x821ebc8d481c2440c6581534acc6cc0d0bff7c73")</f>
        <v>0x821ebc8d481c2440c6581534acc6cc0d0bff7c73</v>
      </c>
      <c r="J1538" s="11">
        <v>91.1199983031448</v>
      </c>
      <c r="K1538" s="12">
        <v>202.48888511809955</v>
      </c>
      <c r="L1538" s="13">
        <v>2.0248888511809955E20</v>
      </c>
      <c r="M1538" s="9">
        <v>2.0248888511809958E19</v>
      </c>
    </row>
    <row r="1539" ht="15.75" customHeight="1">
      <c r="A1539" s="8"/>
      <c r="B1539" s="8"/>
      <c r="C1539" s="8"/>
      <c r="D1539" s="8">
        <v>27.9026907562088</v>
      </c>
      <c r="E1539" s="9" t="s">
        <v>1548</v>
      </c>
      <c r="I1539" s="12" t="str">
        <f>IFERROR(__xludf.DUMMYFUNCTION("""COMPUTED_VALUE"""),"0x827e71b1fec3a37114b7c62db6401d962247b876")</f>
        <v>0x827e71b1fec3a37114b7c62db6401d962247b876</v>
      </c>
      <c r="J1539" s="11">
        <v>176.839349753892</v>
      </c>
      <c r="K1539" s="12">
        <v>392.97633278642667</v>
      </c>
      <c r="L1539" s="13">
        <v>3.9297633278642664E20</v>
      </c>
      <c r="M1539" s="9">
        <v>3.929763327864267E19</v>
      </c>
    </row>
    <row r="1540" ht="15.75" customHeight="1">
      <c r="A1540" s="8"/>
      <c r="B1540" s="8"/>
      <c r="C1540" s="8"/>
      <c r="D1540" s="8">
        <v>27.9026907562088</v>
      </c>
      <c r="E1540" s="9" t="s">
        <v>1549</v>
      </c>
      <c r="I1540" s="12" t="str">
        <f>IFERROR(__xludf.DUMMYFUNCTION("""COMPUTED_VALUE"""),"0x82999ef66ded3b44380d49cbefc23894c4c3e61d")</f>
        <v>0x82999ef66ded3b44380d49cbefc23894c4c3e61d</v>
      </c>
      <c r="J1540" s="11">
        <v>71.4755146886202</v>
      </c>
      <c r="K1540" s="12">
        <v>158.83447708582264</v>
      </c>
      <c r="L1540" s="13">
        <v>1.5883447708582265E20</v>
      </c>
      <c r="M1540" s="9">
        <v>1.5883447708582265E19</v>
      </c>
    </row>
    <row r="1541" ht="15.75" customHeight="1">
      <c r="A1541" s="8"/>
      <c r="B1541" s="8"/>
      <c r="C1541" s="8"/>
      <c r="D1541" s="8">
        <v>27.9026907562088</v>
      </c>
      <c r="E1541" s="9" t="s">
        <v>1550</v>
      </c>
      <c r="I1541" s="12" t="str">
        <f>IFERROR(__xludf.DUMMYFUNCTION("""COMPUTED_VALUE"""),"0x82a2e65dcdb669033424ccc3877163582f8a143c")</f>
        <v>0x82a2e65dcdb669033424ccc3877163582f8a143c</v>
      </c>
      <c r="J1541" s="11">
        <v>27.9026907562088</v>
      </c>
      <c r="K1541" s="12">
        <v>62.005979458241775</v>
      </c>
      <c r="L1541" s="13">
        <v>6.200597945824177E19</v>
      </c>
      <c r="M1541" s="9">
        <v>6.2005979458241782E18</v>
      </c>
    </row>
    <row r="1542" ht="15.75" customHeight="1">
      <c r="A1542" s="8"/>
      <c r="B1542" s="8"/>
      <c r="C1542" s="8"/>
      <c r="D1542" s="8">
        <v>27.9026907562088</v>
      </c>
      <c r="E1542" s="9" t="s">
        <v>1551</v>
      </c>
      <c r="I1542" s="12" t="str">
        <f>IFERROR(__xludf.DUMMYFUNCTION("""COMPUTED_VALUE"""),"0x82ddeedc3fed36b418a4a49e1f1f7cb87429269b")</f>
        <v>0x82ddeedc3fed36b418a4a49e1f1f7cb87429269b</v>
      </c>
      <c r="J1542" s="11">
        <v>91.1199983031448</v>
      </c>
      <c r="K1542" s="12">
        <v>202.48888511809955</v>
      </c>
      <c r="L1542" s="13">
        <v>2.0248888511809955E20</v>
      </c>
      <c r="M1542" s="9">
        <v>2.0248888511809958E19</v>
      </c>
    </row>
    <row r="1543" ht="15.75" customHeight="1">
      <c r="A1543" s="8"/>
      <c r="B1543" s="8"/>
      <c r="C1543" s="8"/>
      <c r="D1543" s="8">
        <v>26.2373983903292</v>
      </c>
      <c r="E1543" s="9" t="s">
        <v>1552</v>
      </c>
      <c r="I1543" s="12" t="str">
        <f>IFERROR(__xludf.DUMMYFUNCTION("""COMPUTED_VALUE"""),"0x82e75d92e557db4e4576f13b45aafd07a18c1253")</f>
        <v>0x82e75d92e557db4e4576f13b45aafd07a18c1253</v>
      </c>
      <c r="J1543" s="11">
        <v>160.0405533160262</v>
      </c>
      <c r="K1543" s="12">
        <v>355.6456740356138</v>
      </c>
      <c r="L1543" s="13">
        <v>3.556456740356138E20</v>
      </c>
      <c r="M1543" s="9">
        <v>3.556456740356138E19</v>
      </c>
    </row>
    <row r="1544" ht="15.75" customHeight="1">
      <c r="A1544" s="8"/>
      <c r="B1544" s="8"/>
      <c r="C1544" s="8"/>
      <c r="D1544" s="8">
        <v>27.9026907562088</v>
      </c>
      <c r="E1544" s="9" t="s">
        <v>1553</v>
      </c>
      <c r="I1544" s="12" t="str">
        <f>IFERROR(__xludf.DUMMYFUNCTION("""COMPUTED_VALUE"""),"0x83484257af94d2740edcb2f9b034d5b5fa61d2ba")</f>
        <v>0x83484257af94d2740edcb2f9b034d5b5fa61d2ba</v>
      </c>
      <c r="J1544" s="11">
        <v>102.60100475107569</v>
      </c>
      <c r="K1544" s="12">
        <v>228.00223278016819</v>
      </c>
      <c r="L1544" s="13">
        <v>2.280022327801682E20</v>
      </c>
      <c r="M1544" s="9">
        <v>2.2800223278016823E19</v>
      </c>
    </row>
    <row r="1545" ht="15.75" customHeight="1">
      <c r="A1545" s="8"/>
      <c r="B1545" s="8"/>
      <c r="C1545" s="8"/>
      <c r="D1545" s="8">
        <v>27.9026907562088</v>
      </c>
      <c r="E1545" s="9" t="s">
        <v>1554</v>
      </c>
      <c r="I1545" s="12" t="str">
        <f>IFERROR(__xludf.DUMMYFUNCTION("""COMPUTED_VALUE"""),"0x83492c4c9f74e0df5838250f1629cae2506d43b7")</f>
        <v>0x83492c4c9f74e0df5838250f1629cae2506d43b7</v>
      </c>
      <c r="J1545" s="11">
        <v>91.1199983031448</v>
      </c>
      <c r="K1545" s="12">
        <v>202.48888511809955</v>
      </c>
      <c r="L1545" s="13">
        <v>2.0248888511809955E20</v>
      </c>
      <c r="M1545" s="9">
        <v>2.0248888511809958E19</v>
      </c>
    </row>
    <row r="1546" ht="15.75" customHeight="1">
      <c r="A1546" s="8"/>
      <c r="B1546" s="8"/>
      <c r="C1546" s="8"/>
      <c r="D1546" s="8">
        <v>27.9026907562088</v>
      </c>
      <c r="E1546" s="9" t="s">
        <v>1555</v>
      </c>
      <c r="I1546" s="12" t="str">
        <f>IFERROR(__xludf.DUMMYFUNCTION("""COMPUTED_VALUE"""),"0x83540929300f6e3b3ecd8914ddcea93f482609b1")</f>
        <v>0x83540929300f6e3b3ecd8914ddcea93f482609b1</v>
      </c>
      <c r="J1546" s="11">
        <v>91.1199983031448</v>
      </c>
      <c r="K1546" s="12">
        <v>202.48888511809955</v>
      </c>
      <c r="L1546" s="13">
        <v>2.0248888511809955E20</v>
      </c>
      <c r="M1546" s="9">
        <v>2.0248888511809958E19</v>
      </c>
    </row>
    <row r="1547" ht="15.75" customHeight="1">
      <c r="A1547" s="8"/>
      <c r="B1547" s="8"/>
      <c r="C1547" s="8"/>
      <c r="D1547" s="8">
        <v>27.9026907562088</v>
      </c>
      <c r="E1547" s="9" t="s">
        <v>1556</v>
      </c>
      <c r="I1547" s="12" t="str">
        <f>IFERROR(__xludf.DUMMYFUNCTION("""COMPUTED_VALUE"""),"0x835649a4ad9c806405b03e39bfcd02d6e81b408f")</f>
        <v>0x835649a4ad9c806405b03e39bfcd02d6e81b408f</v>
      </c>
      <c r="J1547" s="11">
        <v>92.19117631213379</v>
      </c>
      <c r="K1547" s="12">
        <v>204.86928069363063</v>
      </c>
      <c r="L1547" s="13">
        <v>2.0486928069363063E20</v>
      </c>
      <c r="M1547" s="9">
        <v>2.0486928069363065E19</v>
      </c>
    </row>
    <row r="1548" ht="15.75" customHeight="1">
      <c r="A1548" s="8"/>
      <c r="B1548" s="8"/>
      <c r="C1548" s="8"/>
      <c r="D1548" s="8">
        <v>27.9026907562088</v>
      </c>
      <c r="E1548" s="9" t="s">
        <v>1557</v>
      </c>
      <c r="I1548" s="12" t="str">
        <f>IFERROR(__xludf.DUMMYFUNCTION("""COMPUTED_VALUE"""),"0x836a4f927565ebd84ab8dac785be4dd20c6d4d4c")</f>
        <v>0x836a4f927565ebd84ab8dac785be4dd20c6d4d4c</v>
      </c>
      <c r="J1548" s="11">
        <v>42.569106107097895</v>
      </c>
      <c r="K1548" s="12">
        <v>94.59801357132865</v>
      </c>
      <c r="L1548" s="13">
        <v>9.459801357132866E19</v>
      </c>
      <c r="M1548" s="9">
        <v>9.459801357132866E18</v>
      </c>
    </row>
    <row r="1549" ht="15.75" customHeight="1">
      <c r="A1549" s="8"/>
      <c r="B1549" s="8"/>
      <c r="C1549" s="8"/>
      <c r="D1549" s="8">
        <v>18.997808719293</v>
      </c>
      <c r="E1549" s="9" t="s">
        <v>1558</v>
      </c>
      <c r="I1549" s="12" t="str">
        <f>IFERROR(__xludf.DUMMYFUNCTION("""COMPUTED_VALUE"""),"0x83a3e524f0b4cd2eb0cfbd91e7c9ee86e6c8a083")</f>
        <v>0x83a3e524f0b4cd2eb0cfbd91e7c9ee86e6c8a083</v>
      </c>
      <c r="J1549" s="11">
        <v>18.997808719293</v>
      </c>
      <c r="K1549" s="12">
        <v>42.21735270954</v>
      </c>
      <c r="L1549" s="13">
        <v>4.221735270954E19</v>
      </c>
      <c r="M1549" s="9">
        <v>4.2217352709540004E18</v>
      </c>
    </row>
    <row r="1550" ht="15.75" customHeight="1">
      <c r="A1550" s="8"/>
      <c r="B1550" s="8"/>
      <c r="C1550" s="8"/>
      <c r="D1550" s="8">
        <v>27.9026907562088</v>
      </c>
      <c r="E1550" s="9" t="s">
        <v>1559</v>
      </c>
      <c r="I1550" s="12" t="str">
        <f>IFERROR(__xludf.DUMMYFUNCTION("""COMPUTED_VALUE"""),"0x83e28fcf86a7a0ba511ac79e65df19646d27b2b8")</f>
        <v>0x83e28fcf86a7a0ba511ac79e65df19646d27b2b8</v>
      </c>
      <c r="J1550" s="11">
        <v>27.9026907562088</v>
      </c>
      <c r="K1550" s="12">
        <v>62.005979458241775</v>
      </c>
      <c r="L1550" s="13">
        <v>6.200597945824177E19</v>
      </c>
      <c r="M1550" s="9">
        <v>6.2005979458241782E18</v>
      </c>
    </row>
    <row r="1551" ht="15.75" customHeight="1">
      <c r="A1551" s="8"/>
      <c r="B1551" s="8"/>
      <c r="C1551" s="8"/>
      <c r="D1551" s="8">
        <v>27.9026907562088</v>
      </c>
      <c r="E1551" s="9" t="s">
        <v>1560</v>
      </c>
      <c r="I1551" s="12" t="str">
        <f>IFERROR(__xludf.DUMMYFUNCTION("""COMPUTED_VALUE"""),"0x83faad862fb2cd3aa828f7a795f3f559df0badd4")</f>
        <v>0x83faad862fb2cd3aa828f7a795f3f559df0badd4</v>
      </c>
      <c r="J1551" s="11">
        <v>51.905141153</v>
      </c>
      <c r="K1551" s="12">
        <v>115.34475811777779</v>
      </c>
      <c r="L1551" s="13">
        <v>1.1534475811777778E20</v>
      </c>
      <c r="M1551" s="9">
        <v>1.153447581177778E19</v>
      </c>
    </row>
    <row r="1552" ht="15.75" customHeight="1">
      <c r="A1552" s="8"/>
      <c r="B1552" s="8"/>
      <c r="C1552" s="8"/>
      <c r="D1552" s="8">
        <v>27.9026907562088</v>
      </c>
      <c r="E1552" s="9" t="s">
        <v>1561</v>
      </c>
      <c r="I1552" s="12" t="str">
        <f>IFERROR(__xludf.DUMMYFUNCTION("""COMPUTED_VALUE"""),"0x83fd531ade3e2e34a7c94e878e0ad3263bf28cdf")</f>
        <v>0x83fd531ade3e2e34a7c94e878e0ad3263bf28cdf</v>
      </c>
      <c r="J1552" s="11">
        <v>27.9026907562088</v>
      </c>
      <c r="K1552" s="12">
        <v>62.005979458241775</v>
      </c>
      <c r="L1552" s="13">
        <v>6.200597945824177E19</v>
      </c>
      <c r="M1552" s="9">
        <v>6.2005979458241782E18</v>
      </c>
    </row>
    <row r="1553" ht="15.75" customHeight="1">
      <c r="A1553" s="8"/>
      <c r="B1553" s="8"/>
      <c r="C1553" s="8"/>
      <c r="D1553" s="8">
        <v>5.47337858449171</v>
      </c>
      <c r="E1553" s="9" t="s">
        <v>1562</v>
      </c>
      <c r="I1553" s="12" t="str">
        <f>IFERROR(__xludf.DUMMYFUNCTION("""COMPUTED_VALUE"""),"0x8424e1b9d7ca7f3d8738d27d81bd51df58262696")</f>
        <v>0x8424e1b9d7ca7f3d8738d27d81bd51df58262696</v>
      </c>
      <c r="J1553" s="11">
        <v>5.47337858449171</v>
      </c>
      <c r="K1553" s="12">
        <v>12.16306352109269</v>
      </c>
      <c r="L1553" s="13">
        <v>1.216306352109269E19</v>
      </c>
      <c r="M1553" s="9">
        <v>1.21630635210926899E18</v>
      </c>
    </row>
    <row r="1554" ht="15.75" customHeight="1">
      <c r="A1554" s="8"/>
      <c r="B1554" s="8"/>
      <c r="C1554" s="8"/>
      <c r="D1554" s="8">
        <v>19.1994638589488</v>
      </c>
      <c r="E1554" s="9" t="s">
        <v>1563</v>
      </c>
      <c r="I1554" s="12" t="str">
        <f>IFERROR(__xludf.DUMMYFUNCTION("""COMPUTED_VALUE"""),"0x84287bdefa1fd19f9c81b00c5293ba5d828eb296")</f>
        <v>0x84287bdefa1fd19f9c81b00c5293ba5d828eb296</v>
      </c>
      <c r="J1554" s="11">
        <v>19.1994638589488</v>
      </c>
      <c r="K1554" s="12">
        <v>42.66547524210844</v>
      </c>
      <c r="L1554" s="13">
        <v>4.2665475242108445E19</v>
      </c>
      <c r="M1554" s="9">
        <v>4.2665475242108447E18</v>
      </c>
    </row>
    <row r="1555" ht="15.75" customHeight="1">
      <c r="A1555" s="8"/>
      <c r="B1555" s="8"/>
      <c r="C1555" s="8"/>
      <c r="D1555" s="8">
        <v>27.9026907562088</v>
      </c>
      <c r="E1555" s="9" t="s">
        <v>1564</v>
      </c>
      <c r="I1555" s="12" t="str">
        <f>IFERROR(__xludf.DUMMYFUNCTION("""COMPUTED_VALUE"""),"0x843366297e040cf1d88692d436e642d48053cd84")</f>
        <v>0x843366297e040cf1d88692d436e642d48053cd84</v>
      </c>
      <c r="J1555" s="11">
        <v>91.1199983031448</v>
      </c>
      <c r="K1555" s="12">
        <v>202.48888511809955</v>
      </c>
      <c r="L1555" s="13">
        <v>2.0248888511809955E20</v>
      </c>
      <c r="M1555" s="9">
        <v>2.0248888511809958E19</v>
      </c>
    </row>
    <row r="1556" ht="15.75" customHeight="1">
      <c r="A1556" s="8"/>
      <c r="B1556" s="8"/>
      <c r="C1556" s="8"/>
      <c r="D1556" s="8">
        <v>27.9026907562088</v>
      </c>
      <c r="E1556" s="9" t="s">
        <v>1565</v>
      </c>
      <c r="I1556" s="12" t="str">
        <f>IFERROR(__xludf.DUMMYFUNCTION("""COMPUTED_VALUE"""),"0x8439a3b6ed9cf3771ba4b91c2812316a209ec194")</f>
        <v>0x8439a3b6ed9cf3771ba4b91c2812316a209ec194</v>
      </c>
      <c r="J1556" s="11">
        <v>79.738143050956</v>
      </c>
      <c r="K1556" s="12">
        <v>177.19587344656887</v>
      </c>
      <c r="L1556" s="13">
        <v>1.7719587344656885E20</v>
      </c>
      <c r="M1556" s="9">
        <v>1.7719587344656886E19</v>
      </c>
    </row>
    <row r="1557" ht="15.75" customHeight="1">
      <c r="A1557" s="8"/>
      <c r="B1557" s="8"/>
      <c r="C1557" s="8"/>
      <c r="D1557" s="8">
        <v>27.9026907562088</v>
      </c>
      <c r="E1557" s="9" t="s">
        <v>1566</v>
      </c>
      <c r="I1557" s="12" t="str">
        <f>IFERROR(__xludf.DUMMYFUNCTION("""COMPUTED_VALUE"""),"0x845040a6ea5f281e1175ae586215f4a1d03f17b8")</f>
        <v>0x845040a6ea5f281e1175ae586215f4a1d03f17b8</v>
      </c>
      <c r="J1557" s="11">
        <v>123.76725858146489</v>
      </c>
      <c r="K1557" s="12">
        <v>275.0383524032553</v>
      </c>
      <c r="L1557" s="13">
        <v>2.7503835240325533E20</v>
      </c>
      <c r="M1557" s="9">
        <v>2.7503835240325534E19</v>
      </c>
    </row>
    <row r="1558" ht="15.75" customHeight="1">
      <c r="A1558" s="8"/>
      <c r="B1558" s="8"/>
      <c r="C1558" s="8"/>
      <c r="D1558" s="8">
        <v>24.3433351945584</v>
      </c>
      <c r="E1558" s="9" t="s">
        <v>1567</v>
      </c>
      <c r="I1558" s="12" t="str">
        <f>IFERROR(__xludf.DUMMYFUNCTION("""COMPUTED_VALUE"""),"0x8458e27cf77a7e6a7db887423b4d8530e50004fa")</f>
        <v>0x8458e27cf77a7e6a7db887423b4d8530e50004fa</v>
      </c>
      <c r="J1558" s="11">
        <v>24.3433351945584</v>
      </c>
      <c r="K1558" s="12">
        <v>54.096300432351995</v>
      </c>
      <c r="L1558" s="13">
        <v>5.409630043235199E19</v>
      </c>
      <c r="M1558" s="9">
        <v>5.4096300432352E18</v>
      </c>
    </row>
    <row r="1559" ht="15.75" customHeight="1">
      <c r="A1559" s="8"/>
      <c r="B1559" s="8"/>
      <c r="C1559" s="8"/>
      <c r="D1559" s="8">
        <v>27.000263892131</v>
      </c>
      <c r="E1559" s="9" t="s">
        <v>1568</v>
      </c>
      <c r="I1559" s="12" t="str">
        <f>IFERROR(__xludf.DUMMYFUNCTION("""COMPUTED_VALUE"""),"0x84bdbcfb4bb7cc94ecac9a76a4a04cbe0d152caf")</f>
        <v>0x84bdbcfb4bb7cc94ecac9a76a4a04cbe0d152caf</v>
      </c>
      <c r="J1559" s="11">
        <v>33.74972019675986</v>
      </c>
      <c r="K1559" s="12">
        <v>74.9993782150219</v>
      </c>
      <c r="L1559" s="13">
        <v>7.49993782150219E19</v>
      </c>
      <c r="M1559" s="9">
        <v>7.4999378215021906E18</v>
      </c>
    </row>
    <row r="1560" ht="15.75" customHeight="1">
      <c r="A1560" s="8"/>
      <c r="B1560" s="8"/>
      <c r="C1560" s="8"/>
      <c r="D1560" s="8">
        <v>27.9026907562088</v>
      </c>
      <c r="E1560" s="9" t="s">
        <v>1569</v>
      </c>
      <c r="I1560" s="12" t="str">
        <f>IFERROR(__xludf.DUMMYFUNCTION("""COMPUTED_VALUE"""),"0x84e2348a2f02c91df86104e67a8b2741ce4d0cc1")</f>
        <v>0x84e2348a2f02c91df86104e67a8b2741ce4d0cc1</v>
      </c>
      <c r="J1560" s="11">
        <v>53.708576458341696</v>
      </c>
      <c r="K1560" s="12">
        <v>119.35239212964821</v>
      </c>
      <c r="L1560" s="13">
        <v>1.1935239212964821E20</v>
      </c>
      <c r="M1560" s="9">
        <v>1.1935239212964823E19</v>
      </c>
    </row>
    <row r="1561" ht="15.75" customHeight="1">
      <c r="A1561" s="8"/>
      <c r="B1561" s="8"/>
      <c r="C1561" s="8"/>
      <c r="D1561" s="8">
        <v>27.9026907562088</v>
      </c>
      <c r="E1561" s="9" t="s">
        <v>1570</v>
      </c>
      <c r="I1561" s="12" t="str">
        <f>IFERROR(__xludf.DUMMYFUNCTION("""COMPUTED_VALUE"""),"0x850d0120c6475092c0ec94236a22c998a35b47ef")</f>
        <v>0x850d0120c6475092c0ec94236a22c998a35b47ef</v>
      </c>
      <c r="J1561" s="11">
        <v>27.9026907562088</v>
      </c>
      <c r="K1561" s="12">
        <v>62.005979458241775</v>
      </c>
      <c r="L1561" s="13">
        <v>6.200597945824177E19</v>
      </c>
      <c r="M1561" s="9">
        <v>6.2005979458241782E18</v>
      </c>
    </row>
    <row r="1562" ht="15.75" customHeight="1">
      <c r="A1562" s="8"/>
      <c r="B1562" s="8"/>
      <c r="C1562" s="8"/>
      <c r="D1562" s="8">
        <v>25.8103173449169</v>
      </c>
      <c r="E1562" s="9" t="s">
        <v>1571</v>
      </c>
      <c r="I1562" s="12" t="str">
        <f>IFERROR(__xludf.DUMMYFUNCTION("""COMPUTED_VALUE"""),"0x851e469af93bf31db74971ff1c0567c262c8f03b")</f>
        <v>0x851e469af93bf31db74971ff1c0567c262c8f03b</v>
      </c>
      <c r="J1562" s="11">
        <v>25.8103173449169</v>
      </c>
      <c r="K1562" s="12">
        <v>57.356260766481995</v>
      </c>
      <c r="L1562" s="13">
        <v>5.7356260766482E19</v>
      </c>
      <c r="M1562" s="9">
        <v>5.7356260766482002E18</v>
      </c>
    </row>
    <row r="1563" ht="15.75" customHeight="1">
      <c r="A1563" s="8"/>
      <c r="B1563" s="8"/>
      <c r="C1563" s="8"/>
      <c r="D1563" s="8">
        <v>27.9026907562088</v>
      </c>
      <c r="E1563" s="9" t="s">
        <v>1572</v>
      </c>
      <c r="I1563" s="12" t="str">
        <f>IFERROR(__xludf.DUMMYFUNCTION("""COMPUTED_VALUE"""),"0x8522428d9dae21a73962bd4408d025363ba58e41")</f>
        <v>0x8522428d9dae21a73962bd4408d025363ba58e41</v>
      </c>
      <c r="J1563" s="11">
        <v>91.1199983031448</v>
      </c>
      <c r="K1563" s="12">
        <v>202.48888511809955</v>
      </c>
      <c r="L1563" s="13">
        <v>2.0248888511809955E20</v>
      </c>
      <c r="M1563" s="9">
        <v>2.0248888511809958E19</v>
      </c>
    </row>
    <row r="1564" ht="15.75" customHeight="1">
      <c r="A1564" s="8"/>
      <c r="B1564" s="8"/>
      <c r="C1564" s="8"/>
      <c r="D1564" s="8">
        <v>27.9026907562088</v>
      </c>
      <c r="E1564" s="9" t="s">
        <v>1573</v>
      </c>
      <c r="I1564" s="12" t="str">
        <f>IFERROR(__xludf.DUMMYFUNCTION("""COMPUTED_VALUE"""),"0x852df9d3caa6f14477b30971d84a079606d36285")</f>
        <v>0x852df9d3caa6f14477b30971d84a079606d36285</v>
      </c>
      <c r="J1564" s="11">
        <v>91.1199983031448</v>
      </c>
      <c r="K1564" s="12">
        <v>202.48888511809955</v>
      </c>
      <c r="L1564" s="13">
        <v>2.0248888511809955E20</v>
      </c>
      <c r="M1564" s="9">
        <v>2.0248888511809958E19</v>
      </c>
    </row>
    <row r="1565" ht="15.75" customHeight="1">
      <c r="A1565" s="8"/>
      <c r="B1565" s="8"/>
      <c r="C1565" s="8"/>
      <c r="D1565" s="8">
        <v>27.9026907562088</v>
      </c>
      <c r="E1565" s="9" t="s">
        <v>1574</v>
      </c>
      <c r="I1565" s="12" t="str">
        <f>IFERROR(__xludf.DUMMYFUNCTION("""COMPUTED_VALUE"""),"0x854b89571aafd8919140c2a29a153304747e430d")</f>
        <v>0x854b89571aafd8919140c2a29a153304747e430d</v>
      </c>
      <c r="J1565" s="11">
        <v>27.9026907562088</v>
      </c>
      <c r="K1565" s="12">
        <v>62.005979458241775</v>
      </c>
      <c r="L1565" s="13">
        <v>6.200597945824177E19</v>
      </c>
      <c r="M1565" s="9">
        <v>6.2005979458241782E18</v>
      </c>
    </row>
    <row r="1566" ht="15.75" customHeight="1">
      <c r="A1566" s="8"/>
      <c r="B1566" s="8"/>
      <c r="C1566" s="8"/>
      <c r="D1566" s="8">
        <v>27.8663479568785</v>
      </c>
      <c r="E1566" s="9" t="s">
        <v>1575</v>
      </c>
      <c r="I1566" s="12" t="str">
        <f>IFERROR(__xludf.DUMMYFUNCTION("""COMPUTED_VALUE"""),"0x85606c8ad9d0d8c6fac57717484ac00e13ce716f")</f>
        <v>0x85606c8ad9d0d8c6fac57717484ac00e13ce716f</v>
      </c>
      <c r="J1566" s="11">
        <v>27.8663479568785</v>
      </c>
      <c r="K1566" s="12">
        <v>61.92521768195222</v>
      </c>
      <c r="L1566" s="13">
        <v>6.192521768195222E19</v>
      </c>
      <c r="M1566" s="9">
        <v>6.1925217681952225E18</v>
      </c>
    </row>
    <row r="1567" ht="15.75" customHeight="1">
      <c r="A1567" s="8"/>
      <c r="B1567" s="8"/>
      <c r="C1567" s="8"/>
      <c r="D1567" s="8">
        <v>27.9026907562088</v>
      </c>
      <c r="E1567" s="9" t="s">
        <v>1576</v>
      </c>
      <c r="I1567" s="12" t="str">
        <f>IFERROR(__xludf.DUMMYFUNCTION("""COMPUTED_VALUE"""),"0x85684fe4b513a069d89e2c1cae3668fab14744dd")</f>
        <v>0x85684fe4b513a069d89e2c1cae3668fab14744dd</v>
      </c>
      <c r="J1567" s="11">
        <v>91.1199983031448</v>
      </c>
      <c r="K1567" s="12">
        <v>202.48888511809955</v>
      </c>
      <c r="L1567" s="13">
        <v>2.0248888511809955E20</v>
      </c>
      <c r="M1567" s="9">
        <v>2.0248888511809958E19</v>
      </c>
    </row>
    <row r="1568" ht="15.75" customHeight="1">
      <c r="A1568" s="8"/>
      <c r="B1568" s="8"/>
      <c r="C1568" s="8"/>
      <c r="D1568" s="8">
        <v>27.9026907562088</v>
      </c>
      <c r="E1568" s="9" t="s">
        <v>1577</v>
      </c>
      <c r="I1568" s="12" t="str">
        <f>IFERROR(__xludf.DUMMYFUNCTION("""COMPUTED_VALUE"""),"0x859dff8ff2a234df802370e59712de22e8d6d908")</f>
        <v>0x859dff8ff2a234df802370e59712de22e8d6d908</v>
      </c>
      <c r="J1568" s="11">
        <v>27.9026907562088</v>
      </c>
      <c r="K1568" s="12">
        <v>62.005979458241775</v>
      </c>
      <c r="L1568" s="13">
        <v>6.200597945824177E19</v>
      </c>
      <c r="M1568" s="9">
        <v>6.2005979458241782E18</v>
      </c>
    </row>
    <row r="1569" ht="15.75" customHeight="1">
      <c r="A1569" s="8"/>
      <c r="B1569" s="8"/>
      <c r="C1569" s="8"/>
      <c r="D1569" s="8">
        <v>27.9026907562088</v>
      </c>
      <c r="E1569" s="9" t="s">
        <v>1578</v>
      </c>
      <c r="I1569" s="12" t="str">
        <f>IFERROR(__xludf.DUMMYFUNCTION("""COMPUTED_VALUE"""),"0x859fa5c1ad6d6add1e77fc0ef38ec58421a06e4c")</f>
        <v>0x859fa5c1ad6d6add1e77fc0ef38ec58421a06e4c</v>
      </c>
      <c r="J1569" s="11">
        <v>27.9026907562088</v>
      </c>
      <c r="K1569" s="12">
        <v>62.005979458241775</v>
      </c>
      <c r="L1569" s="13">
        <v>6.200597945824177E19</v>
      </c>
      <c r="M1569" s="9">
        <v>6.2005979458241782E18</v>
      </c>
    </row>
    <row r="1570" ht="15.75" customHeight="1">
      <c r="A1570" s="8"/>
      <c r="B1570" s="8"/>
      <c r="C1570" s="8"/>
      <c r="D1570" s="8">
        <v>27.9026907562088</v>
      </c>
      <c r="E1570" s="9" t="s">
        <v>1579</v>
      </c>
      <c r="I1570" s="12" t="str">
        <f>IFERROR(__xludf.DUMMYFUNCTION("""COMPUTED_VALUE"""),"0x85b43e44916b647c008df984bd5ca1e0c18a4b72")</f>
        <v>0x85b43e44916b647c008df984bd5ca1e0c18a4b72</v>
      </c>
      <c r="J1570" s="11">
        <v>27.9026907562088</v>
      </c>
      <c r="K1570" s="12">
        <v>62.005979458241775</v>
      </c>
      <c r="L1570" s="13">
        <v>6.200597945824177E19</v>
      </c>
      <c r="M1570" s="9">
        <v>6.2005979458241782E18</v>
      </c>
    </row>
    <row r="1571" ht="15.75" customHeight="1">
      <c r="A1571" s="8"/>
      <c r="B1571" s="8"/>
      <c r="C1571" s="8"/>
      <c r="D1571" s="8">
        <v>27.9026907562088</v>
      </c>
      <c r="E1571" s="9" t="s">
        <v>1580</v>
      </c>
      <c r="I1571" s="12" t="str">
        <f>IFERROR(__xludf.DUMMYFUNCTION("""COMPUTED_VALUE"""),"0x85b8fb91eac0ec152f1f98eb22e91e596e0d5be4")</f>
        <v>0x85b8fb91eac0ec152f1f98eb22e91e596e0d5be4</v>
      </c>
      <c r="J1571" s="11">
        <v>106.6863210054659</v>
      </c>
      <c r="K1571" s="12">
        <v>237.08071334547978</v>
      </c>
      <c r="L1571" s="13">
        <v>2.3708071334547977E20</v>
      </c>
      <c r="M1571" s="9">
        <v>2.370807133454798E19</v>
      </c>
    </row>
    <row r="1572" ht="15.75" customHeight="1">
      <c r="A1572" s="8"/>
      <c r="B1572" s="8"/>
      <c r="C1572" s="8"/>
      <c r="D1572" s="8">
        <v>6.3125825561059</v>
      </c>
      <c r="E1572" s="9" t="s">
        <v>1581</v>
      </c>
      <c r="I1572" s="12" t="str">
        <f>IFERROR(__xludf.DUMMYFUNCTION("""COMPUTED_VALUE"""),"0x85fcc8db2344aaf3be3a898368afb803242046bd")</f>
        <v>0x85fcc8db2344aaf3be3a898368afb803242046bd</v>
      </c>
      <c r="J1572" s="11">
        <v>6.3125825561059</v>
      </c>
      <c r="K1572" s="12">
        <v>14.027961235790888</v>
      </c>
      <c r="L1572" s="13">
        <v>1.4027961235790889E19</v>
      </c>
      <c r="M1572" s="9">
        <v>1.4027961235790889E18</v>
      </c>
    </row>
    <row r="1573" ht="15.75" customHeight="1">
      <c r="A1573" s="8"/>
      <c r="B1573" s="8"/>
      <c r="C1573" s="8"/>
      <c r="D1573" s="8">
        <v>2.08884346449193</v>
      </c>
      <c r="E1573" s="9" t="s">
        <v>1582</v>
      </c>
      <c r="I1573" s="12" t="str">
        <f>IFERROR(__xludf.DUMMYFUNCTION("""COMPUTED_VALUE"""),"0x860630d13453a74d27af4f0f89641f09f395bafe")</f>
        <v>0x860630d13453a74d27af4f0f89641f09f395bafe</v>
      </c>
      <c r="J1573" s="11">
        <v>7.14622806824681</v>
      </c>
      <c r="K1573" s="12">
        <v>15.880506818326243</v>
      </c>
      <c r="L1573" s="13">
        <v>1.5880506818326243E19</v>
      </c>
      <c r="M1573" s="9">
        <v>1.58805068183262438E18</v>
      </c>
    </row>
    <row r="1574" ht="15.75" customHeight="1">
      <c r="A1574" s="8"/>
      <c r="B1574" s="8"/>
      <c r="C1574" s="8"/>
      <c r="D1574" s="8">
        <v>27.9026907562088</v>
      </c>
      <c r="E1574" s="9" t="s">
        <v>1583</v>
      </c>
      <c r="I1574" s="12" t="str">
        <f>IFERROR(__xludf.DUMMYFUNCTION("""COMPUTED_VALUE"""),"0x8610d989f22d29330cb13e527b173eba99af3fc2")</f>
        <v>0x8610d989f22d29330cb13e527b173eba99af3fc2</v>
      </c>
      <c r="J1574" s="11">
        <v>27.9026907562088</v>
      </c>
      <c r="K1574" s="12">
        <v>62.005979458241775</v>
      </c>
      <c r="L1574" s="13">
        <v>6.200597945824177E19</v>
      </c>
      <c r="M1574" s="9">
        <v>6.2005979458241782E18</v>
      </c>
    </row>
    <row r="1575" ht="15.75" customHeight="1">
      <c r="A1575" s="8"/>
      <c r="B1575" s="8"/>
      <c r="C1575" s="8"/>
      <c r="D1575" s="8">
        <v>27.9026907562088</v>
      </c>
      <c r="E1575" s="9" t="s">
        <v>1584</v>
      </c>
      <c r="I1575" s="12" t="str">
        <f>IFERROR(__xludf.DUMMYFUNCTION("""COMPUTED_VALUE"""),"0x8621d832e2e8f66fb2447620f352d2e64f7ad3f5")</f>
        <v>0x8621d832e2e8f66fb2447620f352d2e64f7ad3f5</v>
      </c>
      <c r="J1575" s="11">
        <v>27.9026907562088</v>
      </c>
      <c r="K1575" s="12">
        <v>62.005979458241775</v>
      </c>
      <c r="L1575" s="13">
        <v>6.200597945824177E19</v>
      </c>
      <c r="M1575" s="9">
        <v>6.2005979458241782E18</v>
      </c>
    </row>
    <row r="1576" ht="15.75" customHeight="1">
      <c r="A1576" s="8"/>
      <c r="B1576" s="8"/>
      <c r="C1576" s="8"/>
      <c r="D1576" s="8">
        <v>27.9026907562088</v>
      </c>
      <c r="E1576" s="9" t="s">
        <v>1585</v>
      </c>
      <c r="I1576" s="12" t="str">
        <f>IFERROR(__xludf.DUMMYFUNCTION("""COMPUTED_VALUE"""),"0x862913627332799c632593382fde83f30a055b58")</f>
        <v>0x862913627332799c632593382fde83f30a055b58</v>
      </c>
      <c r="J1576" s="11">
        <v>91.1199983031448</v>
      </c>
      <c r="K1576" s="12">
        <v>202.48888511809955</v>
      </c>
      <c r="L1576" s="13">
        <v>2.0248888511809955E20</v>
      </c>
      <c r="M1576" s="9">
        <v>2.0248888511809958E19</v>
      </c>
    </row>
    <row r="1577" ht="15.75" customHeight="1">
      <c r="A1577" s="8"/>
      <c r="B1577" s="8"/>
      <c r="C1577" s="8"/>
      <c r="D1577" s="8">
        <v>27.9026907562088</v>
      </c>
      <c r="E1577" s="9" t="s">
        <v>1586</v>
      </c>
      <c r="I1577" s="12" t="str">
        <f>IFERROR(__xludf.DUMMYFUNCTION("""COMPUTED_VALUE"""),"0x862fef6dabd0dba60dc775a2536a3dc9485fa881")</f>
        <v>0x862fef6dabd0dba60dc775a2536a3dc9485fa881</v>
      </c>
      <c r="J1577" s="11">
        <v>27.9026907562088</v>
      </c>
      <c r="K1577" s="12">
        <v>62.005979458241775</v>
      </c>
      <c r="L1577" s="13">
        <v>6.200597945824177E19</v>
      </c>
      <c r="M1577" s="9">
        <v>6.2005979458241782E18</v>
      </c>
    </row>
    <row r="1578" ht="15.75" customHeight="1">
      <c r="A1578" s="8"/>
      <c r="B1578" s="8"/>
      <c r="C1578" s="8"/>
      <c r="D1578" s="8">
        <v>27.9026907562088</v>
      </c>
      <c r="E1578" s="9" t="s">
        <v>1587</v>
      </c>
      <c r="I1578" s="12" t="str">
        <f>IFERROR(__xludf.DUMMYFUNCTION("""COMPUTED_VALUE"""),"0x86454b6066f29ae228a0571c7ee07d1de8255737")</f>
        <v>0x86454b6066f29ae228a0571c7ee07d1de8255737</v>
      </c>
      <c r="J1578" s="11">
        <v>27.9026907562088</v>
      </c>
      <c r="K1578" s="12">
        <v>62.005979458241775</v>
      </c>
      <c r="L1578" s="13">
        <v>6.200597945824177E19</v>
      </c>
      <c r="M1578" s="9">
        <v>6.2005979458241782E18</v>
      </c>
    </row>
    <row r="1579" ht="15.75" customHeight="1">
      <c r="A1579" s="8"/>
      <c r="B1579" s="8"/>
      <c r="C1579" s="8"/>
      <c r="D1579" s="8">
        <v>27.9026907562088</v>
      </c>
      <c r="E1579" s="9" t="s">
        <v>1588</v>
      </c>
      <c r="I1579" s="12" t="str">
        <f>IFERROR(__xludf.DUMMYFUNCTION("""COMPUTED_VALUE"""),"0x8660e15af11e4c5706c70424254379ec2faddae1")</f>
        <v>0x8660e15af11e4c5706c70424254379ec2faddae1</v>
      </c>
      <c r="J1579" s="11">
        <v>27.9026907562088</v>
      </c>
      <c r="K1579" s="12">
        <v>62.005979458241775</v>
      </c>
      <c r="L1579" s="13">
        <v>6.200597945824177E19</v>
      </c>
      <c r="M1579" s="9">
        <v>6.2005979458241782E18</v>
      </c>
    </row>
    <row r="1580" ht="15.75" customHeight="1">
      <c r="A1580" s="8"/>
      <c r="B1580" s="8"/>
      <c r="C1580" s="8"/>
      <c r="D1580" s="8">
        <v>27.9026907562088</v>
      </c>
      <c r="E1580" s="9" t="s">
        <v>1589</v>
      </c>
      <c r="I1580" s="12" t="str">
        <f>IFERROR(__xludf.DUMMYFUNCTION("""COMPUTED_VALUE"""),"0x86670b06281c0cded84c3eca9cc0ab6340b930eb")</f>
        <v>0x86670b06281c0cded84c3eca9cc0ab6340b930eb</v>
      </c>
      <c r="J1580" s="11">
        <v>27.9026907562088</v>
      </c>
      <c r="K1580" s="12">
        <v>62.005979458241775</v>
      </c>
      <c r="L1580" s="13">
        <v>6.200597945824177E19</v>
      </c>
      <c r="M1580" s="9">
        <v>6.2005979458241782E18</v>
      </c>
    </row>
    <row r="1581" ht="15.75" customHeight="1">
      <c r="A1581" s="8"/>
      <c r="B1581" s="8"/>
      <c r="C1581" s="8"/>
      <c r="D1581" s="8">
        <v>9.02441107379858</v>
      </c>
      <c r="E1581" s="9" t="s">
        <v>1590</v>
      </c>
      <c r="I1581" s="12" t="str">
        <f>IFERROR(__xludf.DUMMYFUNCTION("""COMPUTED_VALUE"""),"0x867dee96191c8ee39aa46b6b8e010a724f92254e")</f>
        <v>0x867dee96191c8ee39aa46b6b8e010a724f92254e</v>
      </c>
      <c r="J1581" s="11">
        <v>9.02441107379858</v>
      </c>
      <c r="K1581" s="12">
        <v>20.054246830663512</v>
      </c>
      <c r="L1581" s="13">
        <v>2.0054246830663512E19</v>
      </c>
      <c r="M1581" s="9">
        <v>2.00542468306635136E18</v>
      </c>
    </row>
    <row r="1582" ht="15.75" customHeight="1">
      <c r="A1582" s="8"/>
      <c r="B1582" s="8"/>
      <c r="C1582" s="8"/>
      <c r="D1582" s="8">
        <v>25.3454535248417</v>
      </c>
      <c r="E1582" s="9" t="s">
        <v>1591</v>
      </c>
      <c r="I1582" s="12" t="str">
        <f>IFERROR(__xludf.DUMMYFUNCTION("""COMPUTED_VALUE"""),"0x86a5f76a0a16b8e38e46fbf0754c954a9c9becff")</f>
        <v>0x86a5f76a0a16b8e38e46fbf0754c954a9c9becff</v>
      </c>
      <c r="J1582" s="11">
        <v>25.3454535248417</v>
      </c>
      <c r="K1582" s="12">
        <v>56.32323005520378</v>
      </c>
      <c r="L1582" s="13">
        <v>5.632323005520378E19</v>
      </c>
      <c r="M1582" s="9">
        <v>5.6323230055203789E18</v>
      </c>
    </row>
    <row r="1583" ht="15.75" customHeight="1">
      <c r="A1583" s="8"/>
      <c r="B1583" s="8"/>
      <c r="C1583" s="8"/>
      <c r="D1583" s="8">
        <v>27.9026907562088</v>
      </c>
      <c r="E1583" s="9" t="s">
        <v>1592</v>
      </c>
      <c r="I1583" s="12" t="str">
        <f>IFERROR(__xludf.DUMMYFUNCTION("""COMPUTED_VALUE"""),"0x86b408d91623a216ed344aca7f8a5d9cf274c729")</f>
        <v>0x86b408d91623a216ed344aca7f8a5d9cf274c729</v>
      </c>
      <c r="J1583" s="11">
        <v>27.9026907562088</v>
      </c>
      <c r="K1583" s="12">
        <v>62.005979458241775</v>
      </c>
      <c r="L1583" s="13">
        <v>6.200597945824177E19</v>
      </c>
      <c r="M1583" s="9">
        <v>6.2005979458241782E18</v>
      </c>
    </row>
    <row r="1584" ht="15.75" customHeight="1">
      <c r="A1584" s="8"/>
      <c r="B1584" s="8"/>
      <c r="C1584" s="8"/>
      <c r="D1584" s="8">
        <v>27.9026907562088</v>
      </c>
      <c r="E1584" s="9" t="s">
        <v>1593</v>
      </c>
      <c r="I1584" s="12" t="str">
        <f>IFERROR(__xludf.DUMMYFUNCTION("""COMPUTED_VALUE"""),"0x86b948d4ae188424f451cdf285443ca169ff8fb4")</f>
        <v>0x86b948d4ae188424f451cdf285443ca169ff8fb4</v>
      </c>
      <c r="J1584" s="11">
        <v>91.1199983031448</v>
      </c>
      <c r="K1584" s="12">
        <v>202.48888511809955</v>
      </c>
      <c r="L1584" s="13">
        <v>2.0248888511809955E20</v>
      </c>
      <c r="M1584" s="9">
        <v>2.0248888511809958E19</v>
      </c>
    </row>
    <row r="1585" ht="15.75" customHeight="1">
      <c r="A1585" s="8"/>
      <c r="B1585" s="8"/>
      <c r="C1585" s="8"/>
      <c r="D1585" s="8">
        <v>27.9026907562088</v>
      </c>
      <c r="E1585" s="9" t="s">
        <v>1594</v>
      </c>
      <c r="I1585" s="12" t="str">
        <f>IFERROR(__xludf.DUMMYFUNCTION("""COMPUTED_VALUE"""),"0x86fcadc4ab4ffc4943b9085119cbeabe883624c1")</f>
        <v>0x86fcadc4ab4ffc4943b9085119cbeabe883624c1</v>
      </c>
      <c r="J1585" s="11">
        <v>27.9026907562088</v>
      </c>
      <c r="K1585" s="12">
        <v>62.005979458241775</v>
      </c>
      <c r="L1585" s="13">
        <v>6.200597945824177E19</v>
      </c>
      <c r="M1585" s="9">
        <v>6.2005979458241782E18</v>
      </c>
    </row>
    <row r="1586" ht="15.75" customHeight="1">
      <c r="A1586" s="8"/>
      <c r="B1586" s="8"/>
      <c r="C1586" s="8"/>
      <c r="D1586" s="8">
        <v>27.9026907562088</v>
      </c>
      <c r="E1586" s="9" t="s">
        <v>1595</v>
      </c>
      <c r="I1586" s="12" t="str">
        <f>IFERROR(__xludf.DUMMYFUNCTION("""COMPUTED_VALUE"""),"0x875b025f857fee359388788b1513ff34d8dc8645")</f>
        <v>0x875b025f857fee359388788b1513ff34d8dc8645</v>
      </c>
      <c r="J1586" s="11">
        <v>91.1199983031448</v>
      </c>
      <c r="K1586" s="12">
        <v>202.48888511809955</v>
      </c>
      <c r="L1586" s="13">
        <v>2.0248888511809955E20</v>
      </c>
      <c r="M1586" s="9">
        <v>2.0248888511809958E19</v>
      </c>
    </row>
    <row r="1587" ht="15.75" customHeight="1">
      <c r="A1587" s="8"/>
      <c r="B1587" s="8"/>
      <c r="C1587" s="8"/>
      <c r="D1587" s="8">
        <v>27.9026907562088</v>
      </c>
      <c r="E1587" s="9" t="s">
        <v>1596</v>
      </c>
      <c r="I1587" s="12" t="str">
        <f>IFERROR(__xludf.DUMMYFUNCTION("""COMPUTED_VALUE"""),"0x875b9932eeab29b5848f873b2044e1801773ce8e")</f>
        <v>0x875b9932eeab29b5848f873b2044e1801773ce8e</v>
      </c>
      <c r="J1587" s="11">
        <v>93.14362025444655</v>
      </c>
      <c r="K1587" s="12">
        <v>206.98582278765898</v>
      </c>
      <c r="L1587" s="13">
        <v>2.0698582278765897E20</v>
      </c>
      <c r="M1587" s="9">
        <v>2.06985822787659E19</v>
      </c>
    </row>
    <row r="1588" ht="15.75" customHeight="1">
      <c r="A1588" s="8"/>
      <c r="B1588" s="8"/>
      <c r="C1588" s="8"/>
      <c r="D1588" s="8">
        <v>27.9026907562088</v>
      </c>
      <c r="E1588" s="9" t="s">
        <v>1597</v>
      </c>
      <c r="I1588" s="12" t="str">
        <f>IFERROR(__xludf.DUMMYFUNCTION("""COMPUTED_VALUE"""),"0x876b5e4366fee13affbe8df614e5d7e28989d9f0")</f>
        <v>0x876b5e4366fee13affbe8df614e5d7e28989d9f0</v>
      </c>
      <c r="J1588" s="11">
        <v>138.4260529954987</v>
      </c>
      <c r="K1588" s="12">
        <v>307.61345110110824</v>
      </c>
      <c r="L1588" s="13">
        <v>3.0761345110110824E20</v>
      </c>
      <c r="M1588" s="9">
        <v>3.0761345110110826E19</v>
      </c>
    </row>
    <row r="1589" ht="15.75" customHeight="1">
      <c r="A1589" s="8"/>
      <c r="B1589" s="8"/>
      <c r="C1589" s="8"/>
      <c r="D1589" s="8">
        <v>27.9026907562088</v>
      </c>
      <c r="E1589" s="9" t="s">
        <v>1598</v>
      </c>
      <c r="I1589" s="12" t="str">
        <f>IFERROR(__xludf.DUMMYFUNCTION("""COMPUTED_VALUE"""),"0x876ffd65557461d5cf89d7e38688e2943d7cb794")</f>
        <v>0x876ffd65557461d5cf89d7e38688e2943d7cb794</v>
      </c>
      <c r="J1589" s="11">
        <v>27.9026907562088</v>
      </c>
      <c r="K1589" s="12">
        <v>62.005979458241775</v>
      </c>
      <c r="L1589" s="13">
        <v>6.200597945824177E19</v>
      </c>
      <c r="M1589" s="9">
        <v>6.2005979458241782E18</v>
      </c>
    </row>
    <row r="1590" ht="15.75" customHeight="1">
      <c r="A1590" s="8"/>
      <c r="B1590" s="8"/>
      <c r="C1590" s="8"/>
      <c r="D1590" s="8">
        <v>15.7257898474274</v>
      </c>
      <c r="E1590" s="9" t="s">
        <v>1599</v>
      </c>
      <c r="I1590" s="12" t="str">
        <f>IFERROR(__xludf.DUMMYFUNCTION("""COMPUTED_VALUE"""),"0x87818685fce74b40a28ced9df234293c14f217ec")</f>
        <v>0x87818685fce74b40a28ced9df234293c14f217ec</v>
      </c>
      <c r="J1590" s="11">
        <v>15.7257898474274</v>
      </c>
      <c r="K1590" s="12">
        <v>34.94619966094978</v>
      </c>
      <c r="L1590" s="13">
        <v>3.494619966094978E19</v>
      </c>
      <c r="M1590" s="9">
        <v>3.494619966094978E18</v>
      </c>
    </row>
    <row r="1591" ht="15.75" customHeight="1">
      <c r="A1591" s="8"/>
      <c r="B1591" s="8"/>
      <c r="C1591" s="8"/>
      <c r="D1591" s="8">
        <v>27.0786742214685</v>
      </c>
      <c r="E1591" s="9" t="s">
        <v>1600</v>
      </c>
      <c r="I1591" s="12" t="str">
        <f>IFERROR(__xludf.DUMMYFUNCTION("""COMPUTED_VALUE"""),"0x87985f001d8cdeeb39d83ad453a80117ce2578cb")</f>
        <v>0x87985f001d8cdeeb39d83ad453a80117ce2578cb</v>
      </c>
      <c r="J1591" s="11">
        <v>27.0786742214685</v>
      </c>
      <c r="K1591" s="12">
        <v>60.17483160326333</v>
      </c>
      <c r="L1591" s="13">
        <v>6.017483160326333E19</v>
      </c>
      <c r="M1591" s="9">
        <v>6.0174831603263334E18</v>
      </c>
    </row>
    <row r="1592" ht="15.75" customHeight="1">
      <c r="A1592" s="8"/>
      <c r="B1592" s="8"/>
      <c r="C1592" s="8"/>
      <c r="D1592" s="8">
        <v>27.9026907562088</v>
      </c>
      <c r="E1592" s="9" t="s">
        <v>1601</v>
      </c>
      <c r="I1592" s="12" t="str">
        <f>IFERROR(__xludf.DUMMYFUNCTION("""COMPUTED_VALUE"""),"0x87a1acbe2b1c077fc2a03d86e969cd511b142fb6")</f>
        <v>0x87a1acbe2b1c077fc2a03d86e969cd511b142fb6</v>
      </c>
      <c r="J1592" s="11">
        <v>27.9026907562088</v>
      </c>
      <c r="K1592" s="12">
        <v>62.005979458241775</v>
      </c>
      <c r="L1592" s="13">
        <v>6.200597945824177E19</v>
      </c>
      <c r="M1592" s="9">
        <v>6.2005979458241782E18</v>
      </c>
    </row>
    <row r="1593" ht="15.75" customHeight="1">
      <c r="A1593" s="8"/>
      <c r="B1593" s="8"/>
      <c r="C1593" s="8"/>
      <c r="D1593" s="8">
        <v>12.4263133169893</v>
      </c>
      <c r="E1593" s="9" t="s">
        <v>1602</v>
      </c>
      <c r="I1593" s="12" t="str">
        <f>IFERROR(__xludf.DUMMYFUNCTION("""COMPUTED_VALUE"""),"0x87dd55828b2a4f4b750afd504a5d9d2561542564")</f>
        <v>0x87dd55828b2a4f4b750afd504a5d9d2561542564</v>
      </c>
      <c r="J1593" s="11">
        <v>12.4263133169893</v>
      </c>
      <c r="K1593" s="12">
        <v>27.614029593309553</v>
      </c>
      <c r="L1593" s="13">
        <v>2.7614029593309553E19</v>
      </c>
      <c r="M1593" s="9">
        <v>2.7614029593309553E18</v>
      </c>
    </row>
    <row r="1594" ht="15.75" customHeight="1">
      <c r="A1594" s="8"/>
      <c r="B1594" s="8"/>
      <c r="C1594" s="8"/>
      <c r="D1594" s="8">
        <v>25.4803697844205</v>
      </c>
      <c r="E1594" s="9" t="s">
        <v>1603</v>
      </c>
      <c r="I1594" s="12" t="str">
        <f>IFERROR(__xludf.DUMMYFUNCTION("""COMPUTED_VALUE"""),"0x88179aeeef2b628336f4ad74101d4dfe0743f706")</f>
        <v>0x88179aeeef2b628336f4ad74101d4dfe0743f706</v>
      </c>
      <c r="J1594" s="11">
        <v>37.1025895673964</v>
      </c>
      <c r="K1594" s="12">
        <v>82.45019903865867</v>
      </c>
      <c r="L1594" s="13">
        <v>8.245019903865867E19</v>
      </c>
      <c r="M1594" s="9">
        <v>8.2450199038658683E18</v>
      </c>
    </row>
    <row r="1595" ht="15.75" customHeight="1">
      <c r="A1595" s="8"/>
      <c r="B1595" s="8"/>
      <c r="C1595" s="8"/>
      <c r="D1595" s="8">
        <v>27.9026907562088</v>
      </c>
      <c r="E1595" s="9" t="s">
        <v>1604</v>
      </c>
      <c r="I1595" s="12" t="str">
        <f>IFERROR(__xludf.DUMMYFUNCTION("""COMPUTED_VALUE"""),"0x88370ae069b0fc8e0bca44305bf3a0d6ab56919f")</f>
        <v>0x88370ae069b0fc8e0bca44305bf3a0d6ab56919f</v>
      </c>
      <c r="J1595" s="11">
        <v>1139.5256929302748</v>
      </c>
      <c r="K1595" s="12">
        <v>2532.279317622833</v>
      </c>
      <c r="L1595" s="13">
        <v>2.532279317622833E21</v>
      </c>
      <c r="M1595" s="9">
        <v>2.532279317622833E20</v>
      </c>
    </row>
    <row r="1596" ht="15.75" customHeight="1">
      <c r="A1596" s="8"/>
      <c r="B1596" s="8"/>
      <c r="C1596" s="8"/>
      <c r="D1596" s="8">
        <v>27.9026907562088</v>
      </c>
      <c r="E1596" s="9" t="s">
        <v>1605</v>
      </c>
      <c r="I1596" s="12" t="str">
        <f>IFERROR(__xludf.DUMMYFUNCTION("""COMPUTED_VALUE"""),"0x884e10ec38c52a631e45adba5bc898985c204c70")</f>
        <v>0x884e10ec38c52a631e45adba5bc898985c204c70</v>
      </c>
      <c r="J1596" s="11">
        <v>27.9026907562088</v>
      </c>
      <c r="K1596" s="12">
        <v>62.005979458241775</v>
      </c>
      <c r="L1596" s="13">
        <v>6.200597945824177E19</v>
      </c>
      <c r="M1596" s="9">
        <v>6.2005979458241782E18</v>
      </c>
    </row>
    <row r="1597" ht="15.75" customHeight="1">
      <c r="A1597" s="8"/>
      <c r="B1597" s="8"/>
      <c r="C1597" s="8"/>
      <c r="D1597" s="8">
        <v>22.42484396217</v>
      </c>
      <c r="E1597" s="9" t="s">
        <v>1606</v>
      </c>
      <c r="I1597" s="12" t="str">
        <f>IFERROR(__xludf.DUMMYFUNCTION("""COMPUTED_VALUE"""),"0x8851eae1d2a2e23cd8bb3b969d8c4bf28b49b0e1")</f>
        <v>0x8851eae1d2a2e23cd8bb3b969d8c4bf28b49b0e1</v>
      </c>
      <c r="J1597" s="11">
        <v>22.42484396217</v>
      </c>
      <c r="K1597" s="12">
        <v>49.8329865826</v>
      </c>
      <c r="L1597" s="13">
        <v>4.98329865826E19</v>
      </c>
      <c r="M1597" s="9">
        <v>4.9832986582599997E18</v>
      </c>
    </row>
    <row r="1598" ht="15.75" customHeight="1">
      <c r="A1598" s="8"/>
      <c r="B1598" s="8"/>
      <c r="C1598" s="8"/>
      <c r="D1598" s="8">
        <v>27.9026907562088</v>
      </c>
      <c r="E1598" s="9" t="s">
        <v>1607</v>
      </c>
      <c r="I1598" s="12" t="str">
        <f>IFERROR(__xludf.DUMMYFUNCTION("""COMPUTED_VALUE"""),"0x8852ae619237638b71cc4c09f8fa6b0c5b5644ad")</f>
        <v>0x8852ae619237638b71cc4c09f8fa6b0c5b5644ad</v>
      </c>
      <c r="J1598" s="11">
        <v>130.0732724773605</v>
      </c>
      <c r="K1598" s="12">
        <v>289.05171661635666</v>
      </c>
      <c r="L1598" s="13">
        <v>2.8905171661635666E20</v>
      </c>
      <c r="M1598" s="9">
        <v>2.8905171661635666E19</v>
      </c>
    </row>
    <row r="1599" ht="15.75" customHeight="1">
      <c r="A1599" s="8"/>
      <c r="B1599" s="8"/>
      <c r="C1599" s="8"/>
      <c r="D1599" s="8">
        <v>27.9026907562088</v>
      </c>
      <c r="E1599" s="9" t="s">
        <v>1608</v>
      </c>
      <c r="I1599" s="12" t="str">
        <f>IFERROR(__xludf.DUMMYFUNCTION("""COMPUTED_VALUE"""),"0x88631b13f92e596ba8f535fc4388669895f55710")</f>
        <v>0x88631b13f92e596ba8f535fc4388669895f55710</v>
      </c>
      <c r="J1599" s="11">
        <v>27.9026907562088</v>
      </c>
      <c r="K1599" s="12">
        <v>62.005979458241775</v>
      </c>
      <c r="L1599" s="13">
        <v>6.200597945824177E19</v>
      </c>
      <c r="M1599" s="9">
        <v>6.2005979458241782E18</v>
      </c>
    </row>
    <row r="1600" ht="15.75" customHeight="1">
      <c r="A1600" s="8"/>
      <c r="B1600" s="8"/>
      <c r="C1600" s="8"/>
      <c r="D1600" s="8">
        <v>20.918896400439</v>
      </c>
      <c r="E1600" s="9" t="s">
        <v>1609</v>
      </c>
      <c r="I1600" s="12" t="str">
        <f>IFERROR(__xludf.DUMMYFUNCTION("""COMPUTED_VALUE"""),"0x8864668a5c41a69db87c11e22bb299e5db7205e6")</f>
        <v>0x8864668a5c41a69db87c11e22bb299e5db7205e6</v>
      </c>
      <c r="J1600" s="11">
        <v>20.918896400439</v>
      </c>
      <c r="K1600" s="12">
        <v>46.48643644542</v>
      </c>
      <c r="L1600" s="13">
        <v>4.6486436445419995E19</v>
      </c>
      <c r="M1600" s="9">
        <v>4.6486436445420001E18</v>
      </c>
    </row>
    <row r="1601" ht="15.75" customHeight="1">
      <c r="A1601" s="8"/>
      <c r="B1601" s="8"/>
      <c r="C1601" s="8"/>
      <c r="D1601" s="8">
        <v>27.1584830561007</v>
      </c>
      <c r="E1601" s="9" t="s">
        <v>1610</v>
      </c>
      <c r="I1601" s="12" t="str">
        <f>IFERROR(__xludf.DUMMYFUNCTION("""COMPUTED_VALUE"""),"0x886bcb23c6cead5c806a62d7d3bb33d183740b34")</f>
        <v>0x886bcb23c6cead5c806a62d7d3bb33d183740b34</v>
      </c>
      <c r="J1601" s="11">
        <v>88.85044101871671</v>
      </c>
      <c r="K1601" s="12">
        <v>197.44542448603713</v>
      </c>
      <c r="L1601" s="13">
        <v>1.9744542448603713E20</v>
      </c>
      <c r="M1601" s="9">
        <v>1.9744542448603714E19</v>
      </c>
    </row>
    <row r="1602" ht="15.75" customHeight="1">
      <c r="A1602" s="8"/>
      <c r="B1602" s="8"/>
      <c r="C1602" s="8"/>
      <c r="D1602" s="8">
        <v>21.6364361394444</v>
      </c>
      <c r="E1602" s="9" t="s">
        <v>1611</v>
      </c>
      <c r="I1602" s="12" t="str">
        <f>IFERROR(__xludf.DUMMYFUNCTION("""COMPUTED_VALUE"""),"0x88920273afadc7bb1051ca5e8089969129d31bd5")</f>
        <v>0x88920273afadc7bb1051ca5e8089969129d31bd5</v>
      </c>
      <c r="J1602" s="11">
        <v>21.6364361394444</v>
      </c>
      <c r="K1602" s="12">
        <v>48.08096919876533</v>
      </c>
      <c r="L1602" s="13">
        <v>4.8080969198765335E19</v>
      </c>
      <c r="M1602" s="9">
        <v>4.8080969198765332E18</v>
      </c>
    </row>
    <row r="1603" ht="15.75" customHeight="1">
      <c r="A1603" s="8"/>
      <c r="B1603" s="8"/>
      <c r="C1603" s="8"/>
      <c r="D1603" s="8">
        <v>27.9026907562088</v>
      </c>
      <c r="E1603" s="9" t="s">
        <v>1612</v>
      </c>
      <c r="I1603" s="12" t="str">
        <f>IFERROR(__xludf.DUMMYFUNCTION("""COMPUTED_VALUE"""),"0x88abea2fed1be45e288240cc1a8e7a79cbf9cb6a")</f>
        <v>0x88abea2fed1be45e288240cc1a8e7a79cbf9cb6a</v>
      </c>
      <c r="J1603" s="11">
        <v>27.9026907562088</v>
      </c>
      <c r="K1603" s="12">
        <v>62.005979458241775</v>
      </c>
      <c r="L1603" s="13">
        <v>6.200597945824177E19</v>
      </c>
      <c r="M1603" s="9">
        <v>6.2005979458241782E18</v>
      </c>
    </row>
    <row r="1604" ht="15.75" customHeight="1">
      <c r="A1604" s="8"/>
      <c r="B1604" s="8"/>
      <c r="C1604" s="8"/>
      <c r="D1604" s="8">
        <v>25.6654133819913</v>
      </c>
      <c r="E1604" s="9" t="s">
        <v>1613</v>
      </c>
      <c r="I1604" s="12" t="str">
        <f>IFERROR(__xludf.DUMMYFUNCTION("""COMPUTED_VALUE"""),"0x88ef17369c25aeaf30f8c45368e5405c3826799d")</f>
        <v>0x88ef17369c25aeaf30f8c45368e5405c3826799d</v>
      </c>
      <c r="J1604" s="11">
        <v>25.6654133819913</v>
      </c>
      <c r="K1604" s="12">
        <v>57.034251959980665</v>
      </c>
      <c r="L1604" s="13">
        <v>5.703425195998066E19</v>
      </c>
      <c r="M1604" s="9">
        <v>5.7034251959980667E18</v>
      </c>
    </row>
    <row r="1605" ht="15.75" customHeight="1">
      <c r="A1605" s="8"/>
      <c r="B1605" s="8"/>
      <c r="C1605" s="8"/>
      <c r="D1605" s="8">
        <v>23.814651268794</v>
      </c>
      <c r="E1605" s="9" t="s">
        <v>1614</v>
      </c>
      <c r="I1605" s="12" t="str">
        <f>IFERROR(__xludf.DUMMYFUNCTION("""COMPUTED_VALUE"""),"0x88f96d40856deffd10aac6423d06de3f9256555d")</f>
        <v>0x88f96d40856deffd10aac6423d06de3f9256555d</v>
      </c>
      <c r="J1605" s="11">
        <v>70.2477513052097</v>
      </c>
      <c r="K1605" s="12">
        <v>156.10611401157712</v>
      </c>
      <c r="L1605" s="13">
        <v>1.5610611401157712E20</v>
      </c>
      <c r="M1605" s="9">
        <v>1.5610611401157714E19</v>
      </c>
    </row>
    <row r="1606" ht="15.75" customHeight="1">
      <c r="A1606" s="8"/>
      <c r="B1606" s="8"/>
      <c r="C1606" s="8"/>
      <c r="D1606" s="8">
        <v>27.9026907562088</v>
      </c>
      <c r="E1606" s="9" t="s">
        <v>1615</v>
      </c>
      <c r="I1606" s="12" t="str">
        <f>IFERROR(__xludf.DUMMYFUNCTION("""COMPUTED_VALUE"""),"0x8909fbbe48abfb1d09cea4087f6fd79c305730be")</f>
        <v>0x8909fbbe48abfb1d09cea4087f6fd79c305730be</v>
      </c>
      <c r="J1606" s="11">
        <v>27.9026907562088</v>
      </c>
      <c r="K1606" s="12">
        <v>62.005979458241775</v>
      </c>
      <c r="L1606" s="13">
        <v>6.200597945824177E19</v>
      </c>
      <c r="M1606" s="9">
        <v>6.2005979458241782E18</v>
      </c>
    </row>
    <row r="1607" ht="15.75" customHeight="1">
      <c r="A1607" s="8"/>
      <c r="B1607" s="8"/>
      <c r="C1607" s="8"/>
      <c r="D1607" s="8">
        <v>27.9026907562088</v>
      </c>
      <c r="E1607" s="9" t="s">
        <v>1616</v>
      </c>
      <c r="I1607" s="12" t="str">
        <f>IFERROR(__xludf.DUMMYFUNCTION("""COMPUTED_VALUE"""),"0x89120607c9f3934c8a4a478166ea7be2abfc8f27")</f>
        <v>0x89120607c9f3934c8a4a478166ea7be2abfc8f27</v>
      </c>
      <c r="J1607" s="11">
        <v>91.1199983031448</v>
      </c>
      <c r="K1607" s="12">
        <v>202.48888511809955</v>
      </c>
      <c r="L1607" s="13">
        <v>2.0248888511809955E20</v>
      </c>
      <c r="M1607" s="9">
        <v>2.0248888511809958E19</v>
      </c>
    </row>
    <row r="1608" ht="15.75" customHeight="1">
      <c r="A1608" s="8"/>
      <c r="B1608" s="8"/>
      <c r="C1608" s="8"/>
      <c r="D1608" s="8">
        <v>18.1807950189596</v>
      </c>
      <c r="E1608" s="9" t="s">
        <v>1617</v>
      </c>
      <c r="I1608" s="12" t="str">
        <f>IFERROR(__xludf.DUMMYFUNCTION("""COMPUTED_VALUE"""),"0x891d7aad1d524434335695fd3784e466b0400a9f")</f>
        <v>0x891d7aad1d524434335695fd3784e466b0400a9f</v>
      </c>
      <c r="J1608" s="11">
        <v>18.1807950189596</v>
      </c>
      <c r="K1608" s="12">
        <v>40.40176670879911</v>
      </c>
      <c r="L1608" s="13">
        <v>4.040176670879911E19</v>
      </c>
      <c r="M1608" s="9">
        <v>4.0401766708799114E18</v>
      </c>
    </row>
    <row r="1609" ht="15.75" customHeight="1">
      <c r="A1609" s="8"/>
      <c r="B1609" s="8"/>
      <c r="C1609" s="8"/>
      <c r="D1609" s="8">
        <v>27.9026907562088</v>
      </c>
      <c r="E1609" s="9" t="s">
        <v>1618</v>
      </c>
      <c r="I1609" s="12" t="str">
        <f>IFERROR(__xludf.DUMMYFUNCTION("""COMPUTED_VALUE"""),"0x8962e65339ec9c7350395f8b538280abcf9e0d50")</f>
        <v>0x8962e65339ec9c7350395f8b538280abcf9e0d50</v>
      </c>
      <c r="J1609" s="11">
        <v>27.9026907562088</v>
      </c>
      <c r="K1609" s="12">
        <v>62.005979458241775</v>
      </c>
      <c r="L1609" s="13">
        <v>6.200597945824177E19</v>
      </c>
      <c r="M1609" s="9">
        <v>6.2005979458241782E18</v>
      </c>
    </row>
    <row r="1610" ht="15.75" customHeight="1">
      <c r="A1610" s="8"/>
      <c r="B1610" s="8"/>
      <c r="C1610" s="8"/>
      <c r="D1610" s="8">
        <v>27.9026907562088</v>
      </c>
      <c r="E1610" s="9" t="s">
        <v>1619</v>
      </c>
      <c r="I1610" s="12" t="str">
        <f>IFERROR(__xludf.DUMMYFUNCTION("""COMPUTED_VALUE"""),"0x89743a7c66acb96b81a599a124517f089abb5c3d")</f>
        <v>0x89743a7c66acb96b81a599a124517f089abb5c3d</v>
      </c>
      <c r="J1610" s="11">
        <v>27.9026907562088</v>
      </c>
      <c r="K1610" s="12">
        <v>62.005979458241775</v>
      </c>
      <c r="L1610" s="13">
        <v>6.200597945824177E19</v>
      </c>
      <c r="M1610" s="9">
        <v>6.2005979458241782E18</v>
      </c>
    </row>
    <row r="1611" ht="15.75" customHeight="1">
      <c r="A1611" s="8"/>
      <c r="B1611" s="8"/>
      <c r="C1611" s="8"/>
      <c r="D1611" s="8">
        <v>27.9026907562088</v>
      </c>
      <c r="E1611" s="9" t="s">
        <v>1620</v>
      </c>
      <c r="I1611" s="12" t="str">
        <f>IFERROR(__xludf.DUMMYFUNCTION("""COMPUTED_VALUE"""),"0x897853510d7fb160045122934110a3197e0df2df")</f>
        <v>0x897853510d7fb160045122934110a3197e0df2df</v>
      </c>
      <c r="J1611" s="11">
        <v>91.1199983031448</v>
      </c>
      <c r="K1611" s="12">
        <v>202.48888511809955</v>
      </c>
      <c r="L1611" s="13">
        <v>2.0248888511809955E20</v>
      </c>
      <c r="M1611" s="9">
        <v>2.0248888511809958E19</v>
      </c>
    </row>
    <row r="1612" ht="15.75" customHeight="1">
      <c r="A1612" s="8"/>
      <c r="B1612" s="8"/>
      <c r="C1612" s="8"/>
      <c r="D1612" s="8">
        <v>27.9026907562088</v>
      </c>
      <c r="E1612" s="9" t="s">
        <v>1621</v>
      </c>
      <c r="I1612" s="12" t="str">
        <f>IFERROR(__xludf.DUMMYFUNCTION("""COMPUTED_VALUE"""),"0x898a78b28ed0905f6e2d7b155eef0478b50576a9")</f>
        <v>0x898a78b28ed0905f6e2d7b155eef0478b50576a9</v>
      </c>
      <c r="J1612" s="11">
        <v>27.9026907562088</v>
      </c>
      <c r="K1612" s="12">
        <v>62.005979458241775</v>
      </c>
      <c r="L1612" s="13">
        <v>6.200597945824177E19</v>
      </c>
      <c r="M1612" s="9">
        <v>6.2005979458241782E18</v>
      </c>
    </row>
    <row r="1613" ht="15.75" customHeight="1">
      <c r="A1613" s="8"/>
      <c r="B1613" s="8"/>
      <c r="C1613" s="8"/>
      <c r="D1613" s="8">
        <v>27.9026907562088</v>
      </c>
      <c r="E1613" s="9" t="s">
        <v>1622</v>
      </c>
      <c r="I1613" s="12" t="str">
        <f>IFERROR(__xludf.DUMMYFUNCTION("""COMPUTED_VALUE"""),"0x89a3ee25815ef7601a2ee1ec0e0e02749f119c30")</f>
        <v>0x89a3ee25815ef7601a2ee1ec0e0e02749f119c30</v>
      </c>
      <c r="J1613" s="11">
        <v>91.1199983031448</v>
      </c>
      <c r="K1613" s="12">
        <v>202.48888511809955</v>
      </c>
      <c r="L1613" s="13">
        <v>2.0248888511809955E20</v>
      </c>
      <c r="M1613" s="9">
        <v>2.0248888511809958E19</v>
      </c>
    </row>
    <row r="1614" ht="15.75" customHeight="1">
      <c r="A1614" s="8"/>
      <c r="B1614" s="8"/>
      <c r="C1614" s="8"/>
      <c r="D1614" s="8">
        <v>27.9026907562088</v>
      </c>
      <c r="E1614" s="9" t="s">
        <v>1623</v>
      </c>
      <c r="I1614" s="12" t="str">
        <f>IFERROR(__xludf.DUMMYFUNCTION("""COMPUTED_VALUE"""),"0x89b3ca95b293331249140e6697145d5806b3976d")</f>
        <v>0x89b3ca95b293331249140e6697145d5806b3976d</v>
      </c>
      <c r="J1614" s="11">
        <v>105.71342583657079</v>
      </c>
      <c r="K1614" s="12">
        <v>234.9187240812684</v>
      </c>
      <c r="L1614" s="13">
        <v>2.349187240812684E20</v>
      </c>
      <c r="M1614" s="9">
        <v>2.349187240812684E19</v>
      </c>
    </row>
    <row r="1615" ht="15.75" customHeight="1">
      <c r="A1615" s="8"/>
      <c r="B1615" s="8"/>
      <c r="C1615" s="8"/>
      <c r="D1615" s="8">
        <v>27.1186640221095</v>
      </c>
      <c r="E1615" s="9" t="s">
        <v>1624</v>
      </c>
      <c r="I1615" s="12" t="str">
        <f>IFERROR(__xludf.DUMMYFUNCTION("""COMPUTED_VALUE"""),"0x89dcad37cba7f8aeaf07a5d3cb708b4cc920e576")</f>
        <v>0x89dcad37cba7f8aeaf07a5d3cb708b4cc920e576</v>
      </c>
      <c r="J1615" s="11">
        <v>27.1186640221095</v>
      </c>
      <c r="K1615" s="12">
        <v>60.26369782691</v>
      </c>
      <c r="L1615" s="13">
        <v>6.0263697826909995E19</v>
      </c>
      <c r="M1615" s="9">
        <v>6.0263697826910003E18</v>
      </c>
    </row>
    <row r="1616" ht="15.75" customHeight="1">
      <c r="A1616" s="8"/>
      <c r="B1616" s="8"/>
      <c r="C1616" s="8"/>
      <c r="D1616" s="8">
        <v>27.9026907562088</v>
      </c>
      <c r="E1616" s="9" t="s">
        <v>1625</v>
      </c>
      <c r="I1616" s="12" t="str">
        <f>IFERROR(__xludf.DUMMYFUNCTION("""COMPUTED_VALUE"""),"0x89fb10ac2f1afcc85b0f77b264e7943e126a895c")</f>
        <v>0x89fb10ac2f1afcc85b0f77b264e7943e126a895c</v>
      </c>
      <c r="J1616" s="11">
        <v>91.1199983031448</v>
      </c>
      <c r="K1616" s="12">
        <v>202.48888511809955</v>
      </c>
      <c r="L1616" s="13">
        <v>2.0248888511809955E20</v>
      </c>
      <c r="M1616" s="9">
        <v>2.0248888511809958E19</v>
      </c>
    </row>
    <row r="1617" ht="15.75" customHeight="1">
      <c r="A1617" s="8"/>
      <c r="B1617" s="8"/>
      <c r="C1617" s="8"/>
      <c r="D1617" s="8">
        <v>20.2042010235644</v>
      </c>
      <c r="E1617" s="9" t="s">
        <v>1626</v>
      </c>
      <c r="I1617" s="12" t="str">
        <f>IFERROR(__xludf.DUMMYFUNCTION("""COMPUTED_VALUE"""),"0x89fe9f14824d058841ffe8b3c85b0da6e18b202b")</f>
        <v>0x89fe9f14824d058841ffe8b3c85b0da6e18b202b</v>
      </c>
      <c r="J1617" s="11">
        <v>20.2042010235644</v>
      </c>
      <c r="K1617" s="12">
        <v>44.89822449680978</v>
      </c>
      <c r="L1617" s="13">
        <v>4.489822449680978E19</v>
      </c>
      <c r="M1617" s="9">
        <v>4.4898224496809779E18</v>
      </c>
    </row>
    <row r="1618" ht="15.75" customHeight="1">
      <c r="A1618" s="8"/>
      <c r="B1618" s="8"/>
      <c r="C1618" s="8"/>
      <c r="D1618" s="8">
        <v>27.9026907562088</v>
      </c>
      <c r="E1618" s="9" t="s">
        <v>1627</v>
      </c>
      <c r="I1618" s="12" t="str">
        <f>IFERROR(__xludf.DUMMYFUNCTION("""COMPUTED_VALUE"""),"0x8a1a941eafee8da07096862e7c17caf24e485592")</f>
        <v>0x8a1a941eafee8da07096862e7c17caf24e485592</v>
      </c>
      <c r="J1618" s="11">
        <v>91.1199983031448</v>
      </c>
      <c r="K1618" s="12">
        <v>202.48888511809955</v>
      </c>
      <c r="L1618" s="13">
        <v>2.0248888511809955E20</v>
      </c>
      <c r="M1618" s="9">
        <v>2.0248888511809958E19</v>
      </c>
    </row>
    <row r="1619" ht="15.75" customHeight="1">
      <c r="A1619" s="8"/>
      <c r="B1619" s="8"/>
      <c r="C1619" s="8"/>
      <c r="D1619" s="8">
        <v>27.9026907562088</v>
      </c>
      <c r="E1619" s="9" t="s">
        <v>1628</v>
      </c>
      <c r="I1619" s="12" t="str">
        <f>IFERROR(__xludf.DUMMYFUNCTION("""COMPUTED_VALUE"""),"0x8a2444a4d2c7f4279ddfb2b2b93fcac00f51e342")</f>
        <v>0x8a2444a4d2c7f4279ddfb2b2b93fcac00f51e342</v>
      </c>
      <c r="J1619" s="11">
        <v>29.848481093998938</v>
      </c>
      <c r="K1619" s="12">
        <v>66.32995798666431</v>
      </c>
      <c r="L1619" s="13">
        <v>6.632995798666431E19</v>
      </c>
      <c r="M1619" s="9">
        <v>6.6329957986664315E18</v>
      </c>
    </row>
    <row r="1620" ht="15.75" customHeight="1">
      <c r="A1620" s="8"/>
      <c r="B1620" s="8"/>
      <c r="C1620" s="8"/>
      <c r="D1620" s="8">
        <v>24.9765754068878</v>
      </c>
      <c r="E1620" s="9" t="s">
        <v>1629</v>
      </c>
      <c r="I1620" s="12" t="str">
        <f>IFERROR(__xludf.DUMMYFUNCTION("""COMPUTED_VALUE"""),"0x8a47686b6f932286531d0b281f646f6a999276c1")</f>
        <v>0x8a47686b6f932286531d0b281f646f6a999276c1</v>
      </c>
      <c r="J1620" s="11">
        <v>24.9765754068878</v>
      </c>
      <c r="K1620" s="12">
        <v>55.50350090419511</v>
      </c>
      <c r="L1620" s="13">
        <v>5.5503500904195105E19</v>
      </c>
      <c r="M1620" s="9">
        <v>5.5503500904195113E18</v>
      </c>
    </row>
    <row r="1621" ht="15.75" customHeight="1">
      <c r="A1621" s="8"/>
      <c r="B1621" s="8"/>
      <c r="C1621" s="8"/>
      <c r="D1621" s="8">
        <v>27.9026907562088</v>
      </c>
      <c r="E1621" s="9" t="s">
        <v>1630</v>
      </c>
      <c r="I1621" s="12" t="str">
        <f>IFERROR(__xludf.DUMMYFUNCTION("""COMPUTED_VALUE"""),"0x8a4cc5b5ebb97397327f672040fae03510e35665")</f>
        <v>0x8a4cc5b5ebb97397327f672040fae03510e35665</v>
      </c>
      <c r="J1621" s="11">
        <v>27.9026907562088</v>
      </c>
      <c r="K1621" s="12">
        <v>62.005979458241775</v>
      </c>
      <c r="L1621" s="13">
        <v>6.200597945824177E19</v>
      </c>
      <c r="M1621" s="9">
        <v>6.2005979458241782E18</v>
      </c>
    </row>
    <row r="1622" ht="15.75" customHeight="1">
      <c r="A1622" s="8"/>
      <c r="B1622" s="8"/>
      <c r="C1622" s="8"/>
      <c r="D1622" s="8">
        <v>27.9026907562088</v>
      </c>
      <c r="E1622" s="9" t="s">
        <v>1631</v>
      </c>
      <c r="I1622" s="12" t="str">
        <f>IFERROR(__xludf.DUMMYFUNCTION("""COMPUTED_VALUE"""),"0x8a64fb28e06df7d47b041695c174654e7ad9f68f")</f>
        <v>0x8a64fb28e06df7d47b041695c174654e7ad9f68f</v>
      </c>
      <c r="J1622" s="11">
        <v>27.9026907562088</v>
      </c>
      <c r="K1622" s="12">
        <v>62.005979458241775</v>
      </c>
      <c r="L1622" s="13">
        <v>6.200597945824177E19</v>
      </c>
      <c r="M1622" s="9">
        <v>6.2005979458241782E18</v>
      </c>
    </row>
    <row r="1623" ht="15.75" customHeight="1">
      <c r="A1623" s="8"/>
      <c r="B1623" s="8"/>
      <c r="C1623" s="8"/>
      <c r="D1623" s="8">
        <v>27.9026907562088</v>
      </c>
      <c r="E1623" s="9" t="s">
        <v>1632</v>
      </c>
      <c r="I1623" s="12" t="str">
        <f>IFERROR(__xludf.DUMMYFUNCTION("""COMPUTED_VALUE"""),"0x8a6575879031fa738c374cd3e119176cf6124ea0")</f>
        <v>0x8a6575879031fa738c374cd3e119176cf6124ea0</v>
      </c>
      <c r="J1623" s="11">
        <v>27.9026907562088</v>
      </c>
      <c r="K1623" s="12">
        <v>62.005979458241775</v>
      </c>
      <c r="L1623" s="13">
        <v>6.200597945824177E19</v>
      </c>
      <c r="M1623" s="9">
        <v>6.2005979458241782E18</v>
      </c>
    </row>
    <row r="1624" ht="15.75" customHeight="1">
      <c r="A1624" s="8"/>
      <c r="B1624" s="8"/>
      <c r="C1624" s="8"/>
      <c r="D1624" s="8">
        <v>27.9026907562088</v>
      </c>
      <c r="E1624" s="9" t="s">
        <v>1633</v>
      </c>
      <c r="I1624" s="12" t="str">
        <f>IFERROR(__xludf.DUMMYFUNCTION("""COMPUTED_VALUE"""),"0x8a6e0fbd9e1c6021f4a54fbfeeb626dd873b2583")</f>
        <v>0x8a6e0fbd9e1c6021f4a54fbfeeb626dd873b2583</v>
      </c>
      <c r="J1624" s="11">
        <v>256.5121770153068</v>
      </c>
      <c r="K1624" s="12">
        <v>570.0270600340151</v>
      </c>
      <c r="L1624" s="13">
        <v>5.7002706003401513E20</v>
      </c>
      <c r="M1624" s="9">
        <v>5.7002706003401515E19</v>
      </c>
    </row>
    <row r="1625" ht="15.75" customHeight="1">
      <c r="A1625" s="8"/>
      <c r="B1625" s="8"/>
      <c r="C1625" s="8"/>
      <c r="D1625" s="8">
        <v>27.9026907562088</v>
      </c>
      <c r="E1625" s="9" t="s">
        <v>1634</v>
      </c>
      <c r="I1625" s="12" t="str">
        <f>IFERROR(__xludf.DUMMYFUNCTION("""COMPUTED_VALUE"""),"0x8a7d56d2290c2ce24d4e3b85c57cdb2b02d065a5")</f>
        <v>0x8a7d56d2290c2ce24d4e3b85c57cdb2b02d065a5</v>
      </c>
      <c r="J1625" s="11">
        <v>27.9026907562088</v>
      </c>
      <c r="K1625" s="12">
        <v>62.005979458241775</v>
      </c>
      <c r="L1625" s="13">
        <v>6.200597945824177E19</v>
      </c>
      <c r="M1625" s="9">
        <v>6.2005979458241782E18</v>
      </c>
    </row>
    <row r="1626" ht="15.75" customHeight="1">
      <c r="A1626" s="8"/>
      <c r="B1626" s="8"/>
      <c r="C1626" s="8"/>
      <c r="D1626" s="8">
        <v>26.423951484303</v>
      </c>
      <c r="E1626" s="9" t="s">
        <v>1635</v>
      </c>
      <c r="I1626" s="12" t="str">
        <f>IFERROR(__xludf.DUMMYFUNCTION("""COMPUTED_VALUE"""),"0x8a830f105a42e705cfe3a0295dfcfd7259ed4570")</f>
        <v>0x8a830f105a42e705cfe3a0295dfcfd7259ed4570</v>
      </c>
      <c r="J1626" s="11">
        <v>89.641259031239</v>
      </c>
      <c r="K1626" s="12">
        <v>199.2027978471978</v>
      </c>
      <c r="L1626" s="13">
        <v>1.9920279784719778E20</v>
      </c>
      <c r="M1626" s="9">
        <v>1.9920279784719778E19</v>
      </c>
    </row>
    <row r="1627" ht="15.75" customHeight="1">
      <c r="A1627" s="8"/>
      <c r="B1627" s="8"/>
      <c r="C1627" s="8"/>
      <c r="D1627" s="8">
        <v>27.9026907562088</v>
      </c>
      <c r="E1627" s="9" t="s">
        <v>1636</v>
      </c>
      <c r="I1627" s="12" t="str">
        <f>IFERROR(__xludf.DUMMYFUNCTION("""COMPUTED_VALUE"""),"0x8a9a88863d1dca8c51d66fbad401e8e692ce352c")</f>
        <v>0x8a9a88863d1dca8c51d66fbad401e8e692ce352c</v>
      </c>
      <c r="J1627" s="11">
        <v>27.9026907562088</v>
      </c>
      <c r="K1627" s="12">
        <v>62.005979458241775</v>
      </c>
      <c r="L1627" s="13">
        <v>6.200597945824177E19</v>
      </c>
      <c r="M1627" s="9">
        <v>6.2005979458241782E18</v>
      </c>
    </row>
    <row r="1628" ht="15.75" customHeight="1">
      <c r="A1628" s="8"/>
      <c r="B1628" s="8"/>
      <c r="C1628" s="8"/>
      <c r="D1628" s="8">
        <v>27.9026907562088</v>
      </c>
      <c r="E1628" s="9" t="s">
        <v>1637</v>
      </c>
      <c r="I1628" s="12" t="str">
        <f>IFERROR(__xludf.DUMMYFUNCTION("""COMPUTED_VALUE"""),"0x8ada253a2fc16e24d0f161e908e53379a36a5199")</f>
        <v>0x8ada253a2fc16e24d0f161e908e53379a36a5199</v>
      </c>
      <c r="J1628" s="11">
        <v>27.9026907562088</v>
      </c>
      <c r="K1628" s="12">
        <v>62.005979458241775</v>
      </c>
      <c r="L1628" s="13">
        <v>6.200597945824177E19</v>
      </c>
      <c r="M1628" s="9">
        <v>6.2005979458241782E18</v>
      </c>
    </row>
    <row r="1629" ht="15.75" customHeight="1">
      <c r="A1629" s="8"/>
      <c r="B1629" s="8"/>
      <c r="C1629" s="8"/>
      <c r="D1629" s="8">
        <v>27.9026907562088</v>
      </c>
      <c r="E1629" s="9" t="s">
        <v>1638</v>
      </c>
      <c r="I1629" s="12" t="str">
        <f>IFERROR(__xludf.DUMMYFUNCTION("""COMPUTED_VALUE"""),"0x8af40c045a6f36094b5c051a5bf040a87bc253fd")</f>
        <v>0x8af40c045a6f36094b5c051a5bf040a87bc253fd</v>
      </c>
      <c r="J1629" s="11">
        <v>91.1199983031448</v>
      </c>
      <c r="K1629" s="12">
        <v>202.48888511809955</v>
      </c>
      <c r="L1629" s="13">
        <v>2.0248888511809955E20</v>
      </c>
      <c r="M1629" s="9">
        <v>2.0248888511809958E19</v>
      </c>
    </row>
    <row r="1630" ht="15.75" customHeight="1">
      <c r="A1630" s="8"/>
      <c r="B1630" s="8"/>
      <c r="C1630" s="8"/>
      <c r="D1630" s="8">
        <v>27.9026907562088</v>
      </c>
      <c r="E1630" s="9" t="s">
        <v>1639</v>
      </c>
      <c r="I1630" s="12" t="str">
        <f>IFERROR(__xludf.DUMMYFUNCTION("""COMPUTED_VALUE"""),"0x8b18dbf711d0e93817fc36a62dc6be54700a2142")</f>
        <v>0x8b18dbf711d0e93817fc36a62dc6be54700a2142</v>
      </c>
      <c r="J1630" s="11">
        <v>27.9026907562088</v>
      </c>
      <c r="K1630" s="12">
        <v>62.005979458241775</v>
      </c>
      <c r="L1630" s="13">
        <v>6.200597945824177E19</v>
      </c>
      <c r="M1630" s="9">
        <v>6.2005979458241782E18</v>
      </c>
    </row>
    <row r="1631" ht="15.75" customHeight="1">
      <c r="A1631" s="8"/>
      <c r="B1631" s="8"/>
      <c r="C1631" s="8"/>
      <c r="D1631" s="8">
        <v>27.9026907562088</v>
      </c>
      <c r="E1631" s="9" t="s">
        <v>1640</v>
      </c>
      <c r="I1631" s="12" t="str">
        <f>IFERROR(__xludf.DUMMYFUNCTION("""COMPUTED_VALUE"""),"0x8b3d56203fa0a3dc96d98bbc33c1dc27a5e08a9e")</f>
        <v>0x8b3d56203fa0a3dc96d98bbc33c1dc27a5e08a9e</v>
      </c>
      <c r="J1631" s="11">
        <v>221.4811541375848</v>
      </c>
      <c r="K1631" s="12">
        <v>492.1803425279662</v>
      </c>
      <c r="L1631" s="13">
        <v>4.9218034252796625E20</v>
      </c>
      <c r="M1631" s="9">
        <v>4.9218034252796625E19</v>
      </c>
    </row>
    <row r="1632" ht="15.75" customHeight="1">
      <c r="A1632" s="8"/>
      <c r="B1632" s="8"/>
      <c r="C1632" s="8"/>
      <c r="D1632" s="8">
        <v>24.7935491078379</v>
      </c>
      <c r="E1632" s="9" t="s">
        <v>1641</v>
      </c>
      <c r="I1632" s="12" t="str">
        <f>IFERROR(__xludf.DUMMYFUNCTION("""COMPUTED_VALUE"""),"0x8b40b722aa17808069a22381c74fd61d0e026b48")</f>
        <v>0x8b40b722aa17808069a22381c74fd61d0e026b48</v>
      </c>
      <c r="J1632" s="11">
        <v>24.7935491078379</v>
      </c>
      <c r="K1632" s="12">
        <v>55.096775795195335</v>
      </c>
      <c r="L1632" s="13">
        <v>5.509677579519533E19</v>
      </c>
      <c r="M1632" s="9">
        <v>5.5096775795195331E18</v>
      </c>
    </row>
    <row r="1633" ht="15.75" customHeight="1">
      <c r="A1633" s="8"/>
      <c r="B1633" s="8"/>
      <c r="C1633" s="8"/>
      <c r="D1633" s="8">
        <v>27.9026907562088</v>
      </c>
      <c r="E1633" s="9" t="s">
        <v>1642</v>
      </c>
      <c r="I1633" s="12" t="str">
        <f>IFERROR(__xludf.DUMMYFUNCTION("""COMPUTED_VALUE"""),"0x8b791a9934f27297eb8a9b7aa9afaef4a85084bb")</f>
        <v>0x8b791a9934f27297eb8a9b7aa9afaef4a85084bb</v>
      </c>
      <c r="J1633" s="11">
        <v>78.4381696700667</v>
      </c>
      <c r="K1633" s="12">
        <v>174.30704371125933</v>
      </c>
      <c r="L1633" s="13">
        <v>1.743070437112593E20</v>
      </c>
      <c r="M1633" s="9">
        <v>1.7430704371125932E19</v>
      </c>
    </row>
    <row r="1634" ht="15.75" customHeight="1">
      <c r="A1634" s="8"/>
      <c r="B1634" s="8"/>
      <c r="C1634" s="8"/>
      <c r="D1634" s="8">
        <v>27.9026907562088</v>
      </c>
      <c r="E1634" s="9" t="s">
        <v>1643</v>
      </c>
      <c r="I1634" s="12" t="str">
        <f>IFERROR(__xludf.DUMMYFUNCTION("""COMPUTED_VALUE"""),"0x8bbb8124533ff5f82fc2dbc542f5bd7bf447fb67")</f>
        <v>0x8bbb8124533ff5f82fc2dbc542f5bd7bf447fb67</v>
      </c>
      <c r="J1634" s="11">
        <v>91.1199983031448</v>
      </c>
      <c r="K1634" s="12">
        <v>202.48888511809955</v>
      </c>
      <c r="L1634" s="13">
        <v>2.0248888511809955E20</v>
      </c>
      <c r="M1634" s="9">
        <v>2.0248888511809958E19</v>
      </c>
    </row>
    <row r="1635" ht="15.75" customHeight="1">
      <c r="A1635" s="8"/>
      <c r="B1635" s="8"/>
      <c r="C1635" s="8"/>
      <c r="D1635" s="8">
        <v>27.9026907562088</v>
      </c>
      <c r="E1635" s="9" t="s">
        <v>1644</v>
      </c>
      <c r="I1635" s="12" t="str">
        <f>IFERROR(__xludf.DUMMYFUNCTION("""COMPUTED_VALUE"""),"0x8bc0fc5b31fa30266a3dd81753be66ee4b62a7f9")</f>
        <v>0x8bc0fc5b31fa30266a3dd81753be66ee4b62a7f9</v>
      </c>
      <c r="J1635" s="11">
        <v>91.1199983031448</v>
      </c>
      <c r="K1635" s="12">
        <v>202.48888511809955</v>
      </c>
      <c r="L1635" s="13">
        <v>2.0248888511809955E20</v>
      </c>
      <c r="M1635" s="9">
        <v>2.0248888511809958E19</v>
      </c>
    </row>
    <row r="1636" ht="15.75" customHeight="1">
      <c r="A1636" s="8"/>
      <c r="B1636" s="8"/>
      <c r="C1636" s="8"/>
      <c r="D1636" s="8">
        <v>1.05604619331556</v>
      </c>
      <c r="E1636" s="9" t="s">
        <v>1645</v>
      </c>
      <c r="I1636" s="12" t="str">
        <f>IFERROR(__xludf.DUMMYFUNCTION("""COMPUTED_VALUE"""),"0x8bd7ea8b18d73ac45fb38f1d8d40d8407f05257f")</f>
        <v>0x8bd7ea8b18d73ac45fb38f1d8d40d8407f05257f</v>
      </c>
      <c r="J1636" s="11">
        <v>1.05604619331556</v>
      </c>
      <c r="K1636" s="12">
        <v>2.3467693184790224</v>
      </c>
      <c r="L1636" s="13">
        <v>2.3467693184790226E18</v>
      </c>
      <c r="M1636" s="9">
        <v>2.34676931847902272E17</v>
      </c>
    </row>
    <row r="1637" ht="15.75" customHeight="1">
      <c r="A1637" s="8"/>
      <c r="B1637" s="8"/>
      <c r="C1637" s="8"/>
      <c r="D1637" s="8">
        <v>27.9026907562088</v>
      </c>
      <c r="E1637" s="9" t="s">
        <v>1646</v>
      </c>
      <c r="I1637" s="12" t="str">
        <f>IFERROR(__xludf.DUMMYFUNCTION("""COMPUTED_VALUE"""),"0x8bf551829be2fc9a7643a7a9a07c91f69e3c192d")</f>
        <v>0x8bf551829be2fc9a7643a7a9a07c91f69e3c192d</v>
      </c>
      <c r="J1637" s="11">
        <v>27.9026907562088</v>
      </c>
      <c r="K1637" s="12">
        <v>62.005979458241775</v>
      </c>
      <c r="L1637" s="13">
        <v>6.200597945824177E19</v>
      </c>
      <c r="M1637" s="9">
        <v>6.2005979458241782E18</v>
      </c>
    </row>
    <row r="1638" ht="15.75" customHeight="1">
      <c r="A1638" s="8"/>
      <c r="B1638" s="8"/>
      <c r="C1638" s="8"/>
      <c r="D1638" s="8">
        <v>27.9026907562088</v>
      </c>
      <c r="E1638" s="9" t="s">
        <v>1647</v>
      </c>
      <c r="I1638" s="12" t="str">
        <f>IFERROR(__xludf.DUMMYFUNCTION("""COMPUTED_VALUE"""),"0x8c1360289a684eaebfe5e8d2856f1d063e024e82")</f>
        <v>0x8c1360289a684eaebfe5e8d2856f1d063e024e82</v>
      </c>
      <c r="J1638" s="11">
        <v>102.0563736489774</v>
      </c>
      <c r="K1638" s="12">
        <v>226.791941442172</v>
      </c>
      <c r="L1638" s="13">
        <v>2.26791941442172E20</v>
      </c>
      <c r="M1638" s="9">
        <v>2.2679194144217203E19</v>
      </c>
    </row>
    <row r="1639" ht="15.75" customHeight="1">
      <c r="A1639" s="8"/>
      <c r="B1639" s="8"/>
      <c r="C1639" s="8"/>
      <c r="D1639" s="8">
        <v>17.6967671491714</v>
      </c>
      <c r="E1639" s="9" t="s">
        <v>1648</v>
      </c>
      <c r="I1639" s="12" t="str">
        <f>IFERROR(__xludf.DUMMYFUNCTION("""COMPUTED_VALUE"""),"0x8c1fa414d6daa33cac1c455505c15c0a251aa895")</f>
        <v>0x8c1fa414d6daa33cac1c455505c15c0a251aa895</v>
      </c>
      <c r="J1639" s="11">
        <v>17.6967671491714</v>
      </c>
      <c r="K1639" s="12">
        <v>39.32614922038089</v>
      </c>
      <c r="L1639" s="13">
        <v>3.932614922038089E19</v>
      </c>
      <c r="M1639" s="9">
        <v>3.9326149220380897E18</v>
      </c>
    </row>
    <row r="1640" ht="15.75" customHeight="1">
      <c r="A1640" s="8"/>
      <c r="B1640" s="8"/>
      <c r="C1640" s="8"/>
      <c r="D1640" s="8">
        <v>27.9026907562088</v>
      </c>
      <c r="E1640" s="9" t="s">
        <v>1649</v>
      </c>
      <c r="I1640" s="12" t="str">
        <f>IFERROR(__xludf.DUMMYFUNCTION("""COMPUTED_VALUE"""),"0x8c23869c5be0302b37013320f0cf7ea54a58db6c")</f>
        <v>0x8c23869c5be0302b37013320f0cf7ea54a58db6c</v>
      </c>
      <c r="J1640" s="11">
        <v>27.9026907562088</v>
      </c>
      <c r="K1640" s="12">
        <v>62.005979458241775</v>
      </c>
      <c r="L1640" s="13">
        <v>6.200597945824177E19</v>
      </c>
      <c r="M1640" s="9">
        <v>6.2005979458241782E18</v>
      </c>
    </row>
    <row r="1641" ht="15.75" customHeight="1">
      <c r="A1641" s="8"/>
      <c r="B1641" s="8"/>
      <c r="C1641" s="8"/>
      <c r="D1641" s="8">
        <v>27.9026907562088</v>
      </c>
      <c r="E1641" s="9" t="s">
        <v>1650</v>
      </c>
      <c r="I1641" s="12" t="str">
        <f>IFERROR(__xludf.DUMMYFUNCTION("""COMPUTED_VALUE"""),"0x8c4e94c9d23c733dc21c20b96d22faaa0edc04df")</f>
        <v>0x8c4e94c9d23c733dc21c20b96d22faaa0edc04df</v>
      </c>
      <c r="J1641" s="11">
        <v>27.9026907562088</v>
      </c>
      <c r="K1641" s="12">
        <v>62.005979458241775</v>
      </c>
      <c r="L1641" s="13">
        <v>6.200597945824177E19</v>
      </c>
      <c r="M1641" s="9">
        <v>6.2005979458241782E18</v>
      </c>
    </row>
    <row r="1642" ht="15.75" customHeight="1">
      <c r="A1642" s="8"/>
      <c r="B1642" s="8"/>
      <c r="C1642" s="8"/>
      <c r="D1642" s="8">
        <v>27.9026907562088</v>
      </c>
      <c r="E1642" s="9" t="s">
        <v>1651</v>
      </c>
      <c r="I1642" s="12" t="str">
        <f>IFERROR(__xludf.DUMMYFUNCTION("""COMPUTED_VALUE"""),"0x8c5771a331d084a2a4497548759494b72ed5468d")</f>
        <v>0x8c5771a331d084a2a4497548759494b72ed5468d</v>
      </c>
      <c r="J1642" s="11">
        <v>32.454336899588185</v>
      </c>
      <c r="K1642" s="12">
        <v>72.12074866575152</v>
      </c>
      <c r="L1642" s="13">
        <v>7.212074866575152E19</v>
      </c>
      <c r="M1642" s="9">
        <v>7.2120748665751521E18</v>
      </c>
    </row>
    <row r="1643" ht="15.75" customHeight="1">
      <c r="A1643" s="8"/>
      <c r="B1643" s="8"/>
      <c r="C1643" s="8"/>
      <c r="D1643" s="8">
        <v>27.5779926490282</v>
      </c>
      <c r="E1643" s="9" t="s">
        <v>1652</v>
      </c>
      <c r="I1643" s="12" t="str">
        <f>IFERROR(__xludf.DUMMYFUNCTION("""COMPUTED_VALUE"""),"0x8c738633559e1c5ea7743e4d005fd37f78899462")</f>
        <v>0x8c738633559e1c5ea7743e4d005fd37f78899462</v>
      </c>
      <c r="J1643" s="11">
        <v>90.1294173653973</v>
      </c>
      <c r="K1643" s="12">
        <v>200.28759414532732</v>
      </c>
      <c r="L1643" s="13">
        <v>2.0028759414532732E20</v>
      </c>
      <c r="M1643" s="9">
        <v>2.002875941453273E19</v>
      </c>
    </row>
    <row r="1644" ht="15.75" customHeight="1">
      <c r="A1644" s="8"/>
      <c r="B1644" s="8"/>
      <c r="C1644" s="8"/>
      <c r="D1644" s="8">
        <v>27.9026907562088</v>
      </c>
      <c r="E1644" s="9" t="s">
        <v>1653</v>
      </c>
      <c r="I1644" s="12" t="str">
        <f>IFERROR(__xludf.DUMMYFUNCTION("""COMPUTED_VALUE"""),"0x8c824ada4e8c771f7a6245d963ef28c60c98096f")</f>
        <v>0x8c824ada4e8c771f7a6245d963ef28c60c98096f</v>
      </c>
      <c r="J1644" s="11">
        <v>317.45433039489376</v>
      </c>
      <c r="K1644" s="12">
        <v>705.4540675442083</v>
      </c>
      <c r="L1644" s="13">
        <v>7.054540675442083E20</v>
      </c>
      <c r="M1644" s="9">
        <v>7.0545406754420834E19</v>
      </c>
    </row>
    <row r="1645" ht="15.75" customHeight="1">
      <c r="A1645" s="8"/>
      <c r="B1645" s="8"/>
      <c r="C1645" s="8"/>
      <c r="D1645" s="8">
        <v>27.9026907562088</v>
      </c>
      <c r="E1645" s="9" t="s">
        <v>1654</v>
      </c>
      <c r="I1645" s="12" t="str">
        <f>IFERROR(__xludf.DUMMYFUNCTION("""COMPUTED_VALUE"""),"0x8c8a90b30fc5296854ab165ee24e682d6f21a69f")</f>
        <v>0x8c8a90b30fc5296854ab165ee24e682d6f21a69f</v>
      </c>
      <c r="J1645" s="11">
        <v>27.9026907562088</v>
      </c>
      <c r="K1645" s="12">
        <v>62.005979458241775</v>
      </c>
      <c r="L1645" s="13">
        <v>6.200597945824177E19</v>
      </c>
      <c r="M1645" s="9">
        <v>6.2005979458241782E18</v>
      </c>
    </row>
    <row r="1646" ht="15.75" customHeight="1">
      <c r="A1646" s="8"/>
      <c r="B1646" s="8"/>
      <c r="C1646" s="8"/>
      <c r="D1646" s="8">
        <v>27.9026907562088</v>
      </c>
      <c r="E1646" s="9" t="s">
        <v>1655</v>
      </c>
      <c r="I1646" s="12" t="str">
        <f>IFERROR(__xludf.DUMMYFUNCTION("""COMPUTED_VALUE"""),"0x8cb2b8e4ce00bac2bd95e4ad66c86935281a65df")</f>
        <v>0x8cb2b8e4ce00bac2bd95e4ad66c86935281a65df</v>
      </c>
      <c r="J1646" s="11">
        <v>27.9026907562088</v>
      </c>
      <c r="K1646" s="12">
        <v>62.005979458241775</v>
      </c>
      <c r="L1646" s="13">
        <v>6.200597945824177E19</v>
      </c>
      <c r="M1646" s="9">
        <v>6.2005979458241782E18</v>
      </c>
    </row>
    <row r="1647" ht="15.75" customHeight="1">
      <c r="A1647" s="8"/>
      <c r="B1647" s="8"/>
      <c r="C1647" s="8"/>
      <c r="D1647" s="8">
        <v>19.1236301674203</v>
      </c>
      <c r="E1647" s="9" t="s">
        <v>1656</v>
      </c>
      <c r="I1647" s="12" t="str">
        <f>IFERROR(__xludf.DUMMYFUNCTION("""COMPUTED_VALUE"""),"0x8cc295c9706c25f68a5bd0ccd0001066f1c1bf86")</f>
        <v>0x8cc295c9706c25f68a5bd0ccd0001066f1c1bf86</v>
      </c>
      <c r="J1647" s="11">
        <v>19.1236301674203</v>
      </c>
      <c r="K1647" s="12">
        <v>42.49695592760066</v>
      </c>
      <c r="L1647" s="13">
        <v>4.249695592760066E19</v>
      </c>
      <c r="M1647" s="9">
        <v>4.249695592760066E18</v>
      </c>
    </row>
    <row r="1648" ht="15.75" customHeight="1">
      <c r="A1648" s="8"/>
      <c r="B1648" s="8"/>
      <c r="C1648" s="8"/>
      <c r="D1648" s="8">
        <v>25.749676181147</v>
      </c>
      <c r="E1648" s="9" t="s">
        <v>1657</v>
      </c>
      <c r="I1648" s="12" t="str">
        <f>IFERROR(__xludf.DUMMYFUNCTION("""COMPUTED_VALUE"""),"0x8cd6f7c68d4a6b9f387f9254be971ae7417e49ea")</f>
        <v>0x8cd6f7c68d4a6b9f387f9254be971ae7417e49ea</v>
      </c>
      <c r="J1648" s="11">
        <v>25.749676181147</v>
      </c>
      <c r="K1648" s="12">
        <v>57.221502624771105</v>
      </c>
      <c r="L1648" s="13">
        <v>5.7221502624771105E19</v>
      </c>
      <c r="M1648" s="9">
        <v>5.7221502624771113E18</v>
      </c>
    </row>
    <row r="1649" ht="15.75" customHeight="1">
      <c r="A1649" s="8"/>
      <c r="B1649" s="8"/>
      <c r="C1649" s="8"/>
      <c r="D1649" s="8">
        <v>26.8255125636821</v>
      </c>
      <c r="E1649" s="9" t="s">
        <v>1658</v>
      </c>
      <c r="I1649" s="12" t="str">
        <f>IFERROR(__xludf.DUMMYFUNCTION("""COMPUTED_VALUE"""),"0x8cdbc154409ef1da00d328f947ccd01e0eec2836")</f>
        <v>0x8cdbc154409ef1da00d328f947ccd01e0eec2836</v>
      </c>
      <c r="J1649" s="11">
        <v>26.8255125636821</v>
      </c>
      <c r="K1649" s="12">
        <v>59.61225014151577</v>
      </c>
      <c r="L1649" s="13">
        <v>5.961225014151578E19</v>
      </c>
      <c r="M1649" s="9">
        <v>5.9612250141515776E18</v>
      </c>
    </row>
    <row r="1650" ht="15.75" customHeight="1">
      <c r="A1650" s="8"/>
      <c r="B1650" s="8"/>
      <c r="C1650" s="8"/>
      <c r="D1650" s="8">
        <v>2.34172706297709</v>
      </c>
      <c r="E1650" s="9" t="s">
        <v>1659</v>
      </c>
      <c r="I1650" s="12" t="str">
        <f>IFERROR(__xludf.DUMMYFUNCTION("""COMPUTED_VALUE"""),"0x8cdd627696685510077da7e376a5a4d3a80e0923")</f>
        <v>0x8cdd627696685510077da7e376a5a4d3a80e0923</v>
      </c>
      <c r="J1650" s="11">
        <v>2.34172706297709</v>
      </c>
      <c r="K1650" s="12">
        <v>5.203837917726866</v>
      </c>
      <c r="L1650" s="13">
        <v>5.2038379177268664E18</v>
      </c>
      <c r="M1650" s="9">
        <v>5.2038379177268666E17</v>
      </c>
    </row>
    <row r="1651" ht="15.75" customHeight="1">
      <c r="A1651" s="8"/>
      <c r="B1651" s="8"/>
      <c r="C1651" s="8"/>
      <c r="D1651" s="8">
        <v>27.9026907562088</v>
      </c>
      <c r="E1651" s="9" t="s">
        <v>1660</v>
      </c>
      <c r="I1651" s="12" t="str">
        <f>IFERROR(__xludf.DUMMYFUNCTION("""COMPUTED_VALUE"""),"0x8cdedaaebaa53c31562bcac4fbe1d75d517e49f8")</f>
        <v>0x8cdedaaebaa53c31562bcac4fbe1d75d517e49f8</v>
      </c>
      <c r="J1651" s="11">
        <v>27.9026907562088</v>
      </c>
      <c r="K1651" s="12">
        <v>62.005979458241775</v>
      </c>
      <c r="L1651" s="13">
        <v>6.200597945824177E19</v>
      </c>
      <c r="M1651" s="9">
        <v>6.2005979458241782E18</v>
      </c>
    </row>
    <row r="1652" ht="15.75" customHeight="1">
      <c r="A1652" s="8"/>
      <c r="B1652" s="8"/>
      <c r="C1652" s="8"/>
      <c r="D1652" s="8">
        <v>27.9026907562088</v>
      </c>
      <c r="E1652" s="9" t="s">
        <v>1661</v>
      </c>
      <c r="I1652" s="12" t="str">
        <f>IFERROR(__xludf.DUMMYFUNCTION("""COMPUTED_VALUE"""),"0x8cee08ef784c3d6d2b2b4ca7e81b841d8af0aad6")</f>
        <v>0x8cee08ef784c3d6d2b2b4ca7e81b841d8af0aad6</v>
      </c>
      <c r="J1652" s="11">
        <v>293.4821934333198</v>
      </c>
      <c r="K1652" s="12">
        <v>652.1826520740441</v>
      </c>
      <c r="L1652" s="13">
        <v>6.52182652074044E20</v>
      </c>
      <c r="M1652" s="9">
        <v>6.5218265207404405E19</v>
      </c>
    </row>
    <row r="1653" ht="15.75" customHeight="1">
      <c r="A1653" s="8"/>
      <c r="B1653" s="8"/>
      <c r="C1653" s="8"/>
      <c r="D1653" s="8">
        <v>27.9026907562088</v>
      </c>
      <c r="E1653" s="9" t="s">
        <v>1662</v>
      </c>
      <c r="I1653" s="12" t="str">
        <f>IFERROR(__xludf.DUMMYFUNCTION("""COMPUTED_VALUE"""),"0x8cfa92c609f96921faf1e5eee64f64946f77113e")</f>
        <v>0x8cfa92c609f96921faf1e5eee64f64946f77113e</v>
      </c>
      <c r="J1653" s="11">
        <v>27.9026907562088</v>
      </c>
      <c r="K1653" s="12">
        <v>62.005979458241775</v>
      </c>
      <c r="L1653" s="13">
        <v>6.200597945824177E19</v>
      </c>
      <c r="M1653" s="9">
        <v>6.2005979458241782E18</v>
      </c>
    </row>
    <row r="1654" ht="15.75" customHeight="1">
      <c r="A1654" s="8"/>
      <c r="B1654" s="8"/>
      <c r="C1654" s="8"/>
      <c r="D1654" s="8">
        <v>20.3215168265069</v>
      </c>
      <c r="E1654" s="9" t="s">
        <v>1663</v>
      </c>
      <c r="I1654" s="12" t="str">
        <f>IFERROR(__xludf.DUMMYFUNCTION("""COMPUTED_VALUE"""),"0x8cffad5e02a7d55725e3e62c259f7ed2c8682c67")</f>
        <v>0x8cffad5e02a7d55725e3e62c259f7ed2c8682c67</v>
      </c>
      <c r="J1654" s="11">
        <v>20.3215168265069</v>
      </c>
      <c r="K1654" s="12">
        <v>45.15892628112645</v>
      </c>
      <c r="L1654" s="13">
        <v>4.5158926281126445E19</v>
      </c>
      <c r="M1654" s="9">
        <v>4.5158926281126446E18</v>
      </c>
    </row>
    <row r="1655" ht="15.75" customHeight="1">
      <c r="A1655" s="8"/>
      <c r="B1655" s="8"/>
      <c r="C1655" s="8"/>
      <c r="D1655" s="8">
        <v>27.9026907562088</v>
      </c>
      <c r="E1655" s="9" t="s">
        <v>1664</v>
      </c>
      <c r="I1655" s="12" t="str">
        <f>IFERROR(__xludf.DUMMYFUNCTION("""COMPUTED_VALUE"""),"0x8d1774d8e34834b017e8cfe280b3638445dfbb84")</f>
        <v>0x8d1774d8e34834b017e8cfe280b3638445dfbb84</v>
      </c>
      <c r="J1655" s="11">
        <v>102.7947403298856</v>
      </c>
      <c r="K1655" s="12">
        <v>228.43275628863466</v>
      </c>
      <c r="L1655" s="13">
        <v>2.2843275628863465E20</v>
      </c>
      <c r="M1655" s="9">
        <v>2.2843275628863468E19</v>
      </c>
    </row>
    <row r="1656" ht="15.75" customHeight="1">
      <c r="A1656" s="8"/>
      <c r="B1656" s="8"/>
      <c r="C1656" s="8"/>
      <c r="D1656" s="8">
        <v>21.0612310089933</v>
      </c>
      <c r="E1656" s="9" t="s">
        <v>1665</v>
      </c>
      <c r="I1656" s="12" t="str">
        <f>IFERROR(__xludf.DUMMYFUNCTION("""COMPUTED_VALUE"""),"0x8d17a220f9ebe8bee396e601af4fc47743c409d0")</f>
        <v>0x8d17a220f9ebe8bee396e601af4fc47743c409d0</v>
      </c>
      <c r="J1656" s="11">
        <v>21.0612310089933</v>
      </c>
      <c r="K1656" s="12">
        <v>46.802735575540666</v>
      </c>
      <c r="L1656" s="13">
        <v>4.680273557554066E19</v>
      </c>
      <c r="M1656" s="9">
        <v>4.6802735575540664E18</v>
      </c>
    </row>
    <row r="1657" ht="15.75" customHeight="1">
      <c r="A1657" s="8"/>
      <c r="B1657" s="8"/>
      <c r="C1657" s="8"/>
      <c r="D1657" s="8">
        <v>27.9026907562088</v>
      </c>
      <c r="E1657" s="9" t="s">
        <v>1666</v>
      </c>
      <c r="I1657" s="12" t="str">
        <f>IFERROR(__xludf.DUMMYFUNCTION("""COMPUTED_VALUE"""),"0x8d705f2a987f59fde46fb6d4054b25927624720c")</f>
        <v>0x8d705f2a987f59fde46fb6d4054b25927624720c</v>
      </c>
      <c r="J1657" s="11">
        <v>27.9026907562088</v>
      </c>
      <c r="K1657" s="12">
        <v>62.005979458241775</v>
      </c>
      <c r="L1657" s="13">
        <v>6.200597945824177E19</v>
      </c>
      <c r="M1657" s="9">
        <v>6.2005979458241782E18</v>
      </c>
    </row>
    <row r="1658" ht="15.75" customHeight="1">
      <c r="A1658" s="8"/>
      <c r="B1658" s="8"/>
      <c r="C1658" s="8"/>
      <c r="D1658" s="8">
        <v>27.9026907562088</v>
      </c>
      <c r="E1658" s="9" t="s">
        <v>1667</v>
      </c>
      <c r="I1658" s="12" t="str">
        <f>IFERROR(__xludf.DUMMYFUNCTION("""COMPUTED_VALUE"""),"0x8d88c4e9b2e01b4f2583258096941a52b3253283")</f>
        <v>0x8d88c4e9b2e01b4f2583258096941a52b3253283</v>
      </c>
      <c r="J1658" s="11">
        <v>27.9026907562088</v>
      </c>
      <c r="K1658" s="12">
        <v>62.005979458241775</v>
      </c>
      <c r="L1658" s="13">
        <v>6.200597945824177E19</v>
      </c>
      <c r="M1658" s="9">
        <v>6.2005979458241782E18</v>
      </c>
    </row>
    <row r="1659" ht="15.75" customHeight="1">
      <c r="A1659" s="8"/>
      <c r="B1659" s="8"/>
      <c r="C1659" s="8"/>
      <c r="D1659" s="8">
        <v>26.4718545335692</v>
      </c>
      <c r="E1659" s="9" t="s">
        <v>1668</v>
      </c>
      <c r="I1659" s="12" t="str">
        <f>IFERROR(__xludf.DUMMYFUNCTION("""COMPUTED_VALUE"""),"0x8d8b800a80ea0d6dcda447595e65224d8e2f939a")</f>
        <v>0x8d8b800a80ea0d6dcda447595e65224d8e2f939a</v>
      </c>
      <c r="J1659" s="11">
        <v>26.4718545335692</v>
      </c>
      <c r="K1659" s="12">
        <v>58.82634340793155</v>
      </c>
      <c r="L1659" s="13">
        <v>5.8826343407931556E19</v>
      </c>
      <c r="M1659" s="9">
        <v>5.8826343407931556E18</v>
      </c>
    </row>
    <row r="1660" ht="15.75" customHeight="1">
      <c r="A1660" s="8"/>
      <c r="B1660" s="8"/>
      <c r="C1660" s="8"/>
      <c r="D1660" s="8">
        <v>27.9026907562088</v>
      </c>
      <c r="E1660" s="9" t="s">
        <v>1669</v>
      </c>
      <c r="I1660" s="12" t="str">
        <f>IFERROR(__xludf.DUMMYFUNCTION("""COMPUTED_VALUE"""),"0x8da1a4d25691d9ffa62b07c5675d4839356cbeb0")</f>
        <v>0x8da1a4d25691d9ffa62b07c5675d4839356cbeb0</v>
      </c>
      <c r="J1660" s="11">
        <v>27.9026907562088</v>
      </c>
      <c r="K1660" s="12">
        <v>62.005979458241775</v>
      </c>
      <c r="L1660" s="13">
        <v>6.200597945824177E19</v>
      </c>
      <c r="M1660" s="9">
        <v>6.2005979458241782E18</v>
      </c>
    </row>
    <row r="1661" ht="15.75" customHeight="1">
      <c r="A1661" s="8"/>
      <c r="B1661" s="8"/>
      <c r="C1661" s="8"/>
      <c r="D1661" s="8">
        <v>27.8772296525759</v>
      </c>
      <c r="E1661" s="9" t="s">
        <v>1670</v>
      </c>
      <c r="I1661" s="12" t="str">
        <f>IFERROR(__xludf.DUMMYFUNCTION("""COMPUTED_VALUE"""),"0x8dd217a8b972ec71136933ae7d056da7e9c544f6")</f>
        <v>0x8dd217a8b972ec71136933ae7d056da7e9c544f6</v>
      </c>
      <c r="J1661" s="11">
        <v>91.0371047322667</v>
      </c>
      <c r="K1661" s="12">
        <v>202.30467718281488</v>
      </c>
      <c r="L1661" s="13">
        <v>2.0230467718281488E20</v>
      </c>
      <c r="M1661" s="9">
        <v>2.023046771828149E19</v>
      </c>
    </row>
    <row r="1662" ht="15.75" customHeight="1">
      <c r="A1662" s="8"/>
      <c r="B1662" s="8"/>
      <c r="C1662" s="8"/>
      <c r="D1662" s="8">
        <v>27.9026907562088</v>
      </c>
      <c r="E1662" s="9" t="s">
        <v>1671</v>
      </c>
      <c r="I1662" s="12" t="str">
        <f>IFERROR(__xludf.DUMMYFUNCTION("""COMPUTED_VALUE"""),"0x8dd465ba1cd2ad7f6e6dfd929be748be361429ca")</f>
        <v>0x8dd465ba1cd2ad7f6e6dfd929be748be361429ca</v>
      </c>
      <c r="J1662" s="11">
        <v>102.7947403298856</v>
      </c>
      <c r="K1662" s="12">
        <v>228.43275628863466</v>
      </c>
      <c r="L1662" s="13">
        <v>2.2843275628863465E20</v>
      </c>
      <c r="M1662" s="9">
        <v>2.2843275628863468E19</v>
      </c>
    </row>
    <row r="1663" ht="15.75" customHeight="1">
      <c r="A1663" s="8"/>
      <c r="B1663" s="8"/>
      <c r="C1663" s="8"/>
      <c r="D1663" s="8">
        <v>27.9026907562088</v>
      </c>
      <c r="E1663" s="9" t="s">
        <v>1672</v>
      </c>
      <c r="I1663" s="12" t="str">
        <f>IFERROR(__xludf.DUMMYFUNCTION("""COMPUTED_VALUE"""),"0x8dd780a898f4b2a01ff121ac07c2d6b47a3e037b")</f>
        <v>0x8dd780a898f4b2a01ff121ac07c2d6b47a3e037b</v>
      </c>
      <c r="J1663" s="11">
        <v>27.9026907562088</v>
      </c>
      <c r="K1663" s="12">
        <v>62.005979458241775</v>
      </c>
      <c r="L1663" s="13">
        <v>6.200597945824177E19</v>
      </c>
      <c r="M1663" s="9">
        <v>6.2005979458241782E18</v>
      </c>
    </row>
    <row r="1664" ht="15.75" customHeight="1">
      <c r="A1664" s="8"/>
      <c r="B1664" s="8"/>
      <c r="C1664" s="8"/>
      <c r="D1664" s="8">
        <v>27.9026907562088</v>
      </c>
      <c r="E1664" s="9" t="s">
        <v>1673</v>
      </c>
      <c r="I1664" s="12" t="str">
        <f>IFERROR(__xludf.DUMMYFUNCTION("""COMPUTED_VALUE"""),"0x8df9270632776ecb55b9e7ba65e123c5b4785da3")</f>
        <v>0x8df9270632776ecb55b9e7ba65e123c5b4785da3</v>
      </c>
      <c r="J1664" s="11">
        <v>27.9026907562088</v>
      </c>
      <c r="K1664" s="12">
        <v>62.005979458241775</v>
      </c>
      <c r="L1664" s="13">
        <v>6.200597945824177E19</v>
      </c>
      <c r="M1664" s="9">
        <v>6.2005979458241782E18</v>
      </c>
    </row>
    <row r="1665" ht="15.75" customHeight="1">
      <c r="A1665" s="8"/>
      <c r="B1665" s="8"/>
      <c r="C1665" s="8"/>
      <c r="D1665" s="8">
        <v>27.9026907562088</v>
      </c>
      <c r="E1665" s="9" t="s">
        <v>1674</v>
      </c>
      <c r="I1665" s="12" t="str">
        <f>IFERROR(__xludf.DUMMYFUNCTION("""COMPUTED_VALUE"""),"0x8e0fd6ab040360dd674dff0f0c24308b3b056499")</f>
        <v>0x8e0fd6ab040360dd674dff0f0c24308b3b056499</v>
      </c>
      <c r="J1665" s="11">
        <v>215.6505799217138</v>
      </c>
      <c r="K1665" s="12">
        <v>479.2235109371418</v>
      </c>
      <c r="L1665" s="13">
        <v>4.792235109371418E20</v>
      </c>
      <c r="M1665" s="9">
        <v>4.792235109371418E19</v>
      </c>
    </row>
    <row r="1666" ht="15.75" customHeight="1">
      <c r="A1666" s="8"/>
      <c r="B1666" s="8"/>
      <c r="C1666" s="8"/>
      <c r="D1666" s="8">
        <v>27.9026907562088</v>
      </c>
      <c r="E1666" s="9" t="s">
        <v>1675</v>
      </c>
      <c r="I1666" s="12" t="str">
        <f>IFERROR(__xludf.DUMMYFUNCTION("""COMPUTED_VALUE"""),"0x8e11972e2d76b8fae1e6c4198dc36c668db75bb1")</f>
        <v>0x8e11972e2d76b8fae1e6c4198dc36c668db75bb1</v>
      </c>
      <c r="J1666" s="11">
        <v>27.9026907562088</v>
      </c>
      <c r="K1666" s="12">
        <v>62.005979458241775</v>
      </c>
      <c r="L1666" s="13">
        <v>6.200597945824177E19</v>
      </c>
      <c r="M1666" s="9">
        <v>6.2005979458241782E18</v>
      </c>
    </row>
    <row r="1667" ht="15.75" customHeight="1">
      <c r="A1667" s="8"/>
      <c r="B1667" s="8"/>
      <c r="C1667" s="8"/>
      <c r="D1667" s="8">
        <v>27.9026907562088</v>
      </c>
      <c r="E1667" s="9" t="s">
        <v>1676</v>
      </c>
      <c r="I1667" s="12" t="str">
        <f>IFERROR(__xludf.DUMMYFUNCTION("""COMPUTED_VALUE"""),"0x8e19948a2a7a7a030ff1bce3ca242dffb3abe353")</f>
        <v>0x8e19948a2a7a7a030ff1bce3ca242dffb3abe353</v>
      </c>
      <c r="J1667" s="11">
        <v>45.688916538974595</v>
      </c>
      <c r="K1667" s="12">
        <v>101.53092564216577</v>
      </c>
      <c r="L1667" s="13">
        <v>1.0153092564216576E20</v>
      </c>
      <c r="M1667" s="9">
        <v>1.0153092564216576E19</v>
      </c>
    </row>
    <row r="1668" ht="15.75" customHeight="1">
      <c r="A1668" s="8"/>
      <c r="B1668" s="8"/>
      <c r="C1668" s="8"/>
      <c r="D1668" s="8">
        <v>27.9026907562088</v>
      </c>
      <c r="E1668" s="9" t="s">
        <v>1677</v>
      </c>
      <c r="I1668" s="12" t="str">
        <f>IFERROR(__xludf.DUMMYFUNCTION("""COMPUTED_VALUE"""),"0x8e39d69c490c3130cef52c654d41e04ad75bc949")</f>
        <v>0x8e39d69c490c3130cef52c654d41e04ad75bc949</v>
      </c>
      <c r="J1668" s="11">
        <v>27.9026907562088</v>
      </c>
      <c r="K1668" s="12">
        <v>62.005979458241775</v>
      </c>
      <c r="L1668" s="13">
        <v>6.200597945824177E19</v>
      </c>
      <c r="M1668" s="9">
        <v>6.2005979458241782E18</v>
      </c>
    </row>
    <row r="1669" ht="15.75" customHeight="1">
      <c r="A1669" s="8"/>
      <c r="B1669" s="8"/>
      <c r="C1669" s="8"/>
      <c r="D1669" s="8">
        <v>27.9026907562088</v>
      </c>
      <c r="E1669" s="9" t="s">
        <v>1678</v>
      </c>
      <c r="I1669" s="12" t="str">
        <f>IFERROR(__xludf.DUMMYFUNCTION("""COMPUTED_VALUE"""),"0x8e482202c57cf6b630b128d37d47c326e169c599")</f>
        <v>0x8e482202c57cf6b630b128d37d47c326e169c599</v>
      </c>
      <c r="J1669" s="11">
        <v>27.9026907562088</v>
      </c>
      <c r="K1669" s="12">
        <v>62.005979458241775</v>
      </c>
      <c r="L1669" s="13">
        <v>6.200597945824177E19</v>
      </c>
      <c r="M1669" s="9">
        <v>6.2005979458241782E18</v>
      </c>
    </row>
    <row r="1670" ht="15.75" customHeight="1">
      <c r="A1670" s="8"/>
      <c r="B1670" s="8"/>
      <c r="C1670" s="8"/>
      <c r="D1670" s="8">
        <v>27.9026907562088</v>
      </c>
      <c r="E1670" s="9" t="s">
        <v>1679</v>
      </c>
      <c r="I1670" s="12" t="str">
        <f>IFERROR(__xludf.DUMMYFUNCTION("""COMPUTED_VALUE"""),"0x8e70a5ffd963fabe34613b887dc5c6c7c9edb28a")</f>
        <v>0x8e70a5ffd963fabe34613b887dc5c6c7c9edb28a</v>
      </c>
      <c r="J1670" s="11">
        <v>27.9026907562088</v>
      </c>
      <c r="K1670" s="12">
        <v>62.005979458241775</v>
      </c>
      <c r="L1670" s="13">
        <v>6.200597945824177E19</v>
      </c>
      <c r="M1670" s="9">
        <v>6.2005979458241782E18</v>
      </c>
    </row>
    <row r="1671" ht="15.75" customHeight="1">
      <c r="A1671" s="8"/>
      <c r="B1671" s="8"/>
      <c r="C1671" s="8"/>
      <c r="D1671" s="8">
        <v>27.9026907562088</v>
      </c>
      <c r="E1671" s="9" t="s">
        <v>1680</v>
      </c>
      <c r="I1671" s="12" t="str">
        <f>IFERROR(__xludf.DUMMYFUNCTION("""COMPUTED_VALUE"""),"0x8e7b7ee295743ee5b1ee85be41dc857b840d3779")</f>
        <v>0x8e7b7ee295743ee5b1ee85be41dc857b840d3779</v>
      </c>
      <c r="J1671" s="11">
        <v>27.9026907562088</v>
      </c>
      <c r="K1671" s="12">
        <v>62.005979458241775</v>
      </c>
      <c r="L1671" s="13">
        <v>6.200597945824177E19</v>
      </c>
      <c r="M1671" s="9">
        <v>6.2005979458241782E18</v>
      </c>
    </row>
    <row r="1672" ht="15.75" customHeight="1">
      <c r="A1672" s="8"/>
      <c r="B1672" s="8"/>
      <c r="C1672" s="8"/>
      <c r="D1672" s="8">
        <v>27.9026907562088</v>
      </c>
      <c r="E1672" s="9" t="s">
        <v>1681</v>
      </c>
      <c r="I1672" s="12" t="str">
        <f>IFERROR(__xludf.DUMMYFUNCTION("""COMPUTED_VALUE"""),"0x8e99ef09f2d5b709f302edc3e5a9773a78667d48")</f>
        <v>0x8e99ef09f2d5b709f302edc3e5a9773a78667d48</v>
      </c>
      <c r="J1672" s="11">
        <v>40.546152265596</v>
      </c>
      <c r="K1672" s="12">
        <v>90.10256059021333</v>
      </c>
      <c r="L1672" s="13">
        <v>9.010256059021333E19</v>
      </c>
      <c r="M1672" s="9">
        <v>9.0102560590213335E18</v>
      </c>
    </row>
    <row r="1673" ht="15.75" customHeight="1">
      <c r="A1673" s="8"/>
      <c r="B1673" s="8"/>
      <c r="C1673" s="8"/>
      <c r="D1673" s="8">
        <v>27.9026907562088</v>
      </c>
      <c r="E1673" s="9" t="s">
        <v>1682</v>
      </c>
      <c r="I1673" s="12" t="str">
        <f>IFERROR(__xludf.DUMMYFUNCTION("""COMPUTED_VALUE"""),"0x8ea6b45f48caa1b9718107e656d304632084702c")</f>
        <v>0x8ea6b45f48caa1b9718107e656d304632084702c</v>
      </c>
      <c r="J1673" s="11">
        <v>157.7978932389427</v>
      </c>
      <c r="K1673" s="12">
        <v>350.6619849754282</v>
      </c>
      <c r="L1673" s="13">
        <v>3.506619849754282E20</v>
      </c>
      <c r="M1673" s="9">
        <v>3.506619849754282E19</v>
      </c>
    </row>
    <row r="1674" ht="15.75" customHeight="1">
      <c r="A1674" s="8"/>
      <c r="B1674" s="8"/>
      <c r="C1674" s="8"/>
      <c r="D1674" s="8">
        <v>27.9026907562088</v>
      </c>
      <c r="E1674" s="9" t="s">
        <v>1683</v>
      </c>
      <c r="I1674" s="12" t="str">
        <f>IFERROR(__xludf.DUMMYFUNCTION("""COMPUTED_VALUE"""),"0x8eb1ea97f9e8ea5c5622b83c0c84a010022f34fb")</f>
        <v>0x8eb1ea97f9e8ea5c5622b83c0c84a010022f34fb</v>
      </c>
      <c r="J1674" s="11">
        <v>27.9026907562088</v>
      </c>
      <c r="K1674" s="12">
        <v>62.005979458241775</v>
      </c>
      <c r="L1674" s="13">
        <v>6.200597945824177E19</v>
      </c>
      <c r="M1674" s="9">
        <v>6.2005979458241782E18</v>
      </c>
    </row>
    <row r="1675" ht="15.75" customHeight="1">
      <c r="A1675" s="8"/>
      <c r="B1675" s="8"/>
      <c r="C1675" s="8"/>
      <c r="D1675" s="8">
        <v>27.9026907562088</v>
      </c>
      <c r="E1675" s="9" t="s">
        <v>1684</v>
      </c>
      <c r="I1675" s="12" t="str">
        <f>IFERROR(__xludf.DUMMYFUNCTION("""COMPUTED_VALUE"""),"0x8ee8bec88c2e2b6d1c464f856f90ea9ea5dba947")</f>
        <v>0x8ee8bec88c2e2b6d1c464f856f90ea9ea5dba947</v>
      </c>
      <c r="J1675" s="11">
        <v>251.8765240099888</v>
      </c>
      <c r="K1675" s="12">
        <v>559.7256089110862</v>
      </c>
      <c r="L1675" s="13">
        <v>5.5972560891108616E20</v>
      </c>
      <c r="M1675" s="9">
        <v>5.597256089110862E19</v>
      </c>
    </row>
    <row r="1676" ht="15.75" customHeight="1">
      <c r="A1676" s="8"/>
      <c r="B1676" s="8"/>
      <c r="C1676" s="8"/>
      <c r="D1676" s="8">
        <v>27.9026907562088</v>
      </c>
      <c r="E1676" s="9" t="s">
        <v>1685</v>
      </c>
      <c r="I1676" s="12" t="str">
        <f>IFERROR(__xludf.DUMMYFUNCTION("""COMPUTED_VALUE"""),"0x8ef15cd905919709b8c5d6b98e690ee8097db06c")</f>
        <v>0x8ef15cd905919709b8c5d6b98e690ee8097db06c</v>
      </c>
      <c r="J1676" s="11">
        <v>27.9026907562088</v>
      </c>
      <c r="K1676" s="12">
        <v>62.005979458241775</v>
      </c>
      <c r="L1676" s="13">
        <v>6.200597945824177E19</v>
      </c>
      <c r="M1676" s="9">
        <v>6.2005979458241782E18</v>
      </c>
    </row>
    <row r="1677" ht="15.75" customHeight="1">
      <c r="A1677" s="8"/>
      <c r="B1677" s="8"/>
      <c r="C1677" s="8"/>
      <c r="D1677" s="8">
        <v>27.9026907562088</v>
      </c>
      <c r="E1677" s="9" t="s">
        <v>1686</v>
      </c>
      <c r="I1677" s="12" t="str">
        <f>IFERROR(__xludf.DUMMYFUNCTION("""COMPUTED_VALUE"""),"0x8ef517e81f2b5816b39dbee32336d7c17d27677e")</f>
        <v>0x8ef517e81f2b5816b39dbee32336d7c17d27677e</v>
      </c>
      <c r="J1677" s="11">
        <v>27.9026907562088</v>
      </c>
      <c r="K1677" s="12">
        <v>62.005979458241775</v>
      </c>
      <c r="L1677" s="13">
        <v>6.200597945824177E19</v>
      </c>
      <c r="M1677" s="9">
        <v>6.2005979458241782E18</v>
      </c>
    </row>
    <row r="1678" ht="15.75" customHeight="1">
      <c r="A1678" s="8"/>
      <c r="B1678" s="8"/>
      <c r="C1678" s="8"/>
      <c r="D1678" s="8">
        <v>27.9026907562088</v>
      </c>
      <c r="E1678" s="9" t="s">
        <v>1687</v>
      </c>
      <c r="I1678" s="12" t="str">
        <f>IFERROR(__xludf.DUMMYFUNCTION("""COMPUTED_VALUE"""),"0x8f1e222c6fa0a48eae269a2d893cb2ebd8c49846")</f>
        <v>0x8f1e222c6fa0a48eae269a2d893cb2ebd8c49846</v>
      </c>
      <c r="J1678" s="11">
        <v>27.9026907562088</v>
      </c>
      <c r="K1678" s="12">
        <v>62.005979458241775</v>
      </c>
      <c r="L1678" s="13">
        <v>6.200597945824177E19</v>
      </c>
      <c r="M1678" s="9">
        <v>6.2005979458241782E18</v>
      </c>
    </row>
    <row r="1679" ht="15.75" customHeight="1">
      <c r="A1679" s="8"/>
      <c r="B1679" s="8"/>
      <c r="C1679" s="8"/>
      <c r="D1679" s="8">
        <v>27.9026907562088</v>
      </c>
      <c r="E1679" s="9" t="s">
        <v>1688</v>
      </c>
      <c r="I1679" s="12" t="str">
        <f>IFERROR(__xludf.DUMMYFUNCTION("""COMPUTED_VALUE"""),"0x8f3223a7abd0bc70da006ed7761b3a3048486449")</f>
        <v>0x8f3223a7abd0bc70da006ed7761b3a3048486449</v>
      </c>
      <c r="J1679" s="11">
        <v>90.7965391370293</v>
      </c>
      <c r="K1679" s="12">
        <v>201.77008697117623</v>
      </c>
      <c r="L1679" s="13">
        <v>2.0177008697117622E20</v>
      </c>
      <c r="M1679" s="9">
        <v>2.0177008697117622E19</v>
      </c>
    </row>
    <row r="1680" ht="15.75" customHeight="1">
      <c r="A1680" s="8"/>
      <c r="B1680" s="8"/>
      <c r="C1680" s="8"/>
      <c r="D1680" s="8">
        <v>25.0991020156407</v>
      </c>
      <c r="E1680" s="9" t="s">
        <v>1689</v>
      </c>
      <c r="I1680" s="12" t="str">
        <f>IFERROR(__xludf.DUMMYFUNCTION("""COMPUTED_VALUE"""),"0x8f35a8f341724a9bcddb8334f880b45e51df0914")</f>
        <v>0x8f35a8f341724a9bcddb8334f880b45e51df0914</v>
      </c>
      <c r="J1680" s="11">
        <v>25.0991020156407</v>
      </c>
      <c r="K1680" s="12">
        <v>55.77578225697933</v>
      </c>
      <c r="L1680" s="13">
        <v>5.577578225697934E19</v>
      </c>
      <c r="M1680" s="9">
        <v>5.5775782256979343E18</v>
      </c>
    </row>
    <row r="1681" ht="15.75" customHeight="1">
      <c r="A1681" s="8"/>
      <c r="B1681" s="8"/>
      <c r="C1681" s="8"/>
      <c r="D1681" s="8">
        <v>24.5620964291386</v>
      </c>
      <c r="E1681" s="9" t="s">
        <v>1690</v>
      </c>
      <c r="I1681" s="12" t="str">
        <f>IFERROR(__xludf.DUMMYFUNCTION("""COMPUTED_VALUE"""),"0x8f428c9b375f6978b4dec51055b4be05bd58d4e3")</f>
        <v>0x8f428c9b375f6978b4dec51055b4be05bd58d4e3</v>
      </c>
      <c r="J1681" s="11">
        <v>24.599197323599334</v>
      </c>
      <c r="K1681" s="12">
        <v>54.664882941331854</v>
      </c>
      <c r="L1681" s="13">
        <v>5.466488294133186E19</v>
      </c>
      <c r="M1681" s="9">
        <v>5.4664882941331855E18</v>
      </c>
    </row>
    <row r="1682" ht="15.75" customHeight="1">
      <c r="A1682" s="8"/>
      <c r="B1682" s="8"/>
      <c r="C1682" s="8"/>
      <c r="D1682" s="8">
        <v>27.9026907562088</v>
      </c>
      <c r="E1682" s="9" t="s">
        <v>1691</v>
      </c>
      <c r="I1682" s="12" t="str">
        <f>IFERROR(__xludf.DUMMYFUNCTION("""COMPUTED_VALUE"""),"0x8f5e10dfeaa41479b0081dc14b42594373041dba")</f>
        <v>0x8f5e10dfeaa41479b0081dc14b42594373041dba</v>
      </c>
      <c r="J1682" s="11">
        <v>91.1199983031448</v>
      </c>
      <c r="K1682" s="12">
        <v>202.48888511809955</v>
      </c>
      <c r="L1682" s="13">
        <v>2.0248888511809955E20</v>
      </c>
      <c r="M1682" s="9">
        <v>2.0248888511809958E19</v>
      </c>
    </row>
    <row r="1683" ht="15.75" customHeight="1">
      <c r="A1683" s="8"/>
      <c r="B1683" s="8"/>
      <c r="C1683" s="8"/>
      <c r="D1683" s="8">
        <v>27.9026907562088</v>
      </c>
      <c r="E1683" s="9" t="s">
        <v>1692</v>
      </c>
      <c r="I1683" s="12" t="str">
        <f>IFERROR(__xludf.DUMMYFUNCTION("""COMPUTED_VALUE"""),"0x8f6304e498fc444cafc356fb5e792c01626c2e4f")</f>
        <v>0x8f6304e498fc444cafc356fb5e792c01626c2e4f</v>
      </c>
      <c r="J1683" s="11">
        <v>91.1199983031448</v>
      </c>
      <c r="K1683" s="12">
        <v>202.48888511809955</v>
      </c>
      <c r="L1683" s="13">
        <v>2.0248888511809955E20</v>
      </c>
      <c r="M1683" s="9">
        <v>2.0248888511809958E19</v>
      </c>
    </row>
    <row r="1684" ht="15.75" customHeight="1">
      <c r="A1684" s="8"/>
      <c r="B1684" s="8"/>
      <c r="C1684" s="8"/>
      <c r="D1684" s="8">
        <v>26.3921636882637</v>
      </c>
      <c r="E1684" s="9" t="s">
        <v>1693</v>
      </c>
      <c r="I1684" s="12" t="str">
        <f>IFERROR(__xludf.DUMMYFUNCTION("""COMPUTED_VALUE"""),"0x8f89b92ead4dd58c0c5d7ac3e69afb6c289a9811")</f>
        <v>0x8f89b92ead4dd58c0c5d7ac3e69afb6c289a9811</v>
      </c>
      <c r="J1684" s="11">
        <v>26.3921636882637</v>
      </c>
      <c r="K1684" s="12">
        <v>58.649252640586</v>
      </c>
      <c r="L1684" s="13">
        <v>5.8649252640586E19</v>
      </c>
      <c r="M1684" s="9">
        <v>5.8649252640586004E18</v>
      </c>
    </row>
    <row r="1685" ht="15.75" customHeight="1">
      <c r="A1685" s="8"/>
      <c r="B1685" s="8"/>
      <c r="C1685" s="8"/>
      <c r="D1685" s="8">
        <v>27.9026907562088</v>
      </c>
      <c r="E1685" s="9" t="s">
        <v>1694</v>
      </c>
      <c r="I1685" s="12" t="str">
        <f>IFERROR(__xludf.DUMMYFUNCTION("""COMPUTED_VALUE"""),"0x8fa1ac564a1eab8ece86924930f89c254cea0aec")</f>
        <v>0x8fa1ac564a1eab8ece86924930f89c254cea0aec</v>
      </c>
      <c r="J1685" s="11">
        <v>27.9026907562088</v>
      </c>
      <c r="K1685" s="12">
        <v>62.005979458241775</v>
      </c>
      <c r="L1685" s="13">
        <v>6.200597945824177E19</v>
      </c>
      <c r="M1685" s="9">
        <v>6.2005979458241782E18</v>
      </c>
    </row>
    <row r="1686" ht="15.75" customHeight="1">
      <c r="A1686" s="8"/>
      <c r="B1686" s="8"/>
      <c r="C1686" s="8"/>
      <c r="D1686" s="8">
        <v>27.9026907562088</v>
      </c>
      <c r="E1686" s="9" t="s">
        <v>1695</v>
      </c>
      <c r="I1686" s="12" t="str">
        <f>IFERROR(__xludf.DUMMYFUNCTION("""COMPUTED_VALUE"""),"0x8facb83aec9d41bda3c893a25fe7590237fd5dd8")</f>
        <v>0x8facb83aec9d41bda3c893a25fe7590237fd5dd8</v>
      </c>
      <c r="J1686" s="11">
        <v>79.2351444843208</v>
      </c>
      <c r="K1686" s="12">
        <v>176.0780988540462</v>
      </c>
      <c r="L1686" s="13">
        <v>1.760780988540462E20</v>
      </c>
      <c r="M1686" s="9">
        <v>1.760780988540462E19</v>
      </c>
    </row>
    <row r="1687" ht="15.75" customHeight="1">
      <c r="A1687" s="8"/>
      <c r="B1687" s="8"/>
      <c r="C1687" s="8"/>
      <c r="D1687" s="8">
        <v>27.9026907562088</v>
      </c>
      <c r="E1687" s="9" t="s">
        <v>1696</v>
      </c>
      <c r="I1687" s="12" t="str">
        <f>IFERROR(__xludf.DUMMYFUNCTION("""COMPUTED_VALUE"""),"0x8fbfd7a58e4fb05b5c949fe477e07e2ee5901b9f")</f>
        <v>0x8fbfd7a58e4fb05b5c949fe477e07e2ee5901b9f</v>
      </c>
      <c r="J1687" s="11">
        <v>27.9026907562088</v>
      </c>
      <c r="K1687" s="12">
        <v>62.005979458241775</v>
      </c>
      <c r="L1687" s="13">
        <v>6.200597945824177E19</v>
      </c>
      <c r="M1687" s="9">
        <v>6.2005979458241782E18</v>
      </c>
    </row>
    <row r="1688" ht="15.75" customHeight="1">
      <c r="A1688" s="8"/>
      <c r="B1688" s="8"/>
      <c r="C1688" s="8"/>
      <c r="D1688" s="8">
        <v>27.9026907562088</v>
      </c>
      <c r="E1688" s="9" t="s">
        <v>1697</v>
      </c>
      <c r="I1688" s="12" t="str">
        <f>IFERROR(__xludf.DUMMYFUNCTION("""COMPUTED_VALUE"""),"0x8fc44fec6d78a474bda0d74ab3c31b4498761c8c")</f>
        <v>0x8fc44fec6d78a474bda0d74ab3c31b4498761c8c</v>
      </c>
      <c r="J1688" s="11">
        <v>91.1199983031448</v>
      </c>
      <c r="K1688" s="12">
        <v>202.48888511809955</v>
      </c>
      <c r="L1688" s="13">
        <v>2.0248888511809955E20</v>
      </c>
      <c r="M1688" s="9">
        <v>2.0248888511809958E19</v>
      </c>
    </row>
    <row r="1689" ht="15.75" customHeight="1">
      <c r="A1689" s="8"/>
      <c r="B1689" s="8"/>
      <c r="C1689" s="8"/>
      <c r="D1689" s="8">
        <v>14.899177362536</v>
      </c>
      <c r="E1689" s="9" t="s">
        <v>1698</v>
      </c>
      <c r="I1689" s="12" t="str">
        <f>IFERROR(__xludf.DUMMYFUNCTION("""COMPUTED_VALUE"""),"0x8fc7a03cef0abf03c415ddc2c266fc3fa73003c0")</f>
        <v>0x8fc7a03cef0abf03c415ddc2c266fc3fa73003c0</v>
      </c>
      <c r="J1689" s="11">
        <v>14.899177362536</v>
      </c>
      <c r="K1689" s="12">
        <v>33.10928302785778</v>
      </c>
      <c r="L1689" s="13">
        <v>3.3109283027857777E19</v>
      </c>
      <c r="M1689" s="9">
        <v>3.3109283027857777E18</v>
      </c>
    </row>
    <row r="1690" ht="15.75" customHeight="1">
      <c r="A1690" s="8"/>
      <c r="B1690" s="8"/>
      <c r="C1690" s="8"/>
      <c r="D1690" s="8">
        <v>27.9026907562088</v>
      </c>
      <c r="E1690" s="9" t="s">
        <v>1699</v>
      </c>
      <c r="I1690" s="12" t="str">
        <f>IFERROR(__xludf.DUMMYFUNCTION("""COMPUTED_VALUE"""),"0x8fd6980bdee15c3fad7e6dfcfaa9d625ced6013f")</f>
        <v>0x8fd6980bdee15c3fad7e6dfcfaa9d625ced6013f</v>
      </c>
      <c r="J1690" s="11">
        <v>27.9026907562088</v>
      </c>
      <c r="K1690" s="12">
        <v>62.005979458241775</v>
      </c>
      <c r="L1690" s="13">
        <v>6.200597945824177E19</v>
      </c>
      <c r="M1690" s="9">
        <v>6.2005979458241782E18</v>
      </c>
    </row>
    <row r="1691" ht="15.75" customHeight="1">
      <c r="A1691" s="8"/>
      <c r="B1691" s="8"/>
      <c r="C1691" s="8"/>
      <c r="D1691" s="8">
        <v>15.4762606547061</v>
      </c>
      <c r="E1691" s="9" t="s">
        <v>1700</v>
      </c>
      <c r="I1691" s="12" t="str">
        <f>IFERROR(__xludf.DUMMYFUNCTION("""COMPUTED_VALUE"""),"0x901956b83e94974079b17c658285c89367c58ea5")</f>
        <v>0x901956b83e94974079b17c658285c89367c58ea5</v>
      </c>
      <c r="J1691" s="11">
        <v>15.4762606547061</v>
      </c>
      <c r="K1691" s="12">
        <v>34.39169034379133</v>
      </c>
      <c r="L1691" s="13">
        <v>3.4391690343791333E19</v>
      </c>
      <c r="M1691" s="9">
        <v>3.4391690343791334E18</v>
      </c>
    </row>
    <row r="1692" ht="15.75" customHeight="1">
      <c r="A1692" s="8"/>
      <c r="B1692" s="8"/>
      <c r="C1692" s="8"/>
      <c r="D1692" s="8">
        <v>27.9026907562088</v>
      </c>
      <c r="E1692" s="9" t="s">
        <v>1701</v>
      </c>
      <c r="I1692" s="12" t="str">
        <f>IFERROR(__xludf.DUMMYFUNCTION("""COMPUTED_VALUE"""),"0x9026c23a55de22552d47a7cfe95a8825f8a01aea")</f>
        <v>0x9026c23a55de22552d47a7cfe95a8825f8a01aea</v>
      </c>
      <c r="J1692" s="11">
        <v>27.9026907562088</v>
      </c>
      <c r="K1692" s="12">
        <v>62.005979458241775</v>
      </c>
      <c r="L1692" s="13">
        <v>6.200597945824177E19</v>
      </c>
      <c r="M1692" s="9">
        <v>6.2005979458241782E18</v>
      </c>
    </row>
    <row r="1693" ht="15.75" customHeight="1">
      <c r="A1693" s="8"/>
      <c r="B1693" s="8"/>
      <c r="C1693" s="8"/>
      <c r="D1693" s="8">
        <v>27.9026907562088</v>
      </c>
      <c r="E1693" s="9" t="s">
        <v>1702</v>
      </c>
      <c r="I1693" s="12" t="str">
        <f>IFERROR(__xludf.DUMMYFUNCTION("""COMPUTED_VALUE"""),"0x9032ceeef231fe3bdcda63805bdf80b496ceb209")</f>
        <v>0x9032ceeef231fe3bdcda63805bdf80b496ceb209</v>
      </c>
      <c r="J1693" s="11">
        <v>27.9026907562088</v>
      </c>
      <c r="K1693" s="12">
        <v>62.005979458241775</v>
      </c>
      <c r="L1693" s="13">
        <v>6.200597945824177E19</v>
      </c>
      <c r="M1693" s="9">
        <v>6.2005979458241782E18</v>
      </c>
    </row>
    <row r="1694" ht="15.75" customHeight="1">
      <c r="A1694" s="8"/>
      <c r="B1694" s="8"/>
      <c r="C1694" s="8"/>
      <c r="D1694" s="8">
        <v>17.8222642440192</v>
      </c>
      <c r="E1694" s="9" t="s">
        <v>1703</v>
      </c>
      <c r="I1694" s="12" t="str">
        <f>IFERROR(__xludf.DUMMYFUNCTION("""COMPUTED_VALUE"""),"0x903435bb40a3955aba055488321d0016525f1c2b")</f>
        <v>0x903435bb40a3955aba055488321d0016525f1c2b</v>
      </c>
      <c r="J1694" s="11">
        <v>58.7244038571704</v>
      </c>
      <c r="K1694" s="12">
        <v>130.49867523815644</v>
      </c>
      <c r="L1694" s="13">
        <v>1.3049867523815644E20</v>
      </c>
      <c r="M1694" s="9">
        <v>1.3049867523815645E19</v>
      </c>
    </row>
    <row r="1695" ht="15.75" customHeight="1">
      <c r="A1695" s="8"/>
      <c r="B1695" s="8"/>
      <c r="C1695" s="8"/>
      <c r="D1695" s="8">
        <v>27.9026907562088</v>
      </c>
      <c r="E1695" s="9" t="s">
        <v>1704</v>
      </c>
      <c r="I1695" s="12" t="str">
        <f>IFERROR(__xludf.DUMMYFUNCTION("""COMPUTED_VALUE"""),"0x9054daa9bdfddfa5cfbb1dc5c4d5fa14a0f9d623")</f>
        <v>0x9054daa9bdfddfa5cfbb1dc5c4d5fa14a0f9d623</v>
      </c>
      <c r="J1695" s="11">
        <v>27.9026907562088</v>
      </c>
      <c r="K1695" s="12">
        <v>62.005979458241775</v>
      </c>
      <c r="L1695" s="13">
        <v>6.200597945824177E19</v>
      </c>
      <c r="M1695" s="9">
        <v>6.2005979458241782E18</v>
      </c>
    </row>
    <row r="1696" ht="15.75" customHeight="1">
      <c r="A1696" s="8"/>
      <c r="B1696" s="8"/>
      <c r="C1696" s="8"/>
      <c r="D1696" s="8">
        <v>27.9026907562088</v>
      </c>
      <c r="E1696" s="9" t="s">
        <v>1705</v>
      </c>
      <c r="I1696" s="12" t="str">
        <f>IFERROR(__xludf.DUMMYFUNCTION("""COMPUTED_VALUE"""),"0x907b9c10ce7604ac5a40f7c8e71d6538b1fd76d4")</f>
        <v>0x907b9c10ce7604ac5a40f7c8e71d6538b1fd76d4</v>
      </c>
      <c r="J1696" s="11">
        <v>37.63164244515952</v>
      </c>
      <c r="K1696" s="12">
        <v>83.62587210035448</v>
      </c>
      <c r="L1696" s="13">
        <v>8.362587210035449E19</v>
      </c>
      <c r="M1696" s="9">
        <v>8.3625872100354499E18</v>
      </c>
    </row>
    <row r="1697" ht="15.75" customHeight="1">
      <c r="A1697" s="8"/>
      <c r="B1697" s="8"/>
      <c r="C1697" s="8"/>
      <c r="D1697" s="8">
        <v>27.9026907562088</v>
      </c>
      <c r="E1697" s="9" t="s">
        <v>1706</v>
      </c>
      <c r="I1697" s="12" t="str">
        <f>IFERROR(__xludf.DUMMYFUNCTION("""COMPUTED_VALUE"""),"0x907d8bcb57deecc4fcd560ebad9fb03185d071f2")</f>
        <v>0x907d8bcb57deecc4fcd560ebad9fb03185d071f2</v>
      </c>
      <c r="J1697" s="11">
        <v>27.9026907562088</v>
      </c>
      <c r="K1697" s="12">
        <v>62.005979458241775</v>
      </c>
      <c r="L1697" s="13">
        <v>6.200597945824177E19</v>
      </c>
      <c r="M1697" s="9">
        <v>6.2005979458241782E18</v>
      </c>
    </row>
    <row r="1698" ht="15.75" customHeight="1">
      <c r="A1698" s="8"/>
      <c r="B1698" s="8"/>
      <c r="C1698" s="8"/>
      <c r="D1698" s="8">
        <v>27.9026907562088</v>
      </c>
      <c r="E1698" s="9" t="s">
        <v>1707</v>
      </c>
      <c r="I1698" s="12" t="str">
        <f>IFERROR(__xludf.DUMMYFUNCTION("""COMPUTED_VALUE"""),"0x9088caa14e58b08140d711ad3276db80596bf95c")</f>
        <v>0x9088caa14e58b08140d711ad3276db80596bf95c</v>
      </c>
      <c r="J1698" s="11">
        <v>92.19477670656954</v>
      </c>
      <c r="K1698" s="12">
        <v>204.87728157015454</v>
      </c>
      <c r="L1698" s="13">
        <v>2.0487728157015455E20</v>
      </c>
      <c r="M1698" s="9">
        <v>2.0487728157015454E19</v>
      </c>
    </row>
    <row r="1699" ht="15.75" customHeight="1">
      <c r="A1699" s="8"/>
      <c r="B1699" s="8"/>
      <c r="C1699" s="8"/>
      <c r="D1699" s="8">
        <v>27.9026907562088</v>
      </c>
      <c r="E1699" s="9" t="s">
        <v>1708</v>
      </c>
      <c r="I1699" s="12" t="str">
        <f>IFERROR(__xludf.DUMMYFUNCTION("""COMPUTED_VALUE"""),"0x908ae90f3d30175eebc39ccb2fa19a61a212c5c5")</f>
        <v>0x908ae90f3d30175eebc39ccb2fa19a61a212c5c5</v>
      </c>
      <c r="J1699" s="11">
        <v>27.9026907562088</v>
      </c>
      <c r="K1699" s="12">
        <v>62.005979458241775</v>
      </c>
      <c r="L1699" s="13">
        <v>6.200597945824177E19</v>
      </c>
      <c r="M1699" s="9">
        <v>6.2005979458241782E18</v>
      </c>
    </row>
    <row r="1700" ht="15.75" customHeight="1">
      <c r="A1700" s="8"/>
      <c r="B1700" s="8"/>
      <c r="C1700" s="8"/>
      <c r="D1700" s="8">
        <v>27.9026907562088</v>
      </c>
      <c r="E1700" s="9" t="s">
        <v>1709</v>
      </c>
      <c r="I1700" s="12" t="str">
        <f>IFERROR(__xludf.DUMMYFUNCTION("""COMPUTED_VALUE"""),"0x90a4a1d90cbb3044ea2716265f001cddf768eb2f")</f>
        <v>0x90a4a1d90cbb3044ea2716265f001cddf768eb2f</v>
      </c>
      <c r="J1700" s="11">
        <v>27.9026907562088</v>
      </c>
      <c r="K1700" s="12">
        <v>62.005979458241775</v>
      </c>
      <c r="L1700" s="13">
        <v>6.200597945824177E19</v>
      </c>
      <c r="M1700" s="9">
        <v>6.2005979458241782E18</v>
      </c>
    </row>
    <row r="1701" ht="15.75" customHeight="1">
      <c r="A1701" s="8"/>
      <c r="B1701" s="8"/>
      <c r="C1701" s="8"/>
      <c r="D1701" s="8">
        <v>27.9026907562088</v>
      </c>
      <c r="E1701" s="9" t="s">
        <v>1710</v>
      </c>
      <c r="I1701" s="12" t="str">
        <f>IFERROR(__xludf.DUMMYFUNCTION("""COMPUTED_VALUE"""),"0x90ab58258b58ff184c5de55b1c25bcfa37c33864")</f>
        <v>0x90ab58258b58ff184c5de55b1c25bcfa37c33864</v>
      </c>
      <c r="J1701" s="11">
        <v>78.5349207793211</v>
      </c>
      <c r="K1701" s="12">
        <v>174.5220461762691</v>
      </c>
      <c r="L1701" s="13">
        <v>1.745220461762691E20</v>
      </c>
      <c r="M1701" s="9">
        <v>1.745220461762691E19</v>
      </c>
    </row>
    <row r="1702" ht="15.75" customHeight="1">
      <c r="A1702" s="8"/>
      <c r="B1702" s="8"/>
      <c r="C1702" s="8"/>
      <c r="D1702" s="8">
        <v>14.1389034774285</v>
      </c>
      <c r="E1702" s="9" t="s">
        <v>1711</v>
      </c>
      <c r="I1702" s="12" t="str">
        <f>IFERROR(__xludf.DUMMYFUNCTION("""COMPUTED_VALUE"""),"0x9101b74ceae7bfd327f0c355823bf3fd95e06aa1")</f>
        <v>0x9101b74ceae7bfd327f0c355823bf3fd95e06aa1</v>
      </c>
      <c r="J1702" s="11">
        <v>14.1389034774285</v>
      </c>
      <c r="K1702" s="12">
        <v>31.419785505396664</v>
      </c>
      <c r="L1702" s="13">
        <v>3.1419785505396662E19</v>
      </c>
      <c r="M1702" s="9">
        <v>3.1419785505396664E18</v>
      </c>
    </row>
    <row r="1703" ht="15.75" customHeight="1">
      <c r="A1703" s="8"/>
      <c r="B1703" s="8"/>
      <c r="C1703" s="8"/>
      <c r="D1703" s="8">
        <v>27.9026907562088</v>
      </c>
      <c r="E1703" s="9" t="s">
        <v>1712</v>
      </c>
      <c r="I1703" s="12" t="str">
        <f>IFERROR(__xludf.DUMMYFUNCTION("""COMPUTED_VALUE"""),"0x91037e348918b93264fc83137157f1d97170c174")</f>
        <v>0x91037e348918b93264fc83137157f1d97170c174</v>
      </c>
      <c r="J1703" s="11">
        <v>27.9026907562088</v>
      </c>
      <c r="K1703" s="12">
        <v>62.005979458241775</v>
      </c>
      <c r="L1703" s="13">
        <v>6.200597945824177E19</v>
      </c>
      <c r="M1703" s="9">
        <v>6.2005979458241782E18</v>
      </c>
    </row>
    <row r="1704" ht="15.75" customHeight="1">
      <c r="A1704" s="8"/>
      <c r="B1704" s="8"/>
      <c r="C1704" s="8"/>
      <c r="D1704" s="8">
        <v>27.9026907562088</v>
      </c>
      <c r="E1704" s="9" t="s">
        <v>1713</v>
      </c>
      <c r="I1704" s="12" t="str">
        <f>IFERROR(__xludf.DUMMYFUNCTION("""COMPUTED_VALUE"""),"0x911f38174ce34b42f02a0dc477531d7dc57409ef")</f>
        <v>0x911f38174ce34b42f02a0dc477531d7dc57409ef</v>
      </c>
      <c r="J1704" s="11">
        <v>29.84852895507087</v>
      </c>
      <c r="K1704" s="12">
        <v>66.33006434460192</v>
      </c>
      <c r="L1704" s="13">
        <v>6.633006434460192E19</v>
      </c>
      <c r="M1704" s="9">
        <v>6.6330064344601928E18</v>
      </c>
    </row>
    <row r="1705" ht="15.75" customHeight="1">
      <c r="A1705" s="8"/>
      <c r="B1705" s="8"/>
      <c r="C1705" s="8"/>
      <c r="D1705" s="8">
        <v>27.9026907562088</v>
      </c>
      <c r="E1705" s="9" t="s">
        <v>1714</v>
      </c>
      <c r="I1705" s="12" t="str">
        <f>IFERROR(__xludf.DUMMYFUNCTION("""COMPUTED_VALUE"""),"0x912989437d9c15ffccb94c0290e286499c06d351")</f>
        <v>0x912989437d9c15ffccb94c0290e286499c06d351</v>
      </c>
      <c r="J1705" s="11">
        <v>155.8761217092185</v>
      </c>
      <c r="K1705" s="12">
        <v>346.3913815760411</v>
      </c>
      <c r="L1705" s="13">
        <v>3.463913815760411E20</v>
      </c>
      <c r="M1705" s="9">
        <v>3.463913815760411E19</v>
      </c>
    </row>
    <row r="1706" ht="15.75" customHeight="1">
      <c r="A1706" s="8"/>
      <c r="B1706" s="8"/>
      <c r="C1706" s="8"/>
      <c r="D1706" s="8">
        <v>27.1780827703766</v>
      </c>
      <c r="E1706" s="9" t="s">
        <v>1715</v>
      </c>
      <c r="I1706" s="12" t="str">
        <f>IFERROR(__xludf.DUMMYFUNCTION("""COMPUTED_VALUE"""),"0x912bbe47436edcb255334a4dd92ec2de875b2f1b")</f>
        <v>0x912bbe47436edcb255334a4dd92ec2de875b2f1b</v>
      </c>
      <c r="J1706" s="11">
        <v>27.1780827703766</v>
      </c>
      <c r="K1706" s="12">
        <v>60.39573948972578</v>
      </c>
      <c r="L1706" s="13">
        <v>6.0395739489725776E19</v>
      </c>
      <c r="M1706" s="9">
        <v>6.0395739489725778E18</v>
      </c>
    </row>
    <row r="1707" ht="15.75" customHeight="1">
      <c r="A1707" s="8"/>
      <c r="B1707" s="8"/>
      <c r="C1707" s="8"/>
      <c r="D1707" s="8">
        <v>27.9026907562088</v>
      </c>
      <c r="E1707" s="9" t="s">
        <v>1716</v>
      </c>
      <c r="I1707" s="12" t="str">
        <f>IFERROR(__xludf.DUMMYFUNCTION("""COMPUTED_VALUE"""),"0x9144dcfd6336a185237d2acf8a109c6af5c2036f")</f>
        <v>0x9144dcfd6336a185237d2acf8a109c6af5c2036f</v>
      </c>
      <c r="J1707" s="11">
        <v>91.1199983031448</v>
      </c>
      <c r="K1707" s="12">
        <v>202.48888511809955</v>
      </c>
      <c r="L1707" s="13">
        <v>2.0248888511809955E20</v>
      </c>
      <c r="M1707" s="9">
        <v>2.0248888511809958E19</v>
      </c>
    </row>
    <row r="1708" ht="15.75" customHeight="1">
      <c r="A1708" s="8"/>
      <c r="B1708" s="8"/>
      <c r="C1708" s="8"/>
      <c r="D1708" s="8">
        <v>26.27656344977</v>
      </c>
      <c r="E1708" s="9" t="s">
        <v>1717</v>
      </c>
      <c r="I1708" s="12" t="str">
        <f>IFERROR(__xludf.DUMMYFUNCTION("""COMPUTED_VALUE"""),"0x916aecfacc4ffb90f2b07115930df03c6ea7d1ca")</f>
        <v>0x916aecfacc4ffb90f2b07115930df03c6ea7d1ca</v>
      </c>
      <c r="J1708" s="11">
        <v>26.27656344977</v>
      </c>
      <c r="K1708" s="12">
        <v>58.39236322171111</v>
      </c>
      <c r="L1708" s="13">
        <v>5.839236322171111E19</v>
      </c>
      <c r="M1708" s="9">
        <v>5.8392363221711114E18</v>
      </c>
    </row>
    <row r="1709" ht="15.75" customHeight="1">
      <c r="A1709" s="8"/>
      <c r="B1709" s="8"/>
      <c r="C1709" s="8"/>
      <c r="D1709" s="8">
        <v>25.2123755565753</v>
      </c>
      <c r="E1709" s="9" t="s">
        <v>1718</v>
      </c>
      <c r="I1709" s="12" t="str">
        <f>IFERROR(__xludf.DUMMYFUNCTION("""COMPUTED_VALUE"""),"0x9184df5c5c4346fd205dfc87960d13665446b2c0")</f>
        <v>0x9184df5c5c4346fd205dfc87960d13665446b2c0</v>
      </c>
      <c r="J1709" s="11">
        <v>25.2123755565753</v>
      </c>
      <c r="K1709" s="12">
        <v>56.027501236834</v>
      </c>
      <c r="L1709" s="13">
        <v>5.6027501236834E19</v>
      </c>
      <c r="M1709" s="9">
        <v>5.6027501236834007E18</v>
      </c>
    </row>
    <row r="1710" ht="15.75" customHeight="1">
      <c r="A1710" s="8"/>
      <c r="B1710" s="8"/>
      <c r="C1710" s="8"/>
      <c r="D1710" s="8">
        <v>27.9026907562088</v>
      </c>
      <c r="E1710" s="9" t="s">
        <v>1719</v>
      </c>
      <c r="I1710" s="12" t="str">
        <f>IFERROR(__xludf.DUMMYFUNCTION("""COMPUTED_VALUE"""),"0x91a502bae962c2c5da1fec8c4ec69f2a2a84a283")</f>
        <v>0x91a502bae962c2c5da1fec8c4ec69f2a2a84a283</v>
      </c>
      <c r="J1710" s="11">
        <v>27.9026907562088</v>
      </c>
      <c r="K1710" s="12">
        <v>62.005979458241775</v>
      </c>
      <c r="L1710" s="13">
        <v>6.200597945824177E19</v>
      </c>
      <c r="M1710" s="9">
        <v>6.2005979458241782E18</v>
      </c>
    </row>
    <row r="1711" ht="15.75" customHeight="1">
      <c r="A1711" s="8"/>
      <c r="B1711" s="8"/>
      <c r="C1711" s="8"/>
      <c r="D1711" s="8">
        <v>25.8428400628096</v>
      </c>
      <c r="E1711" s="9" t="s">
        <v>1720</v>
      </c>
      <c r="I1711" s="12" t="str">
        <f>IFERROR(__xludf.DUMMYFUNCTION("""COMPUTED_VALUE"""),"0x91a9521200ebd57b45123c7a469e49cdca693bcf")</f>
        <v>0x91a9521200ebd57b45123c7a469e49cdca693bcf</v>
      </c>
      <c r="J1711" s="11">
        <v>25.8428400628096</v>
      </c>
      <c r="K1711" s="12">
        <v>57.42853347291022</v>
      </c>
      <c r="L1711" s="13">
        <v>5.742853347291022E19</v>
      </c>
      <c r="M1711" s="9">
        <v>5.7428533472910223E18</v>
      </c>
    </row>
    <row r="1712" ht="15.75" customHeight="1">
      <c r="A1712" s="8"/>
      <c r="B1712" s="8"/>
      <c r="C1712" s="8"/>
      <c r="D1712" s="8">
        <v>27.9026907562088</v>
      </c>
      <c r="E1712" s="9" t="s">
        <v>1721</v>
      </c>
      <c r="I1712" s="12" t="str">
        <f>IFERROR(__xludf.DUMMYFUNCTION("""COMPUTED_VALUE"""),"0x91bc950d3b1b90a61f46a7f2c47e4476dfc94b8c")</f>
        <v>0x91bc950d3b1b90a61f46a7f2c47e4476dfc94b8c</v>
      </c>
      <c r="J1712" s="11">
        <v>27.9026907562088</v>
      </c>
      <c r="K1712" s="12">
        <v>62.005979458241775</v>
      </c>
      <c r="L1712" s="13">
        <v>6.200597945824177E19</v>
      </c>
      <c r="M1712" s="9">
        <v>6.2005979458241782E18</v>
      </c>
    </row>
    <row r="1713" ht="15.75" customHeight="1">
      <c r="A1713" s="8"/>
      <c r="B1713" s="8"/>
      <c r="C1713" s="8"/>
      <c r="D1713" s="8">
        <v>24.261834292708</v>
      </c>
      <c r="E1713" s="9" t="s">
        <v>1722</v>
      </c>
      <c r="I1713" s="12" t="str">
        <f>IFERROR(__xludf.DUMMYFUNCTION("""COMPUTED_VALUE"""),"0x91c1b93b639ad1e5de17c68f6533d8f600b16670")</f>
        <v>0x91c1b93b639ad1e5de17c68f6533d8f600b16670</v>
      </c>
      <c r="J1713" s="11">
        <v>24.261834292708</v>
      </c>
      <c r="K1713" s="12">
        <v>53.91518731712888</v>
      </c>
      <c r="L1713" s="13">
        <v>5.391518731712888E19</v>
      </c>
      <c r="M1713" s="9">
        <v>5.3915187317128878E18</v>
      </c>
    </row>
    <row r="1714" ht="15.75" customHeight="1">
      <c r="A1714" s="8"/>
      <c r="B1714" s="8"/>
      <c r="C1714" s="8"/>
      <c r="D1714" s="8">
        <v>27.9026907562088</v>
      </c>
      <c r="E1714" s="9" t="s">
        <v>1723</v>
      </c>
      <c r="I1714" s="12" t="str">
        <f>IFERROR(__xludf.DUMMYFUNCTION("""COMPUTED_VALUE"""),"0x91c2893da0e58e8f80f41eb5f5be9e69a744cc78")</f>
        <v>0x91c2893da0e58e8f80f41eb5f5be9e69a744cc78</v>
      </c>
      <c r="J1714" s="11">
        <v>91.1199983031448</v>
      </c>
      <c r="K1714" s="12">
        <v>202.48888511809955</v>
      </c>
      <c r="L1714" s="13">
        <v>2.0248888511809955E20</v>
      </c>
      <c r="M1714" s="9">
        <v>2.0248888511809958E19</v>
      </c>
    </row>
    <row r="1715" ht="15.75" customHeight="1">
      <c r="A1715" s="8"/>
      <c r="B1715" s="8"/>
      <c r="C1715" s="8"/>
      <c r="D1715" s="8">
        <v>27.9026907562088</v>
      </c>
      <c r="E1715" s="9" t="s">
        <v>1724</v>
      </c>
      <c r="I1715" s="12" t="str">
        <f>IFERROR(__xludf.DUMMYFUNCTION("""COMPUTED_VALUE"""),"0x91cd39a1657e24aa6c3260bc5041537f24ce5d60")</f>
        <v>0x91cd39a1657e24aa6c3260bc5041537f24ce5d60</v>
      </c>
      <c r="J1715" s="11">
        <v>27.9026907562088</v>
      </c>
      <c r="K1715" s="12">
        <v>62.005979458241775</v>
      </c>
      <c r="L1715" s="13">
        <v>6.200597945824177E19</v>
      </c>
      <c r="M1715" s="9">
        <v>6.2005979458241782E18</v>
      </c>
    </row>
    <row r="1716" ht="15.75" customHeight="1">
      <c r="A1716" s="8"/>
      <c r="B1716" s="8"/>
      <c r="C1716" s="8"/>
      <c r="D1716" s="8">
        <v>27.9026907562088</v>
      </c>
      <c r="E1716" s="9" t="s">
        <v>1725</v>
      </c>
      <c r="I1716" s="12" t="str">
        <f>IFERROR(__xludf.DUMMYFUNCTION("""COMPUTED_VALUE"""),"0x91ce2eaaa0ae31b8b109e4a2038fa7ac3e83034f")</f>
        <v>0x91ce2eaaa0ae31b8b109e4a2038fa7ac3e83034f</v>
      </c>
      <c r="J1716" s="11">
        <v>91.1199983031448</v>
      </c>
      <c r="K1716" s="12">
        <v>202.48888511809955</v>
      </c>
      <c r="L1716" s="13">
        <v>2.0248888511809955E20</v>
      </c>
      <c r="M1716" s="9">
        <v>2.0248888511809958E19</v>
      </c>
    </row>
    <row r="1717" ht="15.75" customHeight="1">
      <c r="A1717" s="8"/>
      <c r="B1717" s="8"/>
      <c r="C1717" s="8"/>
      <c r="D1717" s="8">
        <v>27.9026907562088</v>
      </c>
      <c r="E1717" s="9" t="s">
        <v>1726</v>
      </c>
      <c r="I1717" s="12" t="str">
        <f>IFERROR(__xludf.DUMMYFUNCTION("""COMPUTED_VALUE"""),"0x91f3245edb3ebddc0f7544d70f9874e6da7dc13c")</f>
        <v>0x91f3245edb3ebddc0f7544d70f9874e6da7dc13c</v>
      </c>
      <c r="J1717" s="11">
        <v>27.9026907562088</v>
      </c>
      <c r="K1717" s="12">
        <v>62.005979458241775</v>
      </c>
      <c r="L1717" s="13">
        <v>6.200597945824177E19</v>
      </c>
      <c r="M1717" s="9">
        <v>6.2005979458241782E18</v>
      </c>
    </row>
    <row r="1718" ht="15.75" customHeight="1">
      <c r="A1718" s="8"/>
      <c r="B1718" s="8"/>
      <c r="C1718" s="8"/>
      <c r="D1718" s="8">
        <v>27.9026907562088</v>
      </c>
      <c r="E1718" s="9" t="s">
        <v>1727</v>
      </c>
      <c r="I1718" s="12" t="str">
        <f>IFERROR(__xludf.DUMMYFUNCTION("""COMPUTED_VALUE"""),"0x91f8f839f8705c4f4bba61833625b1e735f864ad")</f>
        <v>0x91f8f839f8705c4f4bba61833625b1e735f864ad</v>
      </c>
      <c r="J1718" s="11">
        <v>27.9026907562088</v>
      </c>
      <c r="K1718" s="12">
        <v>62.005979458241775</v>
      </c>
      <c r="L1718" s="13">
        <v>6.200597945824177E19</v>
      </c>
      <c r="M1718" s="9">
        <v>6.2005979458241782E18</v>
      </c>
    </row>
    <row r="1719" ht="15.75" customHeight="1">
      <c r="A1719" s="8"/>
      <c r="B1719" s="8"/>
      <c r="C1719" s="8"/>
      <c r="D1719" s="8">
        <v>27.9026907562088</v>
      </c>
      <c r="E1719" s="9" t="s">
        <v>1728</v>
      </c>
      <c r="I1719" s="12" t="str">
        <f>IFERROR(__xludf.DUMMYFUNCTION("""COMPUTED_VALUE"""),"0x920961a4a7a15385c4f3328e50f76f781c71d859")</f>
        <v>0x920961a4a7a15385c4f3328e50f76f781c71d859</v>
      </c>
      <c r="J1719" s="11">
        <v>99.111091348163</v>
      </c>
      <c r="K1719" s="12">
        <v>220.24686966258443</v>
      </c>
      <c r="L1719" s="13">
        <v>2.2024686966258444E20</v>
      </c>
      <c r="M1719" s="9">
        <v>2.2024686966258446E19</v>
      </c>
    </row>
    <row r="1720" ht="15.75" customHeight="1">
      <c r="A1720" s="8"/>
      <c r="B1720" s="8"/>
      <c r="C1720" s="8"/>
      <c r="D1720" s="8">
        <v>27.9026907562088</v>
      </c>
      <c r="E1720" s="9" t="s">
        <v>1729</v>
      </c>
      <c r="I1720" s="12" t="str">
        <f>IFERROR(__xludf.DUMMYFUNCTION("""COMPUTED_VALUE"""),"0x923c0bc1a01f64a8917164560815d0b48ba0f1d7")</f>
        <v>0x923c0bc1a01f64a8917164560815d0b48ba0f1d7</v>
      </c>
      <c r="J1720" s="11">
        <v>102.7947403298856</v>
      </c>
      <c r="K1720" s="12">
        <v>228.43275628863466</v>
      </c>
      <c r="L1720" s="13">
        <v>2.2843275628863465E20</v>
      </c>
      <c r="M1720" s="9">
        <v>2.2843275628863468E19</v>
      </c>
    </row>
    <row r="1721" ht="15.75" customHeight="1">
      <c r="A1721" s="8"/>
      <c r="B1721" s="8"/>
      <c r="C1721" s="8"/>
      <c r="D1721" s="8">
        <v>25.6924804325461</v>
      </c>
      <c r="E1721" s="9" t="s">
        <v>1730</v>
      </c>
      <c r="I1721" s="12" t="str">
        <f>IFERROR(__xludf.DUMMYFUNCTION("""COMPUTED_VALUE"""),"0x9276234661f254c2ea6e251fb1d3c4807879995b")</f>
        <v>0x9276234661f254c2ea6e251fb1d3c4807879995b</v>
      </c>
      <c r="J1721" s="11">
        <v>25.6924804325461</v>
      </c>
      <c r="K1721" s="12">
        <v>57.09440096121355</v>
      </c>
      <c r="L1721" s="13">
        <v>5.7094400961213555E19</v>
      </c>
      <c r="M1721" s="9">
        <v>5.7094400961213563E18</v>
      </c>
    </row>
    <row r="1722" ht="15.75" customHeight="1">
      <c r="A1722" s="8"/>
      <c r="B1722" s="8"/>
      <c r="C1722" s="8"/>
      <c r="D1722" s="8">
        <v>27.9026907562088</v>
      </c>
      <c r="E1722" s="9" t="s">
        <v>1731</v>
      </c>
      <c r="I1722" s="12" t="str">
        <f>IFERROR(__xludf.DUMMYFUNCTION("""COMPUTED_VALUE"""),"0x92790280683bf5703de2a5bae19bb79b97cbf446")</f>
        <v>0x92790280683bf5703de2a5bae19bb79b97cbf446</v>
      </c>
      <c r="J1722" s="11">
        <v>27.9026907562088</v>
      </c>
      <c r="K1722" s="12">
        <v>62.005979458241775</v>
      </c>
      <c r="L1722" s="13">
        <v>6.200597945824177E19</v>
      </c>
      <c r="M1722" s="9">
        <v>6.2005979458241782E18</v>
      </c>
    </row>
    <row r="1723" ht="15.75" customHeight="1">
      <c r="A1723" s="8"/>
      <c r="B1723" s="8"/>
      <c r="C1723" s="8"/>
      <c r="D1723" s="8">
        <v>27.9026907562088</v>
      </c>
      <c r="E1723" s="9" t="s">
        <v>1732</v>
      </c>
      <c r="I1723" s="12" t="str">
        <f>IFERROR(__xludf.DUMMYFUNCTION("""COMPUTED_VALUE"""),"0x92a030cdb61efa7f84174762a9584cdaf3f4d1da")</f>
        <v>0x92a030cdb61efa7f84174762a9584cdaf3f4d1da</v>
      </c>
      <c r="J1723" s="11">
        <v>91.1199983031448</v>
      </c>
      <c r="K1723" s="12">
        <v>202.48888511809955</v>
      </c>
      <c r="L1723" s="13">
        <v>2.0248888511809955E20</v>
      </c>
      <c r="M1723" s="9">
        <v>2.0248888511809958E19</v>
      </c>
    </row>
    <row r="1724" ht="15.75" customHeight="1">
      <c r="A1724" s="8"/>
      <c r="B1724" s="8"/>
      <c r="C1724" s="8"/>
      <c r="D1724" s="8">
        <v>26.8606088260276</v>
      </c>
      <c r="E1724" s="9" t="s">
        <v>1733</v>
      </c>
      <c r="I1724" s="12" t="str">
        <f>IFERROR(__xludf.DUMMYFUNCTION("""COMPUTED_VALUE"""),"0x92aa38a9fc751e3686e69f5959877f388642ba74")</f>
        <v>0x92aa38a9fc751e3686e69f5959877f388642ba74</v>
      </c>
      <c r="J1724" s="11">
        <v>26.8606088260276</v>
      </c>
      <c r="K1724" s="12">
        <v>59.69024183561689</v>
      </c>
      <c r="L1724" s="13">
        <v>5.969024183561689E19</v>
      </c>
      <c r="M1724" s="9">
        <v>5.9690241835616891E18</v>
      </c>
    </row>
    <row r="1725" ht="15.75" customHeight="1">
      <c r="A1725" s="8"/>
      <c r="B1725" s="8"/>
      <c r="C1725" s="8"/>
      <c r="D1725" s="8">
        <v>27.9026907562088</v>
      </c>
      <c r="E1725" s="9" t="s">
        <v>1734</v>
      </c>
      <c r="I1725" s="12" t="str">
        <f>IFERROR(__xludf.DUMMYFUNCTION("""COMPUTED_VALUE"""),"0x92ab1dca8037335d67eaae95c221b4ac19388a7f")</f>
        <v>0x92ab1dca8037335d67eaae95c221b4ac19388a7f</v>
      </c>
      <c r="J1725" s="11">
        <v>27.9026907562088</v>
      </c>
      <c r="K1725" s="12">
        <v>62.005979458241775</v>
      </c>
      <c r="L1725" s="13">
        <v>6.200597945824177E19</v>
      </c>
      <c r="M1725" s="9">
        <v>6.2005979458241782E18</v>
      </c>
    </row>
    <row r="1726" ht="15.75" customHeight="1">
      <c r="A1726" s="8"/>
      <c r="B1726" s="8"/>
      <c r="C1726" s="8"/>
      <c r="D1726" s="8">
        <v>27.9026907562088</v>
      </c>
      <c r="E1726" s="9" t="s">
        <v>1735</v>
      </c>
      <c r="I1726" s="12" t="str">
        <f>IFERROR(__xludf.DUMMYFUNCTION("""COMPUTED_VALUE"""),"0x92ac2a779a636d48047a3a081496a0d6780c1134")</f>
        <v>0x92ac2a779a636d48047a3a081496a0d6780c1134</v>
      </c>
      <c r="J1726" s="11">
        <v>27.9026907562088</v>
      </c>
      <c r="K1726" s="12">
        <v>62.005979458241775</v>
      </c>
      <c r="L1726" s="13">
        <v>6.200597945824177E19</v>
      </c>
      <c r="M1726" s="9">
        <v>6.2005979458241782E18</v>
      </c>
    </row>
    <row r="1727" ht="15.75" customHeight="1">
      <c r="A1727" s="8"/>
      <c r="B1727" s="8"/>
      <c r="C1727" s="8"/>
      <c r="D1727" s="8">
        <v>27.9026907562088</v>
      </c>
      <c r="E1727" s="9" t="s">
        <v>1736</v>
      </c>
      <c r="I1727" s="12" t="str">
        <f>IFERROR(__xludf.DUMMYFUNCTION("""COMPUTED_VALUE"""),"0x92c8a826fbf006d8a644112cad8359f58ffb0428")</f>
        <v>0x92c8a826fbf006d8a644112cad8359f58ffb0428</v>
      </c>
      <c r="J1727" s="11">
        <v>27.9026907562088</v>
      </c>
      <c r="K1727" s="12">
        <v>62.005979458241775</v>
      </c>
      <c r="L1727" s="13">
        <v>6.200597945824177E19</v>
      </c>
      <c r="M1727" s="9">
        <v>6.2005979458241782E18</v>
      </c>
    </row>
    <row r="1728" ht="15.75" customHeight="1">
      <c r="A1728" s="8"/>
      <c r="B1728" s="8"/>
      <c r="C1728" s="8"/>
      <c r="D1728" s="8">
        <v>27.9026907562088</v>
      </c>
      <c r="E1728" s="9" t="s">
        <v>1737</v>
      </c>
      <c r="I1728" s="12" t="str">
        <f>IFERROR(__xludf.DUMMYFUNCTION("""COMPUTED_VALUE"""),"0x930664d8da5adc6211349b1f28e67c114018a1a9")</f>
        <v>0x930664d8da5adc6211349b1f28e67c114018a1a9</v>
      </c>
      <c r="J1728" s="11">
        <v>96.31472298069721</v>
      </c>
      <c r="K1728" s="12">
        <v>214.03271773488268</v>
      </c>
      <c r="L1728" s="13">
        <v>2.1403271773488267E20</v>
      </c>
      <c r="M1728" s="9">
        <v>2.1403271773488267E19</v>
      </c>
    </row>
    <row r="1729" ht="15.75" customHeight="1">
      <c r="A1729" s="8"/>
      <c r="B1729" s="8"/>
      <c r="C1729" s="8"/>
      <c r="D1729" s="8">
        <v>27.9026907562088</v>
      </c>
      <c r="E1729" s="9" t="s">
        <v>1738</v>
      </c>
      <c r="I1729" s="12" t="str">
        <f>IFERROR(__xludf.DUMMYFUNCTION("""COMPUTED_VALUE"""),"0x9368b2fa9399676619f8fc93cd102f467d8e9753")</f>
        <v>0x9368b2fa9399676619f8fc93cd102f467d8e9753</v>
      </c>
      <c r="J1729" s="11">
        <v>29.848481093998938</v>
      </c>
      <c r="K1729" s="12">
        <v>66.32995798666431</v>
      </c>
      <c r="L1729" s="13">
        <v>6.632995798666431E19</v>
      </c>
      <c r="M1729" s="9">
        <v>6.6329957986664315E18</v>
      </c>
    </row>
    <row r="1730" ht="15.75" customHeight="1">
      <c r="A1730" s="8"/>
      <c r="B1730" s="8"/>
      <c r="C1730" s="8"/>
      <c r="D1730" s="8">
        <v>27.8052351850178</v>
      </c>
      <c r="E1730" s="9" t="s">
        <v>1739</v>
      </c>
      <c r="I1730" s="12" t="str">
        <f>IFERROR(__xludf.DUMMYFUNCTION("""COMPUTED_VALUE"""),"0x93a56ffa78624c0ecdace6bc9a7c63f92f398d68")</f>
        <v>0x93a56ffa78624c0ecdace6bc9a7c63f92f398d68</v>
      </c>
      <c r="J1730" s="11">
        <v>27.8052351850178</v>
      </c>
      <c r="K1730" s="12">
        <v>61.78941152226177</v>
      </c>
      <c r="L1730" s="13">
        <v>6.178941152226177E19</v>
      </c>
      <c r="M1730" s="9">
        <v>6.178941152226177E18</v>
      </c>
    </row>
    <row r="1731" ht="15.75" customHeight="1">
      <c r="A1731" s="8"/>
      <c r="B1731" s="8"/>
      <c r="C1731" s="8"/>
      <c r="D1731" s="8">
        <v>27.9026907562088</v>
      </c>
      <c r="E1731" s="9" t="s">
        <v>1740</v>
      </c>
      <c r="I1731" s="12" t="str">
        <f>IFERROR(__xludf.DUMMYFUNCTION("""COMPUTED_VALUE"""),"0x93a59a53943b1b6e109055bcb0f3428f302dca11")</f>
        <v>0x93a59a53943b1b6e109055bcb0f3428f302dca11</v>
      </c>
      <c r="J1731" s="11">
        <v>27.9026907562088</v>
      </c>
      <c r="K1731" s="12">
        <v>62.005979458241775</v>
      </c>
      <c r="L1731" s="13">
        <v>6.200597945824177E19</v>
      </c>
      <c r="M1731" s="9">
        <v>6.2005979458241782E18</v>
      </c>
    </row>
    <row r="1732" ht="15.75" customHeight="1">
      <c r="A1732" s="8"/>
      <c r="B1732" s="8"/>
      <c r="C1732" s="8"/>
      <c r="D1732" s="8">
        <v>27.9026907562088</v>
      </c>
      <c r="E1732" s="9" t="s">
        <v>1741</v>
      </c>
      <c r="I1732" s="12" t="str">
        <f>IFERROR(__xludf.DUMMYFUNCTION("""COMPUTED_VALUE"""),"0x93cd5cd289a01e27e0d25ccde1525a886ac07171")</f>
        <v>0x93cd5cd289a01e27e0d25ccde1525a886ac07171</v>
      </c>
      <c r="J1732" s="11">
        <v>40.546152265596</v>
      </c>
      <c r="K1732" s="12">
        <v>90.10256059021333</v>
      </c>
      <c r="L1732" s="13">
        <v>9.010256059021333E19</v>
      </c>
      <c r="M1732" s="9">
        <v>9.0102560590213335E18</v>
      </c>
    </row>
    <row r="1733" ht="15.75" customHeight="1">
      <c r="A1733" s="8"/>
      <c r="B1733" s="8"/>
      <c r="C1733" s="8"/>
      <c r="D1733" s="8">
        <v>27.9026907562088</v>
      </c>
      <c r="E1733" s="9" t="s">
        <v>1742</v>
      </c>
      <c r="I1733" s="12" t="str">
        <f>IFERROR(__xludf.DUMMYFUNCTION("""COMPUTED_VALUE"""),"0x93cfab908f96bc61dac54dacff9d46511aadc4da")</f>
        <v>0x93cfab908f96bc61dac54dacff9d46511aadc4da</v>
      </c>
      <c r="J1733" s="11">
        <v>90.7686788494872</v>
      </c>
      <c r="K1733" s="12">
        <v>201.70817522108266</v>
      </c>
      <c r="L1733" s="13">
        <v>2.0170817522108265E20</v>
      </c>
      <c r="M1733" s="9">
        <v>2.0170817522108264E19</v>
      </c>
    </row>
    <row r="1734" ht="15.75" customHeight="1">
      <c r="A1734" s="8"/>
      <c r="B1734" s="8"/>
      <c r="C1734" s="8"/>
      <c r="D1734" s="8">
        <v>27.9026907562088</v>
      </c>
      <c r="E1734" s="9" t="s">
        <v>1743</v>
      </c>
      <c r="I1734" s="12" t="str">
        <f>IFERROR(__xludf.DUMMYFUNCTION("""COMPUTED_VALUE"""),"0x93d3b98e20b8a5c414204109510050e947eb4911")</f>
        <v>0x93d3b98e20b8a5c414204109510050e947eb4911</v>
      </c>
      <c r="J1734" s="11">
        <v>27.9026907562088</v>
      </c>
      <c r="K1734" s="12">
        <v>62.005979458241775</v>
      </c>
      <c r="L1734" s="13">
        <v>6.200597945824177E19</v>
      </c>
      <c r="M1734" s="9">
        <v>6.2005979458241782E18</v>
      </c>
    </row>
    <row r="1735" ht="15.75" customHeight="1">
      <c r="A1735" s="8"/>
      <c r="B1735" s="8"/>
      <c r="C1735" s="8"/>
      <c r="D1735" s="8">
        <v>27.9026907562088</v>
      </c>
      <c r="E1735" s="9" t="s">
        <v>1744</v>
      </c>
      <c r="I1735" s="12" t="str">
        <f>IFERROR(__xludf.DUMMYFUNCTION("""COMPUTED_VALUE"""),"0x93e4f1cda4849121e9527d7d377190a596fbe777")</f>
        <v>0x93e4f1cda4849121e9527d7d377190a596fbe777</v>
      </c>
      <c r="J1735" s="11">
        <v>124.5547979146705</v>
      </c>
      <c r="K1735" s="12">
        <v>276.78843981037886</v>
      </c>
      <c r="L1735" s="13">
        <v>2.7678843981037886E20</v>
      </c>
      <c r="M1735" s="9">
        <v>2.7678843981037887E19</v>
      </c>
    </row>
    <row r="1736" ht="15.75" customHeight="1">
      <c r="A1736" s="8"/>
      <c r="B1736" s="8"/>
      <c r="C1736" s="8"/>
      <c r="D1736" s="8">
        <v>27.9026907562088</v>
      </c>
      <c r="E1736" s="9" t="s">
        <v>1745</v>
      </c>
      <c r="I1736" s="12" t="str">
        <f>IFERROR(__xludf.DUMMYFUNCTION("""COMPUTED_VALUE"""),"0x93e78fce875ea05b3164f7a92dd27d3ba341bc0d")</f>
        <v>0x93e78fce875ea05b3164f7a92dd27d3ba341bc0d</v>
      </c>
      <c r="J1736" s="11">
        <v>91.1199983031448</v>
      </c>
      <c r="K1736" s="12">
        <v>202.48888511809955</v>
      </c>
      <c r="L1736" s="13">
        <v>2.0248888511809955E20</v>
      </c>
      <c r="M1736" s="9">
        <v>2.0248888511809958E19</v>
      </c>
    </row>
    <row r="1737" ht="15.75" customHeight="1">
      <c r="A1737" s="8"/>
      <c r="B1737" s="8"/>
      <c r="C1737" s="8"/>
      <c r="D1737" s="8">
        <v>27.9026907562088</v>
      </c>
      <c r="E1737" s="9" t="s">
        <v>1746</v>
      </c>
      <c r="I1737" s="12" t="str">
        <f>IFERROR(__xludf.DUMMYFUNCTION("""COMPUTED_VALUE"""),"0x93ed32454c5c47cf954620a01011113d217fbddd")</f>
        <v>0x93ed32454c5c47cf954620a01011113d217fbddd</v>
      </c>
      <c r="J1737" s="11">
        <v>27.9026907562088</v>
      </c>
      <c r="K1737" s="12">
        <v>62.005979458241775</v>
      </c>
      <c r="L1737" s="13">
        <v>6.200597945824177E19</v>
      </c>
      <c r="M1737" s="9">
        <v>6.2005979458241782E18</v>
      </c>
    </row>
    <row r="1738" ht="15.75" customHeight="1">
      <c r="A1738" s="8"/>
      <c r="B1738" s="8"/>
      <c r="C1738" s="8"/>
      <c r="D1738" s="8">
        <v>12.9026256876463</v>
      </c>
      <c r="E1738" s="9" t="s">
        <v>1747</v>
      </c>
      <c r="I1738" s="12" t="str">
        <f>IFERROR(__xludf.DUMMYFUNCTION("""COMPUTED_VALUE"""),"0x93ee12f86d778f8c5c5429bbc4fe91b0daee9415")</f>
        <v>0x93ee12f86d778f8c5c5429bbc4fe91b0daee9415</v>
      </c>
      <c r="J1738" s="11">
        <v>12.9026256876463</v>
      </c>
      <c r="K1738" s="12">
        <v>28.672501528102888</v>
      </c>
      <c r="L1738" s="13">
        <v>2.8672501528102887E19</v>
      </c>
      <c r="M1738" s="9">
        <v>2.8672501528102892E18</v>
      </c>
    </row>
    <row r="1739" ht="15.75" customHeight="1">
      <c r="A1739" s="8"/>
      <c r="B1739" s="8"/>
      <c r="C1739" s="8"/>
      <c r="D1739" s="8">
        <v>27.9026907562088</v>
      </c>
      <c r="E1739" s="9" t="s">
        <v>1748</v>
      </c>
      <c r="I1739" s="12" t="str">
        <f>IFERROR(__xludf.DUMMYFUNCTION("""COMPUTED_VALUE"""),"0x940f5293be23c4d06f9f561f2df79457d3782e1e")</f>
        <v>0x940f5293be23c4d06f9f561f2df79457d3782e1e</v>
      </c>
      <c r="J1739" s="11">
        <v>91.1199983031448</v>
      </c>
      <c r="K1739" s="12">
        <v>202.48888511809955</v>
      </c>
      <c r="L1739" s="13">
        <v>2.0248888511809955E20</v>
      </c>
      <c r="M1739" s="9">
        <v>2.0248888511809958E19</v>
      </c>
    </row>
    <row r="1740" ht="15.75" customHeight="1">
      <c r="A1740" s="8"/>
      <c r="B1740" s="8"/>
      <c r="C1740" s="8"/>
      <c r="D1740" s="8">
        <v>27.9026907562088</v>
      </c>
      <c r="E1740" s="9" t="s">
        <v>1749</v>
      </c>
      <c r="I1740" s="12" t="str">
        <f>IFERROR(__xludf.DUMMYFUNCTION("""COMPUTED_VALUE"""),"0x941e710a60a07307c575631a0fbe32c25def4956")</f>
        <v>0x941e710a60a07307c575631a0fbe32c25def4956</v>
      </c>
      <c r="J1740" s="11">
        <v>102.6390771028624</v>
      </c>
      <c r="K1740" s="12">
        <v>228.0868380063609</v>
      </c>
      <c r="L1740" s="13">
        <v>2.280868380063609E20</v>
      </c>
      <c r="M1740" s="9">
        <v>2.2808683800636092E19</v>
      </c>
    </row>
    <row r="1741" ht="15.75" customHeight="1">
      <c r="A1741" s="8"/>
      <c r="B1741" s="8"/>
      <c r="C1741" s="8"/>
      <c r="D1741" s="8">
        <v>27.9026907562088</v>
      </c>
      <c r="E1741" s="9" t="s">
        <v>1750</v>
      </c>
      <c r="I1741" s="12" t="str">
        <f>IFERROR(__xludf.DUMMYFUNCTION("""COMPUTED_VALUE"""),"0x9426edf7ec765c9500c4a3b82fff34dacd73c8ec")</f>
        <v>0x9426edf7ec765c9500c4a3b82fff34dacd73c8ec</v>
      </c>
      <c r="J1741" s="11">
        <v>27.9026907562088</v>
      </c>
      <c r="K1741" s="12">
        <v>62.005979458241775</v>
      </c>
      <c r="L1741" s="13">
        <v>6.200597945824177E19</v>
      </c>
      <c r="M1741" s="9">
        <v>6.2005979458241782E18</v>
      </c>
    </row>
    <row r="1742" ht="15.75" customHeight="1">
      <c r="A1742" s="8"/>
      <c r="B1742" s="8"/>
      <c r="C1742" s="8"/>
      <c r="D1742" s="8">
        <v>23.9081440138996</v>
      </c>
      <c r="E1742" s="9" t="s">
        <v>1751</v>
      </c>
      <c r="I1742" s="12" t="str">
        <f>IFERROR(__xludf.DUMMYFUNCTION("""COMPUTED_VALUE"""),"0x9446eecced65cfe6cf1aac0de7ec00126ba9bb61")</f>
        <v>0x9446eecced65cfe6cf1aac0de7ec00126ba9bb61</v>
      </c>
      <c r="J1742" s="11">
        <v>23.9081440138996</v>
      </c>
      <c r="K1742" s="12">
        <v>53.12920891977689</v>
      </c>
      <c r="L1742" s="13">
        <v>5.3129208919776895E19</v>
      </c>
      <c r="M1742" s="9">
        <v>5.3129208919776901E18</v>
      </c>
    </row>
    <row r="1743" ht="15.75" customHeight="1">
      <c r="A1743" s="8"/>
      <c r="B1743" s="8"/>
      <c r="C1743" s="8"/>
      <c r="D1743" s="8">
        <v>21.9203017220703</v>
      </c>
      <c r="E1743" s="9" t="s">
        <v>1752</v>
      </c>
      <c r="I1743" s="12" t="str">
        <f>IFERROR(__xludf.DUMMYFUNCTION("""COMPUTED_VALUE"""),"0x94554c5615155378cbb49918cedddbdfcc9a1755")</f>
        <v>0x94554c5615155378cbb49918cedddbdfcc9a1755</v>
      </c>
      <c r="J1743" s="11">
        <v>21.9203017220703</v>
      </c>
      <c r="K1743" s="12">
        <v>48.71178160460066</v>
      </c>
      <c r="L1743" s="13">
        <v>4.871178160460066E19</v>
      </c>
      <c r="M1743" s="9">
        <v>4.8711781604600658E18</v>
      </c>
    </row>
    <row r="1744" ht="15.75" customHeight="1">
      <c r="A1744" s="8"/>
      <c r="B1744" s="8"/>
      <c r="C1744" s="8"/>
      <c r="D1744" s="8">
        <v>27.9026907562088</v>
      </c>
      <c r="E1744" s="9" t="s">
        <v>1753</v>
      </c>
      <c r="I1744" s="12" t="str">
        <f>IFERROR(__xludf.DUMMYFUNCTION("""COMPUTED_VALUE"""),"0x94695cb00c46104c1918c1c465229c312a8df226")</f>
        <v>0x94695cb00c46104c1918c1c465229c312a8df226</v>
      </c>
      <c r="J1744" s="11">
        <v>27.9026907562088</v>
      </c>
      <c r="K1744" s="12">
        <v>62.005979458241775</v>
      </c>
      <c r="L1744" s="13">
        <v>6.200597945824177E19</v>
      </c>
      <c r="M1744" s="9">
        <v>6.2005979458241782E18</v>
      </c>
    </row>
    <row r="1745" ht="15.75" customHeight="1">
      <c r="A1745" s="8"/>
      <c r="B1745" s="8"/>
      <c r="C1745" s="8"/>
      <c r="D1745" s="8">
        <v>27.9026907562088</v>
      </c>
      <c r="E1745" s="9" t="s">
        <v>1754</v>
      </c>
      <c r="I1745" s="12" t="str">
        <f>IFERROR(__xludf.DUMMYFUNCTION("""COMPUTED_VALUE"""),"0x9489f9fd88c7621721341511011c8e2e86b527b4")</f>
        <v>0x9489f9fd88c7621721341511011c8e2e86b527b4</v>
      </c>
      <c r="J1745" s="11">
        <v>27.9026907562088</v>
      </c>
      <c r="K1745" s="12">
        <v>62.005979458241775</v>
      </c>
      <c r="L1745" s="13">
        <v>6.200597945824177E19</v>
      </c>
      <c r="M1745" s="9">
        <v>6.2005979458241782E18</v>
      </c>
    </row>
    <row r="1746" ht="15.75" customHeight="1">
      <c r="A1746" s="8"/>
      <c r="B1746" s="8"/>
      <c r="C1746" s="8"/>
      <c r="D1746" s="8">
        <v>24.9091953095867</v>
      </c>
      <c r="E1746" s="9" t="s">
        <v>1755</v>
      </c>
      <c r="I1746" s="12" t="str">
        <f>IFERROR(__xludf.DUMMYFUNCTION("""COMPUTED_VALUE"""),"0x9499723c9c4a6b06a2b34c7312f13ac48295a4b5")</f>
        <v>0x9499723c9c4a6b06a2b34c7312f13ac48295a4b5</v>
      </c>
      <c r="J1746" s="11">
        <v>24.9091953095867</v>
      </c>
      <c r="K1746" s="12">
        <v>55.35376735463711</v>
      </c>
      <c r="L1746" s="13">
        <v>5.535376735463711E19</v>
      </c>
      <c r="M1746" s="9">
        <v>5.5353767354637107E18</v>
      </c>
    </row>
    <row r="1747" ht="15.75" customHeight="1">
      <c r="A1747" s="8"/>
      <c r="B1747" s="8"/>
      <c r="C1747" s="8"/>
      <c r="D1747" s="8">
        <v>27.9026907562088</v>
      </c>
      <c r="E1747" s="9" t="s">
        <v>1756</v>
      </c>
      <c r="I1747" s="12" t="str">
        <f>IFERROR(__xludf.DUMMYFUNCTION("""COMPUTED_VALUE"""),"0x949efdbadfd5117c7b9b1776c2c4509efa98425e")</f>
        <v>0x949efdbadfd5117c7b9b1776c2c4509efa98425e</v>
      </c>
      <c r="J1747" s="11">
        <v>27.9026907562088</v>
      </c>
      <c r="K1747" s="12">
        <v>62.005979458241775</v>
      </c>
      <c r="L1747" s="13">
        <v>6.200597945824177E19</v>
      </c>
      <c r="M1747" s="9">
        <v>6.2005979458241782E18</v>
      </c>
    </row>
    <row r="1748" ht="15.75" customHeight="1">
      <c r="A1748" s="8"/>
      <c r="B1748" s="8"/>
      <c r="C1748" s="8"/>
      <c r="D1748" s="8">
        <v>27.9026907562088</v>
      </c>
      <c r="E1748" s="9" t="s">
        <v>1757</v>
      </c>
      <c r="I1748" s="12" t="str">
        <f>IFERROR(__xludf.DUMMYFUNCTION("""COMPUTED_VALUE"""),"0x949f79417ee0de6e12d425540ad01a81a1f864ef")</f>
        <v>0x949f79417ee0de6e12d425540ad01a81a1f864ef</v>
      </c>
      <c r="J1748" s="11">
        <v>27.9026907562088</v>
      </c>
      <c r="K1748" s="12">
        <v>62.005979458241775</v>
      </c>
      <c r="L1748" s="13">
        <v>6.200597945824177E19</v>
      </c>
      <c r="M1748" s="9">
        <v>6.2005979458241782E18</v>
      </c>
    </row>
    <row r="1749" ht="15.75" customHeight="1">
      <c r="A1749" s="8"/>
      <c r="B1749" s="8"/>
      <c r="C1749" s="8"/>
      <c r="D1749" s="8">
        <v>2.98213871868082</v>
      </c>
      <c r="E1749" s="9" t="s">
        <v>1758</v>
      </c>
      <c r="I1749" s="12" t="str">
        <f>IFERROR(__xludf.DUMMYFUNCTION("""COMPUTED_VALUE"""),"0x94a8d388de11058d7890f71c54237820bfc9373e")</f>
        <v>0x94a8d388de11058d7890f71c54237820bfc9373e</v>
      </c>
      <c r="J1749" s="11">
        <v>2.98213871868082</v>
      </c>
      <c r="K1749" s="12">
        <v>6.626974930401822</v>
      </c>
      <c r="L1749" s="13">
        <v>6.6269749304018217E18</v>
      </c>
      <c r="M1749" s="9">
        <v>6.6269749304018214E17</v>
      </c>
    </row>
    <row r="1750" ht="15.75" customHeight="1">
      <c r="A1750" s="8"/>
      <c r="B1750" s="8"/>
      <c r="C1750" s="8"/>
      <c r="D1750" s="8">
        <v>26.7003031035888</v>
      </c>
      <c r="E1750" s="9" t="s">
        <v>1759</v>
      </c>
      <c r="I1750" s="12" t="str">
        <f>IFERROR(__xludf.DUMMYFUNCTION("""COMPUTED_VALUE"""),"0x94a980a415aa2205e1e9f77f6706651611fe22dd")</f>
        <v>0x94a980a415aa2205e1e9f77f6706651611fe22dd</v>
      </c>
      <c r="J1750" s="11">
        <v>26.7003031035888</v>
      </c>
      <c r="K1750" s="12">
        <v>59.334006896864004</v>
      </c>
      <c r="L1750" s="13">
        <v>5.9334006896864E19</v>
      </c>
      <c r="M1750" s="9">
        <v>5.933400689686401E18</v>
      </c>
    </row>
    <row r="1751" ht="15.75" customHeight="1">
      <c r="A1751" s="8"/>
      <c r="B1751" s="8"/>
      <c r="C1751" s="8"/>
      <c r="D1751" s="8">
        <v>27.9026907562088</v>
      </c>
      <c r="E1751" s="9" t="s">
        <v>1760</v>
      </c>
      <c r="I1751" s="12" t="str">
        <f>IFERROR(__xludf.DUMMYFUNCTION("""COMPUTED_VALUE"""),"0x94b071242a754c62abe546c94c783c1bd736720b")</f>
        <v>0x94b071242a754c62abe546c94c783c1bd736720b</v>
      </c>
      <c r="J1751" s="11">
        <v>27.9026907562088</v>
      </c>
      <c r="K1751" s="12">
        <v>62.005979458241775</v>
      </c>
      <c r="L1751" s="13">
        <v>6.200597945824177E19</v>
      </c>
      <c r="M1751" s="9">
        <v>6.2005979458241782E18</v>
      </c>
    </row>
    <row r="1752" ht="15.75" customHeight="1">
      <c r="A1752" s="8"/>
      <c r="B1752" s="8"/>
      <c r="C1752" s="8"/>
      <c r="D1752" s="8">
        <v>27.9026907562088</v>
      </c>
      <c r="E1752" s="9" t="s">
        <v>1761</v>
      </c>
      <c r="I1752" s="12" t="str">
        <f>IFERROR(__xludf.DUMMYFUNCTION("""COMPUTED_VALUE"""),"0x94e1b677bd7f6996aa5e2ff2194d8a679184b7b5")</f>
        <v>0x94e1b677bd7f6996aa5e2ff2194d8a679184b7b5</v>
      </c>
      <c r="J1752" s="11">
        <v>27.9026907562088</v>
      </c>
      <c r="K1752" s="12">
        <v>62.005979458241775</v>
      </c>
      <c r="L1752" s="13">
        <v>6.200597945824177E19</v>
      </c>
      <c r="M1752" s="9">
        <v>6.2005979458241782E18</v>
      </c>
    </row>
    <row r="1753" ht="15.75" customHeight="1">
      <c r="A1753" s="8"/>
      <c r="B1753" s="8"/>
      <c r="C1753" s="8"/>
      <c r="D1753" s="8">
        <v>27.9026907562088</v>
      </c>
      <c r="E1753" s="9" t="s">
        <v>1762</v>
      </c>
      <c r="I1753" s="12" t="str">
        <f>IFERROR(__xludf.DUMMYFUNCTION("""COMPUTED_VALUE"""),"0x95274f50d6e214b3359c9cad15f001667fb275f8")</f>
        <v>0x95274f50d6e214b3359c9cad15f001667fb275f8</v>
      </c>
      <c r="J1753" s="11">
        <v>91.1199983031448</v>
      </c>
      <c r="K1753" s="12">
        <v>202.48888511809955</v>
      </c>
      <c r="L1753" s="13">
        <v>2.0248888511809955E20</v>
      </c>
      <c r="M1753" s="9">
        <v>2.0248888511809958E19</v>
      </c>
    </row>
    <row r="1754" ht="15.75" customHeight="1">
      <c r="A1754" s="8"/>
      <c r="B1754" s="8"/>
      <c r="C1754" s="8"/>
      <c r="D1754" s="8">
        <v>27.9026907562088</v>
      </c>
      <c r="E1754" s="9" t="s">
        <v>1763</v>
      </c>
      <c r="I1754" s="12" t="str">
        <f>IFERROR(__xludf.DUMMYFUNCTION("""COMPUTED_VALUE"""),"0x955485d91ec0d8b46c8f6f7832d706d2a34d0dc6")</f>
        <v>0x955485d91ec0d8b46c8f6f7832d706d2a34d0dc6</v>
      </c>
      <c r="J1754" s="11">
        <v>27.9026907562088</v>
      </c>
      <c r="K1754" s="12">
        <v>62.005979458241775</v>
      </c>
      <c r="L1754" s="13">
        <v>6.200597945824177E19</v>
      </c>
      <c r="M1754" s="9">
        <v>6.2005979458241782E18</v>
      </c>
    </row>
    <row r="1755" ht="15.75" customHeight="1">
      <c r="A1755" s="8"/>
      <c r="B1755" s="8"/>
      <c r="C1755" s="8"/>
      <c r="D1755" s="8">
        <v>25.4603374843423</v>
      </c>
      <c r="E1755" s="9" t="s">
        <v>1764</v>
      </c>
      <c r="I1755" s="12" t="str">
        <f>IFERROR(__xludf.DUMMYFUNCTION("""COMPUTED_VALUE"""),"0x957d48f0f48465820e83e7f0c53e6ae39067d88e")</f>
        <v>0x957d48f0f48465820e83e7f0c53e6ae39067d88e</v>
      </c>
      <c r="J1755" s="11">
        <v>25.4603374843423</v>
      </c>
      <c r="K1755" s="12">
        <v>56.578527742982885</v>
      </c>
      <c r="L1755" s="13">
        <v>5.657852774298288E19</v>
      </c>
      <c r="M1755" s="9">
        <v>5.6578527742982881E18</v>
      </c>
    </row>
    <row r="1756" ht="15.75" customHeight="1">
      <c r="A1756" s="8"/>
      <c r="B1756" s="8"/>
      <c r="C1756" s="8"/>
      <c r="D1756" s="8">
        <v>27.9026907562088</v>
      </c>
      <c r="E1756" s="9" t="s">
        <v>1765</v>
      </c>
      <c r="I1756" s="12" t="str">
        <f>IFERROR(__xludf.DUMMYFUNCTION("""COMPUTED_VALUE"""),"0x9587f5eb855e266236830e3b70302369145e203c")</f>
        <v>0x9587f5eb855e266236830e3b70302369145e203c</v>
      </c>
      <c r="J1756" s="11">
        <v>27.9026907562088</v>
      </c>
      <c r="K1756" s="12">
        <v>62.005979458241775</v>
      </c>
      <c r="L1756" s="13">
        <v>6.200597945824177E19</v>
      </c>
      <c r="M1756" s="9">
        <v>6.2005979458241782E18</v>
      </c>
    </row>
    <row r="1757" ht="15.75" customHeight="1">
      <c r="A1757" s="8"/>
      <c r="B1757" s="8"/>
      <c r="C1757" s="8"/>
      <c r="D1757" s="8">
        <v>27.9026907562088</v>
      </c>
      <c r="E1757" s="9" t="s">
        <v>1766</v>
      </c>
      <c r="I1757" s="12" t="str">
        <f>IFERROR(__xludf.DUMMYFUNCTION("""COMPUTED_VALUE"""),"0x95910efbf5fac0b7715121656c5b62a819540c3a")</f>
        <v>0x95910efbf5fac0b7715121656c5b62a819540c3a</v>
      </c>
      <c r="J1757" s="11">
        <v>270.57870394891677</v>
      </c>
      <c r="K1757" s="12">
        <v>601.2860087753705</v>
      </c>
      <c r="L1757" s="13">
        <v>6.012860087753705E20</v>
      </c>
      <c r="M1757" s="9">
        <v>6.012860087753705E19</v>
      </c>
    </row>
    <row r="1758" ht="15.75" customHeight="1">
      <c r="A1758" s="8"/>
      <c r="B1758" s="8"/>
      <c r="C1758" s="8"/>
      <c r="D1758" s="8">
        <v>27.9026907562088</v>
      </c>
      <c r="E1758" s="9" t="s">
        <v>1767</v>
      </c>
      <c r="I1758" s="12" t="str">
        <f>IFERROR(__xludf.DUMMYFUNCTION("""COMPUTED_VALUE"""),"0x95a7a87882d9c0c82afd69fb7b2cd3f419185b37")</f>
        <v>0x95a7a87882d9c0c82afd69fb7b2cd3f419185b37</v>
      </c>
      <c r="J1758" s="11">
        <v>91.1199983031448</v>
      </c>
      <c r="K1758" s="12">
        <v>202.48888511809955</v>
      </c>
      <c r="L1758" s="13">
        <v>2.0248888511809955E20</v>
      </c>
      <c r="M1758" s="9">
        <v>2.0248888511809958E19</v>
      </c>
    </row>
    <row r="1759" ht="15.75" customHeight="1">
      <c r="A1759" s="8"/>
      <c r="B1759" s="8"/>
      <c r="C1759" s="8"/>
      <c r="D1759" s="8">
        <v>21.0145441090344</v>
      </c>
      <c r="E1759" s="9" t="s">
        <v>1768</v>
      </c>
      <c r="I1759" s="12" t="str">
        <f>IFERROR(__xludf.DUMMYFUNCTION("""COMPUTED_VALUE"""),"0x95b471e769484e63e0f7704d3e0cd09fdb900f9c")</f>
        <v>0x95b471e769484e63e0f7704d3e0cd09fdb900f9c</v>
      </c>
      <c r="J1759" s="11">
        <v>21.0145441090344</v>
      </c>
      <c r="K1759" s="12">
        <v>46.69898690896533</v>
      </c>
      <c r="L1759" s="13">
        <v>4.669898690896533E19</v>
      </c>
      <c r="M1759" s="9">
        <v>4.6698986908965335E18</v>
      </c>
    </row>
    <row r="1760" ht="15.75" customHeight="1">
      <c r="A1760" s="8"/>
      <c r="B1760" s="8"/>
      <c r="C1760" s="8"/>
      <c r="D1760" s="8">
        <v>27.9026907562088</v>
      </c>
      <c r="E1760" s="9" t="s">
        <v>1769</v>
      </c>
      <c r="I1760" s="12" t="str">
        <f>IFERROR(__xludf.DUMMYFUNCTION("""COMPUTED_VALUE"""),"0x95b49e38b2a3140f5242d57f6ec34920601ae193")</f>
        <v>0x95b49e38b2a3140f5242d57f6ec34920601ae193</v>
      </c>
      <c r="J1760" s="11">
        <v>27.9026907562088</v>
      </c>
      <c r="K1760" s="12">
        <v>62.005979458241775</v>
      </c>
      <c r="L1760" s="13">
        <v>6.200597945824177E19</v>
      </c>
      <c r="M1760" s="9">
        <v>6.2005979458241782E18</v>
      </c>
    </row>
    <row r="1761" ht="15.75" customHeight="1">
      <c r="A1761" s="8"/>
      <c r="B1761" s="8"/>
      <c r="C1761" s="8"/>
      <c r="D1761" s="8">
        <v>19.9135679927509</v>
      </c>
      <c r="E1761" s="9" t="s">
        <v>1770</v>
      </c>
      <c r="I1761" s="12" t="str">
        <f>IFERROR(__xludf.DUMMYFUNCTION("""COMPUTED_VALUE"""),"0x95d984e859646d42e418df5e9cca6d0a4ae91584")</f>
        <v>0x95d984e859646d42e418df5e9cca6d0a4ae91584</v>
      </c>
      <c r="J1761" s="11">
        <v>19.9135679927509</v>
      </c>
      <c r="K1761" s="12">
        <v>44.25237331722422</v>
      </c>
      <c r="L1761" s="13">
        <v>4.425237331722422E19</v>
      </c>
      <c r="M1761" s="9">
        <v>4.4252373317224223E18</v>
      </c>
    </row>
    <row r="1762" ht="15.75" customHeight="1">
      <c r="A1762" s="8"/>
      <c r="B1762" s="8"/>
      <c r="C1762" s="8"/>
      <c r="D1762" s="8">
        <v>27.9026907562088</v>
      </c>
      <c r="E1762" s="9" t="s">
        <v>1771</v>
      </c>
      <c r="I1762" s="12" t="str">
        <f>IFERROR(__xludf.DUMMYFUNCTION("""COMPUTED_VALUE"""),"0x95f7900744f79836fb2f2352f01c06d24c8e703d")</f>
        <v>0x95f7900744f79836fb2f2352f01c06d24c8e703d</v>
      </c>
      <c r="J1762" s="11">
        <v>29.848481093998938</v>
      </c>
      <c r="K1762" s="12">
        <v>66.32995798666431</v>
      </c>
      <c r="L1762" s="13">
        <v>6.632995798666431E19</v>
      </c>
      <c r="M1762" s="9">
        <v>6.6329957986664315E18</v>
      </c>
    </row>
    <row r="1763" ht="15.75" customHeight="1">
      <c r="A1763" s="8"/>
      <c r="B1763" s="8"/>
      <c r="C1763" s="8"/>
      <c r="D1763" s="8">
        <v>0.375854022331653</v>
      </c>
      <c r="E1763" s="9" t="s">
        <v>1772</v>
      </c>
      <c r="I1763" s="12" t="str">
        <f>IFERROR(__xludf.DUMMYFUNCTION("""COMPUTED_VALUE"""),"0x95fb5a0cec0a1dc50f0d3caa3d1521537d9ee991")</f>
        <v>0x95fb5a0cec0a1dc50f0d3caa3d1521537d9ee991</v>
      </c>
      <c r="J1763" s="11">
        <v>0.419432416438303</v>
      </c>
      <c r="K1763" s="12">
        <v>0.9320720365295622</v>
      </c>
      <c r="L1763" s="13">
        <v>9.3207203652956211E17</v>
      </c>
      <c r="M1763" s="9">
        <v>9.3207203652956224E16</v>
      </c>
    </row>
    <row r="1764" ht="15.75" customHeight="1">
      <c r="A1764" s="8"/>
      <c r="B1764" s="8"/>
      <c r="C1764" s="8"/>
      <c r="D1764" s="8">
        <v>27.9026907562088</v>
      </c>
      <c r="E1764" s="9" t="s">
        <v>1773</v>
      </c>
      <c r="I1764" s="12" t="str">
        <f>IFERROR(__xludf.DUMMYFUNCTION("""COMPUTED_VALUE"""),"0x9620e21e1c6cfb63dc9c7c5c53183415c0236d01")</f>
        <v>0x9620e21e1c6cfb63dc9c7c5c53183415c0236d01</v>
      </c>
      <c r="J1764" s="11">
        <v>27.9026907562088</v>
      </c>
      <c r="K1764" s="12">
        <v>62.005979458241775</v>
      </c>
      <c r="L1764" s="13">
        <v>6.200597945824177E19</v>
      </c>
      <c r="M1764" s="9">
        <v>6.2005979458241782E18</v>
      </c>
    </row>
    <row r="1765" ht="15.75" customHeight="1">
      <c r="A1765" s="8"/>
      <c r="B1765" s="8"/>
      <c r="C1765" s="8"/>
      <c r="D1765" s="8">
        <v>27.9026907562088</v>
      </c>
      <c r="E1765" s="9" t="s">
        <v>1774</v>
      </c>
      <c r="I1765" s="12" t="str">
        <f>IFERROR(__xludf.DUMMYFUNCTION("""COMPUTED_VALUE"""),"0x9657de59414f57951e17f12498abf6caced58a62")</f>
        <v>0x9657de59414f57951e17f12498abf6caced58a62</v>
      </c>
      <c r="J1765" s="11">
        <v>86.2868177312978</v>
      </c>
      <c r="K1765" s="12">
        <v>191.74848384732846</v>
      </c>
      <c r="L1765" s="13">
        <v>1.9174848384732846E20</v>
      </c>
      <c r="M1765" s="9">
        <v>1.917484838473285E19</v>
      </c>
    </row>
    <row r="1766" ht="15.75" customHeight="1">
      <c r="A1766" s="8"/>
      <c r="B1766" s="8"/>
      <c r="C1766" s="8"/>
      <c r="D1766" s="8">
        <v>25.5610504325863</v>
      </c>
      <c r="E1766" s="9" t="s">
        <v>1775</v>
      </c>
      <c r="I1766" s="12" t="str">
        <f>IFERROR(__xludf.DUMMYFUNCTION("""COMPUTED_VALUE"""),"0x9668f8af3ba0e5b370b6280b5ad81b01642fdaae")</f>
        <v>0x9668f8af3ba0e5b370b6280b5ad81b01642fdaae</v>
      </c>
      <c r="J1766" s="11">
        <v>91.06611371337885</v>
      </c>
      <c r="K1766" s="12">
        <v>202.36914158528634</v>
      </c>
      <c r="L1766" s="13">
        <v>2.0236914158528633E20</v>
      </c>
      <c r="M1766" s="9">
        <v>2.0236914158528635E19</v>
      </c>
    </row>
    <row r="1767" ht="15.75" customHeight="1">
      <c r="A1767" s="8"/>
      <c r="B1767" s="8"/>
      <c r="C1767" s="8"/>
      <c r="D1767" s="8">
        <v>27.9026907562088</v>
      </c>
      <c r="E1767" s="9" t="s">
        <v>1776</v>
      </c>
      <c r="I1767" s="12" t="str">
        <f>IFERROR(__xludf.DUMMYFUNCTION("""COMPUTED_VALUE"""),"0x967b53d39d24d3f047e18511edcd7dca4aaf8273")</f>
        <v>0x967b53d39d24d3f047e18511edcd7dca4aaf8273</v>
      </c>
      <c r="J1767" s="11">
        <v>88.1022948174577</v>
      </c>
      <c r="K1767" s="12">
        <v>195.7828773721282</v>
      </c>
      <c r="L1767" s="13">
        <v>1.957828773721282E20</v>
      </c>
      <c r="M1767" s="9">
        <v>1.957828773721282E19</v>
      </c>
    </row>
    <row r="1768" ht="15.75" customHeight="1">
      <c r="A1768" s="8"/>
      <c r="B1768" s="8"/>
      <c r="C1768" s="8"/>
      <c r="D1768" s="8">
        <v>27.9026907562088</v>
      </c>
      <c r="E1768" s="9" t="s">
        <v>1777</v>
      </c>
      <c r="I1768" s="12" t="str">
        <f>IFERROR(__xludf.DUMMYFUNCTION("""COMPUTED_VALUE"""),"0x967cf0c28637b6e7d6fcd7e1c0ca53806b45a2c7")</f>
        <v>0x967cf0c28637b6e7d6fcd7e1c0ca53806b45a2c7</v>
      </c>
      <c r="J1768" s="11">
        <v>27.9026907562088</v>
      </c>
      <c r="K1768" s="12">
        <v>62.005979458241775</v>
      </c>
      <c r="L1768" s="13">
        <v>6.200597945824177E19</v>
      </c>
      <c r="M1768" s="9">
        <v>6.2005979458241782E18</v>
      </c>
    </row>
    <row r="1769" ht="15.75" customHeight="1">
      <c r="A1769" s="8"/>
      <c r="B1769" s="8"/>
      <c r="C1769" s="8"/>
      <c r="D1769" s="8">
        <v>20.8008330432139</v>
      </c>
      <c r="E1769" s="9" t="s">
        <v>1778</v>
      </c>
      <c r="I1769" s="12" t="str">
        <f>IFERROR(__xludf.DUMMYFUNCTION("""COMPUTED_VALUE"""),"0x96906eb4a20c7b7b2d8aaf1c9553959458e68642")</f>
        <v>0x96906eb4a20c7b7b2d8aaf1c9553959458e68642</v>
      </c>
      <c r="J1769" s="11">
        <v>24.564115317827557</v>
      </c>
      <c r="K1769" s="12">
        <v>54.58692292850568</v>
      </c>
      <c r="L1769" s="13">
        <v>5.4586922928505676E19</v>
      </c>
      <c r="M1769" s="9">
        <v>5.4586922928505682E18</v>
      </c>
    </row>
    <row r="1770" ht="15.75" customHeight="1">
      <c r="A1770" s="8"/>
      <c r="B1770" s="8"/>
      <c r="C1770" s="8"/>
      <c r="D1770" s="8">
        <v>27.9026907562088</v>
      </c>
      <c r="E1770" s="9" t="s">
        <v>1779</v>
      </c>
      <c r="I1770" s="12" t="str">
        <f>IFERROR(__xludf.DUMMYFUNCTION("""COMPUTED_VALUE"""),"0x96e6dfd023504c6add0225518e38357d00444610")</f>
        <v>0x96e6dfd023504c6add0225518e38357d00444610</v>
      </c>
      <c r="J1770" s="11">
        <v>33.89572499660244</v>
      </c>
      <c r="K1770" s="12">
        <v>75.3238333257832</v>
      </c>
      <c r="L1770" s="13">
        <v>7.53238333257832E19</v>
      </c>
      <c r="M1770" s="9">
        <v>7.5323833325783204E18</v>
      </c>
    </row>
    <row r="1771" ht="15.75" customHeight="1">
      <c r="A1771" s="8"/>
      <c r="B1771" s="8"/>
      <c r="C1771" s="8"/>
      <c r="D1771" s="8">
        <v>27.9026907562088</v>
      </c>
      <c r="E1771" s="9" t="s">
        <v>1780</v>
      </c>
      <c r="I1771" s="12" t="str">
        <f>IFERROR(__xludf.DUMMYFUNCTION("""COMPUTED_VALUE"""),"0x96e858f84e0691b48b6215536686d79caf1b8288")</f>
        <v>0x96e858f84e0691b48b6215536686d79caf1b8288</v>
      </c>
      <c r="J1771" s="11">
        <v>27.9026907562088</v>
      </c>
      <c r="K1771" s="12">
        <v>62.005979458241775</v>
      </c>
      <c r="L1771" s="13">
        <v>6.200597945824177E19</v>
      </c>
      <c r="M1771" s="9">
        <v>6.2005979458241782E18</v>
      </c>
    </row>
    <row r="1772" ht="15.75" customHeight="1">
      <c r="A1772" s="8"/>
      <c r="B1772" s="8"/>
      <c r="C1772" s="8"/>
      <c r="D1772" s="8">
        <v>27.9026907562088</v>
      </c>
      <c r="E1772" s="9" t="s">
        <v>1781</v>
      </c>
      <c r="I1772" s="12" t="str">
        <f>IFERROR(__xludf.DUMMYFUNCTION("""COMPUTED_VALUE"""),"0x971912e15da506d3f73c5f577efda9ef0d6b15cf")</f>
        <v>0x971912e15da506d3f73c5f577efda9ef0d6b15cf</v>
      </c>
      <c r="J1772" s="11">
        <v>78.47653679375759</v>
      </c>
      <c r="K1772" s="12">
        <v>174.39230398612798</v>
      </c>
      <c r="L1772" s="13">
        <v>1.74392303986128E20</v>
      </c>
      <c r="M1772" s="9">
        <v>1.74392303986128E19</v>
      </c>
    </row>
    <row r="1773" ht="15.75" customHeight="1">
      <c r="A1773" s="8"/>
      <c r="B1773" s="8"/>
      <c r="C1773" s="8"/>
      <c r="D1773" s="8">
        <v>27.9026907562088</v>
      </c>
      <c r="E1773" s="9" t="s">
        <v>1782</v>
      </c>
      <c r="I1773" s="12" t="str">
        <f>IFERROR(__xludf.DUMMYFUNCTION("""COMPUTED_VALUE"""),"0x971cdd31accfcff7f1dcdef7b6c813279e364378")</f>
        <v>0x971cdd31accfcff7f1dcdef7b6c813279e364378</v>
      </c>
      <c r="J1773" s="11">
        <v>134.4807685065955</v>
      </c>
      <c r="K1773" s="12">
        <v>298.8461522368789</v>
      </c>
      <c r="L1773" s="13">
        <v>2.9884615223687886E20</v>
      </c>
      <c r="M1773" s="9">
        <v>2.988461522368789E19</v>
      </c>
    </row>
    <row r="1774" ht="15.75" customHeight="1">
      <c r="A1774" s="8"/>
      <c r="B1774" s="8"/>
      <c r="C1774" s="8"/>
      <c r="D1774" s="8">
        <v>17.2279914533096</v>
      </c>
      <c r="E1774" s="9" t="s">
        <v>1783</v>
      </c>
      <c r="I1774" s="12" t="str">
        <f>IFERROR(__xludf.DUMMYFUNCTION("""COMPUTED_VALUE"""),"0x972d6276c6f5e3d9de8ea2a307775ecb061b2ef2")</f>
        <v>0x972d6276c6f5e3d9de8ea2a307775ecb061b2ef2</v>
      </c>
      <c r="J1774" s="11">
        <v>17.2279914533096</v>
      </c>
      <c r="K1774" s="12">
        <v>38.28442545179911</v>
      </c>
      <c r="L1774" s="13">
        <v>3.828442545179911E19</v>
      </c>
      <c r="M1774" s="9">
        <v>3.8284425451799112E18</v>
      </c>
    </row>
    <row r="1775" ht="15.75" customHeight="1">
      <c r="A1775" s="8"/>
      <c r="B1775" s="8"/>
      <c r="C1775" s="8"/>
      <c r="D1775" s="8">
        <v>27.9026907562088</v>
      </c>
      <c r="E1775" s="9" t="s">
        <v>1784</v>
      </c>
      <c r="I1775" s="12" t="str">
        <f>IFERROR(__xludf.DUMMYFUNCTION("""COMPUTED_VALUE"""),"0x9733d6fde8f3a97fe46b08d7200669fb44f5fb38")</f>
        <v>0x9733d6fde8f3a97fe46b08d7200669fb44f5fb38</v>
      </c>
      <c r="J1775" s="11">
        <v>27.9026907562088</v>
      </c>
      <c r="K1775" s="12">
        <v>62.005979458241775</v>
      </c>
      <c r="L1775" s="13">
        <v>6.200597945824177E19</v>
      </c>
      <c r="M1775" s="9">
        <v>6.2005979458241782E18</v>
      </c>
    </row>
    <row r="1776" ht="15.75" customHeight="1">
      <c r="A1776" s="8"/>
      <c r="B1776" s="8"/>
      <c r="C1776" s="8"/>
      <c r="D1776" s="8">
        <v>27.9026907562088</v>
      </c>
      <c r="E1776" s="9" t="s">
        <v>1785</v>
      </c>
      <c r="I1776" s="12" t="str">
        <f>IFERROR(__xludf.DUMMYFUNCTION("""COMPUTED_VALUE"""),"0x973ccebf8452fbd0c0d9cee99b46f4708aa28178")</f>
        <v>0x973ccebf8452fbd0c0d9cee99b46f4708aa28178</v>
      </c>
      <c r="J1776" s="11">
        <v>27.9026907562088</v>
      </c>
      <c r="K1776" s="12">
        <v>62.005979458241775</v>
      </c>
      <c r="L1776" s="13">
        <v>6.200597945824177E19</v>
      </c>
      <c r="M1776" s="9">
        <v>6.2005979458241782E18</v>
      </c>
    </row>
    <row r="1777" ht="15.75" customHeight="1">
      <c r="A1777" s="8"/>
      <c r="B1777" s="8"/>
      <c r="C1777" s="8"/>
      <c r="D1777" s="8">
        <v>27.9026907562088</v>
      </c>
      <c r="E1777" s="9" t="s">
        <v>1786</v>
      </c>
      <c r="I1777" s="12" t="str">
        <f>IFERROR(__xludf.DUMMYFUNCTION("""COMPUTED_VALUE"""),"0x9743a924b33c0102bb27e2cd946f915e6ade8315")</f>
        <v>0x9743a924b33c0102bb27e2cd946f915e6ade8315</v>
      </c>
      <c r="J1777" s="11">
        <v>29.848481093998938</v>
      </c>
      <c r="K1777" s="12">
        <v>66.32995798666431</v>
      </c>
      <c r="L1777" s="13">
        <v>6.632995798666431E19</v>
      </c>
      <c r="M1777" s="9">
        <v>6.6329957986664315E18</v>
      </c>
    </row>
    <row r="1778" ht="15.75" customHeight="1">
      <c r="A1778" s="8"/>
      <c r="B1778" s="8"/>
      <c r="C1778" s="8"/>
      <c r="D1778" s="8">
        <v>27.9026907562088</v>
      </c>
      <c r="E1778" s="9" t="s">
        <v>1787</v>
      </c>
      <c r="I1778" s="12" t="str">
        <f>IFERROR(__xludf.DUMMYFUNCTION("""COMPUTED_VALUE"""),"0x9748c887809da7e89c7afa0fb62f8fd955486f50")</f>
        <v>0x9748c887809da7e89c7afa0fb62f8fd955486f50</v>
      </c>
      <c r="J1778" s="11">
        <v>99.01990746505399</v>
      </c>
      <c r="K1778" s="12">
        <v>220.04423881123108</v>
      </c>
      <c r="L1778" s="13">
        <v>2.200442388112311E20</v>
      </c>
      <c r="M1778" s="9">
        <v>2.200442388112311E19</v>
      </c>
    </row>
    <row r="1779" ht="15.75" customHeight="1">
      <c r="A1779" s="8"/>
      <c r="B1779" s="8"/>
      <c r="C1779" s="8"/>
      <c r="D1779" s="8">
        <v>27.9026907562088</v>
      </c>
      <c r="E1779" s="9" t="s">
        <v>1788</v>
      </c>
      <c r="I1779" s="12" t="str">
        <f>IFERROR(__xludf.DUMMYFUNCTION("""COMPUTED_VALUE"""),"0x975ba9c4d7b50617db627d5539bcaa8a19f65dab")</f>
        <v>0x975ba9c4d7b50617db627d5539bcaa8a19f65dab</v>
      </c>
      <c r="J1779" s="11">
        <v>30.502138364512067</v>
      </c>
      <c r="K1779" s="12">
        <v>67.78252969891571</v>
      </c>
      <c r="L1779" s="13">
        <v>6.778252969891571E19</v>
      </c>
      <c r="M1779" s="9">
        <v>6.7782529698915717E18</v>
      </c>
    </row>
    <row r="1780" ht="15.75" customHeight="1">
      <c r="A1780" s="8"/>
      <c r="B1780" s="8"/>
      <c r="C1780" s="8"/>
      <c r="D1780" s="8">
        <v>27.9026907562088</v>
      </c>
      <c r="E1780" s="9" t="s">
        <v>1789</v>
      </c>
      <c r="I1780" s="12" t="str">
        <f>IFERROR(__xludf.DUMMYFUNCTION("""COMPUTED_VALUE"""),"0x9767d18e0f7596e14788ce97c04288eab692b13c")</f>
        <v>0x9767d18e0f7596e14788ce97c04288eab692b13c</v>
      </c>
      <c r="J1780" s="11">
        <v>27.9026907562088</v>
      </c>
      <c r="K1780" s="12">
        <v>62.005979458241775</v>
      </c>
      <c r="L1780" s="13">
        <v>6.200597945824177E19</v>
      </c>
      <c r="M1780" s="9">
        <v>6.2005979458241782E18</v>
      </c>
    </row>
    <row r="1781" ht="15.75" customHeight="1">
      <c r="A1781" s="8"/>
      <c r="B1781" s="8"/>
      <c r="C1781" s="8"/>
      <c r="D1781" s="8">
        <v>11.7403444258391</v>
      </c>
      <c r="E1781" s="9" t="s">
        <v>1790</v>
      </c>
      <c r="I1781" s="12" t="str">
        <f>IFERROR(__xludf.DUMMYFUNCTION("""COMPUTED_VALUE"""),"0x977e371dca3a46078504a8caee1b8d1c347c912f")</f>
        <v>0x977e371dca3a46078504a8caee1b8d1c347c912f</v>
      </c>
      <c r="J1781" s="11">
        <v>11.7403444258391</v>
      </c>
      <c r="K1781" s="12">
        <v>26.089654279642442</v>
      </c>
      <c r="L1781" s="13">
        <v>2.6089654279642444E19</v>
      </c>
      <c r="M1781" s="9">
        <v>2.6089654279642445E18</v>
      </c>
    </row>
    <row r="1782" ht="15.75" customHeight="1">
      <c r="A1782" s="8"/>
      <c r="B1782" s="8"/>
      <c r="C1782" s="8"/>
      <c r="D1782" s="8">
        <v>25.466608097125</v>
      </c>
      <c r="E1782" s="9" t="s">
        <v>1791</v>
      </c>
      <c r="I1782" s="12" t="str">
        <f>IFERROR(__xludf.DUMMYFUNCTION("""COMPUTED_VALUE"""),"0x97d7f357c70f9883e87b68988e53049ba3242da0")</f>
        <v>0x97d7f357c70f9883e87b68988e53049ba3242da0</v>
      </c>
      <c r="J1782" s="11">
        <v>25.466608097125</v>
      </c>
      <c r="K1782" s="12">
        <v>56.592462438055556</v>
      </c>
      <c r="L1782" s="13">
        <v>5.659246243805556E19</v>
      </c>
      <c r="M1782" s="9">
        <v>5.6592462438055567E18</v>
      </c>
    </row>
    <row r="1783" ht="15.75" customHeight="1">
      <c r="A1783" s="8"/>
      <c r="B1783" s="8"/>
      <c r="C1783" s="8"/>
      <c r="D1783" s="8">
        <v>27.9026907562088</v>
      </c>
      <c r="E1783" s="9" t="s">
        <v>1792</v>
      </c>
      <c r="I1783" s="12" t="str">
        <f>IFERROR(__xludf.DUMMYFUNCTION("""COMPUTED_VALUE"""),"0x97ef33b171ba020ad097740a9615ecc2a513b96a")</f>
        <v>0x97ef33b171ba020ad097740a9615ecc2a513b96a</v>
      </c>
      <c r="J1783" s="11">
        <v>91.1199983031448</v>
      </c>
      <c r="K1783" s="12">
        <v>202.48888511809955</v>
      </c>
      <c r="L1783" s="13">
        <v>2.0248888511809955E20</v>
      </c>
      <c r="M1783" s="9">
        <v>2.0248888511809958E19</v>
      </c>
    </row>
    <row r="1784" ht="15.75" customHeight="1">
      <c r="A1784" s="8"/>
      <c r="B1784" s="8"/>
      <c r="C1784" s="8"/>
      <c r="D1784" s="8">
        <v>27.9026907562088</v>
      </c>
      <c r="E1784" s="9" t="s">
        <v>1793</v>
      </c>
      <c r="I1784" s="12" t="str">
        <f>IFERROR(__xludf.DUMMYFUNCTION("""COMPUTED_VALUE"""),"0x981cc27bd476fc300a28270555c7bebf09efbcff")</f>
        <v>0x981cc27bd476fc300a28270555c7bebf09efbcff</v>
      </c>
      <c r="J1784" s="11">
        <v>27.9026907562088</v>
      </c>
      <c r="K1784" s="12">
        <v>62.005979458241775</v>
      </c>
      <c r="L1784" s="13">
        <v>6.200597945824177E19</v>
      </c>
      <c r="M1784" s="9">
        <v>6.2005979458241782E18</v>
      </c>
    </row>
    <row r="1785" ht="15.75" customHeight="1">
      <c r="A1785" s="8"/>
      <c r="B1785" s="8"/>
      <c r="C1785" s="8"/>
      <c r="D1785" s="8">
        <v>27.9026907562088</v>
      </c>
      <c r="E1785" s="9" t="s">
        <v>1794</v>
      </c>
      <c r="I1785" s="12" t="str">
        <f>IFERROR(__xludf.DUMMYFUNCTION("""COMPUTED_VALUE"""),"0x984c5d268b220784e87fbe8edbb5c6b9f7ba9fc4")</f>
        <v>0x984c5d268b220784e87fbe8edbb5c6b9f7ba9fc4</v>
      </c>
      <c r="J1785" s="11">
        <v>879.3466695538579</v>
      </c>
      <c r="K1785" s="12">
        <v>1954.1037101196841</v>
      </c>
      <c r="L1785" s="13">
        <v>1.9541037101196842E21</v>
      </c>
      <c r="M1785" s="9">
        <v>1.9541037101196843E20</v>
      </c>
    </row>
    <row r="1786" ht="15.75" customHeight="1">
      <c r="A1786" s="8"/>
      <c r="B1786" s="8"/>
      <c r="C1786" s="8"/>
      <c r="D1786" s="8">
        <v>27.9026907562088</v>
      </c>
      <c r="E1786" s="9" t="s">
        <v>1795</v>
      </c>
      <c r="I1786" s="12" t="str">
        <f>IFERROR(__xludf.DUMMYFUNCTION("""COMPUTED_VALUE"""),"0x9852960133f1bfebe62915b8c10d8995f6fa5b36")</f>
        <v>0x9852960133f1bfebe62915b8c10d8995f6fa5b36</v>
      </c>
      <c r="J1786" s="11">
        <v>27.9026907562088</v>
      </c>
      <c r="K1786" s="12">
        <v>62.005979458241775</v>
      </c>
      <c r="L1786" s="13">
        <v>6.200597945824177E19</v>
      </c>
      <c r="M1786" s="9">
        <v>6.2005979458241782E18</v>
      </c>
    </row>
    <row r="1787" ht="15.75" customHeight="1">
      <c r="A1787" s="8"/>
      <c r="B1787" s="8"/>
      <c r="C1787" s="8"/>
      <c r="D1787" s="8">
        <v>27.9026907562088</v>
      </c>
      <c r="E1787" s="9" t="s">
        <v>1796</v>
      </c>
      <c r="I1787" s="12" t="str">
        <f>IFERROR(__xludf.DUMMYFUNCTION("""COMPUTED_VALUE"""),"0x9882f7e7e00410000397a9c08326f220558ff0aa")</f>
        <v>0x9882f7e7e00410000397a9c08326f220558ff0aa</v>
      </c>
      <c r="J1787" s="11">
        <v>91.1199983031448</v>
      </c>
      <c r="K1787" s="12">
        <v>202.48888511809955</v>
      </c>
      <c r="L1787" s="13">
        <v>2.0248888511809955E20</v>
      </c>
      <c r="M1787" s="9">
        <v>2.0248888511809958E19</v>
      </c>
    </row>
    <row r="1788" ht="15.75" customHeight="1">
      <c r="A1788" s="8"/>
      <c r="B1788" s="8"/>
      <c r="C1788" s="8"/>
      <c r="D1788" s="8">
        <v>27.9026907562088</v>
      </c>
      <c r="E1788" s="9" t="s">
        <v>1797</v>
      </c>
      <c r="I1788" s="12" t="str">
        <f>IFERROR(__xludf.DUMMYFUNCTION("""COMPUTED_VALUE"""),"0x9896b07c4c8ac407884ae81b8f2c6095f2b02043")</f>
        <v>0x9896b07c4c8ac407884ae81b8f2c6095f2b02043</v>
      </c>
      <c r="J1788" s="11">
        <v>91.1199983031448</v>
      </c>
      <c r="K1788" s="12">
        <v>202.48888511809955</v>
      </c>
      <c r="L1788" s="13">
        <v>2.0248888511809955E20</v>
      </c>
      <c r="M1788" s="9">
        <v>2.0248888511809958E19</v>
      </c>
    </row>
    <row r="1789" ht="15.75" customHeight="1">
      <c r="A1789" s="8"/>
      <c r="B1789" s="8"/>
      <c r="C1789" s="8"/>
      <c r="D1789" s="8">
        <v>27.9026907562088</v>
      </c>
      <c r="E1789" s="9" t="s">
        <v>1798</v>
      </c>
      <c r="I1789" s="12" t="str">
        <f>IFERROR(__xludf.DUMMYFUNCTION("""COMPUTED_VALUE"""),"0x98c045dcc378e578a40d9c9f000aa60a2bd12942")</f>
        <v>0x98c045dcc378e578a40d9c9f000aa60a2bd12942</v>
      </c>
      <c r="J1789" s="11">
        <v>106.6863210054659</v>
      </c>
      <c r="K1789" s="12">
        <v>237.08071334547978</v>
      </c>
      <c r="L1789" s="13">
        <v>2.3708071334547977E20</v>
      </c>
      <c r="M1789" s="9">
        <v>2.370807133454798E19</v>
      </c>
    </row>
    <row r="1790" ht="15.75" customHeight="1">
      <c r="A1790" s="8"/>
      <c r="B1790" s="8"/>
      <c r="C1790" s="8"/>
      <c r="D1790" s="8">
        <v>27.9026907562088</v>
      </c>
      <c r="E1790" s="9" t="s">
        <v>1799</v>
      </c>
      <c r="I1790" s="12" t="str">
        <f>IFERROR(__xludf.DUMMYFUNCTION("""COMPUTED_VALUE"""),"0x98d065ad72e733dd7a6eef5daedc066fb6e8417a")</f>
        <v>0x98d065ad72e733dd7a6eef5daedc066fb6e8417a</v>
      </c>
      <c r="J1790" s="11">
        <v>91.1199983031448</v>
      </c>
      <c r="K1790" s="12">
        <v>202.48888511809955</v>
      </c>
      <c r="L1790" s="13">
        <v>2.0248888511809955E20</v>
      </c>
      <c r="M1790" s="9">
        <v>2.0248888511809958E19</v>
      </c>
    </row>
    <row r="1791" ht="15.75" customHeight="1">
      <c r="A1791" s="8"/>
      <c r="B1791" s="8"/>
      <c r="C1791" s="8"/>
      <c r="D1791" s="8">
        <v>26.3848070512213</v>
      </c>
      <c r="E1791" s="9" t="s">
        <v>1800</v>
      </c>
      <c r="I1791" s="12" t="str">
        <f>IFERROR(__xludf.DUMMYFUNCTION("""COMPUTED_VALUE"""),"0x991ed920ad18864ec24c006917827087a18c8e62")</f>
        <v>0x991ed920ad18864ec24c006917827087a18c8e62</v>
      </c>
      <c r="J1791" s="11">
        <v>26.3848070512213</v>
      </c>
      <c r="K1791" s="12">
        <v>58.63290455826956</v>
      </c>
      <c r="L1791" s="13">
        <v>5.8632904558269555E19</v>
      </c>
      <c r="M1791" s="9">
        <v>5.8632904558269563E18</v>
      </c>
    </row>
    <row r="1792" ht="15.75" customHeight="1">
      <c r="A1792" s="8"/>
      <c r="B1792" s="8"/>
      <c r="C1792" s="8"/>
      <c r="D1792" s="8">
        <v>27.9026907562088</v>
      </c>
      <c r="E1792" s="9" t="s">
        <v>1801</v>
      </c>
      <c r="I1792" s="12" t="str">
        <f>IFERROR(__xludf.DUMMYFUNCTION("""COMPUTED_VALUE"""),"0x992f1eb0bff384e5497c3ca477b5bed6c7231db0")</f>
        <v>0x992f1eb0bff384e5497c3ca477b5bed6c7231db0</v>
      </c>
      <c r="J1792" s="11">
        <v>27.9026907562088</v>
      </c>
      <c r="K1792" s="12">
        <v>62.005979458241775</v>
      </c>
      <c r="L1792" s="13">
        <v>6.200597945824177E19</v>
      </c>
      <c r="M1792" s="9">
        <v>6.2005979458241782E18</v>
      </c>
    </row>
    <row r="1793" ht="15.75" customHeight="1">
      <c r="A1793" s="8"/>
      <c r="B1793" s="8"/>
      <c r="C1793" s="8"/>
      <c r="D1793" s="8">
        <v>27.9026907562088</v>
      </c>
      <c r="E1793" s="9" t="s">
        <v>1802</v>
      </c>
      <c r="I1793" s="12" t="str">
        <f>IFERROR(__xludf.DUMMYFUNCTION("""COMPUTED_VALUE"""),"0x99329a9d73f7136ee28e344bd85132eeafae3fdc")</f>
        <v>0x99329a9d73f7136ee28e344bd85132eeafae3fdc</v>
      </c>
      <c r="J1793" s="11">
        <v>91.1199983031448</v>
      </c>
      <c r="K1793" s="12">
        <v>202.48888511809955</v>
      </c>
      <c r="L1793" s="13">
        <v>2.0248888511809955E20</v>
      </c>
      <c r="M1793" s="9">
        <v>2.0248888511809958E19</v>
      </c>
    </row>
    <row r="1794" ht="15.75" customHeight="1">
      <c r="A1794" s="8"/>
      <c r="B1794" s="8"/>
      <c r="C1794" s="8"/>
      <c r="D1794" s="8">
        <v>27.9026907562088</v>
      </c>
      <c r="E1794" s="9" t="s">
        <v>1803</v>
      </c>
      <c r="I1794" s="12" t="str">
        <f>IFERROR(__xludf.DUMMYFUNCTION("""COMPUTED_VALUE"""),"0x9939629aed5c318e9e92e1a073d56ad0dcd481f2")</f>
        <v>0x9939629aed5c318e9e92e1a073d56ad0dcd481f2</v>
      </c>
      <c r="J1794" s="11">
        <v>91.1199983031448</v>
      </c>
      <c r="K1794" s="12">
        <v>202.48888511809955</v>
      </c>
      <c r="L1794" s="13">
        <v>2.0248888511809955E20</v>
      </c>
      <c r="M1794" s="9">
        <v>2.0248888511809958E19</v>
      </c>
    </row>
    <row r="1795" ht="15.75" customHeight="1">
      <c r="A1795" s="8"/>
      <c r="B1795" s="8"/>
      <c r="C1795" s="8"/>
      <c r="D1795" s="8">
        <v>27.9026907562088</v>
      </c>
      <c r="E1795" s="9" t="s">
        <v>1804</v>
      </c>
      <c r="I1795" s="12" t="str">
        <f>IFERROR(__xludf.DUMMYFUNCTION("""COMPUTED_VALUE"""),"0x994de30dc4a7bf4fb374670fec844a619ad9053b")</f>
        <v>0x994de30dc4a7bf4fb374670fec844a619ad9053b</v>
      </c>
      <c r="J1795" s="11">
        <v>27.9026907562088</v>
      </c>
      <c r="K1795" s="12">
        <v>62.005979458241775</v>
      </c>
      <c r="L1795" s="13">
        <v>6.200597945824177E19</v>
      </c>
      <c r="M1795" s="9">
        <v>6.2005979458241782E18</v>
      </c>
    </row>
    <row r="1796" ht="15.75" customHeight="1">
      <c r="A1796" s="8"/>
      <c r="B1796" s="8"/>
      <c r="C1796" s="8"/>
      <c r="D1796" s="8">
        <v>27.9026907562088</v>
      </c>
      <c r="E1796" s="9" t="s">
        <v>1805</v>
      </c>
      <c r="I1796" s="12" t="str">
        <f>IFERROR(__xludf.DUMMYFUNCTION("""COMPUTED_VALUE"""),"0x9988737a9eb5b430a76c369327009e3cbfd14276")</f>
        <v>0x9988737a9eb5b430a76c369327009e3cbfd14276</v>
      </c>
      <c r="J1796" s="11">
        <v>91.1199983031448</v>
      </c>
      <c r="K1796" s="12">
        <v>202.48888511809955</v>
      </c>
      <c r="L1796" s="13">
        <v>2.0248888511809955E20</v>
      </c>
      <c r="M1796" s="9">
        <v>2.0248888511809958E19</v>
      </c>
    </row>
    <row r="1797" ht="15.75" customHeight="1">
      <c r="A1797" s="8"/>
      <c r="B1797" s="8"/>
      <c r="C1797" s="8"/>
      <c r="D1797" s="8">
        <v>21.377844535627</v>
      </c>
      <c r="E1797" s="9" t="s">
        <v>1806</v>
      </c>
      <c r="I1797" s="12" t="str">
        <f>IFERROR(__xludf.DUMMYFUNCTION("""COMPUTED_VALUE"""),"0x99a44ebf80eb3dd3a4ef8a43a795d12a196a65b4")</f>
        <v>0x99a44ebf80eb3dd3a4ef8a43a795d12a196a65b4</v>
      </c>
      <c r="J1797" s="11">
        <v>21.377844535627</v>
      </c>
      <c r="K1797" s="12">
        <v>47.506321190282215</v>
      </c>
      <c r="L1797" s="13">
        <v>4.7506321190282215E19</v>
      </c>
      <c r="M1797" s="9">
        <v>4.750632119028222E18</v>
      </c>
    </row>
    <row r="1798" ht="15.75" customHeight="1">
      <c r="A1798" s="8"/>
      <c r="B1798" s="8"/>
      <c r="C1798" s="8"/>
      <c r="D1798" s="8">
        <v>27.9026907562088</v>
      </c>
      <c r="E1798" s="9" t="s">
        <v>1807</v>
      </c>
      <c r="I1798" s="12" t="str">
        <f>IFERROR(__xludf.DUMMYFUNCTION("""COMPUTED_VALUE"""),"0x99d23efa57887791b3b8e729fc53d73f80e88a91")</f>
        <v>0x99d23efa57887791b3b8e729fc53d73f80e88a91</v>
      </c>
      <c r="J1798" s="11">
        <v>27.9026907562088</v>
      </c>
      <c r="K1798" s="12">
        <v>62.005979458241775</v>
      </c>
      <c r="L1798" s="13">
        <v>6.200597945824177E19</v>
      </c>
      <c r="M1798" s="9">
        <v>6.2005979458241782E18</v>
      </c>
    </row>
    <row r="1799" ht="15.75" customHeight="1">
      <c r="A1799" s="8"/>
      <c r="B1799" s="8"/>
      <c r="C1799" s="8"/>
      <c r="D1799" s="8">
        <v>25.2649079247944</v>
      </c>
      <c r="E1799" s="9" t="s">
        <v>1808</v>
      </c>
      <c r="I1799" s="12" t="str">
        <f>IFERROR(__xludf.DUMMYFUNCTION("""COMPUTED_VALUE"""),"0x99df0a77697220e2aae27eda2360531719457321")</f>
        <v>0x99df0a77697220e2aae27eda2360531719457321</v>
      </c>
      <c r="J1799" s="11">
        <v>25.2649079247944</v>
      </c>
      <c r="K1799" s="12">
        <v>56.144239832876444</v>
      </c>
      <c r="L1799" s="13">
        <v>5.614423983287644E19</v>
      </c>
      <c r="M1799" s="9">
        <v>5.6144239832876442E18</v>
      </c>
    </row>
    <row r="1800" ht="15.75" customHeight="1">
      <c r="A1800" s="8"/>
      <c r="B1800" s="8"/>
      <c r="C1800" s="8"/>
      <c r="D1800" s="8">
        <v>27.9026907562088</v>
      </c>
      <c r="E1800" s="9" t="s">
        <v>1809</v>
      </c>
      <c r="I1800" s="12" t="str">
        <f>IFERROR(__xludf.DUMMYFUNCTION("""COMPUTED_VALUE"""),"0x99e9c853cf442f492078267f9c513ccbec0168d5")</f>
        <v>0x99e9c853cf442f492078267f9c513ccbec0168d5</v>
      </c>
      <c r="J1800" s="11">
        <v>27.9026907562088</v>
      </c>
      <c r="K1800" s="12">
        <v>62.005979458241775</v>
      </c>
      <c r="L1800" s="13">
        <v>6.200597945824177E19</v>
      </c>
      <c r="M1800" s="9">
        <v>6.2005979458241782E18</v>
      </c>
    </row>
    <row r="1801" ht="15.75" customHeight="1">
      <c r="A1801" s="8"/>
      <c r="B1801" s="8"/>
      <c r="C1801" s="8"/>
      <c r="D1801" s="8">
        <v>27.9026907562088</v>
      </c>
      <c r="E1801" s="9" t="s">
        <v>1810</v>
      </c>
      <c r="I1801" s="12" t="str">
        <f>IFERROR(__xludf.DUMMYFUNCTION("""COMPUTED_VALUE"""),"0x9a0161a9efc2a623bdb372b8b7b6882bc01a27c2")</f>
        <v>0x9a0161a9efc2a623bdb372b8b7b6882bc01a27c2</v>
      </c>
      <c r="J1801" s="11">
        <v>29.848481093998938</v>
      </c>
      <c r="K1801" s="12">
        <v>66.32995798666431</v>
      </c>
      <c r="L1801" s="13">
        <v>6.632995798666431E19</v>
      </c>
      <c r="M1801" s="9">
        <v>6.6329957986664315E18</v>
      </c>
    </row>
    <row r="1802" ht="15.75" customHeight="1">
      <c r="A1802" s="8"/>
      <c r="B1802" s="8"/>
      <c r="C1802" s="8"/>
      <c r="D1802" s="8">
        <v>27.9026907562088</v>
      </c>
      <c r="E1802" s="9" t="s">
        <v>1811</v>
      </c>
      <c r="I1802" s="12" t="str">
        <f>IFERROR(__xludf.DUMMYFUNCTION("""COMPUTED_VALUE"""),"0x9a06ded5a7fdbb1cf08f8414b18f73d078038fe2")</f>
        <v>0x9a06ded5a7fdbb1cf08f8414b18f73d078038fe2</v>
      </c>
      <c r="J1802" s="11">
        <v>77.9940868484777</v>
      </c>
      <c r="K1802" s="12">
        <v>173.32019299661712</v>
      </c>
      <c r="L1802" s="13">
        <v>1.7332019299661713E20</v>
      </c>
      <c r="M1802" s="9">
        <v>1.7332019299661713E19</v>
      </c>
    </row>
    <row r="1803" ht="15.75" customHeight="1">
      <c r="A1803" s="8"/>
      <c r="B1803" s="8"/>
      <c r="C1803" s="8"/>
      <c r="D1803" s="8">
        <v>27.8468466959486</v>
      </c>
      <c r="E1803" s="9" t="s">
        <v>1812</v>
      </c>
      <c r="I1803" s="12" t="str">
        <f>IFERROR(__xludf.DUMMYFUNCTION("""COMPUTED_VALUE"""),"0x9a096dee9cd3fcaf9f0f0806c1feaf176e2d5943")</f>
        <v>0x9a096dee9cd3fcaf9f0f0806c1feaf176e2d5943</v>
      </c>
      <c r="J1803" s="11">
        <v>90.9448776183295</v>
      </c>
      <c r="K1803" s="12">
        <v>202.0997280407322</v>
      </c>
      <c r="L1803" s="13">
        <v>2.020997280407322E20</v>
      </c>
      <c r="M1803" s="9">
        <v>2.0209972804073222E19</v>
      </c>
    </row>
    <row r="1804" ht="15.75" customHeight="1">
      <c r="A1804" s="8"/>
      <c r="B1804" s="8"/>
      <c r="C1804" s="8"/>
      <c r="D1804" s="8">
        <v>27.9026907562088</v>
      </c>
      <c r="E1804" s="9" t="s">
        <v>1813</v>
      </c>
      <c r="I1804" s="12" t="str">
        <f>IFERROR(__xludf.DUMMYFUNCTION("""COMPUTED_VALUE"""),"0x9a1ce61815c2e7cafd55a8ca2f03af7da34b1b84")</f>
        <v>0x9a1ce61815c2e7cafd55a8ca2f03af7da34b1b84</v>
      </c>
      <c r="J1804" s="11">
        <v>580.9252385575318</v>
      </c>
      <c r="K1804" s="12">
        <v>1290.9449745722927</v>
      </c>
      <c r="L1804" s="13">
        <v>1.2909449745722927E21</v>
      </c>
      <c r="M1804" s="9">
        <v>1.2909449745722927E20</v>
      </c>
    </row>
    <row r="1805" ht="15.75" customHeight="1">
      <c r="A1805" s="8"/>
      <c r="B1805" s="8"/>
      <c r="C1805" s="8"/>
      <c r="D1805" s="8">
        <v>26.5109852420094</v>
      </c>
      <c r="E1805" s="9" t="s">
        <v>1814</v>
      </c>
      <c r="I1805" s="12" t="str">
        <f>IFERROR(__xludf.DUMMYFUNCTION("""COMPUTED_VALUE"""),"0x9a23499b6056837e2407e384cb50871e38494e81")</f>
        <v>0x9a23499b6056837e2407e384cb50871e38494e81</v>
      </c>
      <c r="J1805" s="11">
        <v>26.5109852420094</v>
      </c>
      <c r="K1805" s="12">
        <v>58.91330053779867</v>
      </c>
      <c r="L1805" s="13">
        <v>5.891330053779867E19</v>
      </c>
      <c r="M1805" s="9">
        <v>5.8913300537798676E18</v>
      </c>
    </row>
    <row r="1806" ht="15.75" customHeight="1">
      <c r="A1806" s="8"/>
      <c r="B1806" s="8"/>
      <c r="C1806" s="8"/>
      <c r="D1806" s="8">
        <v>21.4053953098326</v>
      </c>
      <c r="E1806" s="9" t="s">
        <v>1815</v>
      </c>
      <c r="I1806" s="12" t="str">
        <f>IFERROR(__xludf.DUMMYFUNCTION("""COMPUTED_VALUE"""),"0x9a24210cb6a7dbb4439bc69c72b49ec6b0ffc182")</f>
        <v>0x9a24210cb6a7dbb4439bc69c72b49ec6b0ffc182</v>
      </c>
      <c r="J1806" s="11">
        <v>21.4053953098326</v>
      </c>
      <c r="K1806" s="12">
        <v>47.56754513296133</v>
      </c>
      <c r="L1806" s="13">
        <v>4.7567545132961325E19</v>
      </c>
      <c r="M1806" s="9">
        <v>4.7567545132961331E18</v>
      </c>
    </row>
    <row r="1807" ht="15.75" customHeight="1">
      <c r="A1807" s="8"/>
      <c r="B1807" s="8"/>
      <c r="C1807" s="8"/>
      <c r="D1807" s="8">
        <v>27.9026907562088</v>
      </c>
      <c r="E1807" s="9" t="s">
        <v>1816</v>
      </c>
      <c r="I1807" s="12" t="str">
        <f>IFERROR(__xludf.DUMMYFUNCTION("""COMPUTED_VALUE"""),"0x9a29967db9bb57bc4d16271b4b4884c2becefced")</f>
        <v>0x9a29967db9bb57bc4d16271b4b4884c2becefced</v>
      </c>
      <c r="J1807" s="11">
        <v>131.8907200111281</v>
      </c>
      <c r="K1807" s="12">
        <v>293.090488913618</v>
      </c>
      <c r="L1807" s="13">
        <v>2.93090488913618E20</v>
      </c>
      <c r="M1807" s="9">
        <v>2.9309048891361804E19</v>
      </c>
    </row>
    <row r="1808" ht="15.75" customHeight="1">
      <c r="A1808" s="8"/>
      <c r="B1808" s="8"/>
      <c r="C1808" s="8"/>
      <c r="D1808" s="8">
        <v>27.9026907562088</v>
      </c>
      <c r="E1808" s="9" t="s">
        <v>1817</v>
      </c>
      <c r="I1808" s="12" t="str">
        <f>IFERROR(__xludf.DUMMYFUNCTION("""COMPUTED_VALUE"""),"0x9a426af579354f69a281d3fcfcbfd06c80f403a4")</f>
        <v>0x9a426af579354f69a281d3fcfcbfd06c80f403a4</v>
      </c>
      <c r="J1808" s="11">
        <v>27.9026907562088</v>
      </c>
      <c r="K1808" s="12">
        <v>62.005979458241775</v>
      </c>
      <c r="L1808" s="13">
        <v>6.200597945824177E19</v>
      </c>
      <c r="M1808" s="9">
        <v>6.2005979458241782E18</v>
      </c>
    </row>
    <row r="1809" ht="15.75" customHeight="1">
      <c r="A1809" s="8"/>
      <c r="B1809" s="8"/>
      <c r="C1809" s="8"/>
      <c r="D1809" s="8">
        <v>25.5868086392086</v>
      </c>
      <c r="E1809" s="9" t="s">
        <v>1818</v>
      </c>
      <c r="I1809" s="12" t="str">
        <f>IFERROR(__xludf.DUMMYFUNCTION("""COMPUTED_VALUE"""),"0x9a5a2518e5105cd989a97299ac52552308a47153")</f>
        <v>0x9a5a2518e5105cd989a97299ac52552308a47153</v>
      </c>
      <c r="J1809" s="11">
        <v>25.5868086392086</v>
      </c>
      <c r="K1809" s="12">
        <v>56.859574753796885</v>
      </c>
      <c r="L1809" s="13">
        <v>5.685957475379688E19</v>
      </c>
      <c r="M1809" s="9">
        <v>5.6859574753796884E18</v>
      </c>
    </row>
    <row r="1810" ht="15.75" customHeight="1">
      <c r="A1810" s="8"/>
      <c r="B1810" s="8"/>
      <c r="C1810" s="8"/>
      <c r="D1810" s="8">
        <v>27.9026907562088</v>
      </c>
      <c r="E1810" s="9" t="s">
        <v>1819</v>
      </c>
      <c r="I1810" s="12" t="str">
        <f>IFERROR(__xludf.DUMMYFUNCTION("""COMPUTED_VALUE"""),"0x9a5b518b7a5db05fff65a21e445fc13537d1eb5d")</f>
        <v>0x9a5b518b7a5db05fff65a21e445fc13537d1eb5d</v>
      </c>
      <c r="J1810" s="11">
        <v>27.9026907562088</v>
      </c>
      <c r="K1810" s="12">
        <v>62.005979458241775</v>
      </c>
      <c r="L1810" s="13">
        <v>6.200597945824177E19</v>
      </c>
      <c r="M1810" s="9">
        <v>6.2005979458241782E18</v>
      </c>
    </row>
    <row r="1811" ht="15.75" customHeight="1">
      <c r="A1811" s="8"/>
      <c r="B1811" s="8"/>
      <c r="C1811" s="8"/>
      <c r="D1811" s="8">
        <v>27.9026907562088</v>
      </c>
      <c r="E1811" s="9" t="s">
        <v>1820</v>
      </c>
      <c r="I1811" s="12" t="str">
        <f>IFERROR(__xludf.DUMMYFUNCTION("""COMPUTED_VALUE"""),"0x9a6300b55e07129592390954bbea6d785d060e6c")</f>
        <v>0x9a6300b55e07129592390954bbea6d785d060e6c</v>
      </c>
      <c r="J1811" s="11">
        <v>91.1199983031448</v>
      </c>
      <c r="K1811" s="12">
        <v>202.48888511809955</v>
      </c>
      <c r="L1811" s="13">
        <v>2.0248888511809955E20</v>
      </c>
      <c r="M1811" s="9">
        <v>2.0248888511809958E19</v>
      </c>
    </row>
    <row r="1812" ht="15.75" customHeight="1">
      <c r="A1812" s="8"/>
      <c r="B1812" s="8"/>
      <c r="C1812" s="8"/>
      <c r="D1812" s="8">
        <v>27.9026907562088</v>
      </c>
      <c r="E1812" s="9" t="s">
        <v>1821</v>
      </c>
      <c r="I1812" s="12" t="str">
        <f>IFERROR(__xludf.DUMMYFUNCTION("""COMPUTED_VALUE"""),"0x9a670560401f8280ee879a04c0bfd3daccb584d5")</f>
        <v>0x9a670560401f8280ee879a04c0bfd3daccb584d5</v>
      </c>
      <c r="J1812" s="11">
        <v>27.9026907562088</v>
      </c>
      <c r="K1812" s="12">
        <v>62.005979458241775</v>
      </c>
      <c r="L1812" s="13">
        <v>6.200597945824177E19</v>
      </c>
      <c r="M1812" s="9">
        <v>6.2005979458241782E18</v>
      </c>
    </row>
    <row r="1813" ht="15.75" customHeight="1">
      <c r="A1813" s="8"/>
      <c r="B1813" s="8"/>
      <c r="C1813" s="8"/>
      <c r="D1813" s="8">
        <v>27.9026907562088</v>
      </c>
      <c r="E1813" s="9" t="s">
        <v>1822</v>
      </c>
      <c r="I1813" s="12" t="str">
        <f>IFERROR(__xludf.DUMMYFUNCTION("""COMPUTED_VALUE"""),"0x9a6ab9fdcb2e3136228c0556336b931d5d5b04bb")</f>
        <v>0x9a6ab9fdcb2e3136228c0556336b931d5d5b04bb</v>
      </c>
      <c r="J1813" s="11">
        <v>66.0707723607469</v>
      </c>
      <c r="K1813" s="12">
        <v>146.82393857943757</v>
      </c>
      <c r="L1813" s="13">
        <v>1.4682393857943757E20</v>
      </c>
      <c r="M1813" s="9">
        <v>1.4682393857943757E19</v>
      </c>
    </row>
    <row r="1814" ht="15.75" customHeight="1">
      <c r="A1814" s="8"/>
      <c r="B1814" s="8"/>
      <c r="C1814" s="8"/>
      <c r="D1814" s="8">
        <v>27.9026907562088</v>
      </c>
      <c r="E1814" s="9" t="s">
        <v>1823</v>
      </c>
      <c r="I1814" s="12" t="str">
        <f>IFERROR(__xludf.DUMMYFUNCTION("""COMPUTED_VALUE"""),"0x9a99f2d6dd87bf2fb75e1f615402b09c87a8063c")</f>
        <v>0x9a99f2d6dd87bf2fb75e1f615402b09c87a8063c</v>
      </c>
      <c r="J1814" s="11">
        <v>27.9026907562088</v>
      </c>
      <c r="K1814" s="12">
        <v>62.005979458241775</v>
      </c>
      <c r="L1814" s="13">
        <v>6.200597945824177E19</v>
      </c>
      <c r="M1814" s="9">
        <v>6.2005979458241782E18</v>
      </c>
    </row>
    <row r="1815" ht="15.75" customHeight="1">
      <c r="A1815" s="8"/>
      <c r="B1815" s="8"/>
      <c r="C1815" s="8"/>
      <c r="D1815" s="8">
        <v>27.9026907562088</v>
      </c>
      <c r="E1815" s="9" t="s">
        <v>1824</v>
      </c>
      <c r="I1815" s="12" t="str">
        <f>IFERROR(__xludf.DUMMYFUNCTION("""COMPUTED_VALUE"""),"0x9ad87c806bdc218dfb596d3d26a8f495f1a084da")</f>
        <v>0x9ad87c806bdc218dfb596d3d26a8f495f1a084da</v>
      </c>
      <c r="J1815" s="11">
        <v>27.9026907562088</v>
      </c>
      <c r="K1815" s="12">
        <v>62.005979458241775</v>
      </c>
      <c r="L1815" s="13">
        <v>6.200597945824177E19</v>
      </c>
      <c r="M1815" s="9">
        <v>6.2005979458241782E18</v>
      </c>
    </row>
    <row r="1816" ht="15.75" customHeight="1">
      <c r="A1816" s="8"/>
      <c r="B1816" s="8"/>
      <c r="C1816" s="8"/>
      <c r="D1816" s="8">
        <v>27.9026907562088</v>
      </c>
      <c r="E1816" s="9" t="s">
        <v>1825</v>
      </c>
      <c r="I1816" s="12" t="str">
        <f>IFERROR(__xludf.DUMMYFUNCTION("""COMPUTED_VALUE"""),"0x9aeaca0d9fef3da6e95b4949bce53d63d0c9e019")</f>
        <v>0x9aeaca0d9fef3da6e95b4949bce53d63d0c9e019</v>
      </c>
      <c r="J1816" s="11">
        <v>27.9026907562088</v>
      </c>
      <c r="K1816" s="12">
        <v>62.005979458241775</v>
      </c>
      <c r="L1816" s="13">
        <v>6.200597945824177E19</v>
      </c>
      <c r="M1816" s="9">
        <v>6.2005979458241782E18</v>
      </c>
    </row>
    <row r="1817" ht="15.75" customHeight="1">
      <c r="A1817" s="8"/>
      <c r="B1817" s="8"/>
      <c r="C1817" s="8"/>
      <c r="D1817" s="8">
        <v>27.9026907562088</v>
      </c>
      <c r="E1817" s="9" t="s">
        <v>1826</v>
      </c>
      <c r="I1817" s="12" t="str">
        <f>IFERROR(__xludf.DUMMYFUNCTION("""COMPUTED_VALUE"""),"0x9aef562bfa82f747a2558c491f79f8ec37ab50e5")</f>
        <v>0x9aef562bfa82f747a2558c491f79f8ec37ab50e5</v>
      </c>
      <c r="J1817" s="11">
        <v>27.9026907562088</v>
      </c>
      <c r="K1817" s="12">
        <v>62.005979458241775</v>
      </c>
      <c r="L1817" s="13">
        <v>6.200597945824177E19</v>
      </c>
      <c r="M1817" s="9">
        <v>6.2005979458241782E18</v>
      </c>
    </row>
    <row r="1818" ht="15.75" customHeight="1">
      <c r="A1818" s="8"/>
      <c r="B1818" s="8"/>
      <c r="C1818" s="8"/>
      <c r="D1818" s="8">
        <v>27.9026907562088</v>
      </c>
      <c r="E1818" s="9" t="s">
        <v>1827</v>
      </c>
      <c r="I1818" s="12" t="str">
        <f>IFERROR(__xludf.DUMMYFUNCTION("""COMPUTED_VALUE"""),"0x9af28eb4506c4dee5edaaf4d0d9e9f2685a800d3")</f>
        <v>0x9af28eb4506c4dee5edaaf4d0d9e9f2685a800d3</v>
      </c>
      <c r="J1818" s="11">
        <v>91.1199983031448</v>
      </c>
      <c r="K1818" s="12">
        <v>202.48888511809955</v>
      </c>
      <c r="L1818" s="13">
        <v>2.0248888511809955E20</v>
      </c>
      <c r="M1818" s="9">
        <v>2.0248888511809958E19</v>
      </c>
    </row>
    <row r="1819" ht="15.75" customHeight="1">
      <c r="A1819" s="8"/>
      <c r="B1819" s="8"/>
      <c r="C1819" s="8"/>
      <c r="D1819" s="8">
        <v>27.9026907562088</v>
      </c>
      <c r="E1819" s="9" t="s">
        <v>1828</v>
      </c>
      <c r="I1819" s="12" t="str">
        <f>IFERROR(__xludf.DUMMYFUNCTION("""COMPUTED_VALUE"""),"0x9b0cd7ff30f19ef4b3d031f7c84cb22a63080cd3")</f>
        <v>0x9b0cd7ff30f19ef4b3d031f7c84cb22a63080cd3</v>
      </c>
      <c r="J1819" s="11">
        <v>27.9026907562088</v>
      </c>
      <c r="K1819" s="12">
        <v>62.005979458241775</v>
      </c>
      <c r="L1819" s="13">
        <v>6.200597945824177E19</v>
      </c>
      <c r="M1819" s="9">
        <v>6.2005979458241782E18</v>
      </c>
    </row>
    <row r="1820" ht="15.75" customHeight="1">
      <c r="A1820" s="8"/>
      <c r="B1820" s="8"/>
      <c r="C1820" s="8"/>
      <c r="D1820" s="8">
        <v>27.9026907562088</v>
      </c>
      <c r="E1820" s="9" t="s">
        <v>1829</v>
      </c>
      <c r="I1820" s="12" t="str">
        <f>IFERROR(__xludf.DUMMYFUNCTION("""COMPUTED_VALUE"""),"0x9b45f2efb5d26a08fabfa659289dbff093b8a6a7")</f>
        <v>0x9b45f2efb5d26a08fabfa659289dbff093b8a6a7</v>
      </c>
      <c r="J1820" s="11">
        <v>27.9026907562088</v>
      </c>
      <c r="K1820" s="12">
        <v>62.005979458241775</v>
      </c>
      <c r="L1820" s="13">
        <v>6.200597945824177E19</v>
      </c>
      <c r="M1820" s="9">
        <v>6.2005979458241782E18</v>
      </c>
    </row>
    <row r="1821" ht="15.75" customHeight="1">
      <c r="A1821" s="8"/>
      <c r="B1821" s="8"/>
      <c r="C1821" s="8"/>
      <c r="D1821" s="8">
        <v>27.9026907562088</v>
      </c>
      <c r="E1821" s="9" t="s">
        <v>1830</v>
      </c>
      <c r="I1821" s="12" t="str">
        <f>IFERROR(__xludf.DUMMYFUNCTION("""COMPUTED_VALUE"""),"0x9b46a3aaf76f0f8b2ed1fed2c4425887cec1db44")</f>
        <v>0x9b46a3aaf76f0f8b2ed1fed2c4425887cec1db44</v>
      </c>
      <c r="J1821" s="11">
        <v>27.9026907562088</v>
      </c>
      <c r="K1821" s="12">
        <v>62.005979458241775</v>
      </c>
      <c r="L1821" s="13">
        <v>6.200597945824177E19</v>
      </c>
      <c r="M1821" s="9">
        <v>6.2005979458241782E18</v>
      </c>
    </row>
    <row r="1822" ht="15.75" customHeight="1">
      <c r="A1822" s="8"/>
      <c r="B1822" s="8"/>
      <c r="C1822" s="8"/>
      <c r="D1822" s="8">
        <v>27.9026907562088</v>
      </c>
      <c r="E1822" s="9" t="s">
        <v>1831</v>
      </c>
      <c r="I1822" s="12" t="str">
        <f>IFERROR(__xludf.DUMMYFUNCTION("""COMPUTED_VALUE"""),"0x9b8ecc555143fc33b9809e7f4dc69179161208ae")</f>
        <v>0x9b8ecc555143fc33b9809e7f4dc69179161208ae</v>
      </c>
      <c r="J1822" s="11">
        <v>36.29737286976584</v>
      </c>
      <c r="K1822" s="12">
        <v>80.66082859947964</v>
      </c>
      <c r="L1822" s="13">
        <v>8.066082859947965E19</v>
      </c>
      <c r="M1822" s="9">
        <v>8.0660828599479654E18</v>
      </c>
    </row>
    <row r="1823" ht="15.75" customHeight="1">
      <c r="A1823" s="8"/>
      <c r="B1823" s="8"/>
      <c r="C1823" s="8"/>
      <c r="D1823" s="8">
        <v>25.7886696155959</v>
      </c>
      <c r="E1823" s="9" t="s">
        <v>1832</v>
      </c>
      <c r="I1823" s="12" t="str">
        <f>IFERROR(__xludf.DUMMYFUNCTION("""COMPUTED_VALUE"""),"0x9b9ec109f4d01134696a9270ba382e69d383232e")</f>
        <v>0x9b9ec109f4d01134696a9270ba382e69d383232e</v>
      </c>
      <c r="J1823" s="11">
        <v>84.62847938182199</v>
      </c>
      <c r="K1823" s="12">
        <v>188.06328751515997</v>
      </c>
      <c r="L1823" s="13">
        <v>1.8806328751516E20</v>
      </c>
      <c r="M1823" s="9">
        <v>1.8806328751516E19</v>
      </c>
    </row>
    <row r="1824" ht="15.75" customHeight="1">
      <c r="A1824" s="8"/>
      <c r="B1824" s="8"/>
      <c r="C1824" s="8"/>
      <c r="D1824" s="8">
        <v>27.9026907562088</v>
      </c>
      <c r="E1824" s="9" t="s">
        <v>1833</v>
      </c>
      <c r="I1824" s="12" t="str">
        <f>IFERROR(__xludf.DUMMYFUNCTION("""COMPUTED_VALUE"""),"0x9ba4ab921cf526abac0277f5eb98ffd0ad10d07f")</f>
        <v>0x9ba4ab921cf526abac0277f5eb98ffd0ad10d07f</v>
      </c>
      <c r="J1824" s="11">
        <v>27.9026907562088</v>
      </c>
      <c r="K1824" s="12">
        <v>62.005979458241775</v>
      </c>
      <c r="L1824" s="13">
        <v>6.200597945824177E19</v>
      </c>
      <c r="M1824" s="9">
        <v>6.2005979458241782E18</v>
      </c>
    </row>
    <row r="1825" ht="15.75" customHeight="1">
      <c r="A1825" s="8"/>
      <c r="B1825" s="8"/>
      <c r="C1825" s="8"/>
      <c r="D1825" s="8">
        <v>27.9026907562088</v>
      </c>
      <c r="E1825" s="9" t="s">
        <v>1834</v>
      </c>
      <c r="I1825" s="12" t="str">
        <f>IFERROR(__xludf.DUMMYFUNCTION("""COMPUTED_VALUE"""),"0x9bcc3400a3a8d9db9f601e2a65e43042f6ad8ba5")</f>
        <v>0x9bcc3400a3a8d9db9f601e2a65e43042f6ad8ba5</v>
      </c>
      <c r="J1825" s="11">
        <v>27.9026907562088</v>
      </c>
      <c r="K1825" s="12">
        <v>62.005979458241775</v>
      </c>
      <c r="L1825" s="13">
        <v>6.200597945824177E19</v>
      </c>
      <c r="M1825" s="9">
        <v>6.2005979458241782E18</v>
      </c>
    </row>
    <row r="1826" ht="15.75" customHeight="1">
      <c r="A1826" s="8"/>
      <c r="B1826" s="8"/>
      <c r="C1826" s="8"/>
      <c r="D1826" s="8">
        <v>27.9026907562088</v>
      </c>
      <c r="E1826" s="9" t="s">
        <v>1835</v>
      </c>
      <c r="I1826" s="12" t="str">
        <f>IFERROR(__xludf.DUMMYFUNCTION("""COMPUTED_VALUE"""),"0x9bd99c41c4dcc607b03fee4db6a4c4114d605680")</f>
        <v>0x9bd99c41c4dcc607b03fee4db6a4c4114d605680</v>
      </c>
      <c r="J1826" s="11">
        <v>104.9740255082106</v>
      </c>
      <c r="K1826" s="12">
        <v>233.275612240468</v>
      </c>
      <c r="L1826" s="13">
        <v>2.3327561224046802E20</v>
      </c>
      <c r="M1826" s="9">
        <v>2.3327561224046805E19</v>
      </c>
    </row>
    <row r="1827" ht="15.75" customHeight="1">
      <c r="A1827" s="8"/>
      <c r="B1827" s="8"/>
      <c r="C1827" s="8"/>
      <c r="D1827" s="8">
        <v>16.5334561273982</v>
      </c>
      <c r="E1827" s="9" t="s">
        <v>1836</v>
      </c>
      <c r="I1827" s="12" t="str">
        <f>IFERROR(__xludf.DUMMYFUNCTION("""COMPUTED_VALUE"""),"0x9be7ad9e686f4736082a5d491c4c84c2f8982e33")</f>
        <v>0x9be7ad9e686f4736082a5d491c4c84c2f8982e33</v>
      </c>
      <c r="J1827" s="11">
        <v>16.5334561273982</v>
      </c>
      <c r="K1827" s="12">
        <v>36.74101361644044</v>
      </c>
      <c r="L1827" s="13">
        <v>3.674101361644044E19</v>
      </c>
      <c r="M1827" s="9">
        <v>3.6741013616440443E18</v>
      </c>
    </row>
    <row r="1828" ht="15.75" customHeight="1">
      <c r="A1828" s="8"/>
      <c r="B1828" s="8"/>
      <c r="C1828" s="8"/>
      <c r="D1828" s="8">
        <v>25.125713967143</v>
      </c>
      <c r="E1828" s="9" t="s">
        <v>1837</v>
      </c>
      <c r="I1828" s="12" t="str">
        <f>IFERROR(__xludf.DUMMYFUNCTION("""COMPUTED_VALUE"""),"0x9bf912ead53e84f0c72b1d73aa6fb4503189acbf")</f>
        <v>0x9bf912ead53e84f0c72b1d73aa6fb4503189acbf</v>
      </c>
      <c r="J1828" s="11">
        <v>25.125713967143</v>
      </c>
      <c r="K1828" s="12">
        <v>55.83491992698444</v>
      </c>
      <c r="L1828" s="13">
        <v>5.583491992698444E19</v>
      </c>
      <c r="M1828" s="9">
        <v>5.5834919926984448E18</v>
      </c>
    </row>
    <row r="1829" ht="15.75" customHeight="1">
      <c r="A1829" s="8"/>
      <c r="B1829" s="8"/>
      <c r="C1829" s="8"/>
      <c r="D1829" s="8">
        <v>27.9026907562088</v>
      </c>
      <c r="E1829" s="9" t="s">
        <v>1838</v>
      </c>
      <c r="I1829" s="12" t="str">
        <f>IFERROR(__xludf.DUMMYFUNCTION("""COMPUTED_VALUE"""),"0x9c1ed1428a5f6375d3505d5e46680d5a1afacb73")</f>
        <v>0x9c1ed1428a5f6375d3505d5e46680d5a1afacb73</v>
      </c>
      <c r="J1829" s="11">
        <v>27.9026907562088</v>
      </c>
      <c r="K1829" s="12">
        <v>62.005979458241775</v>
      </c>
      <c r="L1829" s="13">
        <v>6.200597945824177E19</v>
      </c>
      <c r="M1829" s="9">
        <v>6.2005979458241782E18</v>
      </c>
    </row>
    <row r="1830" ht="15.75" customHeight="1">
      <c r="A1830" s="8"/>
      <c r="B1830" s="8"/>
      <c r="C1830" s="8"/>
      <c r="D1830" s="8">
        <v>27.9026907562088</v>
      </c>
      <c r="E1830" s="9" t="s">
        <v>1839</v>
      </c>
      <c r="I1830" s="12" t="str">
        <f>IFERROR(__xludf.DUMMYFUNCTION("""COMPUTED_VALUE"""),"0x9c2a689e6c67478a6ed305617ee942d5143b658d")</f>
        <v>0x9c2a689e6c67478a6ed305617ee942d5143b658d</v>
      </c>
      <c r="J1830" s="11">
        <v>27.9026907562088</v>
      </c>
      <c r="K1830" s="12">
        <v>62.005979458241775</v>
      </c>
      <c r="L1830" s="13">
        <v>6.200597945824177E19</v>
      </c>
      <c r="M1830" s="9">
        <v>6.2005979458241782E18</v>
      </c>
    </row>
    <row r="1831" ht="15.75" customHeight="1">
      <c r="A1831" s="8"/>
      <c r="B1831" s="8"/>
      <c r="C1831" s="8"/>
      <c r="D1831" s="8">
        <v>27.9026907562088</v>
      </c>
      <c r="E1831" s="9" t="s">
        <v>1840</v>
      </c>
      <c r="I1831" s="12" t="str">
        <f>IFERROR(__xludf.DUMMYFUNCTION("""COMPUTED_VALUE"""),"0x9c2db3cc46f84a43951172b1f89dc3e555b4d5a7")</f>
        <v>0x9c2db3cc46f84a43951172b1f89dc3e555b4d5a7</v>
      </c>
      <c r="J1831" s="11">
        <v>164.126051777031</v>
      </c>
      <c r="K1831" s="12">
        <v>364.7245595045133</v>
      </c>
      <c r="L1831" s="13">
        <v>3.647245595045133E20</v>
      </c>
      <c r="M1831" s="9">
        <v>3.647245595045133E19</v>
      </c>
    </row>
    <row r="1832" ht="15.75" customHeight="1">
      <c r="A1832" s="8"/>
      <c r="B1832" s="8"/>
      <c r="C1832" s="8"/>
      <c r="D1832" s="8">
        <v>27.9026907562088</v>
      </c>
      <c r="E1832" s="9" t="s">
        <v>1841</v>
      </c>
      <c r="I1832" s="12" t="str">
        <f>IFERROR(__xludf.DUMMYFUNCTION("""COMPUTED_VALUE"""),"0x9c2f3f8391e6f80c45607104b9b9c2c894689c0a")</f>
        <v>0x9c2f3f8391e6f80c45607104b9b9c2c894689c0a</v>
      </c>
      <c r="J1832" s="11">
        <v>27.9026907562088</v>
      </c>
      <c r="K1832" s="12">
        <v>62.005979458241775</v>
      </c>
      <c r="L1832" s="13">
        <v>6.200597945824177E19</v>
      </c>
      <c r="M1832" s="9">
        <v>6.2005979458241782E18</v>
      </c>
    </row>
    <row r="1833" ht="15.75" customHeight="1">
      <c r="A1833" s="8"/>
      <c r="B1833" s="8"/>
      <c r="C1833" s="8"/>
      <c r="D1833" s="8">
        <v>25.9770991253145</v>
      </c>
      <c r="E1833" s="9" t="s">
        <v>1842</v>
      </c>
      <c r="I1833" s="12" t="str">
        <f>IFERROR(__xludf.DUMMYFUNCTION("""COMPUTED_VALUE"""),"0x9c37d8631a39c021dd08469414440187ffd7a983")</f>
        <v>0x9c37d8631a39c021dd08469414440187ffd7a983</v>
      </c>
      <c r="J1833" s="11">
        <v>25.9770991253145</v>
      </c>
      <c r="K1833" s="12">
        <v>57.72688694514333</v>
      </c>
      <c r="L1833" s="13">
        <v>5.7726886945143325E19</v>
      </c>
      <c r="M1833" s="9">
        <v>5.7726886945143327E18</v>
      </c>
    </row>
    <row r="1834" ht="15.75" customHeight="1">
      <c r="A1834" s="8"/>
      <c r="B1834" s="8"/>
      <c r="C1834" s="8"/>
      <c r="D1834" s="8">
        <v>27.9026907562088</v>
      </c>
      <c r="E1834" s="9" t="s">
        <v>1843</v>
      </c>
      <c r="I1834" s="12" t="str">
        <f>IFERROR(__xludf.DUMMYFUNCTION("""COMPUTED_VALUE"""),"0x9c4cfd0e9863201908892ef5413eaa61e36bab02")</f>
        <v>0x9c4cfd0e9863201908892ef5413eaa61e36bab02</v>
      </c>
      <c r="J1834" s="11">
        <v>110.5779016810462</v>
      </c>
      <c r="K1834" s="12">
        <v>245.7286704023249</v>
      </c>
      <c r="L1834" s="13">
        <v>2.457286704023249E20</v>
      </c>
      <c r="M1834" s="9">
        <v>2.457286704023249E19</v>
      </c>
    </row>
    <row r="1835" ht="15.75" customHeight="1">
      <c r="A1835" s="8"/>
      <c r="B1835" s="8"/>
      <c r="C1835" s="8"/>
      <c r="D1835" s="8">
        <v>26.531612149461</v>
      </c>
      <c r="E1835" s="9" t="s">
        <v>1844</v>
      </c>
      <c r="I1835" s="12" t="str">
        <f>IFERROR(__xludf.DUMMYFUNCTION("""COMPUTED_VALUE"""),"0x9c4d342437f354c603c7f36a270e9303accdbb15")</f>
        <v>0x9c4d342437f354c603c7f36a270e9303accdbb15</v>
      </c>
      <c r="J1835" s="11">
        <v>26.531612149461</v>
      </c>
      <c r="K1835" s="12">
        <v>58.95913810991333</v>
      </c>
      <c r="L1835" s="13">
        <v>5.895913810991333E19</v>
      </c>
      <c r="M1835" s="9">
        <v>5.8959138109913334E18</v>
      </c>
    </row>
    <row r="1836" ht="15.75" customHeight="1">
      <c r="A1836" s="8"/>
      <c r="B1836" s="8"/>
      <c r="C1836" s="8"/>
      <c r="D1836" s="8">
        <v>27.9026907562088</v>
      </c>
      <c r="E1836" s="9" t="s">
        <v>1845</v>
      </c>
      <c r="I1836" s="12" t="str">
        <f>IFERROR(__xludf.DUMMYFUNCTION("""COMPUTED_VALUE"""),"0x9c704df9eb81ef45f1da2699bd114febcb64c29a")</f>
        <v>0x9c704df9eb81ef45f1da2699bd114febcb64c29a</v>
      </c>
      <c r="J1836" s="11">
        <v>171.8940527992742</v>
      </c>
      <c r="K1836" s="12">
        <v>381.98678399838707</v>
      </c>
      <c r="L1836" s="13">
        <v>3.819867839983871E20</v>
      </c>
      <c r="M1836" s="9">
        <v>3.819867839983871E19</v>
      </c>
    </row>
    <row r="1837" ht="15.75" customHeight="1">
      <c r="A1837" s="8"/>
      <c r="B1837" s="8"/>
      <c r="C1837" s="8"/>
      <c r="D1837" s="8">
        <v>27.9026907562088</v>
      </c>
      <c r="E1837" s="9" t="s">
        <v>1846</v>
      </c>
      <c r="I1837" s="12" t="str">
        <f>IFERROR(__xludf.DUMMYFUNCTION("""COMPUTED_VALUE"""),"0x9c8566d0097046e3c0726b85474036b9cda78585")</f>
        <v>0x9c8566d0097046e3c0726b85474036b9cda78585</v>
      </c>
      <c r="J1837" s="11">
        <v>27.9026907562088</v>
      </c>
      <c r="K1837" s="12">
        <v>62.005979458241775</v>
      </c>
      <c r="L1837" s="13">
        <v>6.200597945824177E19</v>
      </c>
      <c r="M1837" s="9">
        <v>6.2005979458241782E18</v>
      </c>
    </row>
    <row r="1838" ht="15.75" customHeight="1">
      <c r="A1838" s="8"/>
      <c r="B1838" s="8"/>
      <c r="C1838" s="8"/>
      <c r="D1838" s="8">
        <v>27.9026907562088</v>
      </c>
      <c r="E1838" s="9" t="s">
        <v>1847</v>
      </c>
      <c r="I1838" s="12" t="str">
        <f>IFERROR(__xludf.DUMMYFUNCTION("""COMPUTED_VALUE"""),"0x9ca468da3efe13b408f803da5c2281734ee81b07")</f>
        <v>0x9ca468da3efe13b408f803da5c2281734ee81b07</v>
      </c>
      <c r="J1838" s="11">
        <v>91.1199983031448</v>
      </c>
      <c r="K1838" s="12">
        <v>202.48888511809955</v>
      </c>
      <c r="L1838" s="13">
        <v>2.0248888511809955E20</v>
      </c>
      <c r="M1838" s="9">
        <v>2.0248888511809958E19</v>
      </c>
    </row>
    <row r="1839" ht="15.75" customHeight="1">
      <c r="A1839" s="8"/>
      <c r="B1839" s="8"/>
      <c r="C1839" s="8"/>
      <c r="D1839" s="8">
        <v>27.9026907562088</v>
      </c>
      <c r="E1839" s="9" t="s">
        <v>1848</v>
      </c>
      <c r="I1839" s="12" t="str">
        <f>IFERROR(__xludf.DUMMYFUNCTION("""COMPUTED_VALUE"""),"0x9cb0e2afa1d32a4f077bc94e412d595dba6ebb71")</f>
        <v>0x9cb0e2afa1d32a4f077bc94e412d595dba6ebb71</v>
      </c>
      <c r="J1839" s="11">
        <v>157.2768697880097</v>
      </c>
      <c r="K1839" s="12">
        <v>349.504155084466</v>
      </c>
      <c r="L1839" s="13">
        <v>3.4950415508446596E20</v>
      </c>
      <c r="M1839" s="9">
        <v>3.4950415508446597E19</v>
      </c>
    </row>
    <row r="1840" ht="15.75" customHeight="1">
      <c r="A1840" s="8"/>
      <c r="B1840" s="8"/>
      <c r="C1840" s="8"/>
      <c r="D1840" s="8">
        <v>27.9026907562088</v>
      </c>
      <c r="E1840" s="9" t="s">
        <v>1849</v>
      </c>
      <c r="I1840" s="12" t="str">
        <f>IFERROR(__xludf.DUMMYFUNCTION("""COMPUTED_VALUE"""),"0x9ce599fb49c8e5fee16cdc088df8b194cf417b38")</f>
        <v>0x9ce599fb49c8e5fee16cdc088df8b194cf417b38</v>
      </c>
      <c r="J1840" s="11">
        <v>29.848481093998938</v>
      </c>
      <c r="K1840" s="12">
        <v>66.32995798666431</v>
      </c>
      <c r="L1840" s="13">
        <v>6.632995798666431E19</v>
      </c>
      <c r="M1840" s="9">
        <v>6.6329957986664315E18</v>
      </c>
    </row>
    <row r="1841" ht="15.75" customHeight="1">
      <c r="A1841" s="8"/>
      <c r="B1841" s="8"/>
      <c r="C1841" s="8"/>
      <c r="D1841" s="8">
        <v>27.9026907562088</v>
      </c>
      <c r="E1841" s="9" t="s">
        <v>1850</v>
      </c>
      <c r="I1841" s="12" t="str">
        <f>IFERROR(__xludf.DUMMYFUNCTION("""COMPUTED_VALUE"""),"0x9ced9f02c69dc9df18e38e9f4a3a34acc1022792")</f>
        <v>0x9ced9f02c69dc9df18e38e9f4a3a34acc1022792</v>
      </c>
      <c r="J1841" s="11">
        <v>27.9026907562088</v>
      </c>
      <c r="K1841" s="12">
        <v>62.005979458241775</v>
      </c>
      <c r="L1841" s="13">
        <v>6.200597945824177E19</v>
      </c>
      <c r="M1841" s="9">
        <v>6.2005979458241782E18</v>
      </c>
    </row>
    <row r="1842" ht="15.75" customHeight="1">
      <c r="A1842" s="8"/>
      <c r="B1842" s="8"/>
      <c r="C1842" s="8"/>
      <c r="D1842" s="8">
        <v>27.9026907562088</v>
      </c>
      <c r="E1842" s="9" t="s">
        <v>1851</v>
      </c>
      <c r="I1842" s="12" t="str">
        <f>IFERROR(__xludf.DUMMYFUNCTION("""COMPUTED_VALUE"""),"0x9d226f4e67a0d3019e1e6d075d48c241e52065a4")</f>
        <v>0x9d226f4e67a0d3019e1e6d075d48c241e52065a4</v>
      </c>
      <c r="J1842" s="11">
        <v>59.5268720573066</v>
      </c>
      <c r="K1842" s="12">
        <v>132.28193790512577</v>
      </c>
      <c r="L1842" s="13">
        <v>1.3228193790512577E20</v>
      </c>
      <c r="M1842" s="9">
        <v>1.3228193790512579E19</v>
      </c>
    </row>
    <row r="1843" ht="15.75" customHeight="1">
      <c r="A1843" s="8"/>
      <c r="B1843" s="8"/>
      <c r="C1843" s="8"/>
      <c r="D1843" s="8">
        <v>26.2108156193344</v>
      </c>
      <c r="E1843" s="9" t="s">
        <v>1852</v>
      </c>
      <c r="I1843" s="12" t="str">
        <f>IFERROR(__xludf.DUMMYFUNCTION("""COMPUTED_VALUE"""),"0x9d437a65c3c41302a020bed4402d0087593a147e")</f>
        <v>0x9d437a65c3c41302a020bed4402d0087593a147e</v>
      </c>
      <c r="J1843" s="11">
        <v>26.2108156193344</v>
      </c>
      <c r="K1843" s="12">
        <v>58.24625693185422</v>
      </c>
      <c r="L1843" s="13">
        <v>5.824625693185422E19</v>
      </c>
      <c r="M1843" s="9">
        <v>5.8246256931854223E18</v>
      </c>
    </row>
    <row r="1844" ht="15.75" customHeight="1">
      <c r="A1844" s="8"/>
      <c r="B1844" s="8"/>
      <c r="C1844" s="8"/>
      <c r="D1844" s="8">
        <v>20.7942355353083</v>
      </c>
      <c r="E1844" s="9" t="s">
        <v>1853</v>
      </c>
      <c r="I1844" s="12" t="str">
        <f>IFERROR(__xludf.DUMMYFUNCTION("""COMPUTED_VALUE"""),"0x9d539a4bc74c1c8c3ce04c64b88458dfea4f431e")</f>
        <v>0x9d539a4bc74c1c8c3ce04c64b88458dfea4f431e</v>
      </c>
      <c r="J1844" s="11">
        <v>20.7942355353083</v>
      </c>
      <c r="K1844" s="12">
        <v>46.20941230068511</v>
      </c>
      <c r="L1844" s="13">
        <v>4.620941230068511E19</v>
      </c>
      <c r="M1844" s="9">
        <v>4.6209412300685107E18</v>
      </c>
    </row>
    <row r="1845" ht="15.75" customHeight="1">
      <c r="A1845" s="8"/>
      <c r="B1845" s="8"/>
      <c r="C1845" s="8"/>
      <c r="D1845" s="8">
        <v>27.9026907562088</v>
      </c>
      <c r="E1845" s="9" t="s">
        <v>1854</v>
      </c>
      <c r="I1845" s="12" t="str">
        <f>IFERROR(__xludf.DUMMYFUNCTION("""COMPUTED_VALUE"""),"0x9d5531a034c125ac14f0780e6e99310739ad0b14")</f>
        <v>0x9d5531a034c125ac14f0780e6e99310739ad0b14</v>
      </c>
      <c r="J1845" s="11">
        <v>260.1359153738868</v>
      </c>
      <c r="K1845" s="12">
        <v>578.0798119419707</v>
      </c>
      <c r="L1845" s="13">
        <v>5.780798119419707E20</v>
      </c>
      <c r="M1845" s="9">
        <v>5.780798119419707E19</v>
      </c>
    </row>
    <row r="1846" ht="15.75" customHeight="1">
      <c r="A1846" s="8"/>
      <c r="B1846" s="8"/>
      <c r="C1846" s="8"/>
      <c r="D1846" s="8">
        <v>27.9026907562088</v>
      </c>
      <c r="E1846" s="9" t="s">
        <v>1855</v>
      </c>
      <c r="I1846" s="12" t="str">
        <f>IFERROR(__xludf.DUMMYFUNCTION("""COMPUTED_VALUE"""),"0x9d7ba10d81cbd3cb56f35fd5292bf52b9d384fa3")</f>
        <v>0x9d7ba10d81cbd3cb56f35fd5292bf52b9d384fa3</v>
      </c>
      <c r="J1846" s="11">
        <v>27.9026907562088</v>
      </c>
      <c r="K1846" s="12">
        <v>62.005979458241775</v>
      </c>
      <c r="L1846" s="13">
        <v>6.200597945824177E19</v>
      </c>
      <c r="M1846" s="9">
        <v>6.2005979458241782E18</v>
      </c>
    </row>
    <row r="1847" ht="15.75" customHeight="1">
      <c r="A1847" s="8"/>
      <c r="B1847" s="8"/>
      <c r="C1847" s="8"/>
      <c r="D1847" s="8">
        <v>13.4910003013036</v>
      </c>
      <c r="E1847" s="9" t="s">
        <v>1856</v>
      </c>
      <c r="I1847" s="12" t="str">
        <f>IFERROR(__xludf.DUMMYFUNCTION("""COMPUTED_VALUE"""),"0x9d99a85415b3ee8aa210b56e5a76a7085d058399")</f>
        <v>0x9d99a85415b3ee8aa210b56e5a76a7085d058399</v>
      </c>
      <c r="J1847" s="11">
        <v>235.6545558787336</v>
      </c>
      <c r="K1847" s="12">
        <v>523.6767908416302</v>
      </c>
      <c r="L1847" s="13">
        <v>5.2367679084163026E20</v>
      </c>
      <c r="M1847" s="9">
        <v>5.236767908416303E19</v>
      </c>
    </row>
    <row r="1848" ht="15.75" customHeight="1">
      <c r="A1848" s="8"/>
      <c r="B1848" s="8"/>
      <c r="C1848" s="8"/>
      <c r="D1848" s="8">
        <v>27.9026907562088</v>
      </c>
      <c r="E1848" s="9" t="s">
        <v>1857</v>
      </c>
      <c r="I1848" s="12" t="str">
        <f>IFERROR(__xludf.DUMMYFUNCTION("""COMPUTED_VALUE"""),"0x9db9a311d97191c1e1d674d6a4d9a9531d1ecc7c")</f>
        <v>0x9db9a311d97191c1e1d674d6a4d9a9531d1ecc7c</v>
      </c>
      <c r="J1848" s="11">
        <v>28.66129844677203</v>
      </c>
      <c r="K1848" s="12">
        <v>63.691774326160065</v>
      </c>
      <c r="L1848" s="13">
        <v>6.3691774326160065E19</v>
      </c>
      <c r="M1848" s="9">
        <v>6.3691774326160067E18</v>
      </c>
    </row>
    <row r="1849" ht="15.75" customHeight="1">
      <c r="A1849" s="8"/>
      <c r="B1849" s="8"/>
      <c r="C1849" s="8"/>
      <c r="D1849" s="8">
        <v>27.9026907562088</v>
      </c>
      <c r="E1849" s="9" t="s">
        <v>1858</v>
      </c>
      <c r="I1849" s="12" t="str">
        <f>IFERROR(__xludf.DUMMYFUNCTION("""COMPUTED_VALUE"""),"0x9dbcc76199de962d35e3db9b133563f28178227f")</f>
        <v>0x9dbcc76199de962d35e3db9b133563f28178227f</v>
      </c>
      <c r="J1849" s="11">
        <v>91.1199983031448</v>
      </c>
      <c r="K1849" s="12">
        <v>202.48888511809955</v>
      </c>
      <c r="L1849" s="13">
        <v>2.0248888511809955E20</v>
      </c>
      <c r="M1849" s="9">
        <v>2.0248888511809958E19</v>
      </c>
    </row>
    <row r="1850" ht="15.75" customHeight="1">
      <c r="A1850" s="8"/>
      <c r="B1850" s="8"/>
      <c r="C1850" s="8"/>
      <c r="D1850" s="8">
        <v>27.9026907562088</v>
      </c>
      <c r="E1850" s="9" t="s">
        <v>1859</v>
      </c>
      <c r="I1850" s="12" t="str">
        <f>IFERROR(__xludf.DUMMYFUNCTION("""COMPUTED_VALUE"""),"0x9dd561747b6f8b6b12217ed4e680d598f0ff9302")</f>
        <v>0x9dd561747b6f8b6b12217ed4e680d598f0ff9302</v>
      </c>
      <c r="J1850" s="11">
        <v>91.57667155658801</v>
      </c>
      <c r="K1850" s="12">
        <v>203.50371457019557</v>
      </c>
      <c r="L1850" s="13">
        <v>2.0350371457019557E20</v>
      </c>
      <c r="M1850" s="9">
        <v>2.0350371457019556E19</v>
      </c>
    </row>
    <row r="1851" ht="15.75" customHeight="1">
      <c r="A1851" s="8"/>
      <c r="B1851" s="8"/>
      <c r="C1851" s="8"/>
      <c r="D1851" s="8">
        <v>27.9026907562088</v>
      </c>
      <c r="E1851" s="9" t="s">
        <v>1860</v>
      </c>
      <c r="I1851" s="12" t="str">
        <f>IFERROR(__xludf.DUMMYFUNCTION("""COMPUTED_VALUE"""),"0x9dda346797c5b946c2c384553373539e7d370178")</f>
        <v>0x9dda346797c5b946c2c384553373539e7d370178</v>
      </c>
      <c r="J1851" s="11">
        <v>102.7947403298856</v>
      </c>
      <c r="K1851" s="12">
        <v>228.43275628863466</v>
      </c>
      <c r="L1851" s="13">
        <v>2.2843275628863465E20</v>
      </c>
      <c r="M1851" s="9">
        <v>2.2843275628863468E19</v>
      </c>
    </row>
    <row r="1852" ht="15.75" customHeight="1">
      <c r="A1852" s="8"/>
      <c r="B1852" s="8"/>
      <c r="C1852" s="8"/>
      <c r="D1852" s="8">
        <v>27.9026907562088</v>
      </c>
      <c r="E1852" s="9" t="s">
        <v>1861</v>
      </c>
      <c r="I1852" s="12" t="str">
        <f>IFERROR(__xludf.DUMMYFUNCTION("""COMPUTED_VALUE"""),"0x9de736b671f842b2f84bd12f10de1066c765eea5")</f>
        <v>0x9de736b671f842b2f84bd12f10de1066c765eea5</v>
      </c>
      <c r="J1852" s="11">
        <v>91.1199983031448</v>
      </c>
      <c r="K1852" s="12">
        <v>202.48888511809955</v>
      </c>
      <c r="L1852" s="13">
        <v>2.0248888511809955E20</v>
      </c>
      <c r="M1852" s="9">
        <v>2.0248888511809958E19</v>
      </c>
    </row>
    <row r="1853" ht="15.75" customHeight="1">
      <c r="A1853" s="8"/>
      <c r="B1853" s="8"/>
      <c r="C1853" s="8"/>
      <c r="D1853" s="8">
        <v>7.25247006276924</v>
      </c>
      <c r="E1853" s="9" t="s">
        <v>1862</v>
      </c>
      <c r="I1853" s="12" t="str">
        <f>IFERROR(__xludf.DUMMYFUNCTION("""COMPUTED_VALUE"""),"0x9e13f5b45487346b8b01a859aee24db2e57b4abf")</f>
        <v>0x9e13f5b45487346b8b01a859aee24db2e57b4abf</v>
      </c>
      <c r="J1853" s="11">
        <v>7.25247006276924</v>
      </c>
      <c r="K1853" s="12">
        <v>16.1166001394872</v>
      </c>
      <c r="L1853" s="13">
        <v>1.6116600139487201E19</v>
      </c>
      <c r="M1853" s="9">
        <v>1.61166001394872013E18</v>
      </c>
    </row>
    <row r="1854" ht="15.75" customHeight="1">
      <c r="A1854" s="8"/>
      <c r="B1854" s="8"/>
      <c r="C1854" s="8"/>
      <c r="D1854" s="8">
        <v>27.9026907562088</v>
      </c>
      <c r="E1854" s="9" t="s">
        <v>1863</v>
      </c>
      <c r="I1854" s="12" t="str">
        <f>IFERROR(__xludf.DUMMYFUNCTION("""COMPUTED_VALUE"""),"0x9e4786715a63fb037eb3fc11836ae648441eb739")</f>
        <v>0x9e4786715a63fb037eb3fc11836ae648441eb739</v>
      </c>
      <c r="J1854" s="11">
        <v>91.1199983031448</v>
      </c>
      <c r="K1854" s="12">
        <v>202.48888511809955</v>
      </c>
      <c r="L1854" s="13">
        <v>2.0248888511809955E20</v>
      </c>
      <c r="M1854" s="9">
        <v>2.0248888511809958E19</v>
      </c>
    </row>
    <row r="1855" ht="15.75" customHeight="1">
      <c r="A1855" s="8"/>
      <c r="B1855" s="8"/>
      <c r="C1855" s="8"/>
      <c r="D1855" s="8">
        <v>26.7257752983983</v>
      </c>
      <c r="E1855" s="9" t="s">
        <v>1864</v>
      </c>
      <c r="I1855" s="12" t="str">
        <f>IFERROR(__xludf.DUMMYFUNCTION("""COMPUTED_VALUE"""),"0x9e4d983092cb027f22e96787227983d661d1f6bd")</f>
        <v>0x9e4d983092cb027f22e96787227983d661d1f6bd</v>
      </c>
      <c r="J1855" s="11">
        <v>26.7257752983983</v>
      </c>
      <c r="K1855" s="12">
        <v>59.39061177421844</v>
      </c>
      <c r="L1855" s="13">
        <v>5.9390611774218445E19</v>
      </c>
      <c r="M1855" s="9">
        <v>5.9390611774218445E18</v>
      </c>
    </row>
    <row r="1856" ht="15.75" customHeight="1">
      <c r="A1856" s="8"/>
      <c r="B1856" s="8"/>
      <c r="C1856" s="8"/>
      <c r="D1856" s="8">
        <v>27.9026907562088</v>
      </c>
      <c r="E1856" s="9" t="s">
        <v>1865</v>
      </c>
      <c r="I1856" s="12" t="str">
        <f>IFERROR(__xludf.DUMMYFUNCTION("""COMPUTED_VALUE"""),"0x9e5b9940d19b9d351be516bb493e3b8a2b4303ad")</f>
        <v>0x9e5b9940d19b9d351be516bb493e3b8a2b4303ad</v>
      </c>
      <c r="J1856" s="11">
        <v>93.45494670849297</v>
      </c>
      <c r="K1856" s="12">
        <v>207.6776593522066</v>
      </c>
      <c r="L1856" s="13">
        <v>2.076776593522066E20</v>
      </c>
      <c r="M1856" s="9">
        <v>2.0767765935220662E19</v>
      </c>
    </row>
    <row r="1857" ht="15.75" customHeight="1">
      <c r="A1857" s="8"/>
      <c r="B1857" s="8"/>
      <c r="C1857" s="8"/>
      <c r="D1857" s="8">
        <v>27.9026907562088</v>
      </c>
      <c r="E1857" s="9" t="s">
        <v>1866</v>
      </c>
      <c r="I1857" s="12" t="str">
        <f>IFERROR(__xludf.DUMMYFUNCTION("""COMPUTED_VALUE"""),"0x9e66504a892fa84705c24a4bd41e67b6be581c65")</f>
        <v>0x9e66504a892fa84705c24a4bd41e67b6be581c65</v>
      </c>
      <c r="J1857" s="11">
        <v>91.1199983031448</v>
      </c>
      <c r="K1857" s="12">
        <v>202.48888511809955</v>
      </c>
      <c r="L1857" s="13">
        <v>2.0248888511809955E20</v>
      </c>
      <c r="M1857" s="9">
        <v>2.0248888511809958E19</v>
      </c>
    </row>
    <row r="1858" ht="15.75" customHeight="1">
      <c r="A1858" s="8"/>
      <c r="B1858" s="8"/>
      <c r="C1858" s="8"/>
      <c r="D1858" s="8">
        <v>27.9026907562088</v>
      </c>
      <c r="E1858" s="9" t="s">
        <v>1867</v>
      </c>
      <c r="I1858" s="12" t="str">
        <f>IFERROR(__xludf.DUMMYFUNCTION("""COMPUTED_VALUE"""),"0x9e7f237617ef3bdc3a1933440e5ee24e4380805f")</f>
        <v>0x9e7f237617ef3bdc3a1933440e5ee24e4380805f</v>
      </c>
      <c r="J1858" s="11">
        <v>27.9026907562088</v>
      </c>
      <c r="K1858" s="12">
        <v>62.005979458241775</v>
      </c>
      <c r="L1858" s="13">
        <v>6.200597945824177E19</v>
      </c>
      <c r="M1858" s="9">
        <v>6.2005979458241782E18</v>
      </c>
    </row>
    <row r="1859" ht="15.75" customHeight="1">
      <c r="A1859" s="8"/>
      <c r="B1859" s="8"/>
      <c r="C1859" s="8"/>
      <c r="D1859" s="8">
        <v>27.9026907562088</v>
      </c>
      <c r="E1859" s="9" t="s">
        <v>1868</v>
      </c>
      <c r="I1859" s="12" t="str">
        <f>IFERROR(__xludf.DUMMYFUNCTION("""COMPUTED_VALUE"""),"0x9e822121536292e5a03ec238b78a629f7a204d54")</f>
        <v>0x9e822121536292e5a03ec238b78a629f7a204d54</v>
      </c>
      <c r="J1859" s="11">
        <v>27.9026907562088</v>
      </c>
      <c r="K1859" s="12">
        <v>62.005979458241775</v>
      </c>
      <c r="L1859" s="13">
        <v>6.200597945824177E19</v>
      </c>
      <c r="M1859" s="9">
        <v>6.2005979458241782E18</v>
      </c>
    </row>
    <row r="1860" ht="15.75" customHeight="1">
      <c r="A1860" s="8"/>
      <c r="B1860" s="8"/>
      <c r="C1860" s="8"/>
      <c r="D1860" s="8">
        <v>27.9026907562088</v>
      </c>
      <c r="E1860" s="9" t="s">
        <v>1869</v>
      </c>
      <c r="I1860" s="12" t="str">
        <f>IFERROR(__xludf.DUMMYFUNCTION("""COMPUTED_VALUE"""),"0x9e83a125daa1638f2c618208c797cc1728580f99")</f>
        <v>0x9e83a125daa1638f2c618208c797cc1728580f99</v>
      </c>
      <c r="J1860" s="11">
        <v>271.14490951355583</v>
      </c>
      <c r="K1860" s="12">
        <v>602.5442433634574</v>
      </c>
      <c r="L1860" s="13">
        <v>6.025442433634574E20</v>
      </c>
      <c r="M1860" s="9">
        <v>6.025442433634574E19</v>
      </c>
    </row>
    <row r="1861" ht="15.75" customHeight="1">
      <c r="A1861" s="8"/>
      <c r="B1861" s="8"/>
      <c r="C1861" s="8"/>
      <c r="D1861" s="8">
        <v>27.9026907562088</v>
      </c>
      <c r="E1861" s="9" t="s">
        <v>1870</v>
      </c>
      <c r="I1861" s="12" t="str">
        <f>IFERROR(__xludf.DUMMYFUNCTION("""COMPUTED_VALUE"""),"0x9eae41228838fd4a66967fb17e7fe10679dd0cc0")</f>
        <v>0x9eae41228838fd4a66967fb17e7fe10679dd0cc0</v>
      </c>
      <c r="J1861" s="11">
        <v>27.9026907562088</v>
      </c>
      <c r="K1861" s="12">
        <v>62.005979458241775</v>
      </c>
      <c r="L1861" s="13">
        <v>6.200597945824177E19</v>
      </c>
      <c r="M1861" s="9">
        <v>6.2005979458241782E18</v>
      </c>
    </row>
    <row r="1862" ht="15.75" customHeight="1">
      <c r="A1862" s="8"/>
      <c r="B1862" s="8"/>
      <c r="C1862" s="8"/>
      <c r="D1862" s="8">
        <v>27.9026907562088</v>
      </c>
      <c r="E1862" s="9" t="s">
        <v>1871</v>
      </c>
      <c r="I1862" s="12" t="str">
        <f>IFERROR(__xludf.DUMMYFUNCTION("""COMPUTED_VALUE"""),"0x9eb86e4977b0db3a4967dffc565c51a43b76f58b")</f>
        <v>0x9eb86e4977b0db3a4967dffc565c51a43b76f58b</v>
      </c>
      <c r="J1862" s="11">
        <v>93.10470444769074</v>
      </c>
      <c r="K1862" s="12">
        <v>206.89934321709052</v>
      </c>
      <c r="L1862" s="13">
        <v>2.0689934321709053E20</v>
      </c>
      <c r="M1862" s="9">
        <v>2.068993432170905E19</v>
      </c>
    </row>
    <row r="1863" ht="15.75" customHeight="1">
      <c r="A1863" s="8"/>
      <c r="B1863" s="8"/>
      <c r="C1863" s="8"/>
      <c r="D1863" s="8">
        <v>24.7825721909373</v>
      </c>
      <c r="E1863" s="9" t="s">
        <v>1872</v>
      </c>
      <c r="I1863" s="12" t="str">
        <f>IFERROR(__xludf.DUMMYFUNCTION("""COMPUTED_VALUE"""),"0x9ebd9a0f17b24b3ab8c9b4995076ae89a8199d8d")</f>
        <v>0x9ebd9a0f17b24b3ab8c9b4995076ae89a8199d8d</v>
      </c>
      <c r="J1863" s="11">
        <v>24.7825721909373</v>
      </c>
      <c r="K1863" s="12">
        <v>55.07238264652734</v>
      </c>
      <c r="L1863" s="13">
        <v>5.507238264652734E19</v>
      </c>
      <c r="M1863" s="9">
        <v>5.5072382646527334E18</v>
      </c>
    </row>
    <row r="1864" ht="15.75" customHeight="1">
      <c r="A1864" s="8"/>
      <c r="B1864" s="8"/>
      <c r="C1864" s="8"/>
      <c r="D1864" s="8">
        <v>27.9026907562088</v>
      </c>
      <c r="E1864" s="9" t="s">
        <v>1873</v>
      </c>
      <c r="I1864" s="12" t="str">
        <f>IFERROR(__xludf.DUMMYFUNCTION("""COMPUTED_VALUE"""),"0x9efe066ea7c0b7f64834e9d7807717cb4a75f13c")</f>
        <v>0x9efe066ea7c0b7f64834e9d7807717cb4a75f13c</v>
      </c>
      <c r="J1864" s="11">
        <v>91.1199983031448</v>
      </c>
      <c r="K1864" s="12">
        <v>202.48888511809955</v>
      </c>
      <c r="L1864" s="13">
        <v>2.0248888511809955E20</v>
      </c>
      <c r="M1864" s="9">
        <v>2.0248888511809958E19</v>
      </c>
    </row>
    <row r="1865" ht="15.75" customHeight="1">
      <c r="A1865" s="8"/>
      <c r="B1865" s="8"/>
      <c r="C1865" s="8"/>
      <c r="D1865" s="8">
        <v>19.3924143811656</v>
      </c>
      <c r="E1865" s="9" t="s">
        <v>1874</v>
      </c>
      <c r="I1865" s="12" t="str">
        <f>IFERROR(__xludf.DUMMYFUNCTION("""COMPUTED_VALUE"""),"0x9eff5fc06d7e14dff4e7fae5f5246a954d7205f4")</f>
        <v>0x9eff5fc06d7e14dff4e7fae5f5246a954d7205f4</v>
      </c>
      <c r="J1865" s="11">
        <v>19.3924143811656</v>
      </c>
      <c r="K1865" s="12">
        <v>43.094254180368004</v>
      </c>
      <c r="L1865" s="13">
        <v>4.309425418036801E19</v>
      </c>
      <c r="M1865" s="9">
        <v>4.309425418036801E18</v>
      </c>
    </row>
    <row r="1866" ht="15.75" customHeight="1">
      <c r="A1866" s="8"/>
      <c r="B1866" s="8"/>
      <c r="C1866" s="8"/>
      <c r="D1866" s="8">
        <v>27.9026907562088</v>
      </c>
      <c r="E1866" s="9" t="s">
        <v>1875</v>
      </c>
      <c r="I1866" s="12" t="str">
        <f>IFERROR(__xludf.DUMMYFUNCTION("""COMPUTED_VALUE"""),"0x9f200c031a541d2a3223889a2e26c92d72828061")</f>
        <v>0x9f200c031a541d2a3223889a2e26c92d72828061</v>
      </c>
      <c r="J1866" s="11">
        <v>27.9026907562088</v>
      </c>
      <c r="K1866" s="12">
        <v>62.005979458241775</v>
      </c>
      <c r="L1866" s="13">
        <v>6.200597945824177E19</v>
      </c>
      <c r="M1866" s="9">
        <v>6.2005979458241782E18</v>
      </c>
    </row>
    <row r="1867" ht="15.75" customHeight="1">
      <c r="A1867" s="8"/>
      <c r="B1867" s="8"/>
      <c r="C1867" s="8"/>
      <c r="D1867" s="8">
        <v>19.4349223282595</v>
      </c>
      <c r="E1867" s="9" t="s">
        <v>1876</v>
      </c>
      <c r="I1867" s="12" t="str">
        <f>IFERROR(__xludf.DUMMYFUNCTION("""COMPUTED_VALUE"""),"0x9f3680efb2287ac6a7c75b662f20055baa381733")</f>
        <v>0x9f3680efb2287ac6a7c75b662f20055baa381733</v>
      </c>
      <c r="J1867" s="11">
        <v>19.4349223282595</v>
      </c>
      <c r="K1867" s="12">
        <v>43.18871628502111</v>
      </c>
      <c r="L1867" s="13">
        <v>4.318871628502111E19</v>
      </c>
      <c r="M1867" s="9">
        <v>4.3188716285021112E18</v>
      </c>
    </row>
    <row r="1868" ht="15.75" customHeight="1">
      <c r="A1868" s="8"/>
      <c r="B1868" s="8"/>
      <c r="C1868" s="8"/>
      <c r="D1868" s="8">
        <v>27.9026907562088</v>
      </c>
      <c r="E1868" s="9" t="s">
        <v>1877</v>
      </c>
      <c r="I1868" s="12" t="str">
        <f>IFERROR(__xludf.DUMMYFUNCTION("""COMPUTED_VALUE"""),"0x9f3cbb6fd7d9583db18f41addd6e12e84d10ee00")</f>
        <v>0x9f3cbb6fd7d9583db18f41addd6e12e84d10ee00</v>
      </c>
      <c r="J1868" s="11">
        <v>27.9026907562088</v>
      </c>
      <c r="K1868" s="12">
        <v>62.005979458241775</v>
      </c>
      <c r="L1868" s="13">
        <v>6.200597945824177E19</v>
      </c>
      <c r="M1868" s="9">
        <v>6.2005979458241782E18</v>
      </c>
    </row>
    <row r="1869" ht="15.75" customHeight="1">
      <c r="A1869" s="8"/>
      <c r="B1869" s="8"/>
      <c r="C1869" s="8"/>
      <c r="D1869" s="8">
        <v>27.4587908891601</v>
      </c>
      <c r="E1869" s="9" t="s">
        <v>1878</v>
      </c>
      <c r="I1869" s="12" t="str">
        <f>IFERROR(__xludf.DUMMYFUNCTION("""COMPUTED_VALUE"""),"0x9f3f66da80bb8101f6c770f6cf5d9023d7819da4")</f>
        <v>0x9f3f66da80bb8101f6c770f6cf5d9023d7819da4</v>
      </c>
      <c r="J1869" s="11">
        <v>29.37716280247541</v>
      </c>
      <c r="K1869" s="12">
        <v>65.28258400550091</v>
      </c>
      <c r="L1869" s="13">
        <v>6.528258400550091E19</v>
      </c>
      <c r="M1869" s="9">
        <v>6.5282584005500918E18</v>
      </c>
    </row>
    <row r="1870" ht="15.75" customHeight="1">
      <c r="A1870" s="8"/>
      <c r="B1870" s="8"/>
      <c r="C1870" s="8"/>
      <c r="D1870" s="8">
        <v>27.9026907562088</v>
      </c>
      <c r="E1870" s="9" t="s">
        <v>1879</v>
      </c>
      <c r="I1870" s="12" t="str">
        <f>IFERROR(__xludf.DUMMYFUNCTION("""COMPUTED_VALUE"""),"0x9f48505022eb7358bcd0d1343fbc2ead84da0230")</f>
        <v>0x9f48505022eb7358bcd0d1343fbc2ead84da0230</v>
      </c>
      <c r="J1870" s="11">
        <v>27.9026907562088</v>
      </c>
      <c r="K1870" s="12">
        <v>62.005979458241775</v>
      </c>
      <c r="L1870" s="13">
        <v>6.200597945824177E19</v>
      </c>
      <c r="M1870" s="9">
        <v>6.2005979458241782E18</v>
      </c>
    </row>
    <row r="1871" ht="15.75" customHeight="1">
      <c r="A1871" s="8"/>
      <c r="B1871" s="8"/>
      <c r="C1871" s="8"/>
      <c r="D1871" s="8">
        <v>27.9026907562088</v>
      </c>
      <c r="E1871" s="9" t="s">
        <v>1880</v>
      </c>
      <c r="I1871" s="12" t="str">
        <f>IFERROR(__xludf.DUMMYFUNCTION("""COMPUTED_VALUE"""),"0x9f5026b8e23a2ac6fcaa79f8791cb3f23f87a66c")</f>
        <v>0x9f5026b8e23a2ac6fcaa79f8791cb3f23f87a66c</v>
      </c>
      <c r="J1871" s="11">
        <v>91.1199983031448</v>
      </c>
      <c r="K1871" s="12">
        <v>202.48888511809955</v>
      </c>
      <c r="L1871" s="13">
        <v>2.0248888511809955E20</v>
      </c>
      <c r="M1871" s="9">
        <v>2.0248888511809958E19</v>
      </c>
    </row>
    <row r="1872" ht="15.75" customHeight="1">
      <c r="A1872" s="8"/>
      <c r="B1872" s="8"/>
      <c r="C1872" s="8"/>
      <c r="D1872" s="8">
        <v>27.9026907562088</v>
      </c>
      <c r="E1872" s="9" t="s">
        <v>1881</v>
      </c>
      <c r="I1872" s="12" t="str">
        <f>IFERROR(__xludf.DUMMYFUNCTION("""COMPUTED_VALUE"""),"0x9f5ecf5aa91d62eb017d69c10b2c60d549cf0c28")</f>
        <v>0x9f5ecf5aa91d62eb017d69c10b2c60d549cf0c28</v>
      </c>
      <c r="J1872" s="11">
        <v>27.9026907562088</v>
      </c>
      <c r="K1872" s="12">
        <v>62.005979458241775</v>
      </c>
      <c r="L1872" s="13">
        <v>6.200597945824177E19</v>
      </c>
      <c r="M1872" s="9">
        <v>6.2005979458241782E18</v>
      </c>
    </row>
    <row r="1873" ht="15.75" customHeight="1">
      <c r="A1873" s="8"/>
      <c r="B1873" s="8"/>
      <c r="C1873" s="8"/>
      <c r="D1873" s="8">
        <v>27.9026907562088</v>
      </c>
      <c r="E1873" s="9" t="s">
        <v>1882</v>
      </c>
      <c r="I1873" s="12" t="str">
        <f>IFERROR(__xludf.DUMMYFUNCTION("""COMPUTED_VALUE"""),"0x9fa7819d13b8e3fe50b1a0765203f94a82a85763")</f>
        <v>0x9fa7819d13b8e3fe50b1a0765203f94a82a85763</v>
      </c>
      <c r="J1873" s="11">
        <v>91.1199983031448</v>
      </c>
      <c r="K1873" s="12">
        <v>202.48888511809955</v>
      </c>
      <c r="L1873" s="13">
        <v>2.0248888511809955E20</v>
      </c>
      <c r="M1873" s="9">
        <v>2.0248888511809958E19</v>
      </c>
    </row>
    <row r="1874" ht="15.75" customHeight="1">
      <c r="A1874" s="8"/>
      <c r="B1874" s="8"/>
      <c r="C1874" s="8"/>
      <c r="D1874" s="8">
        <v>0.378778633715999</v>
      </c>
      <c r="E1874" s="9" t="s">
        <v>1883</v>
      </c>
      <c r="I1874" s="12" t="str">
        <f>IFERROR(__xludf.DUMMYFUNCTION("""COMPUTED_VALUE"""),"0x9fbba8d721945e8930e1d01dbc7ea49280e71669")</f>
        <v>0x9fbba8d721945e8930e1d01dbc7ea49280e71669</v>
      </c>
      <c r="J1874" s="11">
        <v>0.4192196779283852</v>
      </c>
      <c r="K1874" s="12">
        <v>0.9315992842853005</v>
      </c>
      <c r="L1874" s="13">
        <v>9.3159928428530048E17</v>
      </c>
      <c r="M1874" s="9">
        <v>9.3159928428530048E16</v>
      </c>
    </row>
    <row r="1875" ht="15.75" customHeight="1">
      <c r="A1875" s="8"/>
      <c r="B1875" s="8"/>
      <c r="C1875" s="8"/>
      <c r="D1875" s="8">
        <v>25.710785916495</v>
      </c>
      <c r="E1875" s="9" t="s">
        <v>1884</v>
      </c>
      <c r="I1875" s="12" t="str">
        <f>IFERROR(__xludf.DUMMYFUNCTION("""COMPUTED_VALUE"""),"0x9fcf43cd19e7521f5f4d134820c832e2492c2cf4")</f>
        <v>0x9fcf43cd19e7521f5f4d134820c832e2492c2cf4</v>
      </c>
      <c r="J1875" s="11">
        <v>25.710785916495</v>
      </c>
      <c r="K1875" s="12">
        <v>57.135079814433325</v>
      </c>
      <c r="L1875" s="13">
        <v>5.7135079814433325E19</v>
      </c>
      <c r="M1875" s="9">
        <v>5.7135079814433331E18</v>
      </c>
    </row>
    <row r="1876" ht="15.75" customHeight="1">
      <c r="A1876" s="8"/>
      <c r="B1876" s="8"/>
      <c r="C1876" s="8"/>
      <c r="D1876" s="8">
        <v>26.6735849842298</v>
      </c>
      <c r="E1876" s="9" t="s">
        <v>1885</v>
      </c>
      <c r="I1876" s="12" t="str">
        <f>IFERROR(__xludf.DUMMYFUNCTION("""COMPUTED_VALUE"""),"0x9fd34a2fdb75c48caa23572ab12b7c667574cab5")</f>
        <v>0x9fd34a2fdb75c48caa23572ab12b7c667574cab5</v>
      </c>
      <c r="J1876" s="11">
        <v>26.6735849842298</v>
      </c>
      <c r="K1876" s="12">
        <v>59.27463329828845</v>
      </c>
      <c r="L1876" s="13">
        <v>5.927463329828845E19</v>
      </c>
      <c r="M1876" s="9">
        <v>5.9274633298288456E18</v>
      </c>
    </row>
    <row r="1877" ht="15.75" customHeight="1">
      <c r="A1877" s="8"/>
      <c r="B1877" s="8"/>
      <c r="C1877" s="8"/>
      <c r="D1877" s="8">
        <v>27.9026907562088</v>
      </c>
      <c r="E1877" s="9" t="s">
        <v>1886</v>
      </c>
      <c r="I1877" s="12" t="str">
        <f>IFERROR(__xludf.DUMMYFUNCTION("""COMPUTED_VALUE"""),"0x9fd863218129c3008e743016da05c102b42a5e15")</f>
        <v>0x9fd863218129c3008e743016da05c102b42a5e15</v>
      </c>
      <c r="J1877" s="11">
        <v>91.1199983031448</v>
      </c>
      <c r="K1877" s="12">
        <v>202.48888511809955</v>
      </c>
      <c r="L1877" s="13">
        <v>2.0248888511809955E20</v>
      </c>
      <c r="M1877" s="9">
        <v>2.0248888511809958E19</v>
      </c>
    </row>
    <row r="1878" ht="15.75" customHeight="1">
      <c r="A1878" s="8"/>
      <c r="B1878" s="8"/>
      <c r="C1878" s="8"/>
      <c r="D1878" s="8">
        <v>19.998513485216</v>
      </c>
      <c r="E1878" s="9" t="s">
        <v>1887</v>
      </c>
      <c r="I1878" s="12" t="str">
        <f>IFERROR(__xludf.DUMMYFUNCTION("""COMPUTED_VALUE"""),"0xa0157d435b6337c92ba7dd47bd5068cfe7f17139")</f>
        <v>0xa0157d435b6337c92ba7dd47bd5068cfe7f17139</v>
      </c>
      <c r="J1878" s="11">
        <v>56.257938140297</v>
      </c>
      <c r="K1878" s="12">
        <v>125.0176403117711</v>
      </c>
      <c r="L1878" s="13">
        <v>1.250176403117711E20</v>
      </c>
      <c r="M1878" s="9">
        <v>1.2501764031177112E19</v>
      </c>
    </row>
    <row r="1879" ht="15.75" customHeight="1">
      <c r="A1879" s="8"/>
      <c r="B1879" s="8"/>
      <c r="C1879" s="8"/>
      <c r="D1879" s="8">
        <v>27.9026907562088</v>
      </c>
      <c r="E1879" s="9" t="s">
        <v>1888</v>
      </c>
      <c r="I1879" s="12" t="str">
        <f>IFERROR(__xludf.DUMMYFUNCTION("""COMPUTED_VALUE"""),"0xa0505b378a28e286a5771ecec63cba0f84cd7a46")</f>
        <v>0xa0505b378a28e286a5771ecec63cba0f84cd7a46</v>
      </c>
      <c r="J1879" s="11">
        <v>27.9026907562088</v>
      </c>
      <c r="K1879" s="12">
        <v>62.005979458241775</v>
      </c>
      <c r="L1879" s="13">
        <v>6.200597945824177E19</v>
      </c>
      <c r="M1879" s="9">
        <v>6.2005979458241782E18</v>
      </c>
    </row>
    <row r="1880" ht="15.75" customHeight="1">
      <c r="A1880" s="8"/>
      <c r="B1880" s="8"/>
      <c r="C1880" s="8"/>
      <c r="D1880" s="8">
        <v>26.2376495619004</v>
      </c>
      <c r="E1880" s="9" t="s">
        <v>1889</v>
      </c>
      <c r="I1880" s="12" t="str">
        <f>IFERROR(__xludf.DUMMYFUNCTION("""COMPUTED_VALUE"""),"0xa05f5aa19dc950a3d98fd2df857c2be7e098e613")</f>
        <v>0xa05f5aa19dc950a3d98fd2df857c2be7e098e613</v>
      </c>
      <c r="J1880" s="11">
        <v>26.2376495619004</v>
      </c>
      <c r="K1880" s="12">
        <v>58.305887915334225</v>
      </c>
      <c r="L1880" s="13">
        <v>5.830588791533422E19</v>
      </c>
      <c r="M1880" s="9">
        <v>5.8305887915334226E18</v>
      </c>
    </row>
    <row r="1881" ht="15.75" customHeight="1">
      <c r="A1881" s="8"/>
      <c r="B1881" s="8"/>
      <c r="C1881" s="8"/>
      <c r="D1881" s="8">
        <v>27.9026907562088</v>
      </c>
      <c r="E1881" s="9" t="s">
        <v>1890</v>
      </c>
      <c r="I1881" s="12" t="str">
        <f>IFERROR(__xludf.DUMMYFUNCTION("""COMPUTED_VALUE"""),"0xa06eccefddae343b40a08647f2e1bfac6ea919ef")</f>
        <v>0xa06eccefddae343b40a08647f2e1bfac6ea919ef</v>
      </c>
      <c r="J1881" s="11">
        <v>27.9026907562088</v>
      </c>
      <c r="K1881" s="12">
        <v>62.005979458241775</v>
      </c>
      <c r="L1881" s="13">
        <v>6.200597945824177E19</v>
      </c>
      <c r="M1881" s="9">
        <v>6.2005979458241782E18</v>
      </c>
    </row>
    <row r="1882" ht="15.75" customHeight="1">
      <c r="A1882" s="8"/>
      <c r="B1882" s="8"/>
      <c r="C1882" s="8"/>
      <c r="D1882" s="8">
        <v>26.7520748506875</v>
      </c>
      <c r="E1882" s="9" t="s">
        <v>1891</v>
      </c>
      <c r="I1882" s="12" t="str">
        <f>IFERROR(__xludf.DUMMYFUNCTION("""COMPUTED_VALUE"""),"0xa0a17f5d92f4b250d463cf5a16549fe6371f6db6")</f>
        <v>0xa0a17f5d92f4b250d463cf5a16549fe6371f6db6</v>
      </c>
      <c r="J1882" s="11">
        <v>89.31181036090642</v>
      </c>
      <c r="K1882" s="12">
        <v>198.47068969090316</v>
      </c>
      <c r="L1882" s="13">
        <v>1.9847068969090315E20</v>
      </c>
      <c r="M1882" s="9">
        <v>1.9847068969090314E19</v>
      </c>
    </row>
    <row r="1883" ht="15.75" customHeight="1">
      <c r="A1883" s="8"/>
      <c r="B1883" s="8"/>
      <c r="C1883" s="8"/>
      <c r="D1883" s="8">
        <v>26.9165630758448</v>
      </c>
      <c r="E1883" s="9" t="s">
        <v>1892</v>
      </c>
      <c r="I1883" s="12" t="str">
        <f>IFERROR(__xludf.DUMMYFUNCTION("""COMPUTED_VALUE"""),"0xa0b9eaf37acf6634f04c1f1e7001791cbb7762da")</f>
        <v>0xa0b9eaf37acf6634f04c1f1e7001791cbb7762da</v>
      </c>
      <c r="J1883" s="11">
        <v>26.9165630758448</v>
      </c>
      <c r="K1883" s="12">
        <v>59.81458461298844</v>
      </c>
      <c r="L1883" s="13">
        <v>5.981458461298844E19</v>
      </c>
      <c r="M1883" s="9">
        <v>5.9814584612988436E18</v>
      </c>
    </row>
    <row r="1884" ht="15.75" customHeight="1">
      <c r="A1884" s="8"/>
      <c r="B1884" s="8"/>
      <c r="C1884" s="8"/>
      <c r="D1884" s="8">
        <v>10.6022814885138</v>
      </c>
      <c r="E1884" s="9" t="s">
        <v>1893</v>
      </c>
      <c r="I1884" s="12" t="str">
        <f>IFERROR(__xludf.DUMMYFUNCTION("""COMPUTED_VALUE"""),"0xa0ba9d15defb5e4667fd14d2a65be5b4b191948e")</f>
        <v>0xa0ba9d15defb5e4667fd14d2a65be5b4b191948e</v>
      </c>
      <c r="J1884" s="11">
        <v>46.6248312686863</v>
      </c>
      <c r="K1884" s="12">
        <v>103.61073615263622</v>
      </c>
      <c r="L1884" s="13">
        <v>1.0361073615263623E20</v>
      </c>
      <c r="M1884" s="9">
        <v>1.0361073615263623E19</v>
      </c>
    </row>
    <row r="1885" ht="15.75" customHeight="1">
      <c r="A1885" s="8"/>
      <c r="B1885" s="8"/>
      <c r="C1885" s="8"/>
      <c r="D1885" s="8">
        <v>20.652228891016</v>
      </c>
      <c r="E1885" s="9" t="s">
        <v>1894</v>
      </c>
      <c r="I1885" s="12" t="str">
        <f>IFERROR(__xludf.DUMMYFUNCTION("""COMPUTED_VALUE"""),"0xa0bad0ea344e2e7ea14203fa167ceaf5bec72aa5")</f>
        <v>0xa0bad0ea344e2e7ea14203fa167ceaf5bec72aa5</v>
      </c>
      <c r="J1885" s="11">
        <v>20.652228891016</v>
      </c>
      <c r="K1885" s="12">
        <v>45.89384198003556</v>
      </c>
      <c r="L1885" s="13">
        <v>4.589384198003556E19</v>
      </c>
      <c r="M1885" s="9">
        <v>4.5893841980035564E18</v>
      </c>
    </row>
    <row r="1886" ht="15.75" customHeight="1">
      <c r="A1886" s="8"/>
      <c r="B1886" s="8"/>
      <c r="C1886" s="8"/>
      <c r="D1886" s="8">
        <v>27.9026907562088</v>
      </c>
      <c r="E1886" s="9" t="s">
        <v>1895</v>
      </c>
      <c r="I1886" s="12" t="str">
        <f>IFERROR(__xludf.DUMMYFUNCTION("""COMPUTED_VALUE"""),"0xa0c1c1d9eb3246bcd32570b33d0c623b0ea2ba80")</f>
        <v>0xa0c1c1d9eb3246bcd32570b33d0c623b0ea2ba80</v>
      </c>
      <c r="J1886" s="11">
        <v>27.9026907562088</v>
      </c>
      <c r="K1886" s="12">
        <v>62.005979458241775</v>
      </c>
      <c r="L1886" s="13">
        <v>6.200597945824177E19</v>
      </c>
      <c r="M1886" s="9">
        <v>6.2005979458241782E18</v>
      </c>
    </row>
    <row r="1887" ht="15.75" customHeight="1">
      <c r="A1887" s="8"/>
      <c r="B1887" s="8"/>
      <c r="C1887" s="8"/>
      <c r="D1887" s="8">
        <v>26.7499898621468</v>
      </c>
      <c r="E1887" s="9" t="s">
        <v>1896</v>
      </c>
      <c r="I1887" s="12" t="str">
        <f>IFERROR(__xludf.DUMMYFUNCTION("""COMPUTED_VALUE"""),"0xa0c3efe08e592ee77e7a7d3fada523cbd88003c7")</f>
        <v>0xa0c3efe08e592ee77e7a7d3fada523cbd88003c7</v>
      </c>
      <c r="J1887" s="11">
        <v>26.7499898621468</v>
      </c>
      <c r="K1887" s="12">
        <v>59.444421915881776</v>
      </c>
      <c r="L1887" s="13">
        <v>5.9444421915881775E19</v>
      </c>
      <c r="M1887" s="9">
        <v>5.9444421915881779E18</v>
      </c>
    </row>
    <row r="1888" ht="15.75" customHeight="1">
      <c r="A1888" s="8"/>
      <c r="B1888" s="8"/>
      <c r="C1888" s="8"/>
      <c r="D1888" s="8">
        <v>27.9026907562088</v>
      </c>
      <c r="E1888" s="9" t="s">
        <v>1897</v>
      </c>
      <c r="I1888" s="12" t="str">
        <f>IFERROR(__xludf.DUMMYFUNCTION("""COMPUTED_VALUE"""),"0xa0cff26e15d4441e5474bf774631de89314c5565")</f>
        <v>0xa0cff26e15d4441e5474bf774631de89314c5565</v>
      </c>
      <c r="J1888" s="11">
        <v>27.9026907562088</v>
      </c>
      <c r="K1888" s="12">
        <v>62.005979458241775</v>
      </c>
      <c r="L1888" s="13">
        <v>6.200597945824177E19</v>
      </c>
      <c r="M1888" s="9">
        <v>6.2005979458241782E18</v>
      </c>
    </row>
    <row r="1889" ht="15.75" customHeight="1">
      <c r="A1889" s="8"/>
      <c r="B1889" s="8"/>
      <c r="C1889" s="8"/>
      <c r="D1889" s="8">
        <v>25.2555874249638</v>
      </c>
      <c r="E1889" s="9" t="s">
        <v>1898</v>
      </c>
      <c r="I1889" s="12" t="str">
        <f>IFERROR(__xludf.DUMMYFUNCTION("""COMPUTED_VALUE"""),"0xa0e1eee5ce9881c716ed5d09377f693dfbb65a9a")</f>
        <v>0xa0e1eee5ce9881c716ed5d09377f693dfbb65a9a</v>
      </c>
      <c r="J1889" s="11">
        <v>82.9435316783588</v>
      </c>
      <c r="K1889" s="12">
        <v>184.31895928524176</v>
      </c>
      <c r="L1889" s="13">
        <v>1.8431895928524177E20</v>
      </c>
      <c r="M1889" s="9">
        <v>1.8431895928524177E19</v>
      </c>
    </row>
    <row r="1890" ht="15.75" customHeight="1">
      <c r="A1890" s="8"/>
      <c r="B1890" s="8"/>
      <c r="C1890" s="8"/>
      <c r="D1890" s="8">
        <v>27.2566154705608</v>
      </c>
      <c r="E1890" s="9" t="s">
        <v>1899</v>
      </c>
      <c r="I1890" s="12" t="str">
        <f>IFERROR(__xludf.DUMMYFUNCTION("""COMPUTED_VALUE"""),"0xa10039abc04d165325c5eaf16cb4dbeff95254f0")</f>
        <v>0xa10039abc04d165325c5eaf16cb4dbeff95254f0</v>
      </c>
      <c r="J1890" s="11">
        <v>89.1525985802464</v>
      </c>
      <c r="K1890" s="12">
        <v>198.1168857338809</v>
      </c>
      <c r="L1890" s="13">
        <v>1.9811688573388092E20</v>
      </c>
      <c r="M1890" s="9">
        <v>1.981168857338809E19</v>
      </c>
    </row>
    <row r="1891" ht="15.75" customHeight="1">
      <c r="A1891" s="8"/>
      <c r="B1891" s="8"/>
      <c r="C1891" s="8"/>
      <c r="D1891" s="8">
        <v>27.9026907562088</v>
      </c>
      <c r="E1891" s="9" t="s">
        <v>1900</v>
      </c>
      <c r="I1891" s="12" t="str">
        <f>IFERROR(__xludf.DUMMYFUNCTION("""COMPUTED_VALUE"""),"0xa11b87e6ca877060021d050b435cd6a4bd65d6b7")</f>
        <v>0xa11b87e6ca877060021d050b435cd6a4bd65d6b7</v>
      </c>
      <c r="J1891" s="11">
        <v>27.9026907562088</v>
      </c>
      <c r="K1891" s="12">
        <v>62.005979458241775</v>
      </c>
      <c r="L1891" s="13">
        <v>6.200597945824177E19</v>
      </c>
      <c r="M1891" s="9">
        <v>6.2005979458241782E18</v>
      </c>
    </row>
    <row r="1892" ht="15.75" customHeight="1">
      <c r="A1892" s="8"/>
      <c r="B1892" s="8"/>
      <c r="C1892" s="8"/>
      <c r="D1892" s="8">
        <v>12.7592534110448</v>
      </c>
      <c r="E1892" s="9" t="s">
        <v>1901</v>
      </c>
      <c r="I1892" s="12" t="str">
        <f>IFERROR(__xludf.DUMMYFUNCTION("""COMPUTED_VALUE"""),"0xa121686d7be526e46f2f2bf861bb786be2956e6f")</f>
        <v>0xa121686d7be526e46f2f2bf861bb786be2956e6f</v>
      </c>
      <c r="J1892" s="11">
        <v>12.7592534110448</v>
      </c>
      <c r="K1892" s="12">
        <v>28.35389646898844</v>
      </c>
      <c r="L1892" s="13">
        <v>2.835389646898844E19</v>
      </c>
      <c r="M1892" s="9">
        <v>2.8353896468988442E18</v>
      </c>
    </row>
    <row r="1893" ht="15.75" customHeight="1">
      <c r="A1893" s="8"/>
      <c r="B1893" s="8"/>
      <c r="C1893" s="8"/>
      <c r="D1893" s="8">
        <v>27.9026907562088</v>
      </c>
      <c r="E1893" s="9" t="s">
        <v>1902</v>
      </c>
      <c r="I1893" s="12" t="str">
        <f>IFERROR(__xludf.DUMMYFUNCTION("""COMPUTED_VALUE"""),"0xa127a57cd41461975cea5a68f344cd8488cea5a5")</f>
        <v>0xa127a57cd41461975cea5a68f344cd8488cea5a5</v>
      </c>
      <c r="J1893" s="11">
        <v>27.9026907562088</v>
      </c>
      <c r="K1893" s="12">
        <v>62.005979458241775</v>
      </c>
      <c r="L1893" s="13">
        <v>6.200597945824177E19</v>
      </c>
      <c r="M1893" s="9">
        <v>6.2005979458241782E18</v>
      </c>
    </row>
    <row r="1894" ht="15.75" customHeight="1">
      <c r="A1894" s="8"/>
      <c r="B1894" s="8"/>
      <c r="C1894" s="8"/>
      <c r="D1894" s="8">
        <v>27.9026907562088</v>
      </c>
      <c r="E1894" s="9" t="s">
        <v>1903</v>
      </c>
      <c r="I1894" s="12" t="str">
        <f>IFERROR(__xludf.DUMMYFUNCTION("""COMPUTED_VALUE"""),"0xa12d205d2b2aef73089ec2b8bd700789489742c4")</f>
        <v>0xa12d205d2b2aef73089ec2b8bd700789489742c4</v>
      </c>
      <c r="J1894" s="11">
        <v>110.5779016810462</v>
      </c>
      <c r="K1894" s="12">
        <v>245.7286704023249</v>
      </c>
      <c r="L1894" s="13">
        <v>2.457286704023249E20</v>
      </c>
      <c r="M1894" s="9">
        <v>2.457286704023249E19</v>
      </c>
    </row>
    <row r="1895" ht="15.75" customHeight="1">
      <c r="A1895" s="8"/>
      <c r="B1895" s="8"/>
      <c r="C1895" s="8"/>
      <c r="D1895" s="8">
        <v>22.3713532747309</v>
      </c>
      <c r="E1895" s="9" t="s">
        <v>1904</v>
      </c>
      <c r="I1895" s="12" t="str">
        <f>IFERROR(__xludf.DUMMYFUNCTION("""COMPUTED_VALUE"""),"0xa1326b2d260ec56b981c69605104704f5a8a17cd")</f>
        <v>0xa1326b2d260ec56b981c69605104704f5a8a17cd</v>
      </c>
      <c r="J1895" s="11">
        <v>22.3713532747309</v>
      </c>
      <c r="K1895" s="12">
        <v>49.714118388290885</v>
      </c>
      <c r="L1895" s="13">
        <v>4.971411838829089E19</v>
      </c>
      <c r="M1895" s="9">
        <v>4.9714118388290888E18</v>
      </c>
    </row>
    <row r="1896" ht="15.75" customHeight="1">
      <c r="A1896" s="8"/>
      <c r="B1896" s="8"/>
      <c r="C1896" s="8"/>
      <c r="D1896" s="8">
        <v>27.9026907562088</v>
      </c>
      <c r="E1896" s="9" t="s">
        <v>1905</v>
      </c>
      <c r="I1896" s="12" t="str">
        <f>IFERROR(__xludf.DUMMYFUNCTION("""COMPUTED_VALUE"""),"0xa1758eb1a2fcd5422231b9997edb8976b93b6655")</f>
        <v>0xa1758eb1a2fcd5422231b9997edb8976b93b6655</v>
      </c>
      <c r="J1896" s="11">
        <v>27.9026907562088</v>
      </c>
      <c r="K1896" s="12">
        <v>62.005979458241775</v>
      </c>
      <c r="L1896" s="13">
        <v>6.200597945824177E19</v>
      </c>
      <c r="M1896" s="9">
        <v>6.2005979458241782E18</v>
      </c>
    </row>
    <row r="1897" ht="15.75" customHeight="1">
      <c r="A1897" s="8"/>
      <c r="B1897" s="8"/>
      <c r="C1897" s="8"/>
      <c r="D1897" s="8">
        <v>2.53321596972911</v>
      </c>
      <c r="E1897" s="9" t="s">
        <v>1906</v>
      </c>
      <c r="I1897" s="12" t="str">
        <f>IFERROR(__xludf.DUMMYFUNCTION("""COMPUTED_VALUE"""),"0xa1762623640f37a4c03297773456f9d8568fc09a")</f>
        <v>0xa1762623640f37a4c03297773456f9d8568fc09a</v>
      </c>
      <c r="J1897" s="11">
        <v>2.53321596972911</v>
      </c>
      <c r="K1897" s="12">
        <v>5.629368821620244</v>
      </c>
      <c r="L1897" s="13">
        <v>5.6293688216202445E18</v>
      </c>
      <c r="M1897" s="9">
        <v>5.6293688216202445E17</v>
      </c>
    </row>
    <row r="1898" ht="15.75" customHeight="1">
      <c r="A1898" s="8"/>
      <c r="B1898" s="8"/>
      <c r="C1898" s="8"/>
      <c r="D1898" s="8">
        <v>27.9026907562088</v>
      </c>
      <c r="E1898" s="9" t="s">
        <v>1907</v>
      </c>
      <c r="I1898" s="12" t="str">
        <f>IFERROR(__xludf.DUMMYFUNCTION("""COMPUTED_VALUE"""),"0xa17a34916e9d564cd412fdad7310c64b4673734a")</f>
        <v>0xa17a34916e9d564cd412fdad7310c64b4673734a</v>
      </c>
      <c r="J1898" s="11">
        <v>27.9026907562088</v>
      </c>
      <c r="K1898" s="12">
        <v>62.005979458241775</v>
      </c>
      <c r="L1898" s="13">
        <v>6.200597945824177E19</v>
      </c>
      <c r="M1898" s="9">
        <v>6.2005979458241782E18</v>
      </c>
    </row>
    <row r="1899" ht="15.75" customHeight="1">
      <c r="A1899" s="8"/>
      <c r="B1899" s="8"/>
      <c r="C1899" s="8"/>
      <c r="D1899" s="8">
        <v>27.9026907562088</v>
      </c>
      <c r="E1899" s="9" t="s">
        <v>1908</v>
      </c>
      <c r="I1899" s="12" t="str">
        <f>IFERROR(__xludf.DUMMYFUNCTION("""COMPUTED_VALUE"""),"0xa1816e5b5ddf172d86c4b2e0b6ec9bdb3a9d3f23")</f>
        <v>0xa1816e5b5ddf172d86c4b2e0b6ec9bdb3a9d3f23</v>
      </c>
      <c r="J1899" s="11">
        <v>27.9026907562088</v>
      </c>
      <c r="K1899" s="12">
        <v>62.005979458241775</v>
      </c>
      <c r="L1899" s="13">
        <v>6.200597945824177E19</v>
      </c>
      <c r="M1899" s="9">
        <v>6.2005979458241782E18</v>
      </c>
    </row>
    <row r="1900" ht="15.75" customHeight="1">
      <c r="A1900" s="8"/>
      <c r="B1900" s="8"/>
      <c r="C1900" s="8"/>
      <c r="D1900" s="8">
        <v>26.7865831259605</v>
      </c>
      <c r="E1900" s="9" t="s">
        <v>1909</v>
      </c>
      <c r="I1900" s="12" t="str">
        <f>IFERROR(__xludf.DUMMYFUNCTION("""COMPUTED_VALUE"""),"0xa1adec5cbdd637d87849140aeda218bc30134493")</f>
        <v>0xa1adec5cbdd637d87849140aeda218bc30134493</v>
      </c>
      <c r="J1900" s="11">
        <v>26.7865831259605</v>
      </c>
      <c r="K1900" s="12">
        <v>59.52574027991222</v>
      </c>
      <c r="L1900" s="13">
        <v>5.952574027991222E19</v>
      </c>
      <c r="M1900" s="9">
        <v>5.9525740279912223E18</v>
      </c>
    </row>
    <row r="1901" ht="15.75" customHeight="1">
      <c r="A1901" s="8"/>
      <c r="B1901" s="8"/>
      <c r="C1901" s="8"/>
      <c r="D1901" s="8">
        <v>23.8402561546584</v>
      </c>
      <c r="E1901" s="9" t="s">
        <v>1910</v>
      </c>
      <c r="I1901" s="12" t="str">
        <f>IFERROR(__xludf.DUMMYFUNCTION("""COMPUTED_VALUE"""),"0xa1c17f4385d648e9a164a7758b54e529c9e225d8")</f>
        <v>0xa1c17f4385d648e9a164a7758b54e529c9e225d8</v>
      </c>
      <c r="J1901" s="11">
        <v>35.3616167160489</v>
      </c>
      <c r="K1901" s="12">
        <v>78.58137048010866</v>
      </c>
      <c r="L1901" s="13">
        <v>7.858137048010867E19</v>
      </c>
      <c r="M1901" s="9">
        <v>7.8581370480108667E18</v>
      </c>
    </row>
    <row r="1902" ht="15.75" customHeight="1">
      <c r="A1902" s="8"/>
      <c r="B1902" s="8"/>
      <c r="C1902" s="8"/>
      <c r="D1902" s="8">
        <v>24.0657277813038</v>
      </c>
      <c r="E1902" s="9" t="s">
        <v>1911</v>
      </c>
      <c r="I1902" s="12" t="str">
        <f>IFERROR(__xludf.DUMMYFUNCTION("""COMPUTED_VALUE"""),"0xa1dd95f4b089e343e3ec9787b8cf41534d323069")</f>
        <v>0xa1dd95f4b089e343e3ec9787b8cf41534d323069</v>
      </c>
      <c r="J1902" s="11">
        <v>79.1073932070916</v>
      </c>
      <c r="K1902" s="12">
        <v>175.79420712687022</v>
      </c>
      <c r="L1902" s="13">
        <v>1.7579420712687023E20</v>
      </c>
      <c r="M1902" s="9">
        <v>1.7579420712687024E19</v>
      </c>
    </row>
    <row r="1903" ht="15.75" customHeight="1">
      <c r="A1903" s="8"/>
      <c r="B1903" s="8"/>
      <c r="C1903" s="8"/>
      <c r="D1903" s="8">
        <v>27.9026907562088</v>
      </c>
      <c r="E1903" s="9" t="s">
        <v>1912</v>
      </c>
      <c r="I1903" s="12" t="str">
        <f>IFERROR(__xludf.DUMMYFUNCTION("""COMPUTED_VALUE"""),"0xa1fd862b5920c4a550132154309bfc7c29b18d06")</f>
        <v>0xa1fd862b5920c4a550132154309bfc7c29b18d06</v>
      </c>
      <c r="J1903" s="11">
        <v>27.9026907562088</v>
      </c>
      <c r="K1903" s="12">
        <v>62.005979458241775</v>
      </c>
      <c r="L1903" s="13">
        <v>6.200597945824177E19</v>
      </c>
      <c r="M1903" s="9">
        <v>6.2005979458241782E18</v>
      </c>
    </row>
    <row r="1904" ht="15.75" customHeight="1">
      <c r="A1904" s="8"/>
      <c r="B1904" s="8"/>
      <c r="C1904" s="8"/>
      <c r="D1904" s="8">
        <v>27.9026907562088</v>
      </c>
      <c r="E1904" s="9" t="s">
        <v>1913</v>
      </c>
      <c r="I1904" s="12" t="str">
        <f>IFERROR(__xludf.DUMMYFUNCTION("""COMPUTED_VALUE"""),"0xa20039e396d4fd251b53b947e2862fd2262f780d")</f>
        <v>0xa20039e396d4fd251b53b947e2862fd2262f780d</v>
      </c>
      <c r="J1904" s="11">
        <v>91.1199983031448</v>
      </c>
      <c r="K1904" s="12">
        <v>202.48888511809955</v>
      </c>
      <c r="L1904" s="13">
        <v>2.0248888511809955E20</v>
      </c>
      <c r="M1904" s="9">
        <v>2.0248888511809958E19</v>
      </c>
    </row>
    <row r="1905" ht="15.75" customHeight="1">
      <c r="A1905" s="8"/>
      <c r="B1905" s="8"/>
      <c r="C1905" s="8"/>
      <c r="D1905" s="8">
        <v>14.1874377273541</v>
      </c>
      <c r="E1905" s="9" t="s">
        <v>1914</v>
      </c>
      <c r="I1905" s="12" t="str">
        <f>IFERROR(__xludf.DUMMYFUNCTION("""COMPUTED_VALUE"""),"0xa2007830aa1a32a3af4d49e21fcb05cb8848c60d")</f>
        <v>0xa2007830aa1a32a3af4d49e21fcb05cb8848c60d</v>
      </c>
      <c r="J1905" s="11">
        <v>14.1874377273541</v>
      </c>
      <c r="K1905" s="12">
        <v>31.52763939412022</v>
      </c>
      <c r="L1905" s="13">
        <v>3.152763939412022E19</v>
      </c>
      <c r="M1905" s="9">
        <v>3.1527639394120223E18</v>
      </c>
    </row>
    <row r="1906" ht="15.75" customHeight="1">
      <c r="A1906" s="8"/>
      <c r="B1906" s="8"/>
      <c r="C1906" s="8"/>
      <c r="D1906" s="8">
        <v>19.3181243697237</v>
      </c>
      <c r="E1906" s="9" t="s">
        <v>1915</v>
      </c>
      <c r="I1906" s="12" t="str">
        <f>IFERROR(__xludf.DUMMYFUNCTION("""COMPUTED_VALUE"""),"0xa209111b61aef6ab54c731e2c6531665a6cb2370")</f>
        <v>0xa209111b61aef6ab54c731e2c6531665a6cb2370</v>
      </c>
      <c r="J1906" s="11">
        <v>43.8243565910409</v>
      </c>
      <c r="K1906" s="12">
        <v>97.387459091202</v>
      </c>
      <c r="L1906" s="13">
        <v>9.7387459091202E19</v>
      </c>
      <c r="M1906" s="9">
        <v>9.7387459091202E18</v>
      </c>
    </row>
    <row r="1907" ht="15.75" customHeight="1">
      <c r="A1907" s="8"/>
      <c r="B1907" s="8"/>
      <c r="C1907" s="8"/>
      <c r="D1907" s="8">
        <v>27.9026907562088</v>
      </c>
      <c r="E1907" s="9" t="s">
        <v>1916</v>
      </c>
      <c r="I1907" s="12" t="str">
        <f>IFERROR(__xludf.DUMMYFUNCTION("""COMPUTED_VALUE"""),"0xa216f567bc4664bacbba88c7e1eded1b4043a18d")</f>
        <v>0xa216f567bc4664bacbba88c7e1eded1b4043a18d</v>
      </c>
      <c r="J1907" s="11">
        <v>27.9026907562088</v>
      </c>
      <c r="K1907" s="12">
        <v>62.005979458241775</v>
      </c>
      <c r="L1907" s="13">
        <v>6.200597945824177E19</v>
      </c>
      <c r="M1907" s="9">
        <v>6.2005979458241782E18</v>
      </c>
    </row>
    <row r="1908" ht="15.75" customHeight="1">
      <c r="A1908" s="8"/>
      <c r="B1908" s="8"/>
      <c r="C1908" s="8"/>
      <c r="D1908" s="8">
        <v>27.9026907562088</v>
      </c>
      <c r="E1908" s="9" t="s">
        <v>1917</v>
      </c>
      <c r="I1908" s="12" t="str">
        <f>IFERROR(__xludf.DUMMYFUNCTION("""COMPUTED_VALUE"""),"0xa22b8b110076a99932b6a5f4555b79b94c1bc922")</f>
        <v>0xa22b8b110076a99932b6a5f4555b79b94c1bc922</v>
      </c>
      <c r="J1908" s="11">
        <v>115.3646696823713</v>
      </c>
      <c r="K1908" s="12">
        <v>256.36593262749176</v>
      </c>
      <c r="L1908" s="13">
        <v>2.5636593262749175E20</v>
      </c>
      <c r="M1908" s="9">
        <v>2.5636593262749176E19</v>
      </c>
    </row>
    <row r="1909" ht="15.75" customHeight="1">
      <c r="A1909" s="8"/>
      <c r="B1909" s="8"/>
      <c r="C1909" s="8"/>
      <c r="D1909" s="8">
        <v>27.9026907562088</v>
      </c>
      <c r="E1909" s="9" t="s">
        <v>1918</v>
      </c>
      <c r="I1909" s="12" t="str">
        <f>IFERROR(__xludf.DUMMYFUNCTION("""COMPUTED_VALUE"""),"0xa261471fb1e9e69885fbedcd85d73139a3ce95f5")</f>
        <v>0xa261471fb1e9e69885fbedcd85d73139a3ce95f5</v>
      </c>
      <c r="J1909" s="11">
        <v>187.7479545277325</v>
      </c>
      <c r="K1909" s="12">
        <v>417.21767672829446</v>
      </c>
      <c r="L1909" s="13">
        <v>4.1721767672829444E20</v>
      </c>
      <c r="M1909" s="9">
        <v>4.1721767672829444E19</v>
      </c>
    </row>
    <row r="1910" ht="15.75" customHeight="1">
      <c r="A1910" s="8"/>
      <c r="B1910" s="8"/>
      <c r="C1910" s="8"/>
      <c r="D1910" s="8">
        <v>27.9026907562088</v>
      </c>
      <c r="E1910" s="9" t="s">
        <v>1919</v>
      </c>
      <c r="I1910" s="12" t="str">
        <f>IFERROR(__xludf.DUMMYFUNCTION("""COMPUTED_VALUE"""),"0xa2830d8e9fba0aa426032ae415e3adbc86f8fd60")</f>
        <v>0xa2830d8e9fba0aa426032ae415e3adbc86f8fd60</v>
      </c>
      <c r="J1910" s="11">
        <v>157.2791925967459</v>
      </c>
      <c r="K1910" s="12">
        <v>349.5093168816575</v>
      </c>
      <c r="L1910" s="13">
        <v>3.495093168816575E20</v>
      </c>
      <c r="M1910" s="9">
        <v>3.4950931688165753E19</v>
      </c>
    </row>
    <row r="1911" ht="15.75" customHeight="1">
      <c r="A1911" s="8"/>
      <c r="B1911" s="8"/>
      <c r="C1911" s="8"/>
      <c r="D1911" s="8">
        <v>27.9026907562088</v>
      </c>
      <c r="E1911" s="9" t="s">
        <v>1920</v>
      </c>
      <c r="I1911" s="12" t="str">
        <f>IFERROR(__xludf.DUMMYFUNCTION("""COMPUTED_VALUE"""),"0xa2961c9edc2b3977edee73b8c7ec4597b1f9d4d2")</f>
        <v>0xa2961c9edc2b3977edee73b8c7ec4597b1f9d4d2</v>
      </c>
      <c r="J1911" s="11">
        <v>27.9026907562088</v>
      </c>
      <c r="K1911" s="12">
        <v>62.005979458241775</v>
      </c>
      <c r="L1911" s="13">
        <v>6.200597945824177E19</v>
      </c>
      <c r="M1911" s="9">
        <v>6.2005979458241782E18</v>
      </c>
    </row>
    <row r="1912" ht="15.75" customHeight="1">
      <c r="A1912" s="8"/>
      <c r="B1912" s="8"/>
      <c r="C1912" s="8"/>
      <c r="D1912" s="8">
        <v>24.6764512713262</v>
      </c>
      <c r="E1912" s="9" t="s">
        <v>1921</v>
      </c>
      <c r="I1912" s="12" t="str">
        <f>IFERROR(__xludf.DUMMYFUNCTION("""COMPUTED_VALUE"""),"0xa298c1d1e6e70b712ea9e450c0f6c24f339b632e")</f>
        <v>0xa298c1d1e6e70b712ea9e450c0f6c24f339b632e</v>
      </c>
      <c r="J1912" s="11">
        <v>24.6764512713262</v>
      </c>
      <c r="K1912" s="12">
        <v>54.83655838072489</v>
      </c>
      <c r="L1912" s="13">
        <v>5.483655838072489E19</v>
      </c>
      <c r="M1912" s="9">
        <v>5.483655838072489E18</v>
      </c>
    </row>
    <row r="1913" ht="15.75" customHeight="1">
      <c r="A1913" s="8"/>
      <c r="B1913" s="8"/>
      <c r="C1913" s="8"/>
      <c r="D1913" s="8">
        <v>27.9026907562088</v>
      </c>
      <c r="E1913" s="9" t="s">
        <v>1922</v>
      </c>
      <c r="I1913" s="12" t="str">
        <f>IFERROR(__xludf.DUMMYFUNCTION("""COMPUTED_VALUE"""),"0xa2baa6ba2ac664bf50a4cf42171dd608993d532a")</f>
        <v>0xa2baa6ba2ac664bf50a4cf42171dd608993d532a</v>
      </c>
      <c r="J1913" s="11">
        <v>91.1199983031448</v>
      </c>
      <c r="K1913" s="12">
        <v>202.48888511809955</v>
      </c>
      <c r="L1913" s="13">
        <v>2.0248888511809955E20</v>
      </c>
      <c r="M1913" s="9">
        <v>2.0248888511809958E19</v>
      </c>
    </row>
    <row r="1914" ht="15.75" customHeight="1">
      <c r="A1914" s="8"/>
      <c r="B1914" s="8"/>
      <c r="C1914" s="8"/>
      <c r="D1914" s="8">
        <v>20.8808047973989</v>
      </c>
      <c r="E1914" s="9" t="s">
        <v>1923</v>
      </c>
      <c r="I1914" s="12" t="str">
        <f>IFERROR(__xludf.DUMMYFUNCTION("""COMPUTED_VALUE"""),"0xa2c408956988672d64562a23bb0ed1d247a03b98")</f>
        <v>0xa2c408956988672d64562a23bb0ed1d247a03b98</v>
      </c>
      <c r="J1914" s="11">
        <v>20.8808047973989</v>
      </c>
      <c r="K1914" s="12">
        <v>46.40178843866422</v>
      </c>
      <c r="L1914" s="13">
        <v>4.640178843866422E19</v>
      </c>
      <c r="M1914" s="9">
        <v>4.6401788438664223E18</v>
      </c>
    </row>
    <row r="1915" ht="15.75" customHeight="1">
      <c r="A1915" s="8"/>
      <c r="B1915" s="8"/>
      <c r="C1915" s="8"/>
      <c r="D1915" s="8">
        <v>26.4786866507214</v>
      </c>
      <c r="E1915" s="9" t="s">
        <v>1924</v>
      </c>
      <c r="I1915" s="12" t="str">
        <f>IFERROR(__xludf.DUMMYFUNCTION("""COMPUTED_VALUE"""),"0xa2dca8dd493ff52d0fc33dff4a17205ef5fff86e")</f>
        <v>0xa2dca8dd493ff52d0fc33dff4a17205ef5fff86e</v>
      </c>
      <c r="J1915" s="11">
        <v>28.40821076481205</v>
      </c>
      <c r="K1915" s="12">
        <v>63.12935725513789</v>
      </c>
      <c r="L1915" s="13">
        <v>6.312935725513789E19</v>
      </c>
      <c r="M1915" s="9">
        <v>6.3129357255137894E18</v>
      </c>
    </row>
    <row r="1916" ht="15.75" customHeight="1">
      <c r="A1916" s="8"/>
      <c r="B1916" s="8"/>
      <c r="C1916" s="8"/>
      <c r="D1916" s="8">
        <v>27.9026907562088</v>
      </c>
      <c r="E1916" s="9" t="s">
        <v>1925</v>
      </c>
      <c r="I1916" s="12" t="str">
        <f>IFERROR(__xludf.DUMMYFUNCTION("""COMPUTED_VALUE"""),"0xa2dcb52f5cf34a84a2ebfb7d937f7051ae4c697b")</f>
        <v>0xa2dcb52f5cf34a84a2ebfb7d937f7051ae4c697b</v>
      </c>
      <c r="J1916" s="11">
        <v>91.1199983031448</v>
      </c>
      <c r="K1916" s="12">
        <v>202.48888511809955</v>
      </c>
      <c r="L1916" s="13">
        <v>2.0248888511809955E20</v>
      </c>
      <c r="M1916" s="9">
        <v>2.0248888511809958E19</v>
      </c>
    </row>
    <row r="1917" ht="15.75" customHeight="1">
      <c r="A1917" s="8"/>
      <c r="B1917" s="8"/>
      <c r="C1917" s="8"/>
      <c r="D1917" s="8">
        <v>27.9026907562088</v>
      </c>
      <c r="E1917" s="9" t="s">
        <v>1926</v>
      </c>
      <c r="I1917" s="12" t="str">
        <f>IFERROR(__xludf.DUMMYFUNCTION("""COMPUTED_VALUE"""),"0xa2e5c953faae1af81022cc0c49fcb40fe43ce14b")</f>
        <v>0xa2e5c953faae1af81022cc0c49fcb40fe43ce14b</v>
      </c>
      <c r="J1917" s="11">
        <v>27.9026907562088</v>
      </c>
      <c r="K1917" s="12">
        <v>62.005979458241775</v>
      </c>
      <c r="L1917" s="13">
        <v>6.200597945824177E19</v>
      </c>
      <c r="M1917" s="9">
        <v>6.2005979458241782E18</v>
      </c>
    </row>
    <row r="1918" ht="15.75" customHeight="1">
      <c r="A1918" s="8"/>
      <c r="B1918" s="8"/>
      <c r="C1918" s="8"/>
      <c r="D1918" s="8">
        <v>27.3163773089366</v>
      </c>
      <c r="E1918" s="9" t="s">
        <v>1927</v>
      </c>
      <c r="I1918" s="12" t="str">
        <f>IFERROR(__xludf.DUMMYFUNCTION("""COMPUTED_VALUE"""),"0xa2fd2b6b9114d1a83ac077381241bf0f8963c320")</f>
        <v>0xa2fd2b6b9114d1a83ac077381241bf0f8963c320</v>
      </c>
      <c r="J1918" s="11">
        <v>89.3474590703739</v>
      </c>
      <c r="K1918" s="12">
        <v>198.54990904527534</v>
      </c>
      <c r="L1918" s="13">
        <v>1.9854990904527533E20</v>
      </c>
      <c r="M1918" s="9">
        <v>1.985499090452753E19</v>
      </c>
    </row>
    <row r="1919" ht="15.75" customHeight="1">
      <c r="A1919" s="8"/>
      <c r="B1919" s="8"/>
      <c r="C1919" s="8"/>
      <c r="D1919" s="8">
        <v>27.9026907562088</v>
      </c>
      <c r="E1919" s="9" t="s">
        <v>1928</v>
      </c>
      <c r="I1919" s="12" t="str">
        <f>IFERROR(__xludf.DUMMYFUNCTION("""COMPUTED_VALUE"""),"0xa312d7e180fbc096e5784b8b7977703942ec82af")</f>
        <v>0xa312d7e180fbc096e5784b8b7977703942ec82af</v>
      </c>
      <c r="J1919" s="11">
        <v>27.9026907562088</v>
      </c>
      <c r="K1919" s="12">
        <v>62.005979458241775</v>
      </c>
      <c r="L1919" s="13">
        <v>6.200597945824177E19</v>
      </c>
      <c r="M1919" s="9">
        <v>6.2005979458241782E18</v>
      </c>
    </row>
    <row r="1920" ht="15.75" customHeight="1">
      <c r="A1920" s="8"/>
      <c r="B1920" s="8"/>
      <c r="C1920" s="8"/>
      <c r="D1920" s="8">
        <v>26.46039573064</v>
      </c>
      <c r="E1920" s="9" t="s">
        <v>1929</v>
      </c>
      <c r="I1920" s="12" t="str">
        <f>IFERROR(__xludf.DUMMYFUNCTION("""COMPUTED_VALUE"""),"0xa327f1edd6a384f573837e7bbbecf2c2dad14fc5")</f>
        <v>0xa327f1edd6a384f573837e7bbbecf2c2dad14fc5</v>
      </c>
      <c r="J1920" s="11">
        <v>26.46039573064</v>
      </c>
      <c r="K1920" s="12">
        <v>58.800879401422215</v>
      </c>
      <c r="L1920" s="13">
        <v>5.880087940142222E19</v>
      </c>
      <c r="M1920" s="9">
        <v>5.8800879401422223E18</v>
      </c>
    </row>
    <row r="1921" ht="15.75" customHeight="1">
      <c r="A1921" s="8"/>
      <c r="B1921" s="8"/>
      <c r="C1921" s="8"/>
      <c r="D1921" s="8">
        <v>21.7640987898429</v>
      </c>
      <c r="E1921" s="9" t="s">
        <v>1930</v>
      </c>
      <c r="I1921" s="12" t="str">
        <f>IFERROR(__xludf.DUMMYFUNCTION("""COMPUTED_VALUE"""),"0xa3320f745611cf004bf02b8186d89ab2304a9fa9")</f>
        <v>0xa3320f745611cf004bf02b8186d89ab2304a9fa9</v>
      </c>
      <c r="J1921" s="11">
        <v>21.7640987898429</v>
      </c>
      <c r="K1921" s="12">
        <v>48.36466397742867</v>
      </c>
      <c r="L1921" s="13">
        <v>4.836466397742867E19</v>
      </c>
      <c r="M1921" s="9">
        <v>4.8364663977428675E18</v>
      </c>
    </row>
    <row r="1922" ht="15.75" customHeight="1">
      <c r="A1922" s="8"/>
      <c r="B1922" s="8"/>
      <c r="C1922" s="8"/>
      <c r="D1922" s="8">
        <v>27.9026907562088</v>
      </c>
      <c r="E1922" s="9" t="s">
        <v>1931</v>
      </c>
      <c r="I1922" s="12" t="str">
        <f>IFERROR(__xludf.DUMMYFUNCTION("""COMPUTED_VALUE"""),"0xa340286f3ebbc6ea195e28890dc2fc9ce417d20a")</f>
        <v>0xa340286f3ebbc6ea195e28890dc2fc9ce417d20a</v>
      </c>
      <c r="J1922" s="11">
        <v>102.7947403298856</v>
      </c>
      <c r="K1922" s="12">
        <v>228.43275628863466</v>
      </c>
      <c r="L1922" s="13">
        <v>2.2843275628863465E20</v>
      </c>
      <c r="M1922" s="9">
        <v>2.2843275628863468E19</v>
      </c>
    </row>
    <row r="1923" ht="15.75" customHeight="1">
      <c r="A1923" s="8"/>
      <c r="B1923" s="8"/>
      <c r="C1923" s="8"/>
      <c r="D1923" s="8">
        <v>27.9026907562088</v>
      </c>
      <c r="E1923" s="9" t="s">
        <v>1932</v>
      </c>
      <c r="I1923" s="12" t="str">
        <f>IFERROR(__xludf.DUMMYFUNCTION("""COMPUTED_VALUE"""),"0xa348953a62188e005fd2d411da2a8bd1c486da07")</f>
        <v>0xa348953a62188e005fd2d411da2a8bd1c486da07</v>
      </c>
      <c r="J1923" s="11">
        <v>27.9026907562088</v>
      </c>
      <c r="K1923" s="12">
        <v>62.005979458241775</v>
      </c>
      <c r="L1923" s="13">
        <v>6.200597945824177E19</v>
      </c>
      <c r="M1923" s="9">
        <v>6.2005979458241782E18</v>
      </c>
    </row>
    <row r="1924" ht="15.75" customHeight="1">
      <c r="A1924" s="8"/>
      <c r="B1924" s="8"/>
      <c r="C1924" s="8"/>
      <c r="D1924" s="8">
        <v>10.4924919772907</v>
      </c>
      <c r="E1924" s="9" t="s">
        <v>1933</v>
      </c>
      <c r="I1924" s="12" t="str">
        <f>IFERROR(__xludf.DUMMYFUNCTION("""COMPUTED_VALUE"""),"0xa35b0b7cefc0e24ac666e4be94a154d2cdf7e2bf")</f>
        <v>0xa35b0b7cefc0e24ac666e4be94a154d2cdf7e2bf</v>
      </c>
      <c r="J1924" s="11">
        <v>10.4924919772907</v>
      </c>
      <c r="K1924" s="12">
        <v>23.316648838423777</v>
      </c>
      <c r="L1924" s="13">
        <v>2.3316648838423777E19</v>
      </c>
      <c r="M1924" s="9">
        <v>2.3316648838423777E18</v>
      </c>
    </row>
    <row r="1925" ht="15.75" customHeight="1">
      <c r="A1925" s="8"/>
      <c r="B1925" s="8"/>
      <c r="C1925" s="8"/>
      <c r="D1925" s="8">
        <v>27.9026907562088</v>
      </c>
      <c r="E1925" s="9" t="s">
        <v>1934</v>
      </c>
      <c r="I1925" s="12" t="str">
        <f>IFERROR(__xludf.DUMMYFUNCTION("""COMPUTED_VALUE"""),"0xa35ed6c81a5bb8f54efa0cdb2045ffa040fbb864")</f>
        <v>0xa35ed6c81a5bb8f54efa0cdb2045ffa040fbb864</v>
      </c>
      <c r="J1925" s="11">
        <v>91.1199983031448</v>
      </c>
      <c r="K1925" s="12">
        <v>202.48888511809955</v>
      </c>
      <c r="L1925" s="13">
        <v>2.0248888511809955E20</v>
      </c>
      <c r="M1925" s="9">
        <v>2.0248888511809958E19</v>
      </c>
    </row>
    <row r="1926" ht="15.75" customHeight="1">
      <c r="A1926" s="8"/>
      <c r="B1926" s="8"/>
      <c r="C1926" s="8"/>
      <c r="D1926" s="8">
        <v>27.9026907562088</v>
      </c>
      <c r="E1926" s="9" t="s">
        <v>1935</v>
      </c>
      <c r="I1926" s="12" t="str">
        <f>IFERROR(__xludf.DUMMYFUNCTION("""COMPUTED_VALUE"""),"0xa3803797a934a71c8d565f9e6c79e22aab591713")</f>
        <v>0xa3803797a934a71c8d565f9e6c79e22aab591713</v>
      </c>
      <c r="J1926" s="11">
        <v>27.9026907562088</v>
      </c>
      <c r="K1926" s="12">
        <v>62.005979458241775</v>
      </c>
      <c r="L1926" s="13">
        <v>6.200597945824177E19</v>
      </c>
      <c r="M1926" s="9">
        <v>6.2005979458241782E18</v>
      </c>
    </row>
    <row r="1927" ht="15.75" customHeight="1">
      <c r="A1927" s="8"/>
      <c r="B1927" s="8"/>
      <c r="C1927" s="8"/>
      <c r="D1927" s="8">
        <v>27.9026907562088</v>
      </c>
      <c r="E1927" s="9" t="s">
        <v>1936</v>
      </c>
      <c r="I1927" s="12" t="str">
        <f>IFERROR(__xludf.DUMMYFUNCTION("""COMPUTED_VALUE"""),"0xa3c0c7845779f1433aa336337417d7217eb4f480")</f>
        <v>0xa3c0c7845779f1433aa336337417d7217eb4f480</v>
      </c>
      <c r="J1927" s="11">
        <v>27.9026907562088</v>
      </c>
      <c r="K1927" s="12">
        <v>62.005979458241775</v>
      </c>
      <c r="L1927" s="13">
        <v>6.200597945824177E19</v>
      </c>
      <c r="M1927" s="9">
        <v>6.2005979458241782E18</v>
      </c>
    </row>
    <row r="1928" ht="15.75" customHeight="1">
      <c r="A1928" s="8"/>
      <c r="B1928" s="8"/>
      <c r="C1928" s="8"/>
      <c r="D1928" s="8">
        <v>27.9026907562088</v>
      </c>
      <c r="E1928" s="9" t="s">
        <v>1937</v>
      </c>
      <c r="I1928" s="12" t="str">
        <f>IFERROR(__xludf.DUMMYFUNCTION("""COMPUTED_VALUE"""),"0xa3db5b5bbb7ce2aa96275837bca893c89aac569c")</f>
        <v>0xa3db5b5bbb7ce2aa96275837bca893c89aac569c</v>
      </c>
      <c r="J1928" s="11">
        <v>91.1199983031448</v>
      </c>
      <c r="K1928" s="12">
        <v>202.48888511809955</v>
      </c>
      <c r="L1928" s="13">
        <v>2.0248888511809955E20</v>
      </c>
      <c r="M1928" s="9">
        <v>2.0248888511809958E19</v>
      </c>
    </row>
    <row r="1929" ht="15.75" customHeight="1">
      <c r="A1929" s="8"/>
      <c r="B1929" s="8"/>
      <c r="C1929" s="8"/>
      <c r="D1929" s="8">
        <v>27.9026907562088</v>
      </c>
      <c r="E1929" s="9" t="s">
        <v>1938</v>
      </c>
      <c r="I1929" s="12" t="str">
        <f>IFERROR(__xludf.DUMMYFUNCTION("""COMPUTED_VALUE"""),"0xa40566f0e9f919c64f91d0288e9587f6b30bb0bf")</f>
        <v>0xa40566f0e9f919c64f91d0288e9587f6b30bb0bf</v>
      </c>
      <c r="J1929" s="11">
        <v>104.8083609188511</v>
      </c>
      <c r="K1929" s="12">
        <v>232.90746870855799</v>
      </c>
      <c r="L1929" s="13">
        <v>2.3290746870855798E20</v>
      </c>
      <c r="M1929" s="9">
        <v>2.32907468708558E19</v>
      </c>
    </row>
    <row r="1930" ht="15.75" customHeight="1">
      <c r="A1930" s="8"/>
      <c r="B1930" s="8"/>
      <c r="C1930" s="8"/>
      <c r="D1930" s="8">
        <v>26.213571708158</v>
      </c>
      <c r="E1930" s="9" t="s">
        <v>1939</v>
      </c>
      <c r="I1930" s="12" t="str">
        <f>IFERROR(__xludf.DUMMYFUNCTION("""COMPUTED_VALUE"""),"0xa43867a72cbba85af92a5d171403a8858d29cefd")</f>
        <v>0xa43867a72cbba85af92a5d171403a8858d29cefd</v>
      </c>
      <c r="J1930" s="11">
        <v>26.213571708158</v>
      </c>
      <c r="K1930" s="12">
        <v>58.252381573684445</v>
      </c>
      <c r="L1930" s="13">
        <v>5.8252381573684445E19</v>
      </c>
      <c r="M1930" s="9">
        <v>5.8252381573684449E18</v>
      </c>
    </row>
    <row r="1931" ht="15.75" customHeight="1">
      <c r="A1931" s="8"/>
      <c r="B1931" s="8"/>
      <c r="C1931" s="8"/>
      <c r="D1931" s="8">
        <v>27.9026907562088</v>
      </c>
      <c r="E1931" s="9" t="s">
        <v>1940</v>
      </c>
      <c r="I1931" s="12" t="str">
        <f>IFERROR(__xludf.DUMMYFUNCTION("""COMPUTED_VALUE"""),"0xa46460abe381f2d55ed5379893253bc3ea06226a")</f>
        <v>0xa46460abe381f2d55ed5379893253bc3ea06226a</v>
      </c>
      <c r="J1931" s="11">
        <v>27.9026907562088</v>
      </c>
      <c r="K1931" s="12">
        <v>62.005979458241775</v>
      </c>
      <c r="L1931" s="13">
        <v>6.200597945824177E19</v>
      </c>
      <c r="M1931" s="9">
        <v>6.2005979458241782E18</v>
      </c>
    </row>
    <row r="1932" ht="15.75" customHeight="1">
      <c r="A1932" s="8"/>
      <c r="B1932" s="8"/>
      <c r="C1932" s="8"/>
      <c r="D1932" s="8">
        <v>22.2490789406904</v>
      </c>
      <c r="E1932" s="9" t="s">
        <v>1941</v>
      </c>
      <c r="I1932" s="12" t="str">
        <f>IFERROR(__xludf.DUMMYFUNCTION("""COMPUTED_VALUE"""),"0xa46575474aa947e3d6fd66396ad2aea447d288cc")</f>
        <v>0xa46575474aa947e3d6fd66396ad2aea447d288cc</v>
      </c>
      <c r="J1932" s="11">
        <v>22.2490789406904</v>
      </c>
      <c r="K1932" s="12">
        <v>49.442397645978666</v>
      </c>
      <c r="L1932" s="13">
        <v>4.9442397645978665E19</v>
      </c>
      <c r="M1932" s="9">
        <v>4.9442397645978665E18</v>
      </c>
    </row>
    <row r="1933" ht="15.75" customHeight="1">
      <c r="A1933" s="8"/>
      <c r="B1933" s="8"/>
      <c r="C1933" s="8"/>
      <c r="D1933" s="8">
        <v>26.4127476410997</v>
      </c>
      <c r="E1933" s="9" t="s">
        <v>1942</v>
      </c>
      <c r="I1933" s="12" t="str">
        <f>IFERROR(__xludf.DUMMYFUNCTION("""COMPUTED_VALUE"""),"0xa46d5fe1721bbb1a4a548a57a4981b27654afdfe")</f>
        <v>0xa46d5fe1721bbb1a4a548a57a4981b27654afdfe</v>
      </c>
      <c r="J1933" s="11">
        <v>26.4127476410997</v>
      </c>
      <c r="K1933" s="12">
        <v>58.69499475799933</v>
      </c>
      <c r="L1933" s="13">
        <v>5.869499475799933E19</v>
      </c>
      <c r="M1933" s="9">
        <v>5.8694994757999329E18</v>
      </c>
    </row>
    <row r="1934" ht="15.75" customHeight="1">
      <c r="A1934" s="8"/>
      <c r="B1934" s="8"/>
      <c r="C1934" s="8"/>
      <c r="D1934" s="8">
        <v>27.9026907562088</v>
      </c>
      <c r="E1934" s="9" t="s">
        <v>1943</v>
      </c>
      <c r="I1934" s="12" t="str">
        <f>IFERROR(__xludf.DUMMYFUNCTION("""COMPUTED_VALUE"""),"0xa4754b2492aabca31403ed4407ec1166cef65f47")</f>
        <v>0xa4754b2492aabca31403ed4407ec1166cef65f47</v>
      </c>
      <c r="J1934" s="11">
        <v>27.9026907562088</v>
      </c>
      <c r="K1934" s="12">
        <v>62.005979458241775</v>
      </c>
      <c r="L1934" s="13">
        <v>6.200597945824177E19</v>
      </c>
      <c r="M1934" s="9">
        <v>6.2005979458241782E18</v>
      </c>
    </row>
    <row r="1935" ht="15.75" customHeight="1">
      <c r="A1935" s="8"/>
      <c r="B1935" s="8"/>
      <c r="C1935" s="8"/>
      <c r="D1935" s="8">
        <v>12.0155300533144</v>
      </c>
      <c r="E1935" s="9" t="s">
        <v>1944</v>
      </c>
      <c r="I1935" s="12" t="str">
        <f>IFERROR(__xludf.DUMMYFUNCTION("""COMPUTED_VALUE"""),"0xa480dcdecca7baa02ce62277375cd51e7a4d5025")</f>
        <v>0xa480dcdecca7baa02ce62277375cd51e7a4d5025</v>
      </c>
      <c r="J1935" s="11">
        <v>12.0155300533144</v>
      </c>
      <c r="K1935" s="12">
        <v>26.701177896254222</v>
      </c>
      <c r="L1935" s="13">
        <v>2.6701177896254222E19</v>
      </c>
      <c r="M1935" s="9">
        <v>2.6701177896254223E18</v>
      </c>
    </row>
    <row r="1936" ht="15.75" customHeight="1">
      <c r="A1936" s="8"/>
      <c r="B1936" s="8"/>
      <c r="C1936" s="8"/>
      <c r="D1936" s="8">
        <v>27.9026907562088</v>
      </c>
      <c r="E1936" s="9" t="s">
        <v>1945</v>
      </c>
      <c r="I1936" s="12" t="str">
        <f>IFERROR(__xludf.DUMMYFUNCTION("""COMPUTED_VALUE"""),"0xa4873895cd3d1ff65586d18198ba6e5f342459b9")</f>
        <v>0xa4873895cd3d1ff65586d18198ba6e5f342459b9</v>
      </c>
      <c r="J1936" s="11">
        <v>27.9026907562088</v>
      </c>
      <c r="K1936" s="12">
        <v>62.005979458241775</v>
      </c>
      <c r="L1936" s="13">
        <v>6.200597945824177E19</v>
      </c>
      <c r="M1936" s="9">
        <v>6.2005979458241782E18</v>
      </c>
    </row>
    <row r="1937" ht="15.75" customHeight="1">
      <c r="A1937" s="8"/>
      <c r="B1937" s="8"/>
      <c r="C1937" s="8"/>
      <c r="D1937" s="8">
        <v>9.15783610566071</v>
      </c>
      <c r="E1937" s="9" t="s">
        <v>1946</v>
      </c>
      <c r="I1937" s="12" t="str">
        <f>IFERROR(__xludf.DUMMYFUNCTION("""COMPUTED_VALUE"""),"0xa4aab0c424250b49a51a61d5f80f5d20c7d013d4")</f>
        <v>0xa4aab0c424250b49a51a61d5f80f5d20c7d013d4</v>
      </c>
      <c r="J1937" s="11">
        <v>9.15783610566071</v>
      </c>
      <c r="K1937" s="12">
        <v>20.350746901468245</v>
      </c>
      <c r="L1937" s="13">
        <v>2.0350746901468246E19</v>
      </c>
      <c r="M1937" s="9">
        <v>2.0350746901468247E18</v>
      </c>
    </row>
    <row r="1938" ht="15.75" customHeight="1">
      <c r="A1938" s="8"/>
      <c r="B1938" s="8"/>
      <c r="C1938" s="8"/>
      <c r="D1938" s="8">
        <v>27.9026907562088</v>
      </c>
      <c r="E1938" s="9" t="s">
        <v>1947</v>
      </c>
      <c r="I1938" s="12" t="str">
        <f>IFERROR(__xludf.DUMMYFUNCTION("""COMPUTED_VALUE"""),"0xa4f89aa46a70431a6b16e797fa34f8e862a9c07b")</f>
        <v>0xa4f89aa46a70431a6b16e797fa34f8e862a9c07b</v>
      </c>
      <c r="J1938" s="11">
        <v>27.9026907562088</v>
      </c>
      <c r="K1938" s="12">
        <v>62.005979458241775</v>
      </c>
      <c r="L1938" s="13">
        <v>6.200597945824177E19</v>
      </c>
      <c r="M1938" s="9">
        <v>6.2005979458241782E18</v>
      </c>
    </row>
    <row r="1939" ht="15.75" customHeight="1">
      <c r="A1939" s="8"/>
      <c r="B1939" s="8"/>
      <c r="C1939" s="8"/>
      <c r="D1939" s="8">
        <v>27.9026907562088</v>
      </c>
      <c r="E1939" s="9" t="s">
        <v>1948</v>
      </c>
      <c r="I1939" s="12" t="str">
        <f>IFERROR(__xludf.DUMMYFUNCTION("""COMPUTED_VALUE"""),"0xa5205eccba8cbb04db80d81be66be1a0785fdb82")</f>
        <v>0xa5205eccba8cbb04db80d81be66be1a0785fdb82</v>
      </c>
      <c r="J1939" s="11">
        <v>274.0242900554178</v>
      </c>
      <c r="K1939" s="12">
        <v>608.9428667898173</v>
      </c>
      <c r="L1939" s="13">
        <v>6.089428667898174E20</v>
      </c>
      <c r="M1939" s="9">
        <v>6.089428667898174E19</v>
      </c>
    </row>
    <row r="1940" ht="15.75" customHeight="1">
      <c r="A1940" s="8"/>
      <c r="B1940" s="8"/>
      <c r="C1940" s="8"/>
      <c r="D1940" s="8">
        <v>27.9026907562088</v>
      </c>
      <c r="E1940" s="9" t="s">
        <v>1949</v>
      </c>
      <c r="I1940" s="12" t="str">
        <f>IFERROR(__xludf.DUMMYFUNCTION("""COMPUTED_VALUE"""),"0xa5265ab9ffd59c81474ac62d7b8c5cdd47673109")</f>
        <v>0xa5265ab9ffd59c81474ac62d7b8c5cdd47673109</v>
      </c>
      <c r="J1940" s="11">
        <v>27.9026907562088</v>
      </c>
      <c r="K1940" s="12">
        <v>62.005979458241775</v>
      </c>
      <c r="L1940" s="13">
        <v>6.200597945824177E19</v>
      </c>
      <c r="M1940" s="9">
        <v>6.2005979458241782E18</v>
      </c>
    </row>
    <row r="1941" ht="15.75" customHeight="1">
      <c r="A1941" s="8"/>
      <c r="B1941" s="8"/>
      <c r="C1941" s="8"/>
      <c r="D1941" s="8">
        <v>3.88093451784595</v>
      </c>
      <c r="E1941" s="9" t="s">
        <v>1950</v>
      </c>
      <c r="I1941" s="12" t="str">
        <f>IFERROR(__xludf.DUMMYFUNCTION("""COMPUTED_VALUE"""),"0xa568b3ed05b85f3603c40ebc43659d35a7fdbfc6")</f>
        <v>0xa568b3ed05b85f3603c40ebc43659d35a7fdbfc6</v>
      </c>
      <c r="J1941" s="11">
        <v>3.88093451784595</v>
      </c>
      <c r="K1941" s="12">
        <v>8.624298928546555</v>
      </c>
      <c r="L1941" s="13">
        <v>8.6242989285465549E18</v>
      </c>
      <c r="M1941" s="9">
        <v>8.6242989285465549E17</v>
      </c>
    </row>
    <row r="1942" ht="15.75" customHeight="1">
      <c r="A1942" s="8"/>
      <c r="B1942" s="8"/>
      <c r="C1942" s="8"/>
      <c r="D1942" s="8">
        <v>23.3818019579813</v>
      </c>
      <c r="E1942" s="9" t="s">
        <v>1951</v>
      </c>
      <c r="I1942" s="12" t="str">
        <f>IFERROR(__xludf.DUMMYFUNCTION("""COMPUTED_VALUE"""),"0xa5838a1834dec705e4fe50b5be1566f8838a379f")</f>
        <v>0xa5838a1834dec705e4fe50b5be1566f8838a379f</v>
      </c>
      <c r="J1942" s="11">
        <v>142.28778674210082</v>
      </c>
      <c r="K1942" s="12">
        <v>316.1950816491129</v>
      </c>
      <c r="L1942" s="13">
        <v>3.1619508164911294E20</v>
      </c>
      <c r="M1942" s="9">
        <v>3.1619508164911297E19</v>
      </c>
    </row>
    <row r="1943" ht="15.75" customHeight="1">
      <c r="A1943" s="8"/>
      <c r="B1943" s="8"/>
      <c r="C1943" s="8"/>
      <c r="D1943" s="8">
        <v>8.94846194090183</v>
      </c>
      <c r="E1943" s="9" t="s">
        <v>1952</v>
      </c>
      <c r="I1943" s="12" t="str">
        <f>IFERROR(__xludf.DUMMYFUNCTION("""COMPUTED_VALUE"""),"0xa5906352f2e72253ea73989b4a792f7f2a97a76f")</f>
        <v>0xa5906352f2e72253ea73989b4a792f7f2a97a76f</v>
      </c>
      <c r="J1943" s="11">
        <v>11.714292775445289</v>
      </c>
      <c r="K1943" s="12">
        <v>26.03176172321175</v>
      </c>
      <c r="L1943" s="13">
        <v>2.603176172321175E19</v>
      </c>
      <c r="M1943" s="9">
        <v>2.603176172321175E18</v>
      </c>
    </row>
    <row r="1944" ht="15.75" customHeight="1">
      <c r="A1944" s="8"/>
      <c r="B1944" s="8"/>
      <c r="C1944" s="8"/>
      <c r="D1944" s="8">
        <v>25.7234918947548</v>
      </c>
      <c r="E1944" s="9" t="s">
        <v>1953</v>
      </c>
      <c r="I1944" s="12" t="str">
        <f>IFERROR(__xludf.DUMMYFUNCTION("""COMPUTED_VALUE"""),"0xa5b11c56a19ad9b6e13f584fa45b2d3c48472307")</f>
        <v>0xa5b11c56a19ad9b6e13f584fa45b2d3c48472307</v>
      </c>
      <c r="J1944" s="11">
        <v>25.7234918947548</v>
      </c>
      <c r="K1944" s="12">
        <v>57.16331532167733</v>
      </c>
      <c r="L1944" s="13">
        <v>5.716331532167733E19</v>
      </c>
      <c r="M1944" s="9">
        <v>5.7163315321677332E18</v>
      </c>
    </row>
    <row r="1945" ht="15.75" customHeight="1">
      <c r="A1945" s="8"/>
      <c r="B1945" s="8"/>
      <c r="C1945" s="8"/>
      <c r="D1945" s="8">
        <v>27.9026907562088</v>
      </c>
      <c r="E1945" s="9" t="s">
        <v>1954</v>
      </c>
      <c r="I1945" s="12" t="str">
        <f>IFERROR(__xludf.DUMMYFUNCTION("""COMPUTED_VALUE"""),"0xa5b61af6bc5a24991cf54e835bdd2c0c4f41d816")</f>
        <v>0xa5b61af6bc5a24991cf54e835bdd2c0c4f41d816</v>
      </c>
      <c r="J1945" s="11">
        <v>27.9026907562088</v>
      </c>
      <c r="K1945" s="12">
        <v>62.005979458241775</v>
      </c>
      <c r="L1945" s="13">
        <v>6.200597945824177E19</v>
      </c>
      <c r="M1945" s="9">
        <v>6.2005979458241782E18</v>
      </c>
    </row>
    <row r="1946" ht="15.75" customHeight="1">
      <c r="A1946" s="8"/>
      <c r="B1946" s="8"/>
      <c r="C1946" s="8"/>
      <c r="D1946" s="8">
        <v>24.707261993492</v>
      </c>
      <c r="E1946" s="9" t="s">
        <v>1955</v>
      </c>
      <c r="I1946" s="12" t="str">
        <f>IFERROR(__xludf.DUMMYFUNCTION("""COMPUTED_VALUE"""),"0xa5c74774456d431913941eee949d4e470617ed65")</f>
        <v>0xa5c74774456d431913941eee949d4e470617ed65</v>
      </c>
      <c r="J1946" s="11">
        <v>24.707261993492</v>
      </c>
      <c r="K1946" s="12">
        <v>54.90502665220444</v>
      </c>
      <c r="L1946" s="13">
        <v>5.490502665220444E19</v>
      </c>
      <c r="M1946" s="9">
        <v>5.4905026652204442E18</v>
      </c>
    </row>
    <row r="1947" ht="15.75" customHeight="1">
      <c r="A1947" s="8"/>
      <c r="B1947" s="8"/>
      <c r="C1947" s="8"/>
      <c r="D1947" s="8">
        <v>27.9026907562088</v>
      </c>
      <c r="E1947" s="9" t="s">
        <v>1956</v>
      </c>
      <c r="I1947" s="12" t="str">
        <f>IFERROR(__xludf.DUMMYFUNCTION("""COMPUTED_VALUE"""),"0xa5ce2fd284c3b31c45861f82558080bb5458c6db")</f>
        <v>0xa5ce2fd284c3b31c45861f82558080bb5458c6db</v>
      </c>
      <c r="J1947" s="11">
        <v>65.83307528437041</v>
      </c>
      <c r="K1947" s="12">
        <v>146.29572285415645</v>
      </c>
      <c r="L1947" s="13">
        <v>1.4629572285415645E20</v>
      </c>
      <c r="M1947" s="9">
        <v>1.4629572285415645E19</v>
      </c>
    </row>
    <row r="1948" ht="15.75" customHeight="1">
      <c r="A1948" s="8"/>
      <c r="B1948" s="8"/>
      <c r="C1948" s="8"/>
      <c r="D1948" s="8">
        <v>27.9026907562088</v>
      </c>
      <c r="E1948" s="9" t="s">
        <v>1957</v>
      </c>
      <c r="I1948" s="12" t="str">
        <f>IFERROR(__xludf.DUMMYFUNCTION("""COMPUTED_VALUE"""),"0xa5cebac830948a359c14811b8acb1bdb70cb536a")</f>
        <v>0xa5cebac830948a359c14811b8acb1bdb70cb536a</v>
      </c>
      <c r="J1948" s="11">
        <v>27.9026907562088</v>
      </c>
      <c r="K1948" s="12">
        <v>62.005979458241775</v>
      </c>
      <c r="L1948" s="13">
        <v>6.200597945824177E19</v>
      </c>
      <c r="M1948" s="9">
        <v>6.2005979458241782E18</v>
      </c>
    </row>
    <row r="1949" ht="15.75" customHeight="1">
      <c r="A1949" s="8"/>
      <c r="B1949" s="8"/>
      <c r="C1949" s="8"/>
      <c r="D1949" s="8">
        <v>27.9026907562088</v>
      </c>
      <c r="E1949" s="9" t="s">
        <v>1958</v>
      </c>
      <c r="I1949" s="12" t="str">
        <f>IFERROR(__xludf.DUMMYFUNCTION("""COMPUTED_VALUE"""),"0xa5d9fa9a24fd7eaf4df5cc668e5d431e38b0799d")</f>
        <v>0xa5d9fa9a24fd7eaf4df5cc668e5d431e38b0799d</v>
      </c>
      <c r="J1949" s="11">
        <v>91.1199983031448</v>
      </c>
      <c r="K1949" s="12">
        <v>202.48888511809955</v>
      </c>
      <c r="L1949" s="13">
        <v>2.0248888511809955E20</v>
      </c>
      <c r="M1949" s="9">
        <v>2.0248888511809958E19</v>
      </c>
    </row>
    <row r="1950" ht="15.75" customHeight="1">
      <c r="A1950" s="8"/>
      <c r="B1950" s="8"/>
      <c r="C1950" s="8"/>
      <c r="D1950" s="8">
        <v>6.68042722891776</v>
      </c>
      <c r="E1950" s="9" t="s">
        <v>1959</v>
      </c>
      <c r="I1950" s="12" t="str">
        <f>IFERROR(__xludf.DUMMYFUNCTION("""COMPUTED_VALUE"""),"0xa5dadd9a9e5e61fef17bd1fa0353e70ee8335cd9")</f>
        <v>0xa5dadd9a9e5e61fef17bd1fa0353e70ee8335cd9</v>
      </c>
      <c r="J1950" s="11">
        <v>6.68042722891776</v>
      </c>
      <c r="K1950" s="12">
        <v>14.845393842039467</v>
      </c>
      <c r="L1950" s="13">
        <v>1.4845393842039468E19</v>
      </c>
      <c r="M1950" s="9">
        <v>1.48453938420394701E18</v>
      </c>
    </row>
    <row r="1951" ht="15.75" customHeight="1">
      <c r="A1951" s="8"/>
      <c r="B1951" s="8"/>
      <c r="C1951" s="8"/>
      <c r="D1951" s="8">
        <v>27.3521214514725</v>
      </c>
      <c r="E1951" s="9" t="s">
        <v>1960</v>
      </c>
      <c r="I1951" s="12" t="str">
        <f>IFERROR(__xludf.DUMMYFUNCTION("""COMPUTED_VALUE"""),"0xa618d4b8df66370efc25cf73da0126efff1ee838")</f>
        <v>0xa618d4b8df66370efc25cf73da0126efff1ee838</v>
      </c>
      <c r="J1951" s="11">
        <v>89.45262929263609</v>
      </c>
      <c r="K1951" s="12">
        <v>198.78362065030242</v>
      </c>
      <c r="L1951" s="13">
        <v>1.9878362065030244E20</v>
      </c>
      <c r="M1951" s="9">
        <v>1.9878362065030246E19</v>
      </c>
    </row>
    <row r="1952" ht="15.75" customHeight="1">
      <c r="A1952" s="8"/>
      <c r="B1952" s="8"/>
      <c r="C1952" s="8"/>
      <c r="D1952" s="8">
        <v>24.6135414994418</v>
      </c>
      <c r="E1952" s="9" t="s">
        <v>1961</v>
      </c>
      <c r="I1952" s="12" t="str">
        <f>IFERROR(__xludf.DUMMYFUNCTION("""COMPUTED_VALUE"""),"0xa61c114e38ceac5bde6325956f4e808582690329")</f>
        <v>0xa61c114e38ceac5bde6325956f4e808582690329</v>
      </c>
      <c r="J1952" s="11">
        <v>24.6135414994418</v>
      </c>
      <c r="K1952" s="12">
        <v>54.69675888764844</v>
      </c>
      <c r="L1952" s="13">
        <v>5.4696758887648444E19</v>
      </c>
      <c r="M1952" s="9">
        <v>5.4696758887648451E18</v>
      </c>
    </row>
    <row r="1953" ht="15.75" customHeight="1">
      <c r="A1953" s="8"/>
      <c r="B1953" s="8"/>
      <c r="C1953" s="8"/>
      <c r="D1953" s="8">
        <v>27.9026907562088</v>
      </c>
      <c r="E1953" s="9" t="s">
        <v>1962</v>
      </c>
      <c r="I1953" s="12" t="str">
        <f>IFERROR(__xludf.DUMMYFUNCTION("""COMPUTED_VALUE"""),"0xa61d4bd746ffb8913661a983d5455ec835210272")</f>
        <v>0xa61d4bd746ffb8913661a983d5455ec835210272</v>
      </c>
      <c r="J1953" s="11">
        <v>27.9026907562088</v>
      </c>
      <c r="K1953" s="12">
        <v>62.005979458241775</v>
      </c>
      <c r="L1953" s="13">
        <v>6.200597945824177E19</v>
      </c>
      <c r="M1953" s="9">
        <v>6.2005979458241782E18</v>
      </c>
    </row>
    <row r="1954" ht="15.75" customHeight="1">
      <c r="A1954" s="8"/>
      <c r="B1954" s="8"/>
      <c r="C1954" s="8"/>
      <c r="D1954" s="8">
        <v>27.9026907562088</v>
      </c>
      <c r="E1954" s="9" t="s">
        <v>1963</v>
      </c>
      <c r="I1954" s="12" t="str">
        <f>IFERROR(__xludf.DUMMYFUNCTION("""COMPUTED_VALUE"""),"0xa634d8b6fbe9a175a5be1b0e5d6798e47d45998a")</f>
        <v>0xa634d8b6fbe9a175a5be1b0e5d6798e47d45998a</v>
      </c>
      <c r="J1954" s="11">
        <v>480.27806586117276</v>
      </c>
      <c r="K1954" s="12">
        <v>1067.284590802606</v>
      </c>
      <c r="L1954" s="13">
        <v>1.0672845908026061E21</v>
      </c>
      <c r="M1954" s="9">
        <v>1.0672845908026062E20</v>
      </c>
    </row>
    <row r="1955" ht="15.75" customHeight="1">
      <c r="A1955" s="8"/>
      <c r="B1955" s="8"/>
      <c r="C1955" s="8"/>
      <c r="D1955" s="8">
        <v>27.9026907562088</v>
      </c>
      <c r="E1955" s="9" t="s">
        <v>1964</v>
      </c>
      <c r="I1955" s="12" t="str">
        <f>IFERROR(__xludf.DUMMYFUNCTION("""COMPUTED_VALUE"""),"0xa656316cd0613c47a5b1c49125af331189a8e551")</f>
        <v>0xa656316cd0613c47a5b1c49125af331189a8e551</v>
      </c>
      <c r="J1955" s="11">
        <v>157.2768697880097</v>
      </c>
      <c r="K1955" s="12">
        <v>349.504155084466</v>
      </c>
      <c r="L1955" s="13">
        <v>3.4950415508446596E20</v>
      </c>
      <c r="M1955" s="9">
        <v>3.4950415508446597E19</v>
      </c>
    </row>
    <row r="1956" ht="15.75" customHeight="1">
      <c r="A1956" s="8"/>
      <c r="B1956" s="8"/>
      <c r="C1956" s="8"/>
      <c r="D1956" s="8">
        <v>25.5302298169393</v>
      </c>
      <c r="E1956" s="9" t="s">
        <v>1965</v>
      </c>
      <c r="I1956" s="12" t="str">
        <f>IFERROR(__xludf.DUMMYFUNCTION("""COMPUTED_VALUE"""),"0xa6586e8b3298bdfb48fe28418468ae3d6ec60141")</f>
        <v>0xa6586e8b3298bdfb48fe28418468ae3d6ec60141</v>
      </c>
      <c r="J1956" s="11">
        <v>25.5302298169393</v>
      </c>
      <c r="K1956" s="12">
        <v>56.73384403764289</v>
      </c>
      <c r="L1956" s="13">
        <v>5.673384403764289E19</v>
      </c>
      <c r="M1956" s="9">
        <v>5.6733844037642895E18</v>
      </c>
    </row>
    <row r="1957" ht="15.75" customHeight="1">
      <c r="A1957" s="8"/>
      <c r="B1957" s="8"/>
      <c r="C1957" s="8"/>
      <c r="D1957" s="8">
        <v>27.9026907562088</v>
      </c>
      <c r="E1957" s="9" t="s">
        <v>1966</v>
      </c>
      <c r="I1957" s="12" t="str">
        <f>IFERROR(__xludf.DUMMYFUNCTION("""COMPUTED_VALUE"""),"0xa69b127f2eb0327f408236a4bcb970c4122ea30e")</f>
        <v>0xa69b127f2eb0327f408236a4bcb970c4122ea30e</v>
      </c>
      <c r="J1957" s="11">
        <v>27.9026907562088</v>
      </c>
      <c r="K1957" s="12">
        <v>62.005979458241775</v>
      </c>
      <c r="L1957" s="13">
        <v>6.200597945824177E19</v>
      </c>
      <c r="M1957" s="9">
        <v>6.2005979458241782E18</v>
      </c>
    </row>
    <row r="1958" ht="15.75" customHeight="1">
      <c r="A1958" s="8"/>
      <c r="B1958" s="8"/>
      <c r="C1958" s="8"/>
      <c r="D1958" s="8">
        <v>27.9026907562088</v>
      </c>
      <c r="E1958" s="9" t="s">
        <v>1967</v>
      </c>
      <c r="I1958" s="12" t="str">
        <f>IFERROR(__xludf.DUMMYFUNCTION("""COMPUTED_VALUE"""),"0xa6b7e0200d28f3cf5dd6e8e078c4826822bb720e")</f>
        <v>0xa6b7e0200d28f3cf5dd6e8e078c4826822bb720e</v>
      </c>
      <c r="J1958" s="11">
        <v>78.47653679375759</v>
      </c>
      <c r="K1958" s="12">
        <v>174.39230398612798</v>
      </c>
      <c r="L1958" s="13">
        <v>1.74392303986128E20</v>
      </c>
      <c r="M1958" s="9">
        <v>1.74392303986128E19</v>
      </c>
    </row>
    <row r="1959" ht="15.75" customHeight="1">
      <c r="A1959" s="8"/>
      <c r="B1959" s="8"/>
      <c r="C1959" s="8"/>
      <c r="D1959" s="8">
        <v>27.9026907562088</v>
      </c>
      <c r="E1959" s="9" t="s">
        <v>1968</v>
      </c>
      <c r="I1959" s="12" t="str">
        <f>IFERROR(__xludf.DUMMYFUNCTION("""COMPUTED_VALUE"""),"0xa6c3997cc5a1dbfe6e72074424c2c0088286c71e")</f>
        <v>0xa6c3997cc5a1dbfe6e72074424c2c0088286c71e</v>
      </c>
      <c r="J1959" s="11">
        <v>127.49697266133319</v>
      </c>
      <c r="K1959" s="12">
        <v>283.32660591407375</v>
      </c>
      <c r="L1959" s="13">
        <v>2.8332660591407376E20</v>
      </c>
      <c r="M1959" s="9">
        <v>2.833266059140738E19</v>
      </c>
    </row>
    <row r="1960" ht="15.75" customHeight="1">
      <c r="A1960" s="8"/>
      <c r="B1960" s="8"/>
      <c r="C1960" s="8"/>
      <c r="D1960" s="8">
        <v>27.9026907562088</v>
      </c>
      <c r="E1960" s="9" t="s">
        <v>1969</v>
      </c>
      <c r="I1960" s="12" t="str">
        <f>IFERROR(__xludf.DUMMYFUNCTION("""COMPUTED_VALUE"""),"0xa6e96dbb6b7d2c12062e70d3dec87c4fe23f961f")</f>
        <v>0xa6e96dbb6b7d2c12062e70d3dec87c4fe23f961f</v>
      </c>
      <c r="J1960" s="11">
        <v>103.2967765732687</v>
      </c>
      <c r="K1960" s="12">
        <v>229.54839238504155</v>
      </c>
      <c r="L1960" s="13">
        <v>2.2954839238504156E20</v>
      </c>
      <c r="M1960" s="9">
        <v>2.2954839238504157E19</v>
      </c>
    </row>
    <row r="1961" ht="15.75" customHeight="1">
      <c r="A1961" s="8"/>
      <c r="B1961" s="8"/>
      <c r="C1961" s="8"/>
      <c r="D1961" s="8">
        <v>27.9026907562088</v>
      </c>
      <c r="E1961" s="9" t="s">
        <v>1970</v>
      </c>
      <c r="I1961" s="12" t="str">
        <f>IFERROR(__xludf.DUMMYFUNCTION("""COMPUTED_VALUE"""),"0xa6ed26749cb54591291b4550a82f15ff64ae98d9")</f>
        <v>0xa6ed26749cb54591291b4550a82f15ff64ae98d9</v>
      </c>
      <c r="J1961" s="11">
        <v>118.1664839984278</v>
      </c>
      <c r="K1961" s="12">
        <v>262.59218666317287</v>
      </c>
      <c r="L1961" s="13">
        <v>2.6259218666317287E20</v>
      </c>
      <c r="M1961" s="9">
        <v>2.6259218666317287E19</v>
      </c>
    </row>
    <row r="1962" ht="15.75" customHeight="1">
      <c r="A1962" s="8"/>
      <c r="B1962" s="8"/>
      <c r="C1962" s="8"/>
      <c r="D1962" s="8">
        <v>27.9026907562088</v>
      </c>
      <c r="E1962" s="9" t="s">
        <v>1971</v>
      </c>
      <c r="I1962" s="12" t="str">
        <f>IFERROR(__xludf.DUMMYFUNCTION("""COMPUTED_VALUE"""),"0xa6f9ab70da9d6ec0af3155e8926c20e8365aa4c7")</f>
        <v>0xa6f9ab70da9d6ec0af3155e8926c20e8365aa4c7</v>
      </c>
      <c r="J1962" s="11">
        <v>27.9026907562088</v>
      </c>
      <c r="K1962" s="12">
        <v>62.005979458241775</v>
      </c>
      <c r="L1962" s="13">
        <v>6.200597945824177E19</v>
      </c>
      <c r="M1962" s="9">
        <v>6.2005979458241782E18</v>
      </c>
    </row>
    <row r="1963" ht="15.75" customHeight="1">
      <c r="A1963" s="8"/>
      <c r="B1963" s="8"/>
      <c r="C1963" s="8"/>
      <c r="D1963" s="8">
        <v>27.9026907562088</v>
      </c>
      <c r="E1963" s="9" t="s">
        <v>1972</v>
      </c>
      <c r="I1963" s="12" t="str">
        <f>IFERROR(__xludf.DUMMYFUNCTION("""COMPUTED_VALUE"""),"0xa6fff7304c3cb9ba332539863ba5dfe9f131db61")</f>
        <v>0xa6fff7304c3cb9ba332539863ba5dfe9f131db61</v>
      </c>
      <c r="J1963" s="11">
        <v>91.1199983031448</v>
      </c>
      <c r="K1963" s="12">
        <v>202.48888511809955</v>
      </c>
      <c r="L1963" s="13">
        <v>2.0248888511809955E20</v>
      </c>
      <c r="M1963" s="9">
        <v>2.0248888511809958E19</v>
      </c>
    </row>
    <row r="1964" ht="15.75" customHeight="1">
      <c r="A1964" s="8"/>
      <c r="B1964" s="8"/>
      <c r="C1964" s="8"/>
      <c r="D1964" s="8">
        <v>27.9026907562088</v>
      </c>
      <c r="E1964" s="9" t="s">
        <v>1973</v>
      </c>
      <c r="I1964" s="12" t="str">
        <f>IFERROR(__xludf.DUMMYFUNCTION("""COMPUTED_VALUE"""),"0xa70456336a70657c6433a3f91868aad851ccfb3d")</f>
        <v>0xa70456336a70657c6433a3f91868aad851ccfb3d</v>
      </c>
      <c r="J1964" s="11">
        <v>100.99802841088966</v>
      </c>
      <c r="K1964" s="12">
        <v>224.44006313531034</v>
      </c>
      <c r="L1964" s="13">
        <v>2.2444006313531035E20</v>
      </c>
      <c r="M1964" s="9">
        <v>2.2444006313531036E19</v>
      </c>
    </row>
    <row r="1965" ht="15.75" customHeight="1">
      <c r="A1965" s="8"/>
      <c r="B1965" s="8"/>
      <c r="C1965" s="8"/>
      <c r="D1965" s="8">
        <v>27.1417486863342</v>
      </c>
      <c r="E1965" s="9" t="s">
        <v>1974</v>
      </c>
      <c r="I1965" s="12" t="str">
        <f>IFERROR(__xludf.DUMMYFUNCTION("""COMPUTED_VALUE"""),"0xa7069b4433333c178df886e5c85ead8a6a105de5")</f>
        <v>0xa7069b4433333c178df886e5c85ead8a6a105de5</v>
      </c>
      <c r="J1965" s="11">
        <v>27.1417486863342</v>
      </c>
      <c r="K1965" s="12">
        <v>60.314997080742664</v>
      </c>
      <c r="L1965" s="13">
        <v>6.031499708074267E19</v>
      </c>
      <c r="M1965" s="9">
        <v>6.0314997080742666E18</v>
      </c>
    </row>
    <row r="1966" ht="15.75" customHeight="1">
      <c r="A1966" s="8"/>
      <c r="B1966" s="8"/>
      <c r="C1966" s="8"/>
      <c r="D1966" s="8">
        <v>27.9026907562088</v>
      </c>
      <c r="E1966" s="9" t="s">
        <v>1975</v>
      </c>
      <c r="I1966" s="12" t="str">
        <f>IFERROR(__xludf.DUMMYFUNCTION("""COMPUTED_VALUE"""),"0xa70e458d902972c789d96590ac71ef901abc5cac")</f>
        <v>0xa70e458d902972c789d96590ac71ef901abc5cac</v>
      </c>
      <c r="J1966" s="11">
        <v>196.19267654381179</v>
      </c>
      <c r="K1966" s="12">
        <v>435.98372565291504</v>
      </c>
      <c r="L1966" s="13">
        <v>4.3598372565291506E20</v>
      </c>
      <c r="M1966" s="9">
        <v>4.359837256529151E19</v>
      </c>
    </row>
    <row r="1967" ht="15.75" customHeight="1">
      <c r="A1967" s="8"/>
      <c r="B1967" s="8"/>
      <c r="C1967" s="8"/>
      <c r="D1967" s="8">
        <v>27.9026907562088</v>
      </c>
      <c r="E1967" s="9" t="s">
        <v>1976</v>
      </c>
      <c r="I1967" s="12" t="str">
        <f>IFERROR(__xludf.DUMMYFUNCTION("""COMPUTED_VALUE"""),"0xa73018c8c64d8b58f692da632255c8ac907c8d58")</f>
        <v>0xa73018c8c64d8b58f692da632255c8ac907c8d58</v>
      </c>
      <c r="J1967" s="11">
        <v>91.1199983031448</v>
      </c>
      <c r="K1967" s="12">
        <v>202.48888511809955</v>
      </c>
      <c r="L1967" s="13">
        <v>2.0248888511809955E20</v>
      </c>
      <c r="M1967" s="9">
        <v>2.0248888511809958E19</v>
      </c>
    </row>
    <row r="1968" ht="15.75" customHeight="1">
      <c r="A1968" s="8"/>
      <c r="B1968" s="8"/>
      <c r="C1968" s="8"/>
      <c r="D1968" s="8">
        <v>27.9026907562088</v>
      </c>
      <c r="E1968" s="9" t="s">
        <v>1977</v>
      </c>
      <c r="I1968" s="12" t="str">
        <f>IFERROR(__xludf.DUMMYFUNCTION("""COMPUTED_VALUE"""),"0xa73c4a33eece64e31ce81262edea93603a6dc51c")</f>
        <v>0xa73c4a33eece64e31ce81262edea93603a6dc51c</v>
      </c>
      <c r="J1968" s="11">
        <v>2025.2355940665448</v>
      </c>
      <c r="K1968" s="12">
        <v>4500.5235423701</v>
      </c>
      <c r="L1968" s="13">
        <v>4.5005235423700997E21</v>
      </c>
      <c r="M1968" s="9">
        <v>4.5005235423701E20</v>
      </c>
    </row>
    <row r="1969" ht="15.75" customHeight="1">
      <c r="A1969" s="8"/>
      <c r="B1969" s="8"/>
      <c r="C1969" s="8"/>
      <c r="D1969" s="8">
        <v>11.1148688724653</v>
      </c>
      <c r="E1969" s="9" t="s">
        <v>1978</v>
      </c>
      <c r="I1969" s="12" t="str">
        <f>IFERROR(__xludf.DUMMYFUNCTION("""COMPUTED_VALUE"""),"0xa761039db0d24890caae54127599701d29ded9b6")</f>
        <v>0xa761039db0d24890caae54127599701d29ded9b6</v>
      </c>
      <c r="J1969" s="11">
        <v>36.8456617275318</v>
      </c>
      <c r="K1969" s="12">
        <v>81.879248283404</v>
      </c>
      <c r="L1969" s="13">
        <v>8.1879248283404E19</v>
      </c>
      <c r="M1969" s="9">
        <v>8.1879248283404001E18</v>
      </c>
    </row>
    <row r="1970" ht="15.75" customHeight="1">
      <c r="A1970" s="8"/>
      <c r="B1970" s="8"/>
      <c r="C1970" s="8"/>
      <c r="D1970" s="8">
        <v>26.403087564856</v>
      </c>
      <c r="E1970" s="9" t="s">
        <v>1979</v>
      </c>
      <c r="I1970" s="12" t="str">
        <f>IFERROR(__xludf.DUMMYFUNCTION("""COMPUTED_VALUE"""),"0xa77d5f01d2f398a8f819483577bbd627dc4d2485")</f>
        <v>0xa77d5f01d2f398a8f819483577bbd627dc4d2485</v>
      </c>
      <c r="J1970" s="11">
        <v>26.403087564856</v>
      </c>
      <c r="K1970" s="12">
        <v>58.67352792190222</v>
      </c>
      <c r="L1970" s="13">
        <v>5.867352792190222E19</v>
      </c>
      <c r="M1970" s="9">
        <v>5.8673527921902223E18</v>
      </c>
    </row>
    <row r="1971" ht="15.75" customHeight="1">
      <c r="A1971" s="8"/>
      <c r="B1971" s="8"/>
      <c r="C1971" s="8"/>
      <c r="D1971" s="8">
        <v>18.3600269184103</v>
      </c>
      <c r="E1971" s="9" t="s">
        <v>1980</v>
      </c>
      <c r="I1971" s="12" t="str">
        <f>IFERROR(__xludf.DUMMYFUNCTION("""COMPUTED_VALUE"""),"0xa782862589e5e353bd450df556354adee13b3388")</f>
        <v>0xa782862589e5e353bd450df556354adee13b3388</v>
      </c>
      <c r="J1971" s="11">
        <v>18.3600269184103</v>
      </c>
      <c r="K1971" s="12">
        <v>40.800059818689554</v>
      </c>
      <c r="L1971" s="13">
        <v>4.080005981868955E19</v>
      </c>
      <c r="M1971" s="9">
        <v>4.0800059818689556E18</v>
      </c>
    </row>
    <row r="1972" ht="15.75" customHeight="1">
      <c r="A1972" s="8"/>
      <c r="B1972" s="8"/>
      <c r="C1972" s="8"/>
      <c r="D1972" s="8">
        <v>27.9026907562088</v>
      </c>
      <c r="E1972" s="9" t="s">
        <v>1981</v>
      </c>
      <c r="I1972" s="12" t="str">
        <f>IFERROR(__xludf.DUMMYFUNCTION("""COMPUTED_VALUE"""),"0xa7837018e98f44a279191410c78503ea86d5e203")</f>
        <v>0xa7837018e98f44a279191410c78503ea86d5e203</v>
      </c>
      <c r="J1972" s="11">
        <v>27.9026907562088</v>
      </c>
      <c r="K1972" s="12">
        <v>62.005979458241775</v>
      </c>
      <c r="L1972" s="13">
        <v>6.200597945824177E19</v>
      </c>
      <c r="M1972" s="9">
        <v>6.2005979458241782E18</v>
      </c>
    </row>
    <row r="1973" ht="15.75" customHeight="1">
      <c r="A1973" s="8"/>
      <c r="B1973" s="8"/>
      <c r="C1973" s="8"/>
      <c r="D1973" s="8">
        <v>14.0930980543069</v>
      </c>
      <c r="E1973" s="9" t="s">
        <v>1982</v>
      </c>
      <c r="I1973" s="12" t="str">
        <f>IFERROR(__xludf.DUMMYFUNCTION("""COMPUTED_VALUE"""),"0xa7a95e75062001f286627ae8216ae15746222259")</f>
        <v>0xa7a95e75062001f286627ae8216ae15746222259</v>
      </c>
      <c r="J1973" s="11">
        <v>46.6707634723112</v>
      </c>
      <c r="K1973" s="12">
        <v>103.71280771624711</v>
      </c>
      <c r="L1973" s="13">
        <v>1.0371280771624711E20</v>
      </c>
      <c r="M1973" s="9">
        <v>1.0371280771624712E19</v>
      </c>
    </row>
    <row r="1974" ht="15.75" customHeight="1">
      <c r="A1974" s="8"/>
      <c r="B1974" s="8"/>
      <c r="C1974" s="8"/>
      <c r="D1974" s="8">
        <v>25.4523835089511</v>
      </c>
      <c r="E1974" s="9" t="s">
        <v>1983</v>
      </c>
      <c r="I1974" s="12" t="str">
        <f>IFERROR(__xludf.DUMMYFUNCTION("""COMPUTED_VALUE"""),"0xa7aaf55f538245782d44a2892abcbc7b9b518c53")</f>
        <v>0xa7aaf55f538245782d44a2892abcbc7b9b518c53</v>
      </c>
      <c r="J1974" s="11">
        <v>25.4523835089511</v>
      </c>
      <c r="K1974" s="12">
        <v>56.560852242113555</v>
      </c>
      <c r="L1974" s="13">
        <v>5.656085224211355E19</v>
      </c>
      <c r="M1974" s="9">
        <v>5.6560852242113556E18</v>
      </c>
    </row>
    <row r="1975" ht="15.75" customHeight="1">
      <c r="A1975" s="8"/>
      <c r="B1975" s="8"/>
      <c r="C1975" s="8"/>
      <c r="D1975" s="8">
        <v>27.9026907562088</v>
      </c>
      <c r="E1975" s="9" t="s">
        <v>1984</v>
      </c>
      <c r="I1975" s="12" t="str">
        <f>IFERROR(__xludf.DUMMYFUNCTION("""COMPUTED_VALUE"""),"0xa81366d43ca9d191dd6dd3e7fa29c3932505ceb6")</f>
        <v>0xa81366d43ca9d191dd6dd3e7fa29c3932505ceb6</v>
      </c>
      <c r="J1975" s="11">
        <v>91.1199983031448</v>
      </c>
      <c r="K1975" s="12">
        <v>202.48888511809955</v>
      </c>
      <c r="L1975" s="13">
        <v>2.0248888511809955E20</v>
      </c>
      <c r="M1975" s="9">
        <v>2.0248888511809958E19</v>
      </c>
    </row>
    <row r="1976" ht="15.75" customHeight="1">
      <c r="A1976" s="8"/>
      <c r="B1976" s="8"/>
      <c r="C1976" s="8"/>
      <c r="D1976" s="8">
        <v>27.9026907562088</v>
      </c>
      <c r="E1976" s="9" t="s">
        <v>1985</v>
      </c>
      <c r="I1976" s="12" t="str">
        <f>IFERROR(__xludf.DUMMYFUNCTION("""COMPUTED_VALUE"""),"0xa839793e705670ef0b08d3d931cc48604c569a58")</f>
        <v>0xa839793e705670ef0b08d3d931cc48604c569a58</v>
      </c>
      <c r="J1976" s="11">
        <v>70.6973231741175</v>
      </c>
      <c r="K1976" s="12">
        <v>157.10516260915</v>
      </c>
      <c r="L1976" s="13">
        <v>1.5710516260915E20</v>
      </c>
      <c r="M1976" s="9">
        <v>1.5710516260915001E19</v>
      </c>
    </row>
    <row r="1977" ht="15.75" customHeight="1">
      <c r="A1977" s="8"/>
      <c r="B1977" s="8"/>
      <c r="C1977" s="8"/>
      <c r="D1977" s="8">
        <v>24.1871386361978</v>
      </c>
      <c r="E1977" s="9" t="s">
        <v>1986</v>
      </c>
      <c r="I1977" s="12" t="str">
        <f>IFERROR(__xludf.DUMMYFUNCTION("""COMPUTED_VALUE"""),"0xa83bf7db6abdef5b4f6361af0255392c4d84851b")</f>
        <v>0xa83bf7db6abdef5b4f6361af0255392c4d84851b</v>
      </c>
      <c r="J1977" s="11">
        <v>24.1871386361978</v>
      </c>
      <c r="K1977" s="12">
        <v>53.749196969328445</v>
      </c>
      <c r="L1977" s="13">
        <v>5.374919696932844E19</v>
      </c>
      <c r="M1977" s="9">
        <v>5.3749196969328445E18</v>
      </c>
    </row>
    <row r="1978" ht="15.75" customHeight="1">
      <c r="A1978" s="8"/>
      <c r="B1978" s="8"/>
      <c r="C1978" s="8"/>
      <c r="D1978" s="8">
        <v>27.9026907562088</v>
      </c>
      <c r="E1978" s="9" t="s">
        <v>1987</v>
      </c>
      <c r="I1978" s="12" t="str">
        <f>IFERROR(__xludf.DUMMYFUNCTION("""COMPUTED_VALUE"""),"0xa8538b0fa93512780923609a29cb208a202358ea")</f>
        <v>0xa8538b0fa93512780923609a29cb208a202358ea</v>
      </c>
      <c r="J1978" s="11">
        <v>27.9026907562088</v>
      </c>
      <c r="K1978" s="12">
        <v>62.005979458241775</v>
      </c>
      <c r="L1978" s="13">
        <v>6.200597945824177E19</v>
      </c>
      <c r="M1978" s="9">
        <v>6.2005979458241782E18</v>
      </c>
    </row>
    <row r="1979" ht="15.75" customHeight="1">
      <c r="A1979" s="8"/>
      <c r="B1979" s="8"/>
      <c r="C1979" s="8"/>
      <c r="D1979" s="8">
        <v>24.9590115902346</v>
      </c>
      <c r="E1979" s="9" t="s">
        <v>1988</v>
      </c>
      <c r="I1979" s="12" t="str">
        <f>IFERROR(__xludf.DUMMYFUNCTION("""COMPUTED_VALUE"""),"0xa854db6b9bfb0ba9d93ddbd683c52198f3a5fe78")</f>
        <v>0xa854db6b9bfb0ba9d93ddbd683c52198f3a5fe78</v>
      </c>
      <c r="J1979" s="11">
        <v>24.9590115902346</v>
      </c>
      <c r="K1979" s="12">
        <v>55.46447020052133</v>
      </c>
      <c r="L1979" s="13">
        <v>5.5464470200521335E19</v>
      </c>
      <c r="M1979" s="9">
        <v>5.5464470200521339E18</v>
      </c>
    </row>
    <row r="1980" ht="15.75" customHeight="1">
      <c r="A1980" s="8"/>
      <c r="B1980" s="8"/>
      <c r="C1980" s="8"/>
      <c r="D1980" s="8">
        <v>17.2888096533825</v>
      </c>
      <c r="E1980" s="9" t="s">
        <v>1989</v>
      </c>
      <c r="I1980" s="12" t="str">
        <f>IFERROR(__xludf.DUMMYFUNCTION("""COMPUTED_VALUE"""),"0xa872d7457974b5fbd3772e4ddcfbdac82c9dd200")</f>
        <v>0xa872d7457974b5fbd3772e4ddcfbdac82c9dd200</v>
      </c>
      <c r="J1980" s="11">
        <v>41.268850429017405</v>
      </c>
      <c r="K1980" s="12">
        <v>91.70855650892757</v>
      </c>
      <c r="L1980" s="13">
        <v>9.170855650892757E19</v>
      </c>
      <c r="M1980" s="9">
        <v>9.170855650892758E18</v>
      </c>
    </row>
    <row r="1981" ht="15.75" customHeight="1">
      <c r="A1981" s="8"/>
      <c r="B1981" s="8"/>
      <c r="C1981" s="8"/>
      <c r="D1981" s="8">
        <v>27.9026907562088</v>
      </c>
      <c r="E1981" s="9" t="s">
        <v>1990</v>
      </c>
      <c r="I1981" s="12" t="str">
        <f>IFERROR(__xludf.DUMMYFUNCTION("""COMPUTED_VALUE"""),"0xa895071275dd4af4863d3355213752c28bc7e3ac")</f>
        <v>0xa895071275dd4af4863d3355213752c28bc7e3ac</v>
      </c>
      <c r="J1981" s="11">
        <v>27.9026907562088</v>
      </c>
      <c r="K1981" s="12">
        <v>62.005979458241775</v>
      </c>
      <c r="L1981" s="13">
        <v>6.200597945824177E19</v>
      </c>
      <c r="M1981" s="9">
        <v>6.2005979458241782E18</v>
      </c>
    </row>
    <row r="1982" ht="15.75" customHeight="1">
      <c r="A1982" s="8"/>
      <c r="B1982" s="8"/>
      <c r="C1982" s="8"/>
      <c r="D1982" s="8">
        <v>27.9026907562088</v>
      </c>
      <c r="E1982" s="9" t="s">
        <v>1991</v>
      </c>
      <c r="I1982" s="12" t="str">
        <f>IFERROR(__xludf.DUMMYFUNCTION("""COMPUTED_VALUE"""),"0xa89851048720f44a83a523809d00e237783c6494")</f>
        <v>0xa89851048720f44a83a523809d00e237783c6494</v>
      </c>
      <c r="J1982" s="11">
        <v>27.9026907562088</v>
      </c>
      <c r="K1982" s="12">
        <v>62.005979458241775</v>
      </c>
      <c r="L1982" s="13">
        <v>6.200597945824177E19</v>
      </c>
      <c r="M1982" s="9">
        <v>6.2005979458241782E18</v>
      </c>
    </row>
    <row r="1983" ht="15.75" customHeight="1">
      <c r="A1983" s="8"/>
      <c r="B1983" s="8"/>
      <c r="C1983" s="8"/>
      <c r="D1983" s="8">
        <v>27.9026907562088</v>
      </c>
      <c r="E1983" s="9" t="s">
        <v>1992</v>
      </c>
      <c r="I1983" s="12" t="str">
        <f>IFERROR(__xludf.DUMMYFUNCTION("""COMPUTED_VALUE"""),"0xa8994cf1751840c28894d8afa4ba1f1b9b70ad6d")</f>
        <v>0xa8994cf1751840c28894d8afa4ba1f1b9b70ad6d</v>
      </c>
      <c r="J1983" s="11">
        <v>91.1199983031448</v>
      </c>
      <c r="K1983" s="12">
        <v>202.48888511809955</v>
      </c>
      <c r="L1983" s="13">
        <v>2.0248888511809955E20</v>
      </c>
      <c r="M1983" s="9">
        <v>2.0248888511809958E19</v>
      </c>
    </row>
    <row r="1984" ht="15.75" customHeight="1">
      <c r="A1984" s="8"/>
      <c r="B1984" s="8"/>
      <c r="C1984" s="8"/>
      <c r="D1984" s="8">
        <v>27.9026907562088</v>
      </c>
      <c r="E1984" s="9" t="s">
        <v>1993</v>
      </c>
      <c r="I1984" s="12" t="str">
        <f>IFERROR(__xludf.DUMMYFUNCTION("""COMPUTED_VALUE"""),"0xa8a566de44f70463633d5505136cfe481ec72dee")</f>
        <v>0xa8a566de44f70463633d5505136cfe481ec72dee</v>
      </c>
      <c r="J1984" s="11">
        <v>27.9026907562088</v>
      </c>
      <c r="K1984" s="12">
        <v>62.005979458241775</v>
      </c>
      <c r="L1984" s="13">
        <v>6.200597945824177E19</v>
      </c>
      <c r="M1984" s="9">
        <v>6.2005979458241782E18</v>
      </c>
    </row>
    <row r="1985" ht="15.75" customHeight="1">
      <c r="A1985" s="8"/>
      <c r="B1985" s="8"/>
      <c r="C1985" s="8"/>
      <c r="D1985" s="8">
        <v>27.9026907562088</v>
      </c>
      <c r="E1985" s="9" t="s">
        <v>1994</v>
      </c>
      <c r="I1985" s="12" t="str">
        <f>IFERROR(__xludf.DUMMYFUNCTION("""COMPUTED_VALUE"""),"0xa8b3cc2acd2b8bc077fb0a3a0b1320c7e7b5030b")</f>
        <v>0xa8b3cc2acd2b8bc077fb0a3a0b1320c7e7b5030b</v>
      </c>
      <c r="J1985" s="11">
        <v>27.9026907562088</v>
      </c>
      <c r="K1985" s="12">
        <v>62.005979458241775</v>
      </c>
      <c r="L1985" s="13">
        <v>6.200597945824177E19</v>
      </c>
      <c r="M1985" s="9">
        <v>6.2005979458241782E18</v>
      </c>
    </row>
    <row r="1986" ht="15.75" customHeight="1">
      <c r="A1986" s="8"/>
      <c r="B1986" s="8"/>
      <c r="C1986" s="8"/>
      <c r="D1986" s="8">
        <v>27.9026907562088</v>
      </c>
      <c r="E1986" s="9" t="s">
        <v>1995</v>
      </c>
      <c r="I1986" s="12" t="str">
        <f>IFERROR(__xludf.DUMMYFUNCTION("""COMPUTED_VALUE"""),"0xa8d25cfd958ad71d9077d9ef6d334f4b7bdbb131")</f>
        <v>0xa8d25cfd958ad71d9077d9ef6d334f4b7bdbb131</v>
      </c>
      <c r="J1986" s="11">
        <v>27.9026907562088</v>
      </c>
      <c r="K1986" s="12">
        <v>62.005979458241775</v>
      </c>
      <c r="L1986" s="13">
        <v>6.200597945824177E19</v>
      </c>
      <c r="M1986" s="9">
        <v>6.2005979458241782E18</v>
      </c>
    </row>
    <row r="1987" ht="15.75" customHeight="1">
      <c r="A1987" s="8"/>
      <c r="B1987" s="8"/>
      <c r="C1987" s="8"/>
      <c r="D1987" s="8">
        <v>27.9026907562088</v>
      </c>
      <c r="E1987" s="9" t="s">
        <v>1996</v>
      </c>
      <c r="I1987" s="12" t="str">
        <f>IFERROR(__xludf.DUMMYFUNCTION("""COMPUTED_VALUE"""),"0xa8e50cdc20be6693994c67dee892780ce81dbef8")</f>
        <v>0xa8e50cdc20be6693994c67dee892780ce81dbef8</v>
      </c>
      <c r="J1987" s="11">
        <v>93.06578864093494</v>
      </c>
      <c r="K1987" s="12">
        <v>206.8128636465221</v>
      </c>
      <c r="L1987" s="13">
        <v>2.0681286364652208E20</v>
      </c>
      <c r="M1987" s="9">
        <v>2.068128636465221E19</v>
      </c>
    </row>
    <row r="1988" ht="15.75" customHeight="1">
      <c r="A1988" s="8"/>
      <c r="B1988" s="8"/>
      <c r="C1988" s="8"/>
      <c r="D1988" s="8">
        <v>27.9026907562088</v>
      </c>
      <c r="E1988" s="9" t="s">
        <v>1997</v>
      </c>
      <c r="I1988" s="12" t="str">
        <f>IFERROR(__xludf.DUMMYFUNCTION("""COMPUTED_VALUE"""),"0xa8ec2333b3c5f6e7d890306aead3c0e66ceeafd4")</f>
        <v>0xa8ec2333b3c5f6e7d890306aead3c0e66ceeafd4</v>
      </c>
      <c r="J1988" s="11">
        <v>27.9026907562088</v>
      </c>
      <c r="K1988" s="12">
        <v>62.005979458241775</v>
      </c>
      <c r="L1988" s="13">
        <v>6.200597945824177E19</v>
      </c>
      <c r="M1988" s="9">
        <v>6.2005979458241782E18</v>
      </c>
    </row>
    <row r="1989" ht="15.75" customHeight="1">
      <c r="A1989" s="8"/>
      <c r="B1989" s="8"/>
      <c r="C1989" s="8"/>
      <c r="D1989" s="8">
        <v>27.9026907562088</v>
      </c>
      <c r="E1989" s="9" t="s">
        <v>1998</v>
      </c>
      <c r="I1989" s="12" t="str">
        <f>IFERROR(__xludf.DUMMYFUNCTION("""COMPUTED_VALUE"""),"0xa8edafcfc815888fde79f0448f203180c9215549")</f>
        <v>0xa8edafcfc815888fde79f0448f203180c9215549</v>
      </c>
      <c r="J1989" s="11">
        <v>27.9026907562088</v>
      </c>
      <c r="K1989" s="12">
        <v>62.005979458241775</v>
      </c>
      <c r="L1989" s="13">
        <v>6.200597945824177E19</v>
      </c>
      <c r="M1989" s="9">
        <v>6.2005979458241782E18</v>
      </c>
    </row>
    <row r="1990" ht="15.75" customHeight="1">
      <c r="A1990" s="8"/>
      <c r="B1990" s="8"/>
      <c r="C1990" s="8"/>
      <c r="D1990" s="8">
        <v>6.76966170615886</v>
      </c>
      <c r="E1990" s="9" t="s">
        <v>1999</v>
      </c>
      <c r="I1990" s="12" t="str">
        <f>IFERROR(__xludf.DUMMYFUNCTION("""COMPUTED_VALUE"""),"0xa8f55892bffb93883a39fa015cf172de2c283c6e")</f>
        <v>0xa8f55892bffb93883a39fa015cf172de2c283c6e</v>
      </c>
      <c r="J1990" s="11">
        <v>6.76966170615886</v>
      </c>
      <c r="K1990" s="12">
        <v>15.043692680353022</v>
      </c>
      <c r="L1990" s="13">
        <v>1.5043692680353022E19</v>
      </c>
      <c r="M1990" s="9">
        <v>1.5043692680353024E18</v>
      </c>
    </row>
    <row r="1991" ht="15.75" customHeight="1">
      <c r="A1991" s="8"/>
      <c r="B1991" s="8"/>
      <c r="C1991" s="8"/>
      <c r="D1991" s="8">
        <v>27.9026907562088</v>
      </c>
      <c r="E1991" s="9" t="s">
        <v>2000</v>
      </c>
      <c r="I1991" s="12" t="str">
        <f>IFERROR(__xludf.DUMMYFUNCTION("""COMPUTED_VALUE"""),"0xa906ec465ea4f1092746c485a7709a099f3703b0")</f>
        <v>0xa906ec465ea4f1092746c485a7709a099f3703b0</v>
      </c>
      <c r="J1991" s="11">
        <v>31.22730135372887</v>
      </c>
      <c r="K1991" s="12">
        <v>69.39400300828638</v>
      </c>
      <c r="L1991" s="13">
        <v>6.939400300828638E19</v>
      </c>
      <c r="M1991" s="9">
        <v>6.9394003008286382E18</v>
      </c>
    </row>
    <row r="1992" ht="15.75" customHeight="1">
      <c r="A1992" s="8"/>
      <c r="B1992" s="8"/>
      <c r="C1992" s="8"/>
      <c r="D1992" s="8">
        <v>27.9026907562088</v>
      </c>
      <c r="E1992" s="9" t="s">
        <v>2001</v>
      </c>
      <c r="I1992" s="12" t="str">
        <f>IFERROR(__xludf.DUMMYFUNCTION("""COMPUTED_VALUE"""),"0xa919538ceab5c64608945865835dbc10540feb1d")</f>
        <v>0xa919538ceab5c64608945865835dbc10540feb1d</v>
      </c>
      <c r="J1992" s="11">
        <v>478.93443140997874</v>
      </c>
      <c r="K1992" s="12">
        <v>1064.2987364666194</v>
      </c>
      <c r="L1992" s="13">
        <v>1.0642987364666194E21</v>
      </c>
      <c r="M1992" s="9">
        <v>1.0642987364666194E20</v>
      </c>
    </row>
    <row r="1993" ht="15.75" customHeight="1">
      <c r="A1993" s="8"/>
      <c r="B1993" s="8"/>
      <c r="C1993" s="8"/>
      <c r="D1993" s="8">
        <v>27.9026907562088</v>
      </c>
      <c r="E1993" s="9" t="s">
        <v>2002</v>
      </c>
      <c r="I1993" s="12" t="str">
        <f>IFERROR(__xludf.DUMMYFUNCTION("""COMPUTED_VALUE"""),"0xa91de71e3411f7a5bdf77717d753edd9a082adcf")</f>
        <v>0xa91de71e3411f7a5bdf77717d753edd9a082adcf</v>
      </c>
      <c r="J1993" s="11">
        <v>91.1199983031448</v>
      </c>
      <c r="K1993" s="12">
        <v>202.48888511809955</v>
      </c>
      <c r="L1993" s="13">
        <v>2.0248888511809955E20</v>
      </c>
      <c r="M1993" s="9">
        <v>2.0248888511809958E19</v>
      </c>
    </row>
    <row r="1994" ht="15.75" customHeight="1">
      <c r="A1994" s="8"/>
      <c r="B1994" s="8"/>
      <c r="C1994" s="8"/>
      <c r="D1994" s="8">
        <v>27.9026907562088</v>
      </c>
      <c r="E1994" s="9" t="s">
        <v>2003</v>
      </c>
      <c r="I1994" s="12" t="str">
        <f>IFERROR(__xludf.DUMMYFUNCTION("""COMPUTED_VALUE"""),"0xa9289417f2251d366da0e0bbfdc6f6685ef33a12")</f>
        <v>0xa9289417f2251d366da0e0bbfdc6f6685ef33a12</v>
      </c>
      <c r="J1994" s="11">
        <v>27.9026907562088</v>
      </c>
      <c r="K1994" s="12">
        <v>62.005979458241775</v>
      </c>
      <c r="L1994" s="13">
        <v>6.200597945824177E19</v>
      </c>
      <c r="M1994" s="9">
        <v>6.2005979458241782E18</v>
      </c>
    </row>
    <row r="1995" ht="15.75" customHeight="1">
      <c r="A1995" s="8"/>
      <c r="B1995" s="8"/>
      <c r="C1995" s="8"/>
      <c r="D1995" s="8">
        <v>27.9026907562088</v>
      </c>
      <c r="E1995" s="9" t="s">
        <v>2004</v>
      </c>
      <c r="I1995" s="12" t="str">
        <f>IFERROR(__xludf.DUMMYFUNCTION("""COMPUTED_VALUE"""),"0xa95878ae16923a232445bf7d3290b4a075b8e6a8")</f>
        <v>0xa95878ae16923a232445bf7d3290b4a075b8e6a8</v>
      </c>
      <c r="J1995" s="11">
        <v>91.1199983031448</v>
      </c>
      <c r="K1995" s="12">
        <v>202.48888511809955</v>
      </c>
      <c r="L1995" s="13">
        <v>2.0248888511809955E20</v>
      </c>
      <c r="M1995" s="9">
        <v>2.0248888511809958E19</v>
      </c>
    </row>
    <row r="1996" ht="15.75" customHeight="1">
      <c r="A1996" s="8"/>
      <c r="B1996" s="8"/>
      <c r="C1996" s="8"/>
      <c r="D1996" s="8">
        <v>17.7545748744054</v>
      </c>
      <c r="E1996" s="9" t="s">
        <v>2005</v>
      </c>
      <c r="I1996" s="12" t="str">
        <f>IFERROR(__xludf.DUMMYFUNCTION("""COMPUTED_VALUE"""),"0xa9647632f8928accdf5f48784d2988550ee344de")</f>
        <v>0xa9647632f8928accdf5f48784d2988550ee344de</v>
      </c>
      <c r="J1996" s="11">
        <v>17.7545748744054</v>
      </c>
      <c r="K1996" s="12">
        <v>39.454610832012</v>
      </c>
      <c r="L1996" s="13">
        <v>3.9454610832012E19</v>
      </c>
      <c r="M1996" s="9">
        <v>3.9454610832012001E18</v>
      </c>
    </row>
    <row r="1997" ht="15.75" customHeight="1">
      <c r="A1997" s="8"/>
      <c r="B1997" s="8"/>
      <c r="C1997" s="8"/>
      <c r="D1997" s="8">
        <v>27.9026907562088</v>
      </c>
      <c r="E1997" s="9" t="s">
        <v>2006</v>
      </c>
      <c r="I1997" s="12" t="str">
        <f>IFERROR(__xludf.DUMMYFUNCTION("""COMPUTED_VALUE"""),"0xa96d5593dbbfc24933945cd2e00d2d528c4d1071")</f>
        <v>0xa96d5593dbbfc24933945cd2e00d2d528c4d1071</v>
      </c>
      <c r="J1997" s="11">
        <v>27.9026907562088</v>
      </c>
      <c r="K1997" s="12">
        <v>62.005979458241775</v>
      </c>
      <c r="L1997" s="13">
        <v>6.200597945824177E19</v>
      </c>
      <c r="M1997" s="9">
        <v>6.2005979458241782E18</v>
      </c>
    </row>
    <row r="1998" ht="15.75" customHeight="1">
      <c r="A1998" s="8"/>
      <c r="B1998" s="8"/>
      <c r="C1998" s="8"/>
      <c r="D1998" s="8">
        <v>27.9026907562088</v>
      </c>
      <c r="E1998" s="9" t="s">
        <v>2007</v>
      </c>
      <c r="I1998" s="12" t="str">
        <f>IFERROR(__xludf.DUMMYFUNCTION("""COMPUTED_VALUE"""),"0xa99054e33ccea5a9b7ecb26e1836ee743bf54ae2")</f>
        <v>0xa99054e33ccea5a9b7ecb26e1836ee743bf54ae2</v>
      </c>
      <c r="J1998" s="11">
        <v>46.9677512858514</v>
      </c>
      <c r="K1998" s="12">
        <v>104.37278063522533</v>
      </c>
      <c r="L1998" s="13">
        <v>1.0437278063522533E20</v>
      </c>
      <c r="M1998" s="9">
        <v>1.0437278063522533E19</v>
      </c>
    </row>
    <row r="1999" ht="15.75" customHeight="1">
      <c r="A1999" s="8"/>
      <c r="B1999" s="8"/>
      <c r="C1999" s="8"/>
      <c r="D1999" s="8">
        <v>27.9026907562088</v>
      </c>
      <c r="E1999" s="9" t="s">
        <v>2008</v>
      </c>
      <c r="I1999" s="12" t="str">
        <f>IFERROR(__xludf.DUMMYFUNCTION("""COMPUTED_VALUE"""),"0xa992df159d9e45c9c149c940471228aed8665eee")</f>
        <v>0xa992df159d9e45c9c149c940471228aed8665eee</v>
      </c>
      <c r="J1999" s="11">
        <v>27.9026907562088</v>
      </c>
      <c r="K1999" s="12">
        <v>62.005979458241775</v>
      </c>
      <c r="L1999" s="13">
        <v>6.200597945824177E19</v>
      </c>
      <c r="M1999" s="9">
        <v>6.2005979458241782E18</v>
      </c>
    </row>
    <row r="2000" ht="15.75" customHeight="1">
      <c r="A2000" s="8"/>
      <c r="B2000" s="8"/>
      <c r="C2000" s="8"/>
      <c r="D2000" s="8">
        <v>27.9026907562088</v>
      </c>
      <c r="E2000" s="9" t="s">
        <v>2009</v>
      </c>
      <c r="I2000" s="12" t="str">
        <f>IFERROR(__xludf.DUMMYFUNCTION("""COMPUTED_VALUE"""),"0xa9a1848aeb76edddeac27a307f9e59e55c0dd4cc")</f>
        <v>0xa9a1848aeb76edddeac27a307f9e59e55c0dd4cc</v>
      </c>
      <c r="J2000" s="11">
        <v>91.1199983031448</v>
      </c>
      <c r="K2000" s="12">
        <v>202.48888511809955</v>
      </c>
      <c r="L2000" s="13">
        <v>2.0248888511809955E20</v>
      </c>
      <c r="M2000" s="9">
        <v>2.0248888511809958E19</v>
      </c>
    </row>
    <row r="2001" ht="15.75" customHeight="1">
      <c r="A2001" s="8"/>
      <c r="B2001" s="8"/>
      <c r="C2001" s="8"/>
      <c r="D2001" s="8">
        <v>26.084095130362</v>
      </c>
      <c r="E2001" s="9" t="s">
        <v>2010</v>
      </c>
      <c r="I2001" s="12" t="str">
        <f>IFERROR(__xludf.DUMMYFUNCTION("""COMPUTED_VALUE"""),"0xa9b27aaae3b252387daad21fd323a732b2972f9d")</f>
        <v>0xa9b27aaae3b252387daad21fd323a732b2972f9d</v>
      </c>
      <c r="J2001" s="11">
        <v>27.924569336949723</v>
      </c>
      <c r="K2001" s="12">
        <v>62.05459852655494</v>
      </c>
      <c r="L2001" s="13">
        <v>6.205459852655494E19</v>
      </c>
      <c r="M2001" s="9">
        <v>6.2054598526554941E18</v>
      </c>
    </row>
    <row r="2002" ht="15.75" customHeight="1">
      <c r="A2002" s="8"/>
      <c r="B2002" s="8"/>
      <c r="C2002" s="8"/>
      <c r="D2002" s="8">
        <v>27.9026907562088</v>
      </c>
      <c r="E2002" s="9" t="s">
        <v>2011</v>
      </c>
      <c r="I2002" s="12" t="str">
        <f>IFERROR(__xludf.DUMMYFUNCTION("""COMPUTED_VALUE"""),"0xa9b44fcd364511c9c8955d32be73633a60c1a6ab")</f>
        <v>0xa9b44fcd364511c9c8955d32be73633a60c1a6ab</v>
      </c>
      <c r="J2002" s="11">
        <v>27.9026907562088</v>
      </c>
      <c r="K2002" s="12">
        <v>62.005979458241775</v>
      </c>
      <c r="L2002" s="13">
        <v>6.200597945824177E19</v>
      </c>
      <c r="M2002" s="9">
        <v>6.2005979458241782E18</v>
      </c>
    </row>
    <row r="2003" ht="15.75" customHeight="1">
      <c r="A2003" s="8"/>
      <c r="B2003" s="8"/>
      <c r="C2003" s="8"/>
      <c r="D2003" s="8">
        <v>27.9026907562088</v>
      </c>
      <c r="E2003" s="9" t="s">
        <v>2012</v>
      </c>
      <c r="I2003" s="12" t="str">
        <f>IFERROR(__xludf.DUMMYFUNCTION("""COMPUTED_VALUE"""),"0xa9dd0c8b8a2ca4352c0f306e92bc7b9cc3fda2e4")</f>
        <v>0xa9dd0c8b8a2ca4352c0f306e92bc7b9cc3fda2e4</v>
      </c>
      <c r="J2003" s="11">
        <v>27.9026907562088</v>
      </c>
      <c r="K2003" s="12">
        <v>62.005979458241775</v>
      </c>
      <c r="L2003" s="13">
        <v>6.200597945824177E19</v>
      </c>
      <c r="M2003" s="9">
        <v>6.2005979458241782E18</v>
      </c>
    </row>
    <row r="2004" ht="15.75" customHeight="1">
      <c r="A2004" s="8"/>
      <c r="B2004" s="8"/>
      <c r="C2004" s="8"/>
      <c r="D2004" s="8">
        <v>27.9026907562088</v>
      </c>
      <c r="E2004" s="9" t="s">
        <v>2013</v>
      </c>
      <c r="I2004" s="12" t="str">
        <f>IFERROR(__xludf.DUMMYFUNCTION("""COMPUTED_VALUE"""),"0xa9e83d186bee23b741591673243782feef1eeceb")</f>
        <v>0xa9e83d186bee23b741591673243782feef1eeceb</v>
      </c>
      <c r="J2004" s="11">
        <v>27.9026907562088</v>
      </c>
      <c r="K2004" s="12">
        <v>62.005979458241775</v>
      </c>
      <c r="L2004" s="13">
        <v>6.200597945824177E19</v>
      </c>
      <c r="M2004" s="9">
        <v>6.2005979458241782E18</v>
      </c>
    </row>
    <row r="2005" ht="15.75" customHeight="1">
      <c r="A2005" s="8"/>
      <c r="B2005" s="8"/>
      <c r="C2005" s="8"/>
      <c r="D2005" s="8">
        <v>27.9026907562088</v>
      </c>
      <c r="E2005" s="9" t="s">
        <v>2014</v>
      </c>
      <c r="I2005" s="12" t="str">
        <f>IFERROR(__xludf.DUMMYFUNCTION("""COMPUTED_VALUE"""),"0xaa051e49767e1e899574e3ebcaaed237f2f67a0a")</f>
        <v>0xaa051e49767e1e899574e3ebcaaed237f2f67a0a</v>
      </c>
      <c r="J2005" s="11">
        <v>124.19843404557719</v>
      </c>
      <c r="K2005" s="12">
        <v>275.9965201012826</v>
      </c>
      <c r="L2005" s="13">
        <v>2.759965201012826E20</v>
      </c>
      <c r="M2005" s="9">
        <v>2.759965201012826E19</v>
      </c>
    </row>
    <row r="2006" ht="15.75" customHeight="1">
      <c r="A2006" s="8"/>
      <c r="B2006" s="8"/>
      <c r="C2006" s="8"/>
      <c r="D2006" s="8">
        <v>27.9026907562088</v>
      </c>
      <c r="E2006" s="9" t="s">
        <v>2015</v>
      </c>
      <c r="I2006" s="12" t="str">
        <f>IFERROR(__xludf.DUMMYFUNCTION("""COMPUTED_VALUE"""),"0xaa0f7cbd16e1562938fb220799e8f989eb78289e")</f>
        <v>0xaa0f7cbd16e1562938fb220799e8f989eb78289e</v>
      </c>
      <c r="J2006" s="11">
        <v>91.50915637070283</v>
      </c>
      <c r="K2006" s="12">
        <v>203.35368082378406</v>
      </c>
      <c r="L2006" s="13">
        <v>2.0335368082378405E20</v>
      </c>
      <c r="M2006" s="9">
        <v>2.0335368082378404E19</v>
      </c>
    </row>
    <row r="2007" ht="15.75" customHeight="1">
      <c r="A2007" s="8"/>
      <c r="B2007" s="8"/>
      <c r="C2007" s="8"/>
      <c r="D2007" s="8">
        <v>6.53448739031887</v>
      </c>
      <c r="E2007" s="9" t="s">
        <v>2016</v>
      </c>
      <c r="I2007" s="12" t="str">
        <f>IFERROR(__xludf.DUMMYFUNCTION("""COMPUTED_VALUE"""),"0xaa266f072072e22d20bbc92523044606eac0211d")</f>
        <v>0xaa266f072072e22d20bbc92523044606eac0211d</v>
      </c>
      <c r="J2007" s="11">
        <v>6.53448739031887</v>
      </c>
      <c r="K2007" s="12">
        <v>14.52108308959749</v>
      </c>
      <c r="L2007" s="13">
        <v>1.452108308959749E19</v>
      </c>
      <c r="M2007" s="9">
        <v>1.45210830895974912E18</v>
      </c>
    </row>
    <row r="2008" ht="15.75" customHeight="1">
      <c r="A2008" s="8"/>
      <c r="B2008" s="8"/>
      <c r="C2008" s="8"/>
      <c r="D2008" s="8">
        <v>27.9026907562088</v>
      </c>
      <c r="E2008" s="9" t="s">
        <v>2017</v>
      </c>
      <c r="I2008" s="12" t="str">
        <f>IFERROR(__xludf.DUMMYFUNCTION("""COMPUTED_VALUE"""),"0xaa2b7d20c0ffcb1bc17ce1b9807aa25093d114d2")</f>
        <v>0xaa2b7d20c0ffcb1bc17ce1b9807aa25093d114d2</v>
      </c>
      <c r="J2008" s="11">
        <v>91.1199983031448</v>
      </c>
      <c r="K2008" s="12">
        <v>202.48888511809955</v>
      </c>
      <c r="L2008" s="13">
        <v>2.0248888511809955E20</v>
      </c>
      <c r="M2008" s="9">
        <v>2.0248888511809958E19</v>
      </c>
    </row>
    <row r="2009" ht="15.75" customHeight="1">
      <c r="A2009" s="8"/>
      <c r="B2009" s="8"/>
      <c r="C2009" s="8"/>
      <c r="D2009" s="8">
        <v>14.4508912706972</v>
      </c>
      <c r="E2009" s="9" t="s">
        <v>2018</v>
      </c>
      <c r="I2009" s="12" t="str">
        <f>IFERROR(__xludf.DUMMYFUNCTION("""COMPUTED_VALUE"""),"0xaa61f14c323f16c95213c3b6f86b90358c975b65")</f>
        <v>0xaa61f14c323f16c95213c3b6f86b90358c975b65</v>
      </c>
      <c r="J2009" s="11">
        <v>14.4508912706972</v>
      </c>
      <c r="K2009" s="12">
        <v>32.11309171266044</v>
      </c>
      <c r="L2009" s="13">
        <v>3.2113091712660443E19</v>
      </c>
      <c r="M2009" s="9">
        <v>3.2113091712660444E18</v>
      </c>
    </row>
    <row r="2010" ht="15.75" customHeight="1">
      <c r="A2010" s="8"/>
      <c r="B2010" s="8"/>
      <c r="C2010" s="8"/>
      <c r="D2010" s="8">
        <v>27.9026907562088</v>
      </c>
      <c r="E2010" s="9" t="s">
        <v>2019</v>
      </c>
      <c r="I2010" s="12" t="str">
        <f>IFERROR(__xludf.DUMMYFUNCTION("""COMPUTED_VALUE"""),"0xaa638a5426ad0904cc52e161b4a4832168eb9d40")</f>
        <v>0xaa638a5426ad0904cc52e161b4a4832168eb9d40</v>
      </c>
      <c r="J2010" s="11">
        <v>91.1199983031448</v>
      </c>
      <c r="K2010" s="12">
        <v>202.48888511809955</v>
      </c>
      <c r="L2010" s="13">
        <v>2.0248888511809955E20</v>
      </c>
      <c r="M2010" s="9">
        <v>2.0248888511809958E19</v>
      </c>
    </row>
    <row r="2011" ht="15.75" customHeight="1">
      <c r="A2011" s="8"/>
      <c r="B2011" s="8"/>
      <c r="C2011" s="8"/>
      <c r="D2011" s="8">
        <v>27.9026907562088</v>
      </c>
      <c r="E2011" s="9" t="s">
        <v>2020</v>
      </c>
      <c r="I2011" s="12" t="str">
        <f>IFERROR(__xludf.DUMMYFUNCTION("""COMPUTED_VALUE"""),"0xaa8e03b1ed158bea87a5f774de0b2816ae292520")</f>
        <v>0xaa8e03b1ed158bea87a5f774de0b2816ae292520</v>
      </c>
      <c r="J2011" s="11">
        <v>91.12388988382038</v>
      </c>
      <c r="K2011" s="12">
        <v>202.4975330751564</v>
      </c>
      <c r="L2011" s="13">
        <v>2.024975330751564E20</v>
      </c>
      <c r="M2011" s="9">
        <v>2.024975330751564E19</v>
      </c>
    </row>
    <row r="2012" ht="15.75" customHeight="1">
      <c r="A2012" s="8"/>
      <c r="B2012" s="8"/>
      <c r="C2012" s="8"/>
      <c r="D2012" s="8">
        <v>27.9026907562088</v>
      </c>
      <c r="E2012" s="9" t="s">
        <v>2021</v>
      </c>
      <c r="I2012" s="12" t="str">
        <f>IFERROR(__xludf.DUMMYFUNCTION("""COMPUTED_VALUE"""),"0xaabdf39e2eb0279906328689b45da5c504321105")</f>
        <v>0xaabdf39e2eb0279906328689b45da5c504321105</v>
      </c>
      <c r="J2012" s="11">
        <v>27.9026907562088</v>
      </c>
      <c r="K2012" s="12">
        <v>62.005979458241775</v>
      </c>
      <c r="L2012" s="13">
        <v>6.200597945824177E19</v>
      </c>
      <c r="M2012" s="9">
        <v>6.2005979458241782E18</v>
      </c>
    </row>
    <row r="2013" ht="15.75" customHeight="1">
      <c r="A2013" s="8"/>
      <c r="B2013" s="8"/>
      <c r="C2013" s="8"/>
      <c r="D2013" s="8">
        <v>27.9026907562088</v>
      </c>
      <c r="E2013" s="9" t="s">
        <v>2022</v>
      </c>
      <c r="I2013" s="12" t="str">
        <f>IFERROR(__xludf.DUMMYFUNCTION("""COMPUTED_VALUE"""),"0xaac588b919973aa47b7a780719139b60151933e1")</f>
        <v>0xaac588b919973aa47b7a780719139b60151933e1</v>
      </c>
      <c r="J2013" s="11">
        <v>118.7502210997648</v>
      </c>
      <c r="K2013" s="12">
        <v>263.8893802216995</v>
      </c>
      <c r="L2013" s="13">
        <v>2.6388938022169952E20</v>
      </c>
      <c r="M2013" s="9">
        <v>2.6388938022169952E19</v>
      </c>
    </row>
    <row r="2014" ht="15.75" customHeight="1">
      <c r="A2014" s="8"/>
      <c r="B2014" s="8"/>
      <c r="C2014" s="8"/>
      <c r="D2014" s="8">
        <v>27.9026907562088</v>
      </c>
      <c r="E2014" s="9" t="s">
        <v>2023</v>
      </c>
      <c r="I2014" s="12" t="str">
        <f>IFERROR(__xludf.DUMMYFUNCTION("""COMPUTED_VALUE"""),"0xaadf465695b80d5f8a1079b6646ba0bdbbaa4307")</f>
        <v>0xaadf465695b80d5f8a1079b6646ba0bdbbaa4307</v>
      </c>
      <c r="J2014" s="11">
        <v>95.32994305575977</v>
      </c>
      <c r="K2014" s="12">
        <v>211.84431790168838</v>
      </c>
      <c r="L2014" s="13">
        <v>2.1184431790168837E20</v>
      </c>
      <c r="M2014" s="9">
        <v>2.118443179016884E19</v>
      </c>
    </row>
    <row r="2015" ht="15.75" customHeight="1">
      <c r="A2015" s="8"/>
      <c r="B2015" s="8"/>
      <c r="C2015" s="8"/>
      <c r="D2015" s="8">
        <v>9.36645907114942</v>
      </c>
      <c r="E2015" s="9" t="s">
        <v>2024</v>
      </c>
      <c r="I2015" s="12" t="str">
        <f>IFERROR(__xludf.DUMMYFUNCTION("""COMPUTED_VALUE"""),"0xab063f52b380237579d357f82adcf9f69e3563a6")</f>
        <v>0xab063f52b380237579d357f82adcf9f69e3563a6</v>
      </c>
      <c r="J2015" s="11">
        <v>9.36645907114942</v>
      </c>
      <c r="K2015" s="12">
        <v>20.814353491443153</v>
      </c>
      <c r="L2015" s="13">
        <v>2.0814353491443155E19</v>
      </c>
      <c r="M2015" s="9">
        <v>2.08143534914431565E18</v>
      </c>
    </row>
    <row r="2016" ht="15.75" customHeight="1">
      <c r="A2016" s="8"/>
      <c r="B2016" s="8"/>
      <c r="C2016" s="8"/>
      <c r="D2016" s="8">
        <v>22.0825671242885</v>
      </c>
      <c r="E2016" s="9" t="s">
        <v>2025</v>
      </c>
      <c r="I2016" s="12" t="str">
        <f>IFERROR(__xludf.DUMMYFUNCTION("""COMPUTED_VALUE"""),"0xab10270ce28848ecb8cadf70a28b9595b662fd49")</f>
        <v>0xab10270ce28848ecb8cadf70a28b9595b662fd49</v>
      </c>
      <c r="J2016" s="11">
        <v>22.0825671242885</v>
      </c>
      <c r="K2016" s="12">
        <v>49.072371387307776</v>
      </c>
      <c r="L2016" s="13">
        <v>4.907237138730778E19</v>
      </c>
      <c r="M2016" s="9">
        <v>4.9072371387307776E18</v>
      </c>
    </row>
    <row r="2017" ht="15.75" customHeight="1">
      <c r="A2017" s="8"/>
      <c r="B2017" s="8"/>
      <c r="C2017" s="8"/>
      <c r="D2017" s="8">
        <v>27.9026907562088</v>
      </c>
      <c r="E2017" s="9" t="s">
        <v>2026</v>
      </c>
      <c r="I2017" s="12" t="str">
        <f>IFERROR(__xludf.DUMMYFUNCTION("""COMPUTED_VALUE"""),"0xab3454f4198940432f89872023ebbd64495293b0")</f>
        <v>0xab3454f4198940432f89872023ebbd64495293b0</v>
      </c>
      <c r="J2017" s="11">
        <v>27.9026907562088</v>
      </c>
      <c r="K2017" s="12">
        <v>62.005979458241775</v>
      </c>
      <c r="L2017" s="13">
        <v>6.200597945824177E19</v>
      </c>
      <c r="M2017" s="9">
        <v>6.2005979458241782E18</v>
      </c>
    </row>
    <row r="2018" ht="15.75" customHeight="1">
      <c r="A2018" s="8"/>
      <c r="B2018" s="8"/>
      <c r="C2018" s="8"/>
      <c r="D2018" s="8">
        <v>27.9026907562088</v>
      </c>
      <c r="E2018" s="9" t="s">
        <v>2027</v>
      </c>
      <c r="I2018" s="12" t="str">
        <f>IFERROR(__xludf.DUMMYFUNCTION("""COMPUTED_VALUE"""),"0xab4f075792c261382db2df981c95b668f16e30b9")</f>
        <v>0xab4f075792c261382db2df981c95b668f16e30b9</v>
      </c>
      <c r="J2018" s="11">
        <v>27.9026907562088</v>
      </c>
      <c r="K2018" s="12">
        <v>62.005979458241775</v>
      </c>
      <c r="L2018" s="13">
        <v>6.200597945824177E19</v>
      </c>
      <c r="M2018" s="9">
        <v>6.2005979458241782E18</v>
      </c>
    </row>
    <row r="2019" ht="15.75" customHeight="1">
      <c r="A2019" s="8"/>
      <c r="B2019" s="8"/>
      <c r="C2019" s="8"/>
      <c r="D2019" s="8">
        <v>27.9026907562088</v>
      </c>
      <c r="E2019" s="9" t="s">
        <v>2028</v>
      </c>
      <c r="I2019" s="12" t="str">
        <f>IFERROR(__xludf.DUMMYFUNCTION("""COMPUTED_VALUE"""),"0xab4fa35b93156b9e492635ae149886026d315855")</f>
        <v>0xab4fa35b93156b9e492635ae149886026d315855</v>
      </c>
      <c r="J2019" s="11">
        <v>91.1199983031448</v>
      </c>
      <c r="K2019" s="12">
        <v>202.48888511809955</v>
      </c>
      <c r="L2019" s="13">
        <v>2.0248888511809955E20</v>
      </c>
      <c r="M2019" s="9">
        <v>2.0248888511809958E19</v>
      </c>
    </row>
    <row r="2020" ht="15.75" customHeight="1">
      <c r="A2020" s="8"/>
      <c r="B2020" s="8"/>
      <c r="C2020" s="8"/>
      <c r="D2020" s="8">
        <v>27.9026907562088</v>
      </c>
      <c r="E2020" s="9" t="s">
        <v>2029</v>
      </c>
      <c r="I2020" s="12" t="str">
        <f>IFERROR(__xludf.DUMMYFUNCTION("""COMPUTED_VALUE"""),"0xab5e7e96f0f6d515dfc094a7a3d2382212431d26")</f>
        <v>0xab5e7e96f0f6d515dfc094a7a3d2382212431d26</v>
      </c>
      <c r="J2020" s="11">
        <v>123.7996911196544</v>
      </c>
      <c r="K2020" s="12">
        <v>275.1104247103431</v>
      </c>
      <c r="L2020" s="13">
        <v>2.7511042471034313E20</v>
      </c>
      <c r="M2020" s="9">
        <v>2.7511042471034315E19</v>
      </c>
    </row>
    <row r="2021" ht="15.75" customHeight="1">
      <c r="A2021" s="8"/>
      <c r="B2021" s="8"/>
      <c r="C2021" s="8"/>
      <c r="D2021" s="8">
        <v>27.9026907562088</v>
      </c>
      <c r="E2021" s="9" t="s">
        <v>2030</v>
      </c>
      <c r="I2021" s="12" t="str">
        <f>IFERROR(__xludf.DUMMYFUNCTION("""COMPUTED_VALUE"""),"0xabac45a6bc6851b87ad95839af9f463124eb774e")</f>
        <v>0xabac45a6bc6851b87ad95839af9f463124eb774e</v>
      </c>
      <c r="J2021" s="11">
        <v>91.1199983031448</v>
      </c>
      <c r="K2021" s="12">
        <v>202.48888511809955</v>
      </c>
      <c r="L2021" s="13">
        <v>2.0248888511809955E20</v>
      </c>
      <c r="M2021" s="9">
        <v>2.0248888511809958E19</v>
      </c>
    </row>
    <row r="2022" ht="15.75" customHeight="1">
      <c r="A2022" s="8"/>
      <c r="B2022" s="8"/>
      <c r="C2022" s="8"/>
      <c r="D2022" s="8">
        <v>27.9026907562088</v>
      </c>
      <c r="E2022" s="9" t="s">
        <v>2031</v>
      </c>
      <c r="I2022" s="12" t="str">
        <f>IFERROR(__xludf.DUMMYFUNCTION("""COMPUTED_VALUE"""),"0xabc199b697b85ca1c650ff64bc5dc56c2fa84e74")</f>
        <v>0xabc199b697b85ca1c650ff64bc5dc56c2fa84e74</v>
      </c>
      <c r="J2022" s="11">
        <v>91.1199983031448</v>
      </c>
      <c r="K2022" s="12">
        <v>202.48888511809955</v>
      </c>
      <c r="L2022" s="13">
        <v>2.0248888511809955E20</v>
      </c>
      <c r="M2022" s="9">
        <v>2.0248888511809958E19</v>
      </c>
    </row>
    <row r="2023" ht="15.75" customHeight="1">
      <c r="A2023" s="8"/>
      <c r="B2023" s="8"/>
      <c r="C2023" s="8"/>
      <c r="D2023" s="8">
        <v>27.9026907562088</v>
      </c>
      <c r="E2023" s="9" t="s">
        <v>2032</v>
      </c>
      <c r="I2023" s="12" t="str">
        <f>IFERROR(__xludf.DUMMYFUNCTION("""COMPUTED_VALUE"""),"0xabdf60f889f243788dd6e6fdf093fcaa91b9a8de")</f>
        <v>0xabdf60f889f243788dd6e6fdf093fcaa91b9a8de</v>
      </c>
      <c r="J2023" s="11">
        <v>91.1199983031448</v>
      </c>
      <c r="K2023" s="12">
        <v>202.48888511809955</v>
      </c>
      <c r="L2023" s="13">
        <v>2.0248888511809955E20</v>
      </c>
      <c r="M2023" s="9">
        <v>2.0248888511809958E19</v>
      </c>
    </row>
    <row r="2024" ht="15.75" customHeight="1">
      <c r="A2024" s="8"/>
      <c r="B2024" s="8"/>
      <c r="C2024" s="8"/>
      <c r="D2024" s="8">
        <v>27.9026907562088</v>
      </c>
      <c r="E2024" s="9" t="s">
        <v>2033</v>
      </c>
      <c r="I2024" s="12" t="str">
        <f>IFERROR(__xludf.DUMMYFUNCTION("""COMPUTED_VALUE"""),"0xac1caedce59c216bcede9918a937c76933a38373")</f>
        <v>0xac1caedce59c216bcede9918a937c76933a38373</v>
      </c>
      <c r="J2024" s="11">
        <v>75.56802617758291</v>
      </c>
      <c r="K2024" s="12">
        <v>167.92894706129536</v>
      </c>
      <c r="L2024" s="13">
        <v>1.6792894706129535E20</v>
      </c>
      <c r="M2024" s="9">
        <v>1.6792894706129535E19</v>
      </c>
    </row>
    <row r="2025" ht="15.75" customHeight="1">
      <c r="A2025" s="8"/>
      <c r="B2025" s="8"/>
      <c r="C2025" s="8"/>
      <c r="D2025" s="8">
        <v>27.9026907562088</v>
      </c>
      <c r="E2025" s="9" t="s">
        <v>2034</v>
      </c>
      <c r="I2025" s="12" t="str">
        <f>IFERROR(__xludf.DUMMYFUNCTION("""COMPUTED_VALUE"""),"0xac34457d13cd6bd41be54ef3644e5be9ffe683e4")</f>
        <v>0xac34457d13cd6bd41be54ef3644e5be9ffe683e4</v>
      </c>
      <c r="J2025" s="11">
        <v>91.1199983031448</v>
      </c>
      <c r="K2025" s="12">
        <v>202.48888511809955</v>
      </c>
      <c r="L2025" s="13">
        <v>2.0248888511809955E20</v>
      </c>
      <c r="M2025" s="9">
        <v>2.0248888511809958E19</v>
      </c>
    </row>
    <row r="2026" ht="15.75" customHeight="1">
      <c r="A2026" s="8"/>
      <c r="B2026" s="8"/>
      <c r="C2026" s="8"/>
      <c r="D2026" s="8">
        <v>27.9026907562088</v>
      </c>
      <c r="E2026" s="9" t="s">
        <v>2035</v>
      </c>
      <c r="I2026" s="12" t="str">
        <f>IFERROR(__xludf.DUMMYFUNCTION("""COMPUTED_VALUE"""),"0xac35f3805f8bde5ab390801809030368343725ac")</f>
        <v>0xac35f3805f8bde5ab390801809030368343725ac</v>
      </c>
      <c r="J2026" s="11">
        <v>27.9026907562088</v>
      </c>
      <c r="K2026" s="12">
        <v>62.005979458241775</v>
      </c>
      <c r="L2026" s="13">
        <v>6.200597945824177E19</v>
      </c>
      <c r="M2026" s="9">
        <v>6.2005979458241782E18</v>
      </c>
    </row>
    <row r="2027" ht="15.75" customHeight="1">
      <c r="A2027" s="8"/>
      <c r="B2027" s="8"/>
      <c r="C2027" s="8"/>
      <c r="D2027" s="8">
        <v>25.0801196265288</v>
      </c>
      <c r="E2027" s="9" t="s">
        <v>2036</v>
      </c>
      <c r="I2027" s="12" t="str">
        <f>IFERROR(__xludf.DUMMYFUNCTION("""COMPUTED_VALUE"""),"0xac4340f99e557bb7bfbf5cd0751ea1cb0a51f0bd")</f>
        <v>0xac4340f99e557bb7bfbf5cd0751ea1cb0a51f0bd</v>
      </c>
      <c r="J2027" s="11">
        <v>25.0801196265288</v>
      </c>
      <c r="K2027" s="12">
        <v>55.733599170064</v>
      </c>
      <c r="L2027" s="13">
        <v>5.5733599170064E19</v>
      </c>
      <c r="M2027" s="9">
        <v>5.5733599170064005E18</v>
      </c>
    </row>
    <row r="2028" ht="15.75" customHeight="1">
      <c r="A2028" s="8"/>
      <c r="B2028" s="8"/>
      <c r="C2028" s="8"/>
      <c r="D2028" s="8">
        <v>27.9026907562088</v>
      </c>
      <c r="E2028" s="9" t="s">
        <v>2037</v>
      </c>
      <c r="I2028" s="12" t="str">
        <f>IFERROR(__xludf.DUMMYFUNCTION("""COMPUTED_VALUE"""),"0xac457a98a2c722cead70efecae6810fc1a633c2d")</f>
        <v>0xac457a98a2c722cead70efecae6810fc1a633c2d</v>
      </c>
      <c r="J2028" s="11">
        <v>91.1199983031448</v>
      </c>
      <c r="K2028" s="12">
        <v>202.48888511809955</v>
      </c>
      <c r="L2028" s="13">
        <v>2.0248888511809955E20</v>
      </c>
      <c r="M2028" s="9">
        <v>2.0248888511809958E19</v>
      </c>
    </row>
    <row r="2029" ht="15.75" customHeight="1">
      <c r="A2029" s="8"/>
      <c r="B2029" s="8"/>
      <c r="C2029" s="8"/>
      <c r="D2029" s="8">
        <v>27.9026907562088</v>
      </c>
      <c r="E2029" s="9" t="s">
        <v>2038</v>
      </c>
      <c r="I2029" s="12" t="str">
        <f>IFERROR(__xludf.DUMMYFUNCTION("""COMPUTED_VALUE"""),"0xac6a0bc078f2be4dacef5984de5664172dd846de")</f>
        <v>0xac6a0bc078f2be4dacef5984de5664172dd846de</v>
      </c>
      <c r="J2029" s="11">
        <v>182.9713148785708</v>
      </c>
      <c r="K2029" s="12">
        <v>406.6029219523796</v>
      </c>
      <c r="L2029" s="13">
        <v>4.066029219523796E20</v>
      </c>
      <c r="M2029" s="9">
        <v>4.066029219523796E19</v>
      </c>
    </row>
    <row r="2030" ht="15.75" customHeight="1">
      <c r="A2030" s="8"/>
      <c r="B2030" s="8"/>
      <c r="C2030" s="8"/>
      <c r="D2030" s="8">
        <v>27.9026907562088</v>
      </c>
      <c r="E2030" s="9" t="s">
        <v>2039</v>
      </c>
      <c r="I2030" s="12" t="str">
        <f>IFERROR(__xludf.DUMMYFUNCTION("""COMPUTED_VALUE"""),"0xac90e824ccd14b800dec9a33f86d8e9a8a307881")</f>
        <v>0xac90e824ccd14b800dec9a33f86d8e9a8a307881</v>
      </c>
      <c r="J2030" s="11">
        <v>29.848481093998938</v>
      </c>
      <c r="K2030" s="12">
        <v>66.32995798666431</v>
      </c>
      <c r="L2030" s="13">
        <v>6.632995798666431E19</v>
      </c>
      <c r="M2030" s="9">
        <v>6.6329957986664315E18</v>
      </c>
    </row>
    <row r="2031" ht="15.75" customHeight="1">
      <c r="A2031" s="8"/>
      <c r="B2031" s="8"/>
      <c r="C2031" s="8"/>
      <c r="D2031" s="8">
        <v>27.9026907562088</v>
      </c>
      <c r="E2031" s="9" t="s">
        <v>2040</v>
      </c>
      <c r="I2031" s="12" t="str">
        <f>IFERROR(__xludf.DUMMYFUNCTION("""COMPUTED_VALUE"""),"0xac9f9331fbb6ff54cb138a84e6930f45949204da")</f>
        <v>0xac9f9331fbb6ff54cb138a84e6930f45949204da</v>
      </c>
      <c r="J2031" s="11">
        <v>27.9026907562088</v>
      </c>
      <c r="K2031" s="12">
        <v>62.005979458241775</v>
      </c>
      <c r="L2031" s="13">
        <v>6.200597945824177E19</v>
      </c>
      <c r="M2031" s="9">
        <v>6.2005979458241782E18</v>
      </c>
    </row>
    <row r="2032" ht="15.75" customHeight="1">
      <c r="A2032" s="8"/>
      <c r="B2032" s="8"/>
      <c r="C2032" s="8"/>
      <c r="D2032" s="8">
        <v>27.9026907562088</v>
      </c>
      <c r="E2032" s="9" t="s">
        <v>2041</v>
      </c>
      <c r="I2032" s="12" t="str">
        <f>IFERROR(__xludf.DUMMYFUNCTION("""COMPUTED_VALUE"""),"0xaca0a556cf668bb5cf58fa4ff2b66041d1476ed9")</f>
        <v>0xaca0a556cf668bb5cf58fa4ff2b66041d1476ed9</v>
      </c>
      <c r="J2032" s="11">
        <v>102.9973985770077</v>
      </c>
      <c r="K2032" s="12">
        <v>228.883107948906</v>
      </c>
      <c r="L2032" s="13">
        <v>2.28883107948906E20</v>
      </c>
      <c r="M2032" s="9">
        <v>2.28883107948906E19</v>
      </c>
    </row>
    <row r="2033" ht="15.75" customHeight="1">
      <c r="A2033" s="8"/>
      <c r="B2033" s="8"/>
      <c r="C2033" s="8"/>
      <c r="D2033" s="8">
        <v>27.9026907562088</v>
      </c>
      <c r="E2033" s="9" t="s">
        <v>2042</v>
      </c>
      <c r="I2033" s="12" t="str">
        <f>IFERROR(__xludf.DUMMYFUNCTION("""COMPUTED_VALUE"""),"0xacb31a82cebd33df2e1708ccb895e7ffe38330c4")</f>
        <v>0xacb31a82cebd33df2e1708ccb895e7ffe38330c4</v>
      </c>
      <c r="J2033" s="11">
        <v>27.9026907562088</v>
      </c>
      <c r="K2033" s="12">
        <v>62.005979458241775</v>
      </c>
      <c r="L2033" s="13">
        <v>6.200597945824177E19</v>
      </c>
      <c r="M2033" s="9">
        <v>6.2005979458241782E18</v>
      </c>
    </row>
    <row r="2034" ht="15.75" customHeight="1">
      <c r="A2034" s="8"/>
      <c r="B2034" s="8"/>
      <c r="C2034" s="8"/>
      <c r="D2034" s="8">
        <v>27.9026907562088</v>
      </c>
      <c r="E2034" s="9" t="s">
        <v>2043</v>
      </c>
      <c r="I2034" s="12" t="str">
        <f>IFERROR(__xludf.DUMMYFUNCTION("""COMPUTED_VALUE"""),"0xaccc07936c70c86ea6338652013a9cb9f41423da")</f>
        <v>0xaccc07936c70c86ea6338652013a9cb9f41423da</v>
      </c>
      <c r="J2034" s="11">
        <v>102.7947403298856</v>
      </c>
      <c r="K2034" s="12">
        <v>228.43275628863466</v>
      </c>
      <c r="L2034" s="13">
        <v>2.2843275628863465E20</v>
      </c>
      <c r="M2034" s="9">
        <v>2.2843275628863468E19</v>
      </c>
    </row>
    <row r="2035" ht="15.75" customHeight="1">
      <c r="A2035" s="8"/>
      <c r="B2035" s="8"/>
      <c r="C2035" s="8"/>
      <c r="D2035" s="8">
        <v>27.9026907562088</v>
      </c>
      <c r="E2035" s="9" t="s">
        <v>2044</v>
      </c>
      <c r="I2035" s="12" t="str">
        <f>IFERROR(__xludf.DUMMYFUNCTION("""COMPUTED_VALUE"""),"0xacd67c3083b9e0e2d378b1ec77d6532571dc634e")</f>
        <v>0xacd67c3083b9e0e2d378b1ec77d6532571dc634e</v>
      </c>
      <c r="J2035" s="11">
        <v>135.8731760723181</v>
      </c>
      <c r="K2035" s="12">
        <v>301.940391271818</v>
      </c>
      <c r="L2035" s="13">
        <v>3.01940391271818E20</v>
      </c>
      <c r="M2035" s="9">
        <v>3.0194039127181804E19</v>
      </c>
    </row>
    <row r="2036" ht="15.75" customHeight="1">
      <c r="A2036" s="8"/>
      <c r="B2036" s="8"/>
      <c r="C2036" s="8"/>
      <c r="D2036" s="8">
        <v>27.9026907562088</v>
      </c>
      <c r="E2036" s="9" t="s">
        <v>2045</v>
      </c>
      <c r="I2036" s="12" t="str">
        <f>IFERROR(__xludf.DUMMYFUNCTION("""COMPUTED_VALUE"""),"0xace958c490f839c686929641d63b193301b95b9e")</f>
        <v>0xace958c490f839c686929641d63b193301b95b9e</v>
      </c>
      <c r="J2036" s="11">
        <v>27.9026907562088</v>
      </c>
      <c r="K2036" s="12">
        <v>62.005979458241775</v>
      </c>
      <c r="L2036" s="13">
        <v>6.200597945824177E19</v>
      </c>
      <c r="M2036" s="9">
        <v>6.2005979458241782E18</v>
      </c>
    </row>
    <row r="2037" ht="15.75" customHeight="1">
      <c r="A2037" s="8"/>
      <c r="B2037" s="8"/>
      <c r="C2037" s="8"/>
      <c r="D2037" s="8">
        <v>27.9026907562088</v>
      </c>
      <c r="E2037" s="9" t="s">
        <v>2046</v>
      </c>
      <c r="I2037" s="12" t="str">
        <f>IFERROR(__xludf.DUMMYFUNCTION("""COMPUTED_VALUE"""),"0xaceed5b8469f9ba5fe8208df9fd537f2cc86b6e2")</f>
        <v>0xaceed5b8469f9ba5fe8208df9fd537f2cc86b6e2</v>
      </c>
      <c r="J2037" s="11">
        <v>98.91927922411925</v>
      </c>
      <c r="K2037" s="12">
        <v>219.82062049804279</v>
      </c>
      <c r="L2037" s="13">
        <v>2.1982062049804278E20</v>
      </c>
      <c r="M2037" s="9">
        <v>2.198206204980428E19</v>
      </c>
    </row>
    <row r="2038" ht="15.75" customHeight="1">
      <c r="A2038" s="8"/>
      <c r="B2038" s="8"/>
      <c r="C2038" s="8"/>
      <c r="D2038" s="8">
        <v>27.9026907562088</v>
      </c>
      <c r="E2038" s="9" t="s">
        <v>2047</v>
      </c>
      <c r="I2038" s="12" t="str">
        <f>IFERROR(__xludf.DUMMYFUNCTION("""COMPUTED_VALUE"""),"0xacef77f47076e31b0accac72dcf6d2f892533ef1")</f>
        <v>0xacef77f47076e31b0accac72dcf6d2f892533ef1</v>
      </c>
      <c r="J2038" s="11">
        <v>99.58926656719352</v>
      </c>
      <c r="K2038" s="12">
        <v>221.30948126043003</v>
      </c>
      <c r="L2038" s="13">
        <v>2.2130948126043003E20</v>
      </c>
      <c r="M2038" s="9">
        <v>2.2130948126043005E19</v>
      </c>
    </row>
    <row r="2039" ht="15.75" customHeight="1">
      <c r="A2039" s="8"/>
      <c r="B2039" s="8"/>
      <c r="C2039" s="8"/>
      <c r="D2039" s="8">
        <v>27.9026907562088</v>
      </c>
      <c r="E2039" s="9" t="s">
        <v>2048</v>
      </c>
      <c r="I2039" s="12" t="str">
        <f>IFERROR(__xludf.DUMMYFUNCTION("""COMPUTED_VALUE"""),"0xad3a43eae17cbbffc7e31eace54a010641d3047e")</f>
        <v>0xad3a43eae17cbbffc7e31eace54a010641d3047e</v>
      </c>
      <c r="J2039" s="11">
        <v>91.41881486879795</v>
      </c>
      <c r="K2039" s="12">
        <v>203.1529219306621</v>
      </c>
      <c r="L2039" s="13">
        <v>2.0315292193066212E20</v>
      </c>
      <c r="M2039" s="9">
        <v>2.0315292193066213E19</v>
      </c>
    </row>
    <row r="2040" ht="15.75" customHeight="1">
      <c r="A2040" s="8"/>
      <c r="B2040" s="8"/>
      <c r="C2040" s="8"/>
      <c r="D2040" s="8">
        <v>27.9026907562088</v>
      </c>
      <c r="E2040" s="9" t="s">
        <v>2049</v>
      </c>
      <c r="I2040" s="12" t="str">
        <f>IFERROR(__xludf.DUMMYFUNCTION("""COMPUTED_VALUE"""),"0xad415bfd3eab6634f987f92a6e5dee6bf6565135")</f>
        <v>0xad415bfd3eab6634f987f92a6e5dee6bf6565135</v>
      </c>
      <c r="J2040" s="11">
        <v>27.9026907562088</v>
      </c>
      <c r="K2040" s="12">
        <v>62.005979458241775</v>
      </c>
      <c r="L2040" s="13">
        <v>6.200597945824177E19</v>
      </c>
      <c r="M2040" s="9">
        <v>6.2005979458241782E18</v>
      </c>
    </row>
    <row r="2041" ht="15.75" customHeight="1">
      <c r="A2041" s="8"/>
      <c r="B2041" s="8"/>
      <c r="C2041" s="8"/>
      <c r="D2041" s="8">
        <v>27.9026907562088</v>
      </c>
      <c r="E2041" s="9" t="s">
        <v>2050</v>
      </c>
      <c r="I2041" s="12" t="str">
        <f>IFERROR(__xludf.DUMMYFUNCTION("""COMPUTED_VALUE"""),"0xad4489f64a8be791294116d3e99d2721c7f0a72a")</f>
        <v>0xad4489f64a8be791294116d3e99d2721c7f0a72a</v>
      </c>
      <c r="J2041" s="11">
        <v>116.15803532018009</v>
      </c>
      <c r="K2041" s="12">
        <v>258.12896737817795</v>
      </c>
      <c r="L2041" s="13">
        <v>2.5812896737817795E20</v>
      </c>
      <c r="M2041" s="9">
        <v>2.5812896737817797E19</v>
      </c>
    </row>
    <row r="2042" ht="15.75" customHeight="1">
      <c r="A2042" s="8"/>
      <c r="B2042" s="8"/>
      <c r="C2042" s="8"/>
      <c r="D2042" s="8">
        <v>27.9026907562088</v>
      </c>
      <c r="E2042" s="9" t="s">
        <v>2051</v>
      </c>
      <c r="I2042" s="12" t="str">
        <f>IFERROR(__xludf.DUMMYFUNCTION("""COMPUTED_VALUE"""),"0xad62457ec39ea1bcaef6f48b1a813231fc36fe32")</f>
        <v>0xad62457ec39ea1bcaef6f48b1a813231fc36fe32</v>
      </c>
      <c r="J2042" s="11">
        <v>27.9026907562088</v>
      </c>
      <c r="K2042" s="12">
        <v>62.005979458241775</v>
      </c>
      <c r="L2042" s="13">
        <v>6.200597945824177E19</v>
      </c>
      <c r="M2042" s="9">
        <v>6.2005979458241782E18</v>
      </c>
    </row>
    <row r="2043" ht="15.75" customHeight="1">
      <c r="A2043" s="8"/>
      <c r="B2043" s="8"/>
      <c r="C2043" s="8"/>
      <c r="D2043" s="8">
        <v>27.9026907562088</v>
      </c>
      <c r="E2043" s="9" t="s">
        <v>2052</v>
      </c>
      <c r="I2043" s="12" t="str">
        <f>IFERROR(__xludf.DUMMYFUNCTION("""COMPUTED_VALUE"""),"0xad7c728f0171debe72374f6b5b0d3cb9d7b681ac")</f>
        <v>0xad7c728f0171debe72374f6b5b0d3cb9d7b681ac</v>
      </c>
      <c r="J2043" s="11">
        <v>27.9026907562088</v>
      </c>
      <c r="K2043" s="12">
        <v>62.005979458241775</v>
      </c>
      <c r="L2043" s="13">
        <v>6.200597945824177E19</v>
      </c>
      <c r="M2043" s="9">
        <v>6.2005979458241782E18</v>
      </c>
    </row>
    <row r="2044" ht="15.75" customHeight="1">
      <c r="A2044" s="8"/>
      <c r="B2044" s="8"/>
      <c r="C2044" s="8"/>
      <c r="D2044" s="8">
        <v>23.0163192635862</v>
      </c>
      <c r="E2044" s="9" t="s">
        <v>2053</v>
      </c>
      <c r="I2044" s="12" t="str">
        <f>IFERROR(__xludf.DUMMYFUNCTION("""COMPUTED_VALUE"""),"0xada4389661b5aa5756636ca7d3c051c3d04edabb")</f>
        <v>0xada4389661b5aa5756636ca7d3c051c3d04edabb</v>
      </c>
      <c r="J2044" s="11">
        <v>174.6788539741333</v>
      </c>
      <c r="K2044" s="12">
        <v>388.17523105362955</v>
      </c>
      <c r="L2044" s="13">
        <v>3.8817523105362955E20</v>
      </c>
      <c r="M2044" s="9">
        <v>3.881752310536296E19</v>
      </c>
    </row>
    <row r="2045" ht="15.75" customHeight="1">
      <c r="A2045" s="8"/>
      <c r="B2045" s="8"/>
      <c r="C2045" s="8"/>
      <c r="D2045" s="8">
        <v>27.9026907562088</v>
      </c>
      <c r="E2045" s="9" t="s">
        <v>2054</v>
      </c>
      <c r="I2045" s="12" t="str">
        <f>IFERROR(__xludf.DUMMYFUNCTION("""COMPUTED_VALUE"""),"0xadab52b60ff8a0aaad546c4ffeb269935e7addb6")</f>
        <v>0xadab52b60ff8a0aaad546c4ffeb269935e7addb6</v>
      </c>
      <c r="J2045" s="11">
        <v>91.1199983031448</v>
      </c>
      <c r="K2045" s="12">
        <v>202.48888511809955</v>
      </c>
      <c r="L2045" s="13">
        <v>2.0248888511809955E20</v>
      </c>
      <c r="M2045" s="9">
        <v>2.0248888511809958E19</v>
      </c>
    </row>
    <row r="2046" ht="15.75" customHeight="1">
      <c r="A2046" s="8"/>
      <c r="B2046" s="8"/>
      <c r="C2046" s="8"/>
      <c r="D2046" s="8">
        <v>27.9026907562088</v>
      </c>
      <c r="E2046" s="9" t="s">
        <v>2055</v>
      </c>
      <c r="I2046" s="12" t="str">
        <f>IFERROR(__xludf.DUMMYFUNCTION("""COMPUTED_VALUE"""),"0xae0e21edf2fd3e9a7cb085a93e18b705285c779b")</f>
        <v>0xae0e21edf2fd3e9a7cb085a93e18b705285c779b</v>
      </c>
      <c r="J2046" s="11">
        <v>27.9026907562088</v>
      </c>
      <c r="K2046" s="12">
        <v>62.005979458241775</v>
      </c>
      <c r="L2046" s="13">
        <v>6.200597945824177E19</v>
      </c>
      <c r="M2046" s="9">
        <v>6.2005979458241782E18</v>
      </c>
    </row>
    <row r="2047" ht="15.75" customHeight="1">
      <c r="A2047" s="8"/>
      <c r="B2047" s="8"/>
      <c r="C2047" s="8"/>
      <c r="D2047" s="8">
        <v>27.9026907562088</v>
      </c>
      <c r="E2047" s="9" t="s">
        <v>2056</v>
      </c>
      <c r="I2047" s="12" t="str">
        <f>IFERROR(__xludf.DUMMYFUNCTION("""COMPUTED_VALUE"""),"0xae10de25fc7d646b18d8cd14d685ac6d6739db36")</f>
        <v>0xae10de25fc7d646b18d8cd14d685ac6d6739db36</v>
      </c>
      <c r="J2047" s="11">
        <v>27.9026907562088</v>
      </c>
      <c r="K2047" s="12">
        <v>62.005979458241775</v>
      </c>
      <c r="L2047" s="13">
        <v>6.200597945824177E19</v>
      </c>
      <c r="M2047" s="9">
        <v>6.2005979458241782E18</v>
      </c>
    </row>
    <row r="2048" ht="15.75" customHeight="1">
      <c r="A2048" s="8"/>
      <c r="B2048" s="8"/>
      <c r="C2048" s="8"/>
      <c r="D2048" s="8">
        <v>27.9026907562088</v>
      </c>
      <c r="E2048" s="9" t="s">
        <v>2057</v>
      </c>
      <c r="I2048" s="12" t="str">
        <f>IFERROR(__xludf.DUMMYFUNCTION("""COMPUTED_VALUE"""),"0xae1ff4f54d1c97f432ce20c87a1d5d7ede320c9b")</f>
        <v>0xae1ff4f54d1c97f432ce20c87a1d5d7ede320c9b</v>
      </c>
      <c r="J2048" s="11">
        <v>134.4838392392724</v>
      </c>
      <c r="K2048" s="12">
        <v>298.852976087272</v>
      </c>
      <c r="L2048" s="13">
        <v>2.98852976087272E20</v>
      </c>
      <c r="M2048" s="9">
        <v>2.98852976087272E19</v>
      </c>
    </row>
    <row r="2049" ht="15.75" customHeight="1">
      <c r="A2049" s="8"/>
      <c r="B2049" s="8"/>
      <c r="C2049" s="8"/>
      <c r="D2049" s="8">
        <v>14.5085055281757</v>
      </c>
      <c r="E2049" s="9" t="s">
        <v>2058</v>
      </c>
      <c r="I2049" s="12" t="str">
        <f>IFERROR(__xludf.DUMMYFUNCTION("""COMPUTED_VALUE"""),"0xae2b65c7eb905c0cc8c3cf7436017a9aa7eda3fd")</f>
        <v>0xae2b65c7eb905c0cc8c3cf7436017a9aa7eda3fd</v>
      </c>
      <c r="J2049" s="11">
        <v>14.5085055281757</v>
      </c>
      <c r="K2049" s="12">
        <v>32.241123395946</v>
      </c>
      <c r="L2049" s="13">
        <v>3.2241123395945996E19</v>
      </c>
      <c r="M2049" s="9">
        <v>3.2241123395945999E18</v>
      </c>
    </row>
    <row r="2050" ht="15.75" customHeight="1">
      <c r="A2050" s="8"/>
      <c r="B2050" s="8"/>
      <c r="C2050" s="8"/>
      <c r="D2050" s="8">
        <v>26.4887579702385</v>
      </c>
      <c r="E2050" s="9" t="s">
        <v>2059</v>
      </c>
      <c r="I2050" s="12" t="str">
        <f>IFERROR(__xludf.DUMMYFUNCTION("""COMPUTED_VALUE"""),"0xae40271c8cad9ad3e88593bb5b02724d6f006376")</f>
        <v>0xae40271c8cad9ad3e88593bb5b02724d6f006376</v>
      </c>
      <c r="J2050" s="11">
        <v>26.4887579702385</v>
      </c>
      <c r="K2050" s="12">
        <v>58.863906600529994</v>
      </c>
      <c r="L2050" s="13">
        <v>5.886390660052999E19</v>
      </c>
      <c r="M2050" s="9">
        <v>5.8863906600530002E18</v>
      </c>
    </row>
    <row r="2051" ht="15.75" customHeight="1">
      <c r="A2051" s="8"/>
      <c r="B2051" s="8"/>
      <c r="C2051" s="8"/>
      <c r="D2051" s="8">
        <v>27.9026907562088</v>
      </c>
      <c r="E2051" s="9" t="s">
        <v>2060</v>
      </c>
      <c r="I2051" s="12" t="str">
        <f>IFERROR(__xludf.DUMMYFUNCTION("""COMPUTED_VALUE"""),"0xae6a4264c6ca1a04dcb5e42f1017595d62d28b68")</f>
        <v>0xae6a4264c6ca1a04dcb5e42f1017595d62d28b68</v>
      </c>
      <c r="J2051" s="11">
        <v>91.1199983031448</v>
      </c>
      <c r="K2051" s="12">
        <v>202.48888511809955</v>
      </c>
      <c r="L2051" s="13">
        <v>2.0248888511809955E20</v>
      </c>
      <c r="M2051" s="9">
        <v>2.0248888511809958E19</v>
      </c>
    </row>
    <row r="2052" ht="15.75" customHeight="1">
      <c r="A2052" s="8"/>
      <c r="B2052" s="8"/>
      <c r="C2052" s="8"/>
      <c r="D2052" s="8">
        <v>26.3516138675596</v>
      </c>
      <c r="E2052" s="9" t="s">
        <v>2061</v>
      </c>
      <c r="I2052" s="12" t="str">
        <f>IFERROR(__xludf.DUMMYFUNCTION("""COMPUTED_VALUE"""),"0xae75301abec94a55eae016557f1eef259b881b4e")</f>
        <v>0xae75301abec94a55eae016557f1eef259b881b4e</v>
      </c>
      <c r="J2052" s="11">
        <v>26.3516138675596</v>
      </c>
      <c r="K2052" s="12">
        <v>58.55914192791022</v>
      </c>
      <c r="L2052" s="13">
        <v>5.855914192791022E19</v>
      </c>
      <c r="M2052" s="9">
        <v>5.8559141927910226E18</v>
      </c>
    </row>
    <row r="2053" ht="15.75" customHeight="1">
      <c r="A2053" s="8"/>
      <c r="B2053" s="8"/>
      <c r="C2053" s="8"/>
      <c r="D2053" s="8">
        <v>27.9026907562088</v>
      </c>
      <c r="E2053" s="9" t="s">
        <v>2062</v>
      </c>
      <c r="I2053" s="12" t="str">
        <f>IFERROR(__xludf.DUMMYFUNCTION("""COMPUTED_VALUE"""),"0xaec7a2d62b1beb5ba9d036734d223bb0b6092945")</f>
        <v>0xaec7a2d62b1beb5ba9d036734d223bb0b6092945</v>
      </c>
      <c r="J2053" s="11">
        <v>91.1199983031448</v>
      </c>
      <c r="K2053" s="12">
        <v>202.48888511809955</v>
      </c>
      <c r="L2053" s="13">
        <v>2.0248888511809955E20</v>
      </c>
      <c r="M2053" s="9">
        <v>2.0248888511809958E19</v>
      </c>
    </row>
    <row r="2054" ht="15.75" customHeight="1">
      <c r="A2054" s="8"/>
      <c r="B2054" s="8"/>
      <c r="C2054" s="8"/>
      <c r="D2054" s="8">
        <v>27.9026907562088</v>
      </c>
      <c r="E2054" s="9" t="s">
        <v>2063</v>
      </c>
      <c r="I2054" s="12" t="str">
        <f>IFERROR(__xludf.DUMMYFUNCTION("""COMPUTED_VALUE"""),"0xaef368c69b23ee997b75aeeadf35a9360a452941")</f>
        <v>0xaef368c69b23ee997b75aeeadf35a9360a452941</v>
      </c>
      <c r="J2054" s="11">
        <v>92.81475491368984</v>
      </c>
      <c r="K2054" s="12">
        <v>206.25501091931073</v>
      </c>
      <c r="L2054" s="13">
        <v>2.0625501091931072E20</v>
      </c>
      <c r="M2054" s="9">
        <v>2.0625501091931075E19</v>
      </c>
    </row>
    <row r="2055" ht="15.75" customHeight="1">
      <c r="A2055" s="8"/>
      <c r="B2055" s="8"/>
      <c r="C2055" s="8"/>
      <c r="D2055" s="8">
        <v>27.9026907562088</v>
      </c>
      <c r="E2055" s="9" t="s">
        <v>2064</v>
      </c>
      <c r="I2055" s="12" t="str">
        <f>IFERROR(__xludf.DUMMYFUNCTION("""COMPUTED_VALUE"""),"0xaf06a05e620747589f6bedae54a745671d517b59")</f>
        <v>0xaf06a05e620747589f6bedae54a745671d517b59</v>
      </c>
      <c r="J2055" s="11">
        <v>27.9026907562088</v>
      </c>
      <c r="K2055" s="12">
        <v>62.005979458241775</v>
      </c>
      <c r="L2055" s="13">
        <v>6.200597945824177E19</v>
      </c>
      <c r="M2055" s="9">
        <v>6.2005979458241782E18</v>
      </c>
    </row>
    <row r="2056" ht="15.75" customHeight="1">
      <c r="A2056" s="8"/>
      <c r="B2056" s="8"/>
      <c r="C2056" s="8"/>
      <c r="D2056" s="8">
        <v>27.9026907562088</v>
      </c>
      <c r="E2056" s="9" t="s">
        <v>2065</v>
      </c>
      <c r="I2056" s="12" t="str">
        <f>IFERROR(__xludf.DUMMYFUNCTION("""COMPUTED_VALUE"""),"0xaf07cadbb206f4924c6a9d06567f21693653c89a")</f>
        <v>0xaf07cadbb206f4924c6a9d06567f21693653c89a</v>
      </c>
      <c r="J2056" s="11">
        <v>27.9026907562088</v>
      </c>
      <c r="K2056" s="12">
        <v>62.005979458241775</v>
      </c>
      <c r="L2056" s="13">
        <v>6.200597945824177E19</v>
      </c>
      <c r="M2056" s="9">
        <v>6.2005979458241782E18</v>
      </c>
    </row>
    <row r="2057" ht="15.75" customHeight="1">
      <c r="A2057" s="8"/>
      <c r="B2057" s="8"/>
      <c r="C2057" s="8"/>
      <c r="D2057" s="8">
        <v>27.9026907562088</v>
      </c>
      <c r="E2057" s="9" t="s">
        <v>2066</v>
      </c>
      <c r="I2057" s="12" t="str">
        <f>IFERROR(__xludf.DUMMYFUNCTION("""COMPUTED_VALUE"""),"0xaf16457afdf2f4ff7897febf74b8b364137a668e")</f>
        <v>0xaf16457afdf2f4ff7897febf74b8b364137a668e</v>
      </c>
      <c r="J2057" s="11">
        <v>27.9026907562088</v>
      </c>
      <c r="K2057" s="12">
        <v>62.005979458241775</v>
      </c>
      <c r="L2057" s="13">
        <v>6.200597945824177E19</v>
      </c>
      <c r="M2057" s="9">
        <v>6.2005979458241782E18</v>
      </c>
    </row>
    <row r="2058" ht="15.75" customHeight="1">
      <c r="A2058" s="8"/>
      <c r="B2058" s="8"/>
      <c r="C2058" s="8"/>
      <c r="D2058" s="8">
        <v>19.3353397661492</v>
      </c>
      <c r="E2058" s="9" t="s">
        <v>2067</v>
      </c>
      <c r="I2058" s="12" t="str">
        <f>IFERROR(__xludf.DUMMYFUNCTION("""COMPUTED_VALUE"""),"0xaf2b89f86a6772049e512ead71ded7fde29bd737")</f>
        <v>0xaf2b89f86a6772049e512ead71ded7fde29bd737</v>
      </c>
      <c r="J2058" s="11">
        <v>21.48476426277823</v>
      </c>
      <c r="K2058" s="12">
        <v>47.74392058395163</v>
      </c>
      <c r="L2058" s="13">
        <v>4.774392058395163E19</v>
      </c>
      <c r="M2058" s="9">
        <v>4.7743920583951636E18</v>
      </c>
    </row>
    <row r="2059" ht="15.75" customHeight="1">
      <c r="A2059" s="8"/>
      <c r="B2059" s="8"/>
      <c r="C2059" s="8"/>
      <c r="D2059" s="8">
        <v>26.477246753955</v>
      </c>
      <c r="E2059" s="9" t="s">
        <v>2068</v>
      </c>
      <c r="I2059" s="12" t="str">
        <f>IFERROR(__xludf.DUMMYFUNCTION("""COMPUTED_VALUE"""),"0xaf369d89ac92bcc34de0da22c4a5ab34102867b1")</f>
        <v>0xaf369d89ac92bcc34de0da22c4a5ab34102867b1</v>
      </c>
      <c r="J2059" s="11">
        <v>26.477246753955</v>
      </c>
      <c r="K2059" s="12">
        <v>58.8383261199</v>
      </c>
      <c r="L2059" s="13">
        <v>5.8838326119900004E19</v>
      </c>
      <c r="M2059" s="9">
        <v>5.8838326119900006E18</v>
      </c>
    </row>
    <row r="2060" ht="15.75" customHeight="1">
      <c r="A2060" s="8"/>
      <c r="B2060" s="8"/>
      <c r="C2060" s="8"/>
      <c r="D2060" s="8">
        <v>27.9026907562088</v>
      </c>
      <c r="E2060" s="9" t="s">
        <v>2069</v>
      </c>
      <c r="I2060" s="12" t="str">
        <f>IFERROR(__xludf.DUMMYFUNCTION("""COMPUTED_VALUE"""),"0xaf75a6806495060cb4ce03b04ab0a3a4668f2867")</f>
        <v>0xaf75a6806495060cb4ce03b04ab0a3a4668f2867</v>
      </c>
      <c r="J2060" s="11">
        <v>91.1199983031448</v>
      </c>
      <c r="K2060" s="12">
        <v>202.48888511809955</v>
      </c>
      <c r="L2060" s="13">
        <v>2.0248888511809955E20</v>
      </c>
      <c r="M2060" s="9">
        <v>2.0248888511809958E19</v>
      </c>
    </row>
    <row r="2061" ht="15.75" customHeight="1">
      <c r="A2061" s="8"/>
      <c r="B2061" s="8"/>
      <c r="C2061" s="8"/>
      <c r="D2061" s="8">
        <v>27.9026907562088</v>
      </c>
      <c r="E2061" s="9" t="s">
        <v>2070</v>
      </c>
      <c r="I2061" s="12" t="str">
        <f>IFERROR(__xludf.DUMMYFUNCTION("""COMPUTED_VALUE"""),"0xaf861f1a8f5fb468636b1c8bbf8c8535b6e9af9e")</f>
        <v>0xaf861f1a8f5fb468636b1c8bbf8c8535b6e9af9e</v>
      </c>
      <c r="J2061" s="11">
        <v>27.9026907562088</v>
      </c>
      <c r="K2061" s="12">
        <v>62.005979458241775</v>
      </c>
      <c r="L2061" s="13">
        <v>6.200597945824177E19</v>
      </c>
      <c r="M2061" s="9">
        <v>6.2005979458241782E18</v>
      </c>
    </row>
    <row r="2062" ht="15.75" customHeight="1">
      <c r="A2062" s="8"/>
      <c r="B2062" s="8"/>
      <c r="C2062" s="8"/>
      <c r="D2062" s="8">
        <v>27.9026907562088</v>
      </c>
      <c r="E2062" s="9" t="s">
        <v>2071</v>
      </c>
      <c r="I2062" s="12" t="str">
        <f>IFERROR(__xludf.DUMMYFUNCTION("""COMPUTED_VALUE"""),"0xaf9ed51be0b605c7fa9bc3c3f66b65a8a68ed9e4")</f>
        <v>0xaf9ed51be0b605c7fa9bc3c3f66b65a8a68ed9e4</v>
      </c>
      <c r="J2062" s="11">
        <v>91.1199983031448</v>
      </c>
      <c r="K2062" s="12">
        <v>202.48888511809955</v>
      </c>
      <c r="L2062" s="13">
        <v>2.0248888511809955E20</v>
      </c>
      <c r="M2062" s="9">
        <v>2.0248888511809958E19</v>
      </c>
    </row>
    <row r="2063" ht="15.75" customHeight="1">
      <c r="A2063" s="8"/>
      <c r="B2063" s="8"/>
      <c r="C2063" s="8"/>
      <c r="D2063" s="8">
        <v>27.9026907562088</v>
      </c>
      <c r="E2063" s="9" t="s">
        <v>2072</v>
      </c>
      <c r="I2063" s="12" t="str">
        <f>IFERROR(__xludf.DUMMYFUNCTION("""COMPUTED_VALUE"""),"0xafa8d9f137bcd4effe8174bb0bd0025a4d92dc78")</f>
        <v>0xafa8d9f137bcd4effe8174bb0bd0025a4d92dc78</v>
      </c>
      <c r="J2063" s="11">
        <v>93.1911142039937</v>
      </c>
      <c r="K2063" s="12">
        <v>207.09136489776378</v>
      </c>
      <c r="L2063" s="13">
        <v>2.070913648977638E20</v>
      </c>
      <c r="M2063" s="9">
        <v>2.0709136489776378E19</v>
      </c>
    </row>
    <row r="2064" ht="15.75" customHeight="1">
      <c r="A2064" s="8"/>
      <c r="B2064" s="8"/>
      <c r="C2064" s="8"/>
      <c r="D2064" s="8">
        <v>27.9026907562088</v>
      </c>
      <c r="E2064" s="9" t="s">
        <v>2073</v>
      </c>
      <c r="I2064" s="12" t="str">
        <f>IFERROR(__xludf.DUMMYFUNCTION("""COMPUTED_VALUE"""),"0xafb2c7d0e2206e483f9d49f395df45239dfd3e3a")</f>
        <v>0xafb2c7d0e2206e483f9d49f395df45239dfd3e3a</v>
      </c>
      <c r="J2064" s="11">
        <v>27.9026907562088</v>
      </c>
      <c r="K2064" s="12">
        <v>62.005979458241775</v>
      </c>
      <c r="L2064" s="13">
        <v>6.200597945824177E19</v>
      </c>
      <c r="M2064" s="9">
        <v>6.2005979458241782E18</v>
      </c>
    </row>
    <row r="2065" ht="15.75" customHeight="1">
      <c r="A2065" s="8"/>
      <c r="B2065" s="8"/>
      <c r="C2065" s="8"/>
      <c r="D2065" s="8">
        <v>27.9026907562088</v>
      </c>
      <c r="E2065" s="9" t="s">
        <v>2074</v>
      </c>
      <c r="I2065" s="12" t="str">
        <f>IFERROR(__xludf.DUMMYFUNCTION("""COMPUTED_VALUE"""),"0xafc0b04a03d23a070ab1c078efd1ce5d123d53e4")</f>
        <v>0xafc0b04a03d23a070ab1c078efd1ce5d123d53e4</v>
      </c>
      <c r="J2065" s="11">
        <v>27.9026907562088</v>
      </c>
      <c r="K2065" s="12">
        <v>62.005979458241775</v>
      </c>
      <c r="L2065" s="13">
        <v>6.200597945824177E19</v>
      </c>
      <c r="M2065" s="9">
        <v>6.2005979458241782E18</v>
      </c>
    </row>
    <row r="2066" ht="15.75" customHeight="1">
      <c r="A2066" s="8"/>
      <c r="B2066" s="8"/>
      <c r="C2066" s="8"/>
      <c r="D2066" s="8">
        <v>27.9026907562088</v>
      </c>
      <c r="E2066" s="9" t="s">
        <v>2075</v>
      </c>
      <c r="I2066" s="12" t="str">
        <f>IFERROR(__xludf.DUMMYFUNCTION("""COMPUTED_VALUE"""),"0xafe680afeb7f932db60f3539b535d79a9afd4cff")</f>
        <v>0xafe680afeb7f932db60f3539b535d79a9afd4cff</v>
      </c>
      <c r="J2066" s="11">
        <v>27.9026907562088</v>
      </c>
      <c r="K2066" s="12">
        <v>62.005979458241775</v>
      </c>
      <c r="L2066" s="13">
        <v>6.200597945824177E19</v>
      </c>
      <c r="M2066" s="9">
        <v>6.2005979458241782E18</v>
      </c>
    </row>
    <row r="2067" ht="15.75" customHeight="1">
      <c r="A2067" s="8"/>
      <c r="B2067" s="8"/>
      <c r="C2067" s="8"/>
      <c r="D2067" s="8">
        <v>27.6145640107836</v>
      </c>
      <c r="E2067" s="9" t="s">
        <v>2076</v>
      </c>
      <c r="I2067" s="12" t="str">
        <f>IFERROR(__xludf.DUMMYFUNCTION("""COMPUTED_VALUE"""),"0xb0037496e62f1329a5b563d48d3794590fb1e625")</f>
        <v>0xb0037496e62f1329a5b563d48d3794590fb1e625</v>
      </c>
      <c r="J2067" s="11">
        <v>148.7618302794165</v>
      </c>
      <c r="K2067" s="12">
        <v>330.58184506537</v>
      </c>
      <c r="L2067" s="13">
        <v>3.3058184506537E20</v>
      </c>
      <c r="M2067" s="9">
        <v>3.3058184506537E19</v>
      </c>
    </row>
    <row r="2068" ht="15.75" customHeight="1">
      <c r="A2068" s="8"/>
      <c r="B2068" s="8"/>
      <c r="C2068" s="8"/>
      <c r="D2068" s="8">
        <v>5.58053815124177</v>
      </c>
      <c r="E2068" s="9" t="s">
        <v>2077</v>
      </c>
      <c r="I2068" s="12" t="str">
        <f>IFERROR(__xludf.DUMMYFUNCTION("""COMPUTED_VALUE"""),"0xb01ef1b93ca388aacc9bfbf2363832934af0f560")</f>
        <v>0xb01ef1b93ca388aacc9bfbf2363832934af0f560</v>
      </c>
      <c r="J2068" s="11">
        <v>5.58053815124177</v>
      </c>
      <c r="K2068" s="12">
        <v>12.401195891648378</v>
      </c>
      <c r="L2068" s="13">
        <v>1.2401195891648377E19</v>
      </c>
      <c r="M2068" s="9">
        <v>1.24011958916483763E18</v>
      </c>
    </row>
    <row r="2069" ht="15.75" customHeight="1">
      <c r="A2069" s="8"/>
      <c r="B2069" s="8"/>
      <c r="C2069" s="8"/>
      <c r="D2069" s="8">
        <v>27.9026907562088</v>
      </c>
      <c r="E2069" s="9" t="s">
        <v>2078</v>
      </c>
      <c r="I2069" s="12" t="str">
        <f>IFERROR(__xludf.DUMMYFUNCTION("""COMPUTED_VALUE"""),"0xb02fe8ce7ed1edb018611fd0f7dc983028a5e41f")</f>
        <v>0xb02fe8ce7ed1edb018611fd0f7dc983028a5e41f</v>
      </c>
      <c r="J2069" s="11">
        <v>83.232617900093</v>
      </c>
      <c r="K2069" s="12">
        <v>184.96137311131778</v>
      </c>
      <c r="L2069" s="13">
        <v>1.849613731113178E20</v>
      </c>
      <c r="M2069" s="9">
        <v>1.849613731113178E19</v>
      </c>
    </row>
    <row r="2070" ht="15.75" customHeight="1">
      <c r="A2070" s="8"/>
      <c r="B2070" s="8"/>
      <c r="C2070" s="8"/>
      <c r="D2070" s="8">
        <v>27.9026907562088</v>
      </c>
      <c r="E2070" s="9" t="s">
        <v>2079</v>
      </c>
      <c r="I2070" s="12" t="str">
        <f>IFERROR(__xludf.DUMMYFUNCTION("""COMPUTED_VALUE"""),"0xb047e5845ce7c26c915a5b4861d990f61b77e4a4")</f>
        <v>0xb047e5845ce7c26c915a5b4861d990f61b77e4a4</v>
      </c>
      <c r="J2070" s="11">
        <v>274.0425777153448</v>
      </c>
      <c r="K2070" s="12">
        <v>608.9835060340996</v>
      </c>
      <c r="L2070" s="13">
        <v>6.089835060340996E20</v>
      </c>
      <c r="M2070" s="9">
        <v>6.0898350603409965E19</v>
      </c>
    </row>
    <row r="2071" ht="15.75" customHeight="1">
      <c r="A2071" s="8"/>
      <c r="B2071" s="8"/>
      <c r="C2071" s="8"/>
      <c r="D2071" s="8">
        <v>27.9026907562088</v>
      </c>
      <c r="E2071" s="9" t="s">
        <v>2080</v>
      </c>
      <c r="I2071" s="12" t="str">
        <f>IFERROR(__xludf.DUMMYFUNCTION("""COMPUTED_VALUE"""),"0xb0555a0f25fa35f9bb80d519c36be9e9ff45ac07")</f>
        <v>0xb0555a0f25fa35f9bb80d519c36be9e9ff45ac07</v>
      </c>
      <c r="J2071" s="11">
        <v>91.1199983031448</v>
      </c>
      <c r="K2071" s="12">
        <v>202.48888511809955</v>
      </c>
      <c r="L2071" s="13">
        <v>2.0248888511809955E20</v>
      </c>
      <c r="M2071" s="9">
        <v>2.0248888511809958E19</v>
      </c>
    </row>
    <row r="2072" ht="15.75" customHeight="1">
      <c r="A2072" s="8"/>
      <c r="B2072" s="8"/>
      <c r="C2072" s="8"/>
      <c r="D2072" s="8">
        <v>27.9026907562088</v>
      </c>
      <c r="E2072" s="9" t="s">
        <v>2081</v>
      </c>
      <c r="I2072" s="12" t="str">
        <f>IFERROR(__xludf.DUMMYFUNCTION("""COMPUTED_VALUE"""),"0xb060b0b7b450753766bad0a746115a291d85e1b1")</f>
        <v>0xb060b0b7b450753766bad0a746115a291d85e1b1</v>
      </c>
      <c r="J2072" s="11">
        <v>27.9026907562088</v>
      </c>
      <c r="K2072" s="12">
        <v>62.005979458241775</v>
      </c>
      <c r="L2072" s="13">
        <v>6.200597945824177E19</v>
      </c>
      <c r="M2072" s="9">
        <v>6.2005979458241782E18</v>
      </c>
    </row>
    <row r="2073" ht="15.75" customHeight="1">
      <c r="A2073" s="8"/>
      <c r="B2073" s="8"/>
      <c r="C2073" s="8"/>
      <c r="D2073" s="8">
        <v>27.9026907562088</v>
      </c>
      <c r="E2073" s="9" t="s">
        <v>2082</v>
      </c>
      <c r="I2073" s="12" t="str">
        <f>IFERROR(__xludf.DUMMYFUNCTION("""COMPUTED_VALUE"""),"0xb0759a6f09cc7c12704ddaa5716544ca0c1e9bf4")</f>
        <v>0xb0759a6f09cc7c12704ddaa5716544ca0c1e9bf4</v>
      </c>
      <c r="J2073" s="11">
        <v>122.2526437077871</v>
      </c>
      <c r="K2073" s="12">
        <v>271.6725415728602</v>
      </c>
      <c r="L2073" s="13">
        <v>2.716725415728602E20</v>
      </c>
      <c r="M2073" s="9">
        <v>2.7167254157286023E19</v>
      </c>
    </row>
    <row r="2074" ht="15.75" customHeight="1">
      <c r="A2074" s="8"/>
      <c r="B2074" s="8"/>
      <c r="C2074" s="8"/>
      <c r="D2074" s="8">
        <v>27.9026907562088</v>
      </c>
      <c r="E2074" s="9" t="s">
        <v>2083</v>
      </c>
      <c r="I2074" s="12" t="str">
        <f>IFERROR(__xludf.DUMMYFUNCTION("""COMPUTED_VALUE"""),"0xb0c5bbd91b9a288b21f3eac36a576da99dc6f59e")</f>
        <v>0xb0c5bbd91b9a288b21f3eac36a576da99dc6f59e</v>
      </c>
      <c r="J2074" s="11">
        <v>95.01157897872508</v>
      </c>
      <c r="K2074" s="12">
        <v>211.13684217494463</v>
      </c>
      <c r="L2074" s="13">
        <v>2.1113684217494464E20</v>
      </c>
      <c r="M2074" s="9">
        <v>2.1113684217494467E19</v>
      </c>
    </row>
    <row r="2075" ht="15.75" customHeight="1">
      <c r="A2075" s="8"/>
      <c r="B2075" s="8"/>
      <c r="C2075" s="8"/>
      <c r="D2075" s="8">
        <v>27.9026907562088</v>
      </c>
      <c r="E2075" s="9" t="s">
        <v>2084</v>
      </c>
      <c r="I2075" s="12" t="str">
        <f>IFERROR(__xludf.DUMMYFUNCTION("""COMPUTED_VALUE"""),"0xb0c72b8b8d1b6d185bd35f459a46ffa4efa50f3d")</f>
        <v>0xb0c72b8b8d1b6d185bd35f459a46ffa4efa50f3d</v>
      </c>
      <c r="J2075" s="11">
        <v>91.1199983031448</v>
      </c>
      <c r="K2075" s="12">
        <v>202.48888511809955</v>
      </c>
      <c r="L2075" s="13">
        <v>2.0248888511809955E20</v>
      </c>
      <c r="M2075" s="9">
        <v>2.0248888511809958E19</v>
      </c>
    </row>
    <row r="2076" ht="15.75" customHeight="1">
      <c r="A2076" s="8"/>
      <c r="B2076" s="8"/>
      <c r="C2076" s="8"/>
      <c r="D2076" s="8">
        <v>27.9026907562088</v>
      </c>
      <c r="E2076" s="9" t="s">
        <v>2085</v>
      </c>
      <c r="I2076" s="12" t="str">
        <f>IFERROR(__xludf.DUMMYFUNCTION("""COMPUTED_VALUE"""),"0xb0e218c5be3ae27507f2c9e35460bfbbb1f5db35")</f>
        <v>0xb0e218c5be3ae27507f2c9e35460bfbbb1f5db35</v>
      </c>
      <c r="J2076" s="11">
        <v>141.3908504528203</v>
      </c>
      <c r="K2076" s="12">
        <v>314.2018898951562</v>
      </c>
      <c r="L2076" s="13">
        <v>3.142018898951562E20</v>
      </c>
      <c r="M2076" s="9">
        <v>3.1420188989515624E19</v>
      </c>
    </row>
    <row r="2077" ht="15.75" customHeight="1">
      <c r="A2077" s="8"/>
      <c r="B2077" s="8"/>
      <c r="C2077" s="8"/>
      <c r="D2077" s="8">
        <v>27.9026907562088</v>
      </c>
      <c r="E2077" s="9" t="s">
        <v>2086</v>
      </c>
      <c r="I2077" s="12" t="str">
        <f>IFERROR(__xludf.DUMMYFUNCTION("""COMPUTED_VALUE"""),"0xb0fecff8ab2b45778cc022f7f0f98d0a2b0133a0")</f>
        <v>0xb0fecff8ab2b45778cc022f7f0f98d0a2b0133a0</v>
      </c>
      <c r="J2077" s="11">
        <v>88.8441752314551</v>
      </c>
      <c r="K2077" s="12">
        <v>197.43150051434466</v>
      </c>
      <c r="L2077" s="13">
        <v>1.9743150051434467E20</v>
      </c>
      <c r="M2077" s="9">
        <v>1.9743150051434467E19</v>
      </c>
    </row>
    <row r="2078" ht="15.75" customHeight="1">
      <c r="A2078" s="8"/>
      <c r="B2078" s="8"/>
      <c r="C2078" s="8"/>
      <c r="D2078" s="8">
        <v>27.9026907562088</v>
      </c>
      <c r="E2078" s="9" t="s">
        <v>2087</v>
      </c>
      <c r="I2078" s="12" t="str">
        <f>IFERROR(__xludf.DUMMYFUNCTION("""COMPUTED_VALUE"""),"0xb105608d0fb6fec617afdd7d5147aa7ab7a86612")</f>
        <v>0xb105608d0fb6fec617afdd7d5147aa7ab7a86612</v>
      </c>
      <c r="J2078" s="11">
        <v>91.1199983031448</v>
      </c>
      <c r="K2078" s="12">
        <v>202.48888511809955</v>
      </c>
      <c r="L2078" s="13">
        <v>2.0248888511809955E20</v>
      </c>
      <c r="M2078" s="9">
        <v>2.0248888511809958E19</v>
      </c>
    </row>
    <row r="2079" ht="15.75" customHeight="1">
      <c r="A2079" s="8"/>
      <c r="B2079" s="8"/>
      <c r="C2079" s="8"/>
      <c r="D2079" s="8">
        <v>27.9026907562088</v>
      </c>
      <c r="E2079" s="9" t="s">
        <v>2088</v>
      </c>
      <c r="I2079" s="12" t="str">
        <f>IFERROR(__xludf.DUMMYFUNCTION("""COMPUTED_VALUE"""),"0xb108c0490dd10030179ff4c98bd99d41b7ac99d8")</f>
        <v>0xb108c0490dd10030179ff4c98bd99d41b7ac99d8</v>
      </c>
      <c r="J2079" s="11">
        <v>27.9026907562088</v>
      </c>
      <c r="K2079" s="12">
        <v>62.005979458241775</v>
      </c>
      <c r="L2079" s="13">
        <v>6.200597945824177E19</v>
      </c>
      <c r="M2079" s="9">
        <v>6.2005979458241782E18</v>
      </c>
    </row>
    <row r="2080" ht="15.75" customHeight="1">
      <c r="A2080" s="8"/>
      <c r="B2080" s="8"/>
      <c r="C2080" s="8"/>
      <c r="D2080" s="8">
        <v>20.1812805273638</v>
      </c>
      <c r="E2080" s="9" t="s">
        <v>2089</v>
      </c>
      <c r="I2080" s="12" t="str">
        <f>IFERROR(__xludf.DUMMYFUNCTION("""COMPUTED_VALUE"""),"0xb111c9cd8c07129644d8126279d608c404781b52")</f>
        <v>0xb111c9cd8c07129644d8126279d608c404781b52</v>
      </c>
      <c r="J2080" s="11">
        <v>20.1812805273638</v>
      </c>
      <c r="K2080" s="12">
        <v>44.84729006080844</v>
      </c>
      <c r="L2080" s="13">
        <v>4.484729006080844E19</v>
      </c>
      <c r="M2080" s="9">
        <v>4.4847290060808438E18</v>
      </c>
    </row>
    <row r="2081" ht="15.75" customHeight="1">
      <c r="A2081" s="8"/>
      <c r="B2081" s="8"/>
      <c r="C2081" s="8"/>
      <c r="D2081" s="8">
        <v>24.1489708601281</v>
      </c>
      <c r="E2081" s="9" t="s">
        <v>2090</v>
      </c>
      <c r="I2081" s="12" t="str">
        <f>IFERROR(__xludf.DUMMYFUNCTION("""COMPUTED_VALUE"""),"0xb116a3923b78575919627fdb811f44a3ce35cf39")</f>
        <v>0xb116a3923b78575919627fdb811f44a3ce35cf39</v>
      </c>
      <c r="J2081" s="11">
        <v>24.1489708601281</v>
      </c>
      <c r="K2081" s="12">
        <v>53.66437968917355</v>
      </c>
      <c r="L2081" s="13">
        <v>5.366437968917355E19</v>
      </c>
      <c r="M2081" s="9">
        <v>5.3664379689173555E18</v>
      </c>
    </row>
    <row r="2082" ht="15.75" customHeight="1">
      <c r="A2082" s="8"/>
      <c r="B2082" s="8"/>
      <c r="C2082" s="8"/>
      <c r="D2082" s="8">
        <v>27.5342265806253</v>
      </c>
      <c r="E2082" s="9" t="s">
        <v>2091</v>
      </c>
      <c r="I2082" s="12" t="str">
        <f>IFERROR(__xludf.DUMMYFUNCTION("""COMPUTED_VALUE"""),"0xb131aa75f9e97e8a1b44bf1f49443e4bef047a0d")</f>
        <v>0xb131aa75f9e97e8a1b44bf1f49443e4bef047a0d</v>
      </c>
      <c r="J2082" s="11">
        <v>27.5342265806253</v>
      </c>
      <c r="K2082" s="12">
        <v>61.18717017916733</v>
      </c>
      <c r="L2082" s="13">
        <v>6.118717017916733E19</v>
      </c>
      <c r="M2082" s="9">
        <v>6.1187170179167334E18</v>
      </c>
    </row>
    <row r="2083" ht="15.75" customHeight="1">
      <c r="A2083" s="8"/>
      <c r="B2083" s="8"/>
      <c r="C2083" s="8"/>
      <c r="D2083" s="8">
        <v>25.778846139668</v>
      </c>
      <c r="E2083" s="9" t="s">
        <v>2092</v>
      </c>
      <c r="I2083" s="12" t="str">
        <f>IFERROR(__xludf.DUMMYFUNCTION("""COMPUTED_VALUE"""),"0xb158d678ce9ed6042e59d929b2e73823ab1a5ecc")</f>
        <v>0xb158d678ce9ed6042e59d929b2e73823ab1a5ecc</v>
      </c>
      <c r="J2083" s="11">
        <v>84.600281289673</v>
      </c>
      <c r="K2083" s="12">
        <v>188.00062508816222</v>
      </c>
      <c r="L2083" s="13">
        <v>1.8800062508816223E20</v>
      </c>
      <c r="M2083" s="9">
        <v>1.8800062508816224E19</v>
      </c>
    </row>
    <row r="2084" ht="15.75" customHeight="1">
      <c r="A2084" s="8"/>
      <c r="B2084" s="8"/>
      <c r="C2084" s="8"/>
      <c r="D2084" s="8">
        <v>27.9026907562088</v>
      </c>
      <c r="E2084" s="9" t="s">
        <v>2093</v>
      </c>
      <c r="I2084" s="12" t="str">
        <f>IFERROR(__xludf.DUMMYFUNCTION("""COMPUTED_VALUE"""),"0xb17fd20b79b5de7880133df47918a1dc2a7e9821")</f>
        <v>0xb17fd20b79b5de7880133df47918a1dc2a7e9821</v>
      </c>
      <c r="J2084" s="11">
        <v>27.9026907562088</v>
      </c>
      <c r="K2084" s="12">
        <v>62.005979458241775</v>
      </c>
      <c r="L2084" s="13">
        <v>6.200597945824177E19</v>
      </c>
      <c r="M2084" s="9">
        <v>6.2005979458241782E18</v>
      </c>
    </row>
    <row r="2085" ht="15.75" customHeight="1">
      <c r="A2085" s="8"/>
      <c r="B2085" s="8"/>
      <c r="C2085" s="8"/>
      <c r="D2085" s="8">
        <v>27.9026907562088</v>
      </c>
      <c r="E2085" s="9" t="s">
        <v>2094</v>
      </c>
      <c r="I2085" s="12" t="str">
        <f>IFERROR(__xludf.DUMMYFUNCTION("""COMPUTED_VALUE"""),"0xb1ac9db0d6a1ec291f427ad03fc3b632e1e93a56")</f>
        <v>0xb1ac9db0d6a1ec291f427ad03fc3b632e1e93a56</v>
      </c>
      <c r="J2085" s="11">
        <v>91.1199983031448</v>
      </c>
      <c r="K2085" s="12">
        <v>202.48888511809955</v>
      </c>
      <c r="L2085" s="13">
        <v>2.0248888511809955E20</v>
      </c>
      <c r="M2085" s="9">
        <v>2.0248888511809958E19</v>
      </c>
    </row>
    <row r="2086" ht="15.75" customHeight="1">
      <c r="A2086" s="8"/>
      <c r="B2086" s="8"/>
      <c r="C2086" s="8"/>
      <c r="D2086" s="8">
        <v>27.0773515297413</v>
      </c>
      <c r="E2086" s="9" t="s">
        <v>2095</v>
      </c>
      <c r="I2086" s="12" t="str">
        <f>IFERROR(__xludf.DUMMYFUNCTION("""COMPUTED_VALUE"""),"0xb1b3f9c0aa17d4a2bd41784e160290390ac3ae15")</f>
        <v>0xb1b3f9c0aa17d4a2bd41784e160290390ac3ae15</v>
      </c>
      <c r="J2086" s="11">
        <v>117.1139814467426</v>
      </c>
      <c r="K2086" s="12">
        <v>260.2532921038724</v>
      </c>
      <c r="L2086" s="13">
        <v>2.602532921038724E20</v>
      </c>
      <c r="M2086" s="9">
        <v>2.6025329210387243E19</v>
      </c>
    </row>
    <row r="2087" ht="15.75" customHeight="1">
      <c r="A2087" s="8"/>
      <c r="B2087" s="8"/>
      <c r="C2087" s="8"/>
      <c r="D2087" s="8">
        <v>27.9026907562088</v>
      </c>
      <c r="E2087" s="9" t="s">
        <v>2096</v>
      </c>
      <c r="I2087" s="12" t="str">
        <f>IFERROR(__xludf.DUMMYFUNCTION("""COMPUTED_VALUE"""),"0xb1b72a4183660e0791be2cd8e585b70fd6f4bd24")</f>
        <v>0xb1b72a4183660e0791be2cd8e585b70fd6f4bd24</v>
      </c>
      <c r="J2087" s="11">
        <v>67.8102308616582</v>
      </c>
      <c r="K2087" s="12">
        <v>150.68940191479598</v>
      </c>
      <c r="L2087" s="13">
        <v>1.5068940191479598E20</v>
      </c>
      <c r="M2087" s="9">
        <v>1.50689401914796E19</v>
      </c>
    </row>
    <row r="2088" ht="15.75" customHeight="1">
      <c r="A2088" s="8"/>
      <c r="B2088" s="8"/>
      <c r="C2088" s="8"/>
      <c r="D2088" s="8">
        <v>27.9026907562088</v>
      </c>
      <c r="E2088" s="9" t="s">
        <v>2097</v>
      </c>
      <c r="I2088" s="12" t="str">
        <f>IFERROR(__xludf.DUMMYFUNCTION("""COMPUTED_VALUE"""),"0xb1d65729bd421a15c12880c62113445f602bc7ff")</f>
        <v>0xb1d65729bd421a15c12880c62113445f602bc7ff</v>
      </c>
      <c r="J2088" s="11">
        <v>27.9026907562088</v>
      </c>
      <c r="K2088" s="12">
        <v>62.005979458241775</v>
      </c>
      <c r="L2088" s="13">
        <v>6.200597945824177E19</v>
      </c>
      <c r="M2088" s="9">
        <v>6.2005979458241782E18</v>
      </c>
    </row>
    <row r="2089" ht="15.75" customHeight="1">
      <c r="A2089" s="8"/>
      <c r="B2089" s="8"/>
      <c r="C2089" s="8"/>
      <c r="D2089" s="8">
        <v>27.9026907562088</v>
      </c>
      <c r="E2089" s="9" t="s">
        <v>2098</v>
      </c>
      <c r="I2089" s="12" t="str">
        <f>IFERROR(__xludf.DUMMYFUNCTION("""COMPUTED_VALUE"""),"0xb20054fbdb90a9f61a5b092f04ee92b5c0620a4d")</f>
        <v>0xb20054fbdb90a9f61a5b092f04ee92b5c0620a4d</v>
      </c>
      <c r="J2089" s="11">
        <v>103.9185520560453</v>
      </c>
      <c r="K2089" s="12">
        <v>230.93011568010067</v>
      </c>
      <c r="L2089" s="13">
        <v>2.3093011568010068E20</v>
      </c>
      <c r="M2089" s="9">
        <v>2.309301156801007E19</v>
      </c>
    </row>
    <row r="2090" ht="15.75" customHeight="1">
      <c r="A2090" s="8"/>
      <c r="B2090" s="8"/>
      <c r="C2090" s="8"/>
      <c r="D2090" s="8">
        <v>27.9026907562088</v>
      </c>
      <c r="E2090" s="9" t="s">
        <v>2099</v>
      </c>
      <c r="I2090" s="12" t="str">
        <f>IFERROR(__xludf.DUMMYFUNCTION("""COMPUTED_VALUE"""),"0xb2017a931f206f40cf06268e8fcfdd3d4e4f5e80")</f>
        <v>0xb2017a931f206f40cf06268e8fcfdd3d4e4f5e80</v>
      </c>
      <c r="J2090" s="11">
        <v>91.1199983031448</v>
      </c>
      <c r="K2090" s="12">
        <v>202.48888511809955</v>
      </c>
      <c r="L2090" s="13">
        <v>2.0248888511809955E20</v>
      </c>
      <c r="M2090" s="9">
        <v>2.0248888511809958E19</v>
      </c>
    </row>
    <row r="2091" ht="15.75" customHeight="1">
      <c r="A2091" s="8"/>
      <c r="B2091" s="8"/>
      <c r="C2091" s="8"/>
      <c r="D2091" s="8">
        <v>27.8769504100834</v>
      </c>
      <c r="E2091" s="9" t="s">
        <v>2100</v>
      </c>
      <c r="I2091" s="12" t="str">
        <f>IFERROR(__xludf.DUMMYFUNCTION("""COMPUTED_VALUE"""),"0xb21186a5c6dd9a753408f5cefd9e8486663fd4d4")</f>
        <v>0xb21186a5c6dd9a753408f5cefd9e8486663fd4d4</v>
      </c>
      <c r="J2091" s="11">
        <v>27.8769504100834</v>
      </c>
      <c r="K2091" s="12">
        <v>61.94877868907422</v>
      </c>
      <c r="L2091" s="13">
        <v>6.194877868907422E19</v>
      </c>
      <c r="M2091" s="9">
        <v>6.1948778689074217E18</v>
      </c>
    </row>
    <row r="2092" ht="15.75" customHeight="1">
      <c r="A2092" s="8"/>
      <c r="B2092" s="8"/>
      <c r="C2092" s="8"/>
      <c r="D2092" s="8">
        <v>27.9026907562088</v>
      </c>
      <c r="E2092" s="9" t="s">
        <v>2101</v>
      </c>
      <c r="I2092" s="12" t="str">
        <f>IFERROR(__xludf.DUMMYFUNCTION("""COMPUTED_VALUE"""),"0xb21c45470385211eaf7feb619807de9a07d04229")</f>
        <v>0xb21c45470385211eaf7feb619807de9a07d04229</v>
      </c>
      <c r="J2092" s="11">
        <v>27.9026907562088</v>
      </c>
      <c r="K2092" s="12">
        <v>62.005979458241775</v>
      </c>
      <c r="L2092" s="13">
        <v>6.200597945824177E19</v>
      </c>
      <c r="M2092" s="9">
        <v>6.2005979458241782E18</v>
      </c>
    </row>
    <row r="2093" ht="15.75" customHeight="1">
      <c r="A2093" s="8"/>
      <c r="B2093" s="8"/>
      <c r="C2093" s="8"/>
      <c r="D2093" s="8">
        <v>27.9026907562088</v>
      </c>
      <c r="E2093" s="9" t="s">
        <v>2102</v>
      </c>
      <c r="I2093" s="12" t="str">
        <f>IFERROR(__xludf.DUMMYFUNCTION("""COMPUTED_VALUE"""),"0xb253b4c559452070d76569840d51dfc7c3075be5")</f>
        <v>0xb253b4c559452070d76569840d51dfc7c3075be5</v>
      </c>
      <c r="J2093" s="11">
        <v>103.76763549878069</v>
      </c>
      <c r="K2093" s="12">
        <v>230.59474555284598</v>
      </c>
      <c r="L2093" s="13">
        <v>2.3059474555284596E20</v>
      </c>
      <c r="M2093" s="9">
        <v>2.30594745552846E19</v>
      </c>
    </row>
    <row r="2094" ht="15.75" customHeight="1">
      <c r="A2094" s="8"/>
      <c r="B2094" s="8"/>
      <c r="C2094" s="8"/>
      <c r="D2094" s="8">
        <v>27.9026907562088</v>
      </c>
      <c r="E2094" s="9" t="s">
        <v>2103</v>
      </c>
      <c r="I2094" s="12" t="str">
        <f>IFERROR(__xludf.DUMMYFUNCTION("""COMPUTED_VALUE"""),"0xb2648dbb919249ba99564d660a5eef4a3aae2845")</f>
        <v>0xb2648dbb919249ba99564d660a5eef4a3aae2845</v>
      </c>
      <c r="J2094" s="11">
        <v>27.9026907562088</v>
      </c>
      <c r="K2094" s="12">
        <v>62.005979458241775</v>
      </c>
      <c r="L2094" s="13">
        <v>6.200597945824177E19</v>
      </c>
      <c r="M2094" s="9">
        <v>6.2005979458241782E18</v>
      </c>
    </row>
    <row r="2095" ht="15.75" customHeight="1">
      <c r="A2095" s="8"/>
      <c r="B2095" s="8"/>
      <c r="C2095" s="8"/>
      <c r="D2095" s="8">
        <v>27.9026907562088</v>
      </c>
      <c r="E2095" s="9" t="s">
        <v>2104</v>
      </c>
      <c r="I2095" s="12" t="str">
        <f>IFERROR(__xludf.DUMMYFUNCTION("""COMPUTED_VALUE"""),"0xb2876841cc4b17b591277e7e8dcc050bf88e39ed")</f>
        <v>0xb2876841cc4b17b591277e7e8dcc050bf88e39ed</v>
      </c>
      <c r="J2095" s="11">
        <v>38.4558976087268</v>
      </c>
      <c r="K2095" s="12">
        <v>85.45755024161511</v>
      </c>
      <c r="L2095" s="13">
        <v>8.54575502416151E19</v>
      </c>
      <c r="M2095" s="9">
        <v>8.5457550241615104E18</v>
      </c>
    </row>
    <row r="2096" ht="15.75" customHeight="1">
      <c r="A2096" s="8"/>
      <c r="B2096" s="8"/>
      <c r="C2096" s="8"/>
      <c r="D2096" s="8">
        <v>27.9026907562088</v>
      </c>
      <c r="E2096" s="9" t="s">
        <v>2105</v>
      </c>
      <c r="I2096" s="12" t="str">
        <f>IFERROR(__xludf.DUMMYFUNCTION("""COMPUTED_VALUE"""),"0xb2b36627af83fff76216eaec068ece65a1f3c5e8")</f>
        <v>0xb2b36627af83fff76216eaec068ece65a1f3c5e8</v>
      </c>
      <c r="J2096" s="11">
        <v>91.1199983031448</v>
      </c>
      <c r="K2096" s="12">
        <v>202.48888511809955</v>
      </c>
      <c r="L2096" s="13">
        <v>2.0248888511809955E20</v>
      </c>
      <c r="M2096" s="9">
        <v>2.0248888511809958E19</v>
      </c>
    </row>
    <row r="2097" ht="15.75" customHeight="1">
      <c r="A2097" s="8"/>
      <c r="B2097" s="8"/>
      <c r="C2097" s="8"/>
      <c r="D2097" s="8">
        <v>27.9026907562088</v>
      </c>
      <c r="E2097" s="9" t="s">
        <v>2106</v>
      </c>
      <c r="I2097" s="12" t="str">
        <f>IFERROR(__xludf.DUMMYFUNCTION("""COMPUTED_VALUE"""),"0xb2dc82e496e4e42e308bc3cf90eb558b38956847")</f>
        <v>0xb2dc82e496e4e42e308bc3cf90eb558b38956847</v>
      </c>
      <c r="J2097" s="11">
        <v>27.9026907562088</v>
      </c>
      <c r="K2097" s="12">
        <v>62.005979458241775</v>
      </c>
      <c r="L2097" s="13">
        <v>6.200597945824177E19</v>
      </c>
      <c r="M2097" s="9">
        <v>6.2005979458241782E18</v>
      </c>
    </row>
    <row r="2098" ht="15.75" customHeight="1">
      <c r="A2098" s="8"/>
      <c r="B2098" s="8"/>
      <c r="C2098" s="8"/>
      <c r="D2098" s="8">
        <v>27.2435098967092</v>
      </c>
      <c r="E2098" s="9" t="s">
        <v>2107</v>
      </c>
      <c r="I2098" s="12" t="str">
        <f>IFERROR(__xludf.DUMMYFUNCTION("""COMPUTED_VALUE"""),"0xb2ee43ead7089f3a4b1f87760b8b404ca2c92d61")</f>
        <v>0xb2ee43ead7089f3a4b1f87760b8b404ca2c92d61</v>
      </c>
      <c r="J2098" s="11">
        <v>27.2435098967092</v>
      </c>
      <c r="K2098" s="12">
        <v>60.54113310379822</v>
      </c>
      <c r="L2098" s="13">
        <v>6.0541133103798215E19</v>
      </c>
      <c r="M2098" s="9">
        <v>6.0541133103798221E18</v>
      </c>
    </row>
    <row r="2099" ht="15.75" customHeight="1">
      <c r="A2099" s="8"/>
      <c r="B2099" s="8"/>
      <c r="C2099" s="8"/>
      <c r="D2099" s="8">
        <v>27.9026907562088</v>
      </c>
      <c r="E2099" s="9" t="s">
        <v>2108</v>
      </c>
      <c r="I2099" s="12" t="str">
        <f>IFERROR(__xludf.DUMMYFUNCTION("""COMPUTED_VALUE"""),"0xb2f2d7d3fd486048127b4a88c132588e772cb206")</f>
        <v>0xb2f2d7d3fd486048127b4a88c132588e772cb206</v>
      </c>
      <c r="J2099" s="11">
        <v>27.9026907562088</v>
      </c>
      <c r="K2099" s="12">
        <v>62.005979458241775</v>
      </c>
      <c r="L2099" s="13">
        <v>6.200597945824177E19</v>
      </c>
      <c r="M2099" s="9">
        <v>6.2005979458241782E18</v>
      </c>
    </row>
    <row r="2100" ht="15.75" customHeight="1">
      <c r="A2100" s="8"/>
      <c r="B2100" s="8"/>
      <c r="C2100" s="8"/>
      <c r="D2100" s="8">
        <v>27.9026907562088</v>
      </c>
      <c r="E2100" s="9" t="s">
        <v>2109</v>
      </c>
      <c r="I2100" s="12" t="str">
        <f>IFERROR(__xludf.DUMMYFUNCTION("""COMPUTED_VALUE"""),"0xb2f572b7ba810b0c1ea7655801b532ef9a7f194c")</f>
        <v>0xb2f572b7ba810b0c1ea7655801b532ef9a7f194c</v>
      </c>
      <c r="J2100" s="11">
        <v>27.9026907562088</v>
      </c>
      <c r="K2100" s="12">
        <v>62.005979458241775</v>
      </c>
      <c r="L2100" s="13">
        <v>6.200597945824177E19</v>
      </c>
      <c r="M2100" s="9">
        <v>6.2005979458241782E18</v>
      </c>
    </row>
    <row r="2101" ht="15.75" customHeight="1">
      <c r="A2101" s="8"/>
      <c r="B2101" s="8"/>
      <c r="C2101" s="8"/>
      <c r="D2101" s="8">
        <v>27.9026907562088</v>
      </c>
      <c r="E2101" s="9" t="s">
        <v>2110</v>
      </c>
      <c r="I2101" s="12" t="str">
        <f>IFERROR(__xludf.DUMMYFUNCTION("""COMPUTED_VALUE"""),"0xb31811a8ef12fb5ac0f9df1b25d14dcc9c8a705c")</f>
        <v>0xb31811a8ef12fb5ac0f9df1b25d14dcc9c8a705c</v>
      </c>
      <c r="J2101" s="11">
        <v>91.1199983031448</v>
      </c>
      <c r="K2101" s="12">
        <v>202.48888511809955</v>
      </c>
      <c r="L2101" s="13">
        <v>2.0248888511809955E20</v>
      </c>
      <c r="M2101" s="9">
        <v>2.0248888511809958E19</v>
      </c>
    </row>
    <row r="2102" ht="15.75" customHeight="1">
      <c r="A2102" s="8"/>
      <c r="B2102" s="8"/>
      <c r="C2102" s="8"/>
      <c r="D2102" s="8">
        <v>27.9026907562088</v>
      </c>
      <c r="E2102" s="9" t="s">
        <v>2111</v>
      </c>
      <c r="I2102" s="12" t="str">
        <f>IFERROR(__xludf.DUMMYFUNCTION("""COMPUTED_VALUE"""),"0xb3217e4ad1d22d095d9c83de172edddc27b7f053")</f>
        <v>0xb3217e4ad1d22d095d9c83de172edddc27b7f053</v>
      </c>
      <c r="J2102" s="11">
        <v>27.9026907562088</v>
      </c>
      <c r="K2102" s="12">
        <v>62.005979458241775</v>
      </c>
      <c r="L2102" s="13">
        <v>6.200597945824177E19</v>
      </c>
      <c r="M2102" s="9">
        <v>6.2005979458241782E18</v>
      </c>
    </row>
    <row r="2103" ht="15.75" customHeight="1">
      <c r="A2103" s="8"/>
      <c r="B2103" s="8"/>
      <c r="C2103" s="8"/>
      <c r="D2103" s="8">
        <v>27.9026907562088</v>
      </c>
      <c r="E2103" s="9" t="s">
        <v>2112</v>
      </c>
      <c r="I2103" s="12" t="str">
        <f>IFERROR(__xludf.DUMMYFUNCTION("""COMPUTED_VALUE"""),"0xb3218d61fdda1927f761c4bfd62b131b9e638c66")</f>
        <v>0xb3218d61fdda1927f761c4bfd62b131b9e638c66</v>
      </c>
      <c r="J2103" s="11">
        <v>91.1199983031448</v>
      </c>
      <c r="K2103" s="12">
        <v>202.48888511809955</v>
      </c>
      <c r="L2103" s="13">
        <v>2.0248888511809955E20</v>
      </c>
      <c r="M2103" s="9">
        <v>2.0248888511809958E19</v>
      </c>
    </row>
    <row r="2104" ht="15.75" customHeight="1">
      <c r="A2104" s="8"/>
      <c r="B2104" s="8"/>
      <c r="C2104" s="8"/>
      <c r="D2104" s="8">
        <v>27.9026907562088</v>
      </c>
      <c r="E2104" s="9" t="s">
        <v>2113</v>
      </c>
      <c r="I2104" s="12" t="str">
        <f>IFERROR(__xludf.DUMMYFUNCTION("""COMPUTED_VALUE"""),"0xb325489f360f34026116fe7199b20764e466d7a9")</f>
        <v>0xb325489f360f34026116fe7199b20764e466d7a9</v>
      </c>
      <c r="J2104" s="11">
        <v>27.9026907562088</v>
      </c>
      <c r="K2104" s="12">
        <v>62.005979458241775</v>
      </c>
      <c r="L2104" s="13">
        <v>6.200597945824177E19</v>
      </c>
      <c r="M2104" s="9">
        <v>6.2005979458241782E18</v>
      </c>
    </row>
    <row r="2105" ht="15.75" customHeight="1">
      <c r="A2105" s="8"/>
      <c r="B2105" s="8"/>
      <c r="C2105" s="8"/>
      <c r="D2105" s="8">
        <v>27.9026907562088</v>
      </c>
      <c r="E2105" s="9" t="s">
        <v>2114</v>
      </c>
      <c r="I2105" s="12" t="str">
        <f>IFERROR(__xludf.DUMMYFUNCTION("""COMPUTED_VALUE"""),"0xb382351cdd10502133dc1d31c22f9f5db0265e57")</f>
        <v>0xb382351cdd10502133dc1d31c22f9f5db0265e57</v>
      </c>
      <c r="J2105" s="11">
        <v>27.9026907562088</v>
      </c>
      <c r="K2105" s="12">
        <v>62.005979458241775</v>
      </c>
      <c r="L2105" s="13">
        <v>6.200597945824177E19</v>
      </c>
      <c r="M2105" s="9">
        <v>6.2005979458241782E18</v>
      </c>
    </row>
    <row r="2106" ht="15.75" customHeight="1">
      <c r="A2106" s="8"/>
      <c r="B2106" s="8"/>
      <c r="C2106" s="8"/>
      <c r="D2106" s="8">
        <v>27.9026907562088</v>
      </c>
      <c r="E2106" s="9" t="s">
        <v>2115</v>
      </c>
      <c r="I2106" s="12" t="str">
        <f>IFERROR(__xludf.DUMMYFUNCTION("""COMPUTED_VALUE"""),"0xb38400beb7754027e68bafd4b4204accce133d26")</f>
        <v>0xb38400beb7754027e68bafd4b4204accce133d26</v>
      </c>
      <c r="J2106" s="11">
        <v>27.9026907562088</v>
      </c>
      <c r="K2106" s="12">
        <v>62.005979458241775</v>
      </c>
      <c r="L2106" s="13">
        <v>6.200597945824177E19</v>
      </c>
      <c r="M2106" s="9">
        <v>6.2005979458241782E18</v>
      </c>
    </row>
    <row r="2107" ht="15.75" customHeight="1">
      <c r="A2107" s="8"/>
      <c r="B2107" s="8"/>
      <c r="C2107" s="8"/>
      <c r="D2107" s="8">
        <v>24.6330938468422</v>
      </c>
      <c r="E2107" s="9" t="s">
        <v>2116</v>
      </c>
      <c r="I2107" s="12" t="str">
        <f>IFERROR(__xludf.DUMMYFUNCTION("""COMPUTED_VALUE"""),"0xb38bfe8f08a059e172a34a2e916379c673c36420")</f>
        <v>0xb38bfe8f08a059e172a34a2e916379c673c36420</v>
      </c>
      <c r="J2107" s="11">
        <v>24.6330938468422</v>
      </c>
      <c r="K2107" s="12">
        <v>54.74020854853822</v>
      </c>
      <c r="L2107" s="13">
        <v>5.474020854853822E19</v>
      </c>
      <c r="M2107" s="9">
        <v>5.4740208548538225E18</v>
      </c>
    </row>
    <row r="2108" ht="15.75" customHeight="1">
      <c r="A2108" s="8"/>
      <c r="B2108" s="8"/>
      <c r="C2108" s="8"/>
      <c r="D2108" s="8">
        <v>27.9026907562088</v>
      </c>
      <c r="E2108" s="9" t="s">
        <v>2117</v>
      </c>
      <c r="I2108" s="12" t="str">
        <f>IFERROR(__xludf.DUMMYFUNCTION("""COMPUTED_VALUE"""),"0xb39ccc6262b30cc472392a5ccfc9416cdf24b13d")</f>
        <v>0xb39ccc6262b30cc472392a5ccfc9416cdf24b13d</v>
      </c>
      <c r="J2108" s="11">
        <v>27.9026907562088</v>
      </c>
      <c r="K2108" s="12">
        <v>62.005979458241775</v>
      </c>
      <c r="L2108" s="13">
        <v>6.200597945824177E19</v>
      </c>
      <c r="M2108" s="9">
        <v>6.2005979458241782E18</v>
      </c>
    </row>
    <row r="2109" ht="15.75" customHeight="1">
      <c r="A2109" s="8"/>
      <c r="B2109" s="8"/>
      <c r="C2109" s="8"/>
      <c r="D2109" s="8">
        <v>6.67883090615347</v>
      </c>
      <c r="E2109" s="9" t="s">
        <v>2118</v>
      </c>
      <c r="I2109" s="12" t="str">
        <f>IFERROR(__xludf.DUMMYFUNCTION("""COMPUTED_VALUE"""),"0xb39ee33b9c93d58285178b5a1e237a1151ea188a")</f>
        <v>0xb39ee33b9c93d58285178b5a1e237a1151ea188a</v>
      </c>
      <c r="J2109" s="11">
        <v>6.67883090615347</v>
      </c>
      <c r="K2109" s="12">
        <v>14.841846458118821</v>
      </c>
      <c r="L2109" s="13">
        <v>1.4841846458118822E19</v>
      </c>
      <c r="M2109" s="9">
        <v>1.48418464581188224E18</v>
      </c>
    </row>
    <row r="2110" ht="15.75" customHeight="1">
      <c r="A2110" s="8"/>
      <c r="B2110" s="8"/>
      <c r="C2110" s="8"/>
      <c r="D2110" s="8">
        <v>27.9026907562088</v>
      </c>
      <c r="E2110" s="9" t="s">
        <v>2119</v>
      </c>
      <c r="I2110" s="12" t="str">
        <f>IFERROR(__xludf.DUMMYFUNCTION("""COMPUTED_VALUE"""),"0xb3a00c3ca08a1bd29341519a4f1eaedbba82ca39")</f>
        <v>0xb3a00c3ca08a1bd29341519a4f1eaedbba82ca39</v>
      </c>
      <c r="J2110" s="11">
        <v>93.09433119111713</v>
      </c>
      <c r="K2110" s="12">
        <v>206.87629153581585</v>
      </c>
      <c r="L2110" s="13">
        <v>2.0687629153581587E20</v>
      </c>
      <c r="M2110" s="9">
        <v>2.068762915358159E19</v>
      </c>
    </row>
    <row r="2111" ht="15.75" customHeight="1">
      <c r="A2111" s="8"/>
      <c r="B2111" s="8"/>
      <c r="C2111" s="8"/>
      <c r="D2111" s="8">
        <v>27.9026907562088</v>
      </c>
      <c r="E2111" s="9" t="s">
        <v>2120</v>
      </c>
      <c r="I2111" s="12" t="str">
        <f>IFERROR(__xludf.DUMMYFUNCTION("""COMPUTED_VALUE"""),"0xb3ac5474ac95e004c02c92d300d1c3f98d3b5983")</f>
        <v>0xb3ac5474ac95e004c02c92d300d1c3f98d3b5983</v>
      </c>
      <c r="J2111" s="11">
        <v>188.409515192652</v>
      </c>
      <c r="K2111" s="12">
        <v>418.6878115392267</v>
      </c>
      <c r="L2111" s="13">
        <v>4.1868781153922666E20</v>
      </c>
      <c r="M2111" s="9">
        <v>4.186878115392267E19</v>
      </c>
    </row>
    <row r="2112" ht="15.75" customHeight="1">
      <c r="A2112" s="8"/>
      <c r="B2112" s="8"/>
      <c r="C2112" s="8"/>
      <c r="D2112" s="8">
        <v>27.9026907562088</v>
      </c>
      <c r="E2112" s="9" t="s">
        <v>2121</v>
      </c>
      <c r="I2112" s="12" t="str">
        <f>IFERROR(__xludf.DUMMYFUNCTION("""COMPUTED_VALUE"""),"0xb3ca8098c6d12a6e56120bee942d873be584939a")</f>
        <v>0xb3ca8098c6d12a6e56120bee942d873be584939a</v>
      </c>
      <c r="J2112" s="11">
        <v>93.06578864093494</v>
      </c>
      <c r="K2112" s="12">
        <v>206.8128636465221</v>
      </c>
      <c r="L2112" s="13">
        <v>2.0681286364652208E20</v>
      </c>
      <c r="M2112" s="9">
        <v>2.068128636465221E19</v>
      </c>
    </row>
    <row r="2113" ht="15.75" customHeight="1">
      <c r="A2113" s="8"/>
      <c r="B2113" s="8"/>
      <c r="C2113" s="8"/>
      <c r="D2113" s="8">
        <v>25.8660504884186</v>
      </c>
      <c r="E2113" s="9" t="s">
        <v>2122</v>
      </c>
      <c r="I2113" s="12" t="str">
        <f>IFERROR(__xludf.DUMMYFUNCTION("""COMPUTED_VALUE"""),"0xb3d3c83ad9245ac1f4b9690a862f580cb7f4c165")</f>
        <v>0xb3d3c83ad9245ac1f4b9690a862f580cb7f4c165</v>
      </c>
      <c r="J2113" s="11">
        <v>25.8660504884186</v>
      </c>
      <c r="K2113" s="12">
        <v>57.48011219648578</v>
      </c>
      <c r="L2113" s="13">
        <v>5.7480112196485775E19</v>
      </c>
      <c r="M2113" s="9">
        <v>5.7480112196485775E18</v>
      </c>
    </row>
    <row r="2114" ht="15.75" customHeight="1">
      <c r="A2114" s="8"/>
      <c r="B2114" s="8"/>
      <c r="C2114" s="8"/>
      <c r="D2114" s="8">
        <v>27.9026907562088</v>
      </c>
      <c r="E2114" s="9" t="s">
        <v>2123</v>
      </c>
      <c r="I2114" s="12" t="str">
        <f>IFERROR(__xludf.DUMMYFUNCTION("""COMPUTED_VALUE"""),"0xb3efb1d334f9a02be2725632cf2f279ca79427fe")</f>
        <v>0xb3efb1d334f9a02be2725632cf2f279ca79427fe</v>
      </c>
      <c r="J2114" s="11">
        <v>39.7875445750327</v>
      </c>
      <c r="K2114" s="12">
        <v>88.41676572229488</v>
      </c>
      <c r="L2114" s="13">
        <v>8.841676572229488E19</v>
      </c>
      <c r="M2114" s="9">
        <v>8.8416765722294886E18</v>
      </c>
    </row>
    <row r="2115" ht="15.75" customHeight="1">
      <c r="A2115" s="8"/>
      <c r="B2115" s="8"/>
      <c r="C2115" s="8"/>
      <c r="D2115" s="8">
        <v>27.9026907562088</v>
      </c>
      <c r="E2115" s="9" t="s">
        <v>2124</v>
      </c>
      <c r="I2115" s="12" t="str">
        <f>IFERROR(__xludf.DUMMYFUNCTION("""COMPUTED_VALUE"""),"0xb415bd9de673a5a43c31d9f90a395af091ad426d")</f>
        <v>0xb415bd9de673a5a43c31d9f90a395af091ad426d</v>
      </c>
      <c r="J2115" s="11">
        <v>157.2768697880097</v>
      </c>
      <c r="K2115" s="12">
        <v>349.504155084466</v>
      </c>
      <c r="L2115" s="13">
        <v>3.4950415508446596E20</v>
      </c>
      <c r="M2115" s="9">
        <v>3.4950415508446597E19</v>
      </c>
    </row>
    <row r="2116" ht="15.75" customHeight="1">
      <c r="A2116" s="8"/>
      <c r="B2116" s="8"/>
      <c r="C2116" s="8"/>
      <c r="D2116" s="8">
        <v>13.7472119869883</v>
      </c>
      <c r="E2116" s="9" t="s">
        <v>2125</v>
      </c>
      <c r="I2116" s="12" t="str">
        <f>IFERROR(__xludf.DUMMYFUNCTION("""COMPUTED_VALUE"""),"0xb419b4762ab018811fe568801c2d914c61f2ab3e")</f>
        <v>0xb419b4762ab018811fe568801c2d914c61f2ab3e</v>
      </c>
      <c r="J2116" s="11">
        <v>13.7472119869883</v>
      </c>
      <c r="K2116" s="12">
        <v>30.54935997108511</v>
      </c>
      <c r="L2116" s="13">
        <v>3.054935997108511E19</v>
      </c>
      <c r="M2116" s="9">
        <v>3.0549359971085112E18</v>
      </c>
    </row>
    <row r="2117" ht="15.75" customHeight="1">
      <c r="A2117" s="8"/>
      <c r="B2117" s="8"/>
      <c r="C2117" s="8"/>
      <c r="D2117" s="8">
        <v>27.9026907562088</v>
      </c>
      <c r="E2117" s="9" t="s">
        <v>2126</v>
      </c>
      <c r="I2117" s="12" t="str">
        <f>IFERROR(__xludf.DUMMYFUNCTION("""COMPUTED_VALUE"""),"0xb4260ac0ddd34907983ce5bbd698e2b0134213b4")</f>
        <v>0xb4260ac0ddd34907983ce5bbd698e2b0134213b4</v>
      </c>
      <c r="J2117" s="11">
        <v>27.9026907562088</v>
      </c>
      <c r="K2117" s="12">
        <v>62.005979458241775</v>
      </c>
      <c r="L2117" s="13">
        <v>6.200597945824177E19</v>
      </c>
      <c r="M2117" s="9">
        <v>6.2005979458241782E18</v>
      </c>
    </row>
    <row r="2118" ht="15.75" customHeight="1">
      <c r="A2118" s="8"/>
      <c r="B2118" s="8"/>
      <c r="C2118" s="8"/>
      <c r="D2118" s="8">
        <v>27.9026907562088</v>
      </c>
      <c r="E2118" s="9" t="s">
        <v>2127</v>
      </c>
      <c r="I2118" s="12" t="str">
        <f>IFERROR(__xludf.DUMMYFUNCTION("""COMPUTED_VALUE"""),"0xb4305e55d70301d92a75d8536c41ffdc7c16fa8c")</f>
        <v>0xb4305e55d70301d92a75d8536c41ffdc7c16fa8c</v>
      </c>
      <c r="J2118" s="11">
        <v>27.9026907562088</v>
      </c>
      <c r="K2118" s="12">
        <v>62.005979458241775</v>
      </c>
      <c r="L2118" s="13">
        <v>6.200597945824177E19</v>
      </c>
      <c r="M2118" s="9">
        <v>6.2005979458241782E18</v>
      </c>
    </row>
    <row r="2119" ht="15.75" customHeight="1">
      <c r="A2119" s="8"/>
      <c r="B2119" s="8"/>
      <c r="C2119" s="8"/>
      <c r="D2119" s="8">
        <v>27.9026907562088</v>
      </c>
      <c r="E2119" s="9" t="s">
        <v>2128</v>
      </c>
      <c r="I2119" s="12" t="str">
        <f>IFERROR(__xludf.DUMMYFUNCTION("""COMPUTED_VALUE"""),"0xb459448246ac62bbb09695de30f4250a6fc05a55")</f>
        <v>0xb459448246ac62bbb09695de30f4250a6fc05a55</v>
      </c>
      <c r="J2119" s="11">
        <v>27.9026907562088</v>
      </c>
      <c r="K2119" s="12">
        <v>62.005979458241775</v>
      </c>
      <c r="L2119" s="13">
        <v>6.200597945824177E19</v>
      </c>
      <c r="M2119" s="9">
        <v>6.2005979458241782E18</v>
      </c>
    </row>
    <row r="2120" ht="15.75" customHeight="1">
      <c r="A2120" s="8"/>
      <c r="B2120" s="8"/>
      <c r="C2120" s="8"/>
      <c r="D2120" s="8">
        <v>27.9026907562088</v>
      </c>
      <c r="E2120" s="9" t="s">
        <v>2129</v>
      </c>
      <c r="I2120" s="12" t="str">
        <f>IFERROR(__xludf.DUMMYFUNCTION("""COMPUTED_VALUE"""),"0xb475a421dedfd98e7d6859c88a4349ae489384c3")</f>
        <v>0xb475a421dedfd98e7d6859c88a4349ae489384c3</v>
      </c>
      <c r="J2120" s="11">
        <v>27.9026907562088</v>
      </c>
      <c r="K2120" s="12">
        <v>62.005979458241775</v>
      </c>
      <c r="L2120" s="13">
        <v>6.200597945824177E19</v>
      </c>
      <c r="M2120" s="9">
        <v>6.2005979458241782E18</v>
      </c>
    </row>
    <row r="2121" ht="15.75" customHeight="1">
      <c r="A2121" s="8"/>
      <c r="B2121" s="8"/>
      <c r="C2121" s="8"/>
      <c r="D2121" s="8">
        <v>27.9026907562088</v>
      </c>
      <c r="E2121" s="9" t="s">
        <v>2130</v>
      </c>
      <c r="I2121" s="12" t="str">
        <f>IFERROR(__xludf.DUMMYFUNCTION("""COMPUTED_VALUE"""),"0xb48ef1ab1eb5b487c35ac6dc8a3170bd718446bf")</f>
        <v>0xb48ef1ab1eb5b487c35ac6dc8a3170bd718446bf</v>
      </c>
      <c r="J2121" s="11">
        <v>91.1199983031448</v>
      </c>
      <c r="K2121" s="12">
        <v>202.48888511809955</v>
      </c>
      <c r="L2121" s="13">
        <v>2.0248888511809955E20</v>
      </c>
      <c r="M2121" s="9">
        <v>2.0248888511809958E19</v>
      </c>
    </row>
    <row r="2122" ht="15.75" customHeight="1">
      <c r="A2122" s="8"/>
      <c r="B2122" s="8"/>
      <c r="C2122" s="8"/>
      <c r="D2122" s="8">
        <v>27.9026907562088</v>
      </c>
      <c r="E2122" s="9" t="s">
        <v>2131</v>
      </c>
      <c r="I2122" s="12" t="str">
        <f>IFERROR(__xludf.DUMMYFUNCTION("""COMPUTED_VALUE"""),"0xb4c2c55cf0dbb77d58d81faa37f21dce55300c4f")</f>
        <v>0xb4c2c55cf0dbb77d58d81faa37f21dce55300c4f</v>
      </c>
      <c r="J2122" s="11">
        <v>27.9026907562088</v>
      </c>
      <c r="K2122" s="12">
        <v>62.005979458241775</v>
      </c>
      <c r="L2122" s="13">
        <v>6.200597945824177E19</v>
      </c>
      <c r="M2122" s="9">
        <v>6.2005979458241782E18</v>
      </c>
    </row>
    <row r="2123" ht="15.75" customHeight="1">
      <c r="A2123" s="8"/>
      <c r="B2123" s="8"/>
      <c r="C2123" s="8"/>
      <c r="D2123" s="8">
        <v>27.3185241406594</v>
      </c>
      <c r="E2123" s="9" t="s">
        <v>2132</v>
      </c>
      <c r="I2123" s="12" t="str">
        <f>IFERROR(__xludf.DUMMYFUNCTION("""COMPUTED_VALUE"""),"0xb4c530e1cd11f36183281778df1a4bdf664d9c13")</f>
        <v>0xb4c530e1cd11f36183281778df1a4bdf664d9c13</v>
      </c>
      <c r="J2123" s="11">
        <v>27.3185241406594</v>
      </c>
      <c r="K2123" s="12">
        <v>60.70783142368755</v>
      </c>
      <c r="L2123" s="13">
        <v>6.070783142368755E19</v>
      </c>
      <c r="M2123" s="9">
        <v>6.0707831423687557E18</v>
      </c>
    </row>
    <row r="2124" ht="15.75" customHeight="1">
      <c r="A2124" s="8"/>
      <c r="B2124" s="8"/>
      <c r="C2124" s="8"/>
      <c r="D2124" s="8">
        <v>27.9026907562088</v>
      </c>
      <c r="E2124" s="9" t="s">
        <v>2133</v>
      </c>
      <c r="I2124" s="12" t="str">
        <f>IFERROR(__xludf.DUMMYFUNCTION("""COMPUTED_VALUE"""),"0xb4dc234b62046b41ffbe9f622f219804dd23a6fc")</f>
        <v>0xb4dc234b62046b41ffbe9f622f219804dd23a6fc</v>
      </c>
      <c r="J2124" s="11">
        <v>27.9026907562088</v>
      </c>
      <c r="K2124" s="12">
        <v>62.005979458241775</v>
      </c>
      <c r="L2124" s="13">
        <v>6.200597945824177E19</v>
      </c>
      <c r="M2124" s="9">
        <v>6.2005979458241782E18</v>
      </c>
    </row>
    <row r="2125" ht="15.75" customHeight="1">
      <c r="A2125" s="8"/>
      <c r="B2125" s="8"/>
      <c r="C2125" s="8"/>
      <c r="D2125" s="8">
        <v>27.9026907562088</v>
      </c>
      <c r="E2125" s="9" t="s">
        <v>2134</v>
      </c>
      <c r="I2125" s="12" t="str">
        <f>IFERROR(__xludf.DUMMYFUNCTION("""COMPUTED_VALUE"""),"0xb4ec56717bb2097bad4e5ee636655de30c890480")</f>
        <v>0xb4ec56717bb2097bad4e5ee636655de30c890480</v>
      </c>
      <c r="J2125" s="11">
        <v>91.1199983031448</v>
      </c>
      <c r="K2125" s="12">
        <v>202.48888511809955</v>
      </c>
      <c r="L2125" s="13">
        <v>2.0248888511809955E20</v>
      </c>
      <c r="M2125" s="9">
        <v>2.0248888511809958E19</v>
      </c>
    </row>
    <row r="2126" ht="15.75" customHeight="1">
      <c r="A2126" s="8"/>
      <c r="B2126" s="8"/>
      <c r="C2126" s="8"/>
      <c r="D2126" s="8">
        <v>27.9026907562088</v>
      </c>
      <c r="E2126" s="9" t="s">
        <v>2135</v>
      </c>
      <c r="I2126" s="12" t="str">
        <f>IFERROR(__xludf.DUMMYFUNCTION("""COMPUTED_VALUE"""),"0xb4f11fd6f9a4c311a9eec2dc48714547edb0853d")</f>
        <v>0xb4f11fd6f9a4c311a9eec2dc48714547edb0853d</v>
      </c>
      <c r="J2126" s="11">
        <v>27.9026907562088</v>
      </c>
      <c r="K2126" s="12">
        <v>62.005979458241775</v>
      </c>
      <c r="L2126" s="13">
        <v>6.200597945824177E19</v>
      </c>
      <c r="M2126" s="9">
        <v>6.2005979458241782E18</v>
      </c>
    </row>
    <row r="2127" ht="15.75" customHeight="1">
      <c r="A2127" s="8"/>
      <c r="B2127" s="8"/>
      <c r="C2127" s="8"/>
      <c r="D2127" s="8">
        <v>27.9026907562088</v>
      </c>
      <c r="E2127" s="9" t="s">
        <v>2136</v>
      </c>
      <c r="I2127" s="12" t="str">
        <f>IFERROR(__xludf.DUMMYFUNCTION("""COMPUTED_VALUE"""),"0xb5116879ee7eb0a495687a1047f91c3d08cb5a4f")</f>
        <v>0xb5116879ee7eb0a495687a1047f91c3d08cb5a4f</v>
      </c>
      <c r="J2127" s="11">
        <v>27.9026907562088</v>
      </c>
      <c r="K2127" s="12">
        <v>62.005979458241775</v>
      </c>
      <c r="L2127" s="13">
        <v>6.200597945824177E19</v>
      </c>
      <c r="M2127" s="9">
        <v>6.2005979458241782E18</v>
      </c>
    </row>
    <row r="2128" ht="15.75" customHeight="1">
      <c r="A2128" s="8"/>
      <c r="B2128" s="8"/>
      <c r="C2128" s="8"/>
      <c r="D2128" s="8">
        <v>27.9026907562088</v>
      </c>
      <c r="E2128" s="9" t="s">
        <v>2137</v>
      </c>
      <c r="I2128" s="12" t="str">
        <f>IFERROR(__xludf.DUMMYFUNCTION("""COMPUTED_VALUE"""),"0xb521ba53dd76e6a503425d973464f6329213d2c6")</f>
        <v>0xb521ba53dd76e6a503425d973464f6329213d2c6</v>
      </c>
      <c r="J2128" s="11">
        <v>91.1199983031448</v>
      </c>
      <c r="K2128" s="12">
        <v>202.48888511809955</v>
      </c>
      <c r="L2128" s="13">
        <v>2.0248888511809955E20</v>
      </c>
      <c r="M2128" s="9">
        <v>2.0248888511809958E19</v>
      </c>
    </row>
    <row r="2129" ht="15.75" customHeight="1">
      <c r="A2129" s="8"/>
      <c r="B2129" s="8"/>
      <c r="C2129" s="8"/>
      <c r="D2129" s="8">
        <v>27.9026907562088</v>
      </c>
      <c r="E2129" s="9" t="s">
        <v>2138</v>
      </c>
      <c r="I2129" s="12" t="str">
        <f>IFERROR(__xludf.DUMMYFUNCTION("""COMPUTED_VALUE"""),"0xb52c1fc731089aa81e9b63df97815fc59a430c06")</f>
        <v>0xb52c1fc731089aa81e9b63df97815fc59a430c06</v>
      </c>
      <c r="J2129" s="11">
        <v>91.1199983031448</v>
      </c>
      <c r="K2129" s="12">
        <v>202.48888511809955</v>
      </c>
      <c r="L2129" s="13">
        <v>2.0248888511809955E20</v>
      </c>
      <c r="M2129" s="9">
        <v>2.0248888511809958E19</v>
      </c>
    </row>
    <row r="2130" ht="15.75" customHeight="1">
      <c r="A2130" s="8"/>
      <c r="B2130" s="8"/>
      <c r="C2130" s="8"/>
      <c r="D2130" s="8">
        <v>27.9026907562088</v>
      </c>
      <c r="E2130" s="9" t="s">
        <v>2139</v>
      </c>
      <c r="I2130" s="12" t="str">
        <f>IFERROR(__xludf.DUMMYFUNCTION("""COMPUTED_VALUE"""),"0xb553d9b5e2a8092fe039369826b66e7fab6ac789")</f>
        <v>0xb553d9b5e2a8092fe039369826b66e7fab6ac789</v>
      </c>
      <c r="J2130" s="11">
        <v>27.9026907562088</v>
      </c>
      <c r="K2130" s="12">
        <v>62.005979458241775</v>
      </c>
      <c r="L2130" s="13">
        <v>6.200597945824177E19</v>
      </c>
      <c r="M2130" s="9">
        <v>6.2005979458241782E18</v>
      </c>
    </row>
    <row r="2131" ht="15.75" customHeight="1">
      <c r="A2131" s="8"/>
      <c r="B2131" s="8"/>
      <c r="C2131" s="8"/>
      <c r="D2131" s="8">
        <v>27.9026907562088</v>
      </c>
      <c r="E2131" s="9" t="s">
        <v>2140</v>
      </c>
      <c r="I2131" s="12" t="str">
        <f>IFERROR(__xludf.DUMMYFUNCTION("""COMPUTED_VALUE"""),"0xb55788b9a6671781d72d8e294e7d07a61cda217d")</f>
        <v>0xb55788b9a6671781d72d8e294e7d07a61cda217d</v>
      </c>
      <c r="J2131" s="11">
        <v>27.9026907562088</v>
      </c>
      <c r="K2131" s="12">
        <v>62.005979458241775</v>
      </c>
      <c r="L2131" s="13">
        <v>6.200597945824177E19</v>
      </c>
      <c r="M2131" s="9">
        <v>6.2005979458241782E18</v>
      </c>
    </row>
    <row r="2132" ht="15.75" customHeight="1">
      <c r="A2132" s="8"/>
      <c r="B2132" s="8"/>
      <c r="C2132" s="8"/>
      <c r="D2132" s="8">
        <v>27.9026907562088</v>
      </c>
      <c r="E2132" s="9" t="s">
        <v>2141</v>
      </c>
      <c r="I2132" s="12" t="str">
        <f>IFERROR(__xludf.DUMMYFUNCTION("""COMPUTED_VALUE"""),"0xb55fe5fa41d6a4b1b9b9c95747a22300c665da99")</f>
        <v>0xb55fe5fa41d6a4b1b9b9c95747a22300c665da99</v>
      </c>
      <c r="J2132" s="11">
        <v>91.1199983031448</v>
      </c>
      <c r="K2132" s="12">
        <v>202.48888511809955</v>
      </c>
      <c r="L2132" s="13">
        <v>2.0248888511809955E20</v>
      </c>
      <c r="M2132" s="9">
        <v>2.0248888511809958E19</v>
      </c>
    </row>
    <row r="2133" ht="15.75" customHeight="1">
      <c r="A2133" s="8"/>
      <c r="B2133" s="8"/>
      <c r="C2133" s="8"/>
      <c r="D2133" s="8">
        <v>27.9026907562088</v>
      </c>
      <c r="E2133" s="9" t="s">
        <v>2142</v>
      </c>
      <c r="I2133" s="12" t="str">
        <f>IFERROR(__xludf.DUMMYFUNCTION("""COMPUTED_VALUE"""),"0xb56b1a652336588e315b4bbae44cab68e745bdaf")</f>
        <v>0xb56b1a652336588e315b4bbae44cab68e745bdaf</v>
      </c>
      <c r="J2133" s="11">
        <v>27.9026907562088</v>
      </c>
      <c r="K2133" s="12">
        <v>62.005979458241775</v>
      </c>
      <c r="L2133" s="13">
        <v>6.200597945824177E19</v>
      </c>
      <c r="M2133" s="9">
        <v>6.2005979458241782E18</v>
      </c>
    </row>
    <row r="2134" ht="15.75" customHeight="1">
      <c r="A2134" s="8"/>
      <c r="B2134" s="8"/>
      <c r="C2134" s="8"/>
      <c r="D2134" s="8">
        <v>27.9026907562088</v>
      </c>
      <c r="E2134" s="9" t="s">
        <v>2143</v>
      </c>
      <c r="I2134" s="12" t="str">
        <f>IFERROR(__xludf.DUMMYFUNCTION("""COMPUTED_VALUE"""),"0xb577dfca930c6639d0a18bff708d2f65ed24ff0e")</f>
        <v>0xb577dfca930c6639d0a18bff708d2f65ed24ff0e</v>
      </c>
      <c r="J2134" s="11">
        <v>98.93507061584512</v>
      </c>
      <c r="K2134" s="12">
        <v>219.8557124796558</v>
      </c>
      <c r="L2134" s="13">
        <v>2.1985571247965582E20</v>
      </c>
      <c r="M2134" s="9">
        <v>2.198557124796558E19</v>
      </c>
    </row>
    <row r="2135" ht="15.75" customHeight="1">
      <c r="A2135" s="8"/>
      <c r="B2135" s="8"/>
      <c r="C2135" s="8"/>
      <c r="D2135" s="8">
        <v>27.9026907562088</v>
      </c>
      <c r="E2135" s="9" t="s">
        <v>2144</v>
      </c>
      <c r="I2135" s="12" t="str">
        <f>IFERROR(__xludf.DUMMYFUNCTION("""COMPUTED_VALUE"""),"0xb57e3527a752c311e9674aaf1266415e50616def")</f>
        <v>0xb57e3527a752c311e9674aaf1266415e50616def</v>
      </c>
      <c r="J2135" s="11">
        <v>27.9026907562088</v>
      </c>
      <c r="K2135" s="12">
        <v>62.005979458241775</v>
      </c>
      <c r="L2135" s="13">
        <v>6.200597945824177E19</v>
      </c>
      <c r="M2135" s="9">
        <v>6.2005979458241782E18</v>
      </c>
    </row>
    <row r="2136" ht="15.75" customHeight="1">
      <c r="A2136" s="8"/>
      <c r="B2136" s="8"/>
      <c r="C2136" s="8"/>
      <c r="D2136" s="8">
        <v>27.9026907562088</v>
      </c>
      <c r="E2136" s="9" t="s">
        <v>2145</v>
      </c>
      <c r="I2136" s="12" t="str">
        <f>IFERROR(__xludf.DUMMYFUNCTION("""COMPUTED_VALUE"""),"0xb5f278cc7c6dcd58c727b438a6457ebb267685d4")</f>
        <v>0xb5f278cc7c6dcd58c727b438a6457ebb267685d4</v>
      </c>
      <c r="J2136" s="11">
        <v>27.9026907562088</v>
      </c>
      <c r="K2136" s="12">
        <v>62.005979458241775</v>
      </c>
      <c r="L2136" s="13">
        <v>6.200597945824177E19</v>
      </c>
      <c r="M2136" s="9">
        <v>6.2005979458241782E18</v>
      </c>
    </row>
    <row r="2137" ht="15.75" customHeight="1">
      <c r="A2137" s="8"/>
      <c r="B2137" s="8"/>
      <c r="C2137" s="8"/>
      <c r="D2137" s="8">
        <v>27.9026907562088</v>
      </c>
      <c r="E2137" s="9" t="s">
        <v>2146</v>
      </c>
      <c r="I2137" s="12" t="str">
        <f>IFERROR(__xludf.DUMMYFUNCTION("""COMPUTED_VALUE"""),"0xb621a1621fa3b561ea5af683888d0dcf93edcf55")</f>
        <v>0xb621a1621fa3b561ea5af683888d0dcf93edcf55</v>
      </c>
      <c r="J2137" s="11">
        <v>27.9026907562088</v>
      </c>
      <c r="K2137" s="12">
        <v>62.005979458241775</v>
      </c>
      <c r="L2137" s="13">
        <v>6.200597945824177E19</v>
      </c>
      <c r="M2137" s="9">
        <v>6.2005979458241782E18</v>
      </c>
    </row>
    <row r="2138" ht="15.75" customHeight="1">
      <c r="A2138" s="8"/>
      <c r="B2138" s="8"/>
      <c r="C2138" s="8"/>
      <c r="D2138" s="8">
        <v>26.6124542876999</v>
      </c>
      <c r="E2138" s="9" t="s">
        <v>2147</v>
      </c>
      <c r="I2138" s="12" t="str">
        <f>IFERROR(__xludf.DUMMYFUNCTION("""COMPUTED_VALUE"""),"0xb623c9beee1998d90284d4a98da3ff8140a13754")</f>
        <v>0xb623c9beee1998d90284d4a98da3ff8140a13754</v>
      </c>
      <c r="J2138" s="11">
        <v>26.6124542876999</v>
      </c>
      <c r="K2138" s="12">
        <v>59.13878730599978</v>
      </c>
      <c r="L2138" s="13">
        <v>5.913878730599978E19</v>
      </c>
      <c r="M2138" s="9">
        <v>5.913878730599978E18</v>
      </c>
    </row>
    <row r="2139" ht="15.75" customHeight="1">
      <c r="A2139" s="8"/>
      <c r="B2139" s="8"/>
      <c r="C2139" s="8"/>
      <c r="D2139" s="8">
        <v>27.9026907562088</v>
      </c>
      <c r="E2139" s="9" t="s">
        <v>2148</v>
      </c>
      <c r="I2139" s="12" t="str">
        <f>IFERROR(__xludf.DUMMYFUNCTION("""COMPUTED_VALUE"""),"0xb6395525819a4a3d74be262d1a9d0c7adfadac00")</f>
        <v>0xb6395525819a4a3d74be262d1a9d0c7adfadac00</v>
      </c>
      <c r="J2139" s="11">
        <v>91.1199983031448</v>
      </c>
      <c r="K2139" s="12">
        <v>202.48888511809955</v>
      </c>
      <c r="L2139" s="13">
        <v>2.0248888511809955E20</v>
      </c>
      <c r="M2139" s="9">
        <v>2.0248888511809958E19</v>
      </c>
    </row>
    <row r="2140" ht="15.75" customHeight="1">
      <c r="A2140" s="8"/>
      <c r="B2140" s="8"/>
      <c r="C2140" s="8"/>
      <c r="D2140" s="8">
        <v>27.9026907562088</v>
      </c>
      <c r="E2140" s="9" t="s">
        <v>2149</v>
      </c>
      <c r="I2140" s="12" t="str">
        <f>IFERROR(__xludf.DUMMYFUNCTION("""COMPUTED_VALUE"""),"0xb63fb1ff1917172c436e9ac7d9086b51c7287a15")</f>
        <v>0xb63fb1ff1917172c436e9ac7d9086b51c7287a15</v>
      </c>
      <c r="J2140" s="11">
        <v>27.9026907562088</v>
      </c>
      <c r="K2140" s="12">
        <v>62.005979458241775</v>
      </c>
      <c r="L2140" s="13">
        <v>6.200597945824177E19</v>
      </c>
      <c r="M2140" s="9">
        <v>6.2005979458241782E18</v>
      </c>
    </row>
    <row r="2141" ht="15.75" customHeight="1">
      <c r="A2141" s="8"/>
      <c r="B2141" s="8"/>
      <c r="C2141" s="8"/>
      <c r="D2141" s="8">
        <v>27.9026907562088</v>
      </c>
      <c r="E2141" s="9" t="s">
        <v>2150</v>
      </c>
      <c r="I2141" s="12" t="str">
        <f>IFERROR(__xludf.DUMMYFUNCTION("""COMPUTED_VALUE"""),"0xb658acc06762cf26e47e4e2776b1855cf1554938")</f>
        <v>0xb658acc06762cf26e47e4e2776b1855cf1554938</v>
      </c>
      <c r="J2141" s="11">
        <v>91.15457113448535</v>
      </c>
      <c r="K2141" s="12">
        <v>202.56571363218967</v>
      </c>
      <c r="L2141" s="13">
        <v>2.0256571363218968E20</v>
      </c>
      <c r="M2141" s="9">
        <v>2.025657136321897E19</v>
      </c>
    </row>
    <row r="2142" ht="15.75" customHeight="1">
      <c r="A2142" s="8"/>
      <c r="B2142" s="8"/>
      <c r="C2142" s="8"/>
      <c r="D2142" s="8">
        <v>14.134963956552</v>
      </c>
      <c r="E2142" s="9" t="s">
        <v>2151</v>
      </c>
      <c r="I2142" s="12" t="str">
        <f>IFERROR(__xludf.DUMMYFUNCTION("""COMPUTED_VALUE"""),"0xb65f9f9e4ce74e723a8cc30143675447b1e9f541")</f>
        <v>0xb65f9f9e4ce74e723a8cc30143675447b1e9f541</v>
      </c>
      <c r="J2142" s="11">
        <v>14.134963956552</v>
      </c>
      <c r="K2142" s="12">
        <v>31.41103101456</v>
      </c>
      <c r="L2142" s="13">
        <v>3.1411031014559998E19</v>
      </c>
      <c r="M2142" s="9">
        <v>3.141103101456E18</v>
      </c>
    </row>
    <row r="2143" ht="15.75" customHeight="1">
      <c r="A2143" s="8"/>
      <c r="B2143" s="8"/>
      <c r="C2143" s="8"/>
      <c r="D2143" s="8">
        <v>27.9026907562088</v>
      </c>
      <c r="E2143" s="9" t="s">
        <v>2152</v>
      </c>
      <c r="I2143" s="12" t="str">
        <f>IFERROR(__xludf.DUMMYFUNCTION("""COMPUTED_VALUE"""),"0xb684e3800bd805c14b52031467c3c42373ad65f8")</f>
        <v>0xb684e3800bd805c14b52031467c3c42373ad65f8</v>
      </c>
      <c r="J2143" s="11">
        <v>53.1896137749832</v>
      </c>
      <c r="K2143" s="12">
        <v>118.19914172218489</v>
      </c>
      <c r="L2143" s="13">
        <v>1.181991417221849E20</v>
      </c>
      <c r="M2143" s="9">
        <v>1.181991417221849E19</v>
      </c>
    </row>
    <row r="2144" ht="15.75" customHeight="1">
      <c r="A2144" s="8"/>
      <c r="B2144" s="8"/>
      <c r="C2144" s="8"/>
      <c r="D2144" s="8">
        <v>27.9026907562088</v>
      </c>
      <c r="E2144" s="9" t="s">
        <v>2153</v>
      </c>
      <c r="I2144" s="12" t="str">
        <f>IFERROR(__xludf.DUMMYFUNCTION("""COMPUTED_VALUE"""),"0xb6a1f1b0e2a122c78404c05a9ac259c6c3c3ba65")</f>
        <v>0xb6a1f1b0e2a122c78404c05a9ac259c6c3c3ba65</v>
      </c>
      <c r="J2144" s="11">
        <v>27.9026907562088</v>
      </c>
      <c r="K2144" s="12">
        <v>62.005979458241775</v>
      </c>
      <c r="L2144" s="13">
        <v>6.200597945824177E19</v>
      </c>
      <c r="M2144" s="9">
        <v>6.2005979458241782E18</v>
      </c>
    </row>
    <row r="2145" ht="15.75" customHeight="1">
      <c r="A2145" s="8"/>
      <c r="B2145" s="8"/>
      <c r="C2145" s="8"/>
      <c r="D2145" s="8">
        <v>27.9026907562088</v>
      </c>
      <c r="E2145" s="9" t="s">
        <v>2154</v>
      </c>
      <c r="I2145" s="12" t="str">
        <f>IFERROR(__xludf.DUMMYFUNCTION("""COMPUTED_VALUE"""),"0xb6a2e160f47a0909a0f0464093de3da183cf2310")</f>
        <v>0xb6a2e160f47a0909a0f0464093de3da183cf2310</v>
      </c>
      <c r="J2145" s="11">
        <v>91.1199983031448</v>
      </c>
      <c r="K2145" s="12">
        <v>202.48888511809955</v>
      </c>
      <c r="L2145" s="13">
        <v>2.0248888511809955E20</v>
      </c>
      <c r="M2145" s="9">
        <v>2.0248888511809958E19</v>
      </c>
    </row>
    <row r="2146" ht="15.75" customHeight="1">
      <c r="A2146" s="8"/>
      <c r="B2146" s="8"/>
      <c r="C2146" s="8"/>
      <c r="D2146" s="8">
        <v>25.2967311248108</v>
      </c>
      <c r="E2146" s="9" t="s">
        <v>2155</v>
      </c>
      <c r="I2146" s="12" t="str">
        <f>IFERROR(__xludf.DUMMYFUNCTION("""COMPUTED_VALUE"""),"0xb6a5d050e4b05adc9479046902f361393afee389")</f>
        <v>0xb6a5d050e4b05adc9479046902f361393afee389</v>
      </c>
      <c r="J2146" s="11">
        <v>25.2967311248108</v>
      </c>
      <c r="K2146" s="12">
        <v>56.214958055135114</v>
      </c>
      <c r="L2146" s="13">
        <v>5.621495805513512E19</v>
      </c>
      <c r="M2146" s="9">
        <v>5.6214958055135119E18</v>
      </c>
    </row>
    <row r="2147" ht="15.75" customHeight="1">
      <c r="A2147" s="8"/>
      <c r="B2147" s="8"/>
      <c r="C2147" s="8"/>
      <c r="D2147" s="8">
        <v>27.9026907562088</v>
      </c>
      <c r="E2147" s="9" t="s">
        <v>2156</v>
      </c>
      <c r="I2147" s="12" t="str">
        <f>IFERROR(__xludf.DUMMYFUNCTION("""COMPUTED_VALUE"""),"0xb6b04d4deecfd6f705f0bc83db18808bbfe92f9e")</f>
        <v>0xb6b04d4deecfd6f705f0bc83db18808bbfe92f9e</v>
      </c>
      <c r="J2147" s="11">
        <v>91.1199983031448</v>
      </c>
      <c r="K2147" s="12">
        <v>202.48888511809955</v>
      </c>
      <c r="L2147" s="13">
        <v>2.0248888511809955E20</v>
      </c>
      <c r="M2147" s="9">
        <v>2.0248888511809958E19</v>
      </c>
    </row>
    <row r="2148" ht="15.75" customHeight="1">
      <c r="A2148" s="8"/>
      <c r="B2148" s="8"/>
      <c r="C2148" s="8"/>
      <c r="D2148" s="8">
        <v>27.9026907562088</v>
      </c>
      <c r="E2148" s="9" t="s">
        <v>2157</v>
      </c>
      <c r="I2148" s="12" t="str">
        <f>IFERROR(__xludf.DUMMYFUNCTION("""COMPUTED_VALUE"""),"0xb6d3f44d325c35e8434bf389efd9ee83b19ded54")</f>
        <v>0xb6d3f44d325c35e8434bf389efd9ee83b19ded54</v>
      </c>
      <c r="J2148" s="11">
        <v>32.04645067575695</v>
      </c>
      <c r="K2148" s="12">
        <v>71.21433483501545</v>
      </c>
      <c r="L2148" s="13">
        <v>7.121433483501545E19</v>
      </c>
      <c r="M2148" s="9">
        <v>7.1214334835015455E18</v>
      </c>
    </row>
    <row r="2149" ht="15.75" customHeight="1">
      <c r="A2149" s="8"/>
      <c r="B2149" s="8"/>
      <c r="C2149" s="8"/>
      <c r="D2149" s="8">
        <v>27.9026907562088</v>
      </c>
      <c r="E2149" s="9" t="s">
        <v>2158</v>
      </c>
      <c r="I2149" s="12" t="str">
        <f>IFERROR(__xludf.DUMMYFUNCTION("""COMPUTED_VALUE"""),"0xb6e598f7308094ea10415539868b4f871060992c")</f>
        <v>0xb6e598f7308094ea10415539868b4f871060992c</v>
      </c>
      <c r="J2149" s="11">
        <v>91.1199983031448</v>
      </c>
      <c r="K2149" s="12">
        <v>202.48888511809955</v>
      </c>
      <c r="L2149" s="13">
        <v>2.0248888511809955E20</v>
      </c>
      <c r="M2149" s="9">
        <v>2.0248888511809958E19</v>
      </c>
    </row>
    <row r="2150" ht="15.75" customHeight="1">
      <c r="A2150" s="8"/>
      <c r="B2150" s="8"/>
      <c r="C2150" s="8"/>
      <c r="D2150" s="8">
        <v>27.9026907562088</v>
      </c>
      <c r="E2150" s="9" t="s">
        <v>2159</v>
      </c>
      <c r="I2150" s="12" t="str">
        <f>IFERROR(__xludf.DUMMYFUNCTION("""COMPUTED_VALUE"""),"0xb6f5131a880dc6dfd0611e5b4bcab388a0eb1853")</f>
        <v>0xb6f5131a880dc6dfd0611e5b4bcab388a0eb1853</v>
      </c>
      <c r="J2150" s="11">
        <v>27.9026907562088</v>
      </c>
      <c r="K2150" s="12">
        <v>62.005979458241775</v>
      </c>
      <c r="L2150" s="13">
        <v>6.200597945824177E19</v>
      </c>
      <c r="M2150" s="9">
        <v>6.2005979458241782E18</v>
      </c>
    </row>
    <row r="2151" ht="15.75" customHeight="1">
      <c r="A2151" s="8"/>
      <c r="B2151" s="8"/>
      <c r="C2151" s="8"/>
      <c r="D2151" s="8">
        <v>27.9026907562088</v>
      </c>
      <c r="E2151" s="9" t="s">
        <v>2160</v>
      </c>
      <c r="I2151" s="12" t="str">
        <f>IFERROR(__xludf.DUMMYFUNCTION("""COMPUTED_VALUE"""),"0xb6fe5a8ffad50199fa62379fc798bab8e0dcc9b1")</f>
        <v>0xb6fe5a8ffad50199fa62379fc798bab8e0dcc9b1</v>
      </c>
      <c r="J2151" s="11">
        <v>27.9026907562088</v>
      </c>
      <c r="K2151" s="12">
        <v>62.005979458241775</v>
      </c>
      <c r="L2151" s="13">
        <v>6.200597945824177E19</v>
      </c>
      <c r="M2151" s="9">
        <v>6.2005979458241782E18</v>
      </c>
    </row>
    <row r="2152" ht="15.75" customHeight="1">
      <c r="A2152" s="8"/>
      <c r="B2152" s="8"/>
      <c r="C2152" s="8"/>
      <c r="D2152" s="8">
        <v>27.9026907562088</v>
      </c>
      <c r="E2152" s="9" t="s">
        <v>2161</v>
      </c>
      <c r="I2152" s="12" t="str">
        <f>IFERROR(__xludf.DUMMYFUNCTION("""COMPUTED_VALUE"""),"0xb7216618efa46a2ea3d62592cd058629db2c2e11")</f>
        <v>0xb7216618efa46a2ea3d62592cd058629db2c2e11</v>
      </c>
      <c r="J2152" s="11">
        <v>27.9026907562088</v>
      </c>
      <c r="K2152" s="12">
        <v>62.005979458241775</v>
      </c>
      <c r="L2152" s="13">
        <v>6.200597945824177E19</v>
      </c>
      <c r="M2152" s="9">
        <v>6.2005979458241782E18</v>
      </c>
    </row>
    <row r="2153" ht="15.75" customHeight="1">
      <c r="A2153" s="8"/>
      <c r="B2153" s="8"/>
      <c r="C2153" s="8"/>
      <c r="D2153" s="8">
        <v>27.9026907562088</v>
      </c>
      <c r="E2153" s="9" t="s">
        <v>2162</v>
      </c>
      <c r="I2153" s="12" t="str">
        <f>IFERROR(__xludf.DUMMYFUNCTION("""COMPUTED_VALUE"""),"0xb7310833027e677cc8a1a164437fcf1c0e42dec0")</f>
        <v>0xb7310833027e677cc8a1a164437fcf1c0e42dec0</v>
      </c>
      <c r="J2153" s="11">
        <v>102.7947403298856</v>
      </c>
      <c r="K2153" s="12">
        <v>228.43275628863466</v>
      </c>
      <c r="L2153" s="13">
        <v>2.2843275628863465E20</v>
      </c>
      <c r="M2153" s="9">
        <v>2.2843275628863468E19</v>
      </c>
    </row>
    <row r="2154" ht="15.75" customHeight="1">
      <c r="A2154" s="8"/>
      <c r="B2154" s="8"/>
      <c r="C2154" s="8"/>
      <c r="D2154" s="8">
        <v>27.9026907562088</v>
      </c>
      <c r="E2154" s="9" t="s">
        <v>2163</v>
      </c>
      <c r="I2154" s="12" t="str">
        <f>IFERROR(__xludf.DUMMYFUNCTION("""COMPUTED_VALUE"""),"0xb73bf4f5eb8c8640eee5460e6923279f97adbebb")</f>
        <v>0xb73bf4f5eb8c8640eee5460e6923279f97adbebb</v>
      </c>
      <c r="J2154" s="11">
        <v>91.1199983031448</v>
      </c>
      <c r="K2154" s="12">
        <v>202.48888511809955</v>
      </c>
      <c r="L2154" s="13">
        <v>2.0248888511809955E20</v>
      </c>
      <c r="M2154" s="9">
        <v>2.0248888511809958E19</v>
      </c>
    </row>
    <row r="2155" ht="15.75" customHeight="1">
      <c r="A2155" s="8"/>
      <c r="B2155" s="8"/>
      <c r="C2155" s="8"/>
      <c r="D2155" s="8">
        <v>27.9026907562088</v>
      </c>
      <c r="E2155" s="9" t="s">
        <v>2164</v>
      </c>
      <c r="I2155" s="12" t="str">
        <f>IFERROR(__xludf.DUMMYFUNCTION("""COMPUTED_VALUE"""),"0xb74297afafd8b71014dac0bec3cdbb9c24c8ae40")</f>
        <v>0xb74297afafd8b71014dac0bec3cdbb9c24c8ae40</v>
      </c>
      <c r="J2155" s="11">
        <v>93.06578864093494</v>
      </c>
      <c r="K2155" s="12">
        <v>206.8128636465221</v>
      </c>
      <c r="L2155" s="13">
        <v>2.0681286364652208E20</v>
      </c>
      <c r="M2155" s="9">
        <v>2.068128636465221E19</v>
      </c>
    </row>
    <row r="2156" ht="15.75" customHeight="1">
      <c r="A2156" s="8"/>
      <c r="B2156" s="8"/>
      <c r="C2156" s="8"/>
      <c r="D2156" s="8">
        <v>27.9026907562088</v>
      </c>
      <c r="E2156" s="9" t="s">
        <v>2165</v>
      </c>
      <c r="I2156" s="12" t="str">
        <f>IFERROR(__xludf.DUMMYFUNCTION("""COMPUTED_VALUE"""),"0xb7468f396e69ff0f8e082737ba0e53cd2a39d055")</f>
        <v>0xb7468f396e69ff0f8e082737ba0e53cd2a39d055</v>
      </c>
      <c r="J2156" s="11">
        <v>91.1199983031448</v>
      </c>
      <c r="K2156" s="12">
        <v>202.48888511809955</v>
      </c>
      <c r="L2156" s="13">
        <v>2.0248888511809955E20</v>
      </c>
      <c r="M2156" s="9">
        <v>2.0248888511809958E19</v>
      </c>
    </row>
    <row r="2157" ht="15.75" customHeight="1">
      <c r="A2157" s="8"/>
      <c r="B2157" s="8"/>
      <c r="C2157" s="8"/>
      <c r="D2157" s="8">
        <v>27.9026907562088</v>
      </c>
      <c r="E2157" s="9" t="s">
        <v>2166</v>
      </c>
      <c r="I2157" s="12" t="str">
        <f>IFERROR(__xludf.DUMMYFUNCTION("""COMPUTED_VALUE"""),"0xb79ee378170813fef1e123dbbe9555d131bdb72f")</f>
        <v>0xb79ee378170813fef1e123dbbe9555d131bdb72f</v>
      </c>
      <c r="J2157" s="11">
        <v>1032.8825217935748</v>
      </c>
      <c r="K2157" s="12">
        <v>2295.2944928746106</v>
      </c>
      <c r="L2157" s="13">
        <v>2.2952944928746106E21</v>
      </c>
      <c r="M2157" s="9">
        <v>2.2952944928746108E20</v>
      </c>
    </row>
    <row r="2158" ht="15.75" customHeight="1">
      <c r="A2158" s="8"/>
      <c r="B2158" s="8"/>
      <c r="C2158" s="8"/>
      <c r="D2158" s="8">
        <v>27.9026907562088</v>
      </c>
      <c r="E2158" s="9" t="s">
        <v>2167</v>
      </c>
      <c r="I2158" s="12" t="str">
        <f>IFERROR(__xludf.DUMMYFUNCTION("""COMPUTED_VALUE"""),"0xb7c75d90041b1149a9319b8bccad16b454a076d6")</f>
        <v>0xb7c75d90041b1149a9319b8bccad16b454a076d6</v>
      </c>
      <c r="J2158" s="11">
        <v>91.1199983031448</v>
      </c>
      <c r="K2158" s="12">
        <v>202.48888511809955</v>
      </c>
      <c r="L2158" s="13">
        <v>2.0248888511809955E20</v>
      </c>
      <c r="M2158" s="9">
        <v>2.0248888511809958E19</v>
      </c>
    </row>
    <row r="2159" ht="15.75" customHeight="1">
      <c r="A2159" s="8"/>
      <c r="B2159" s="8"/>
      <c r="C2159" s="8"/>
      <c r="D2159" s="8">
        <v>27.7874398755629</v>
      </c>
      <c r="E2159" s="9" t="s">
        <v>2168</v>
      </c>
      <c r="I2159" s="12" t="str">
        <f>IFERROR(__xludf.DUMMYFUNCTION("""COMPUTED_VALUE"""),"0xb7d4ef6f2557fe1e453b2bf14ad01a75cbe33be6")</f>
        <v>0xb7d4ef6f2557fe1e453b2bf14ad01a75cbe33be6</v>
      </c>
      <c r="J2159" s="11">
        <v>27.7874398755629</v>
      </c>
      <c r="K2159" s="12">
        <v>61.74986639013977</v>
      </c>
      <c r="L2159" s="13">
        <v>6.174986639013977E19</v>
      </c>
      <c r="M2159" s="9">
        <v>6.1749866390139781E18</v>
      </c>
    </row>
    <row r="2160" ht="15.75" customHeight="1">
      <c r="A2160" s="8"/>
      <c r="B2160" s="8"/>
      <c r="C2160" s="8"/>
      <c r="D2160" s="8">
        <v>27.9026907562088</v>
      </c>
      <c r="E2160" s="9" t="s">
        <v>2169</v>
      </c>
      <c r="I2160" s="12" t="str">
        <f>IFERROR(__xludf.DUMMYFUNCTION("""COMPUTED_VALUE"""),"0xb7e2130d5fc8ad833e1b08fe47b173af628da032")</f>
        <v>0xb7e2130d5fc8ad833e1b08fe47b173af628da032</v>
      </c>
      <c r="J2160" s="11">
        <v>27.9026907562088</v>
      </c>
      <c r="K2160" s="12">
        <v>62.005979458241775</v>
      </c>
      <c r="L2160" s="13">
        <v>6.200597945824177E19</v>
      </c>
      <c r="M2160" s="9">
        <v>6.2005979458241782E18</v>
      </c>
    </row>
    <row r="2161" ht="15.75" customHeight="1">
      <c r="A2161" s="8"/>
      <c r="B2161" s="8"/>
      <c r="C2161" s="8"/>
      <c r="D2161" s="8">
        <v>14.9593727142375</v>
      </c>
      <c r="E2161" s="9" t="s">
        <v>2170</v>
      </c>
      <c r="I2161" s="12" t="str">
        <f>IFERROR(__xludf.DUMMYFUNCTION("""COMPUTED_VALUE"""),"0xb7ea31cb334028790219c24a74441fdb1e3af818")</f>
        <v>0xb7ea31cb334028790219c24a74441fdb1e3af818</v>
      </c>
      <c r="J2161" s="11">
        <v>14.9593727142375</v>
      </c>
      <c r="K2161" s="12">
        <v>33.24305047608333</v>
      </c>
      <c r="L2161" s="13">
        <v>3.324305047608333E19</v>
      </c>
      <c r="M2161" s="9">
        <v>3.3243050476083333E18</v>
      </c>
    </row>
    <row r="2162" ht="15.75" customHeight="1">
      <c r="A2162" s="8"/>
      <c r="B2162" s="8"/>
      <c r="C2162" s="8"/>
      <c r="D2162" s="8">
        <v>27.9026907562088</v>
      </c>
      <c r="E2162" s="9" t="s">
        <v>2171</v>
      </c>
      <c r="I2162" s="12" t="str">
        <f>IFERROR(__xludf.DUMMYFUNCTION("""COMPUTED_VALUE"""),"0xb7ec5e58e91a3e1acfb4a49ddc21b47a81dbadda")</f>
        <v>0xb7ec5e58e91a3e1acfb4a49ddc21b47a81dbadda</v>
      </c>
      <c r="J2162" s="11">
        <v>27.9026907562088</v>
      </c>
      <c r="K2162" s="12">
        <v>62.005979458241775</v>
      </c>
      <c r="L2162" s="13">
        <v>6.200597945824177E19</v>
      </c>
      <c r="M2162" s="9">
        <v>6.2005979458241782E18</v>
      </c>
    </row>
    <row r="2163" ht="15.75" customHeight="1">
      <c r="A2163" s="8"/>
      <c r="B2163" s="8"/>
      <c r="C2163" s="8"/>
      <c r="D2163" s="8">
        <v>27.9026907562088</v>
      </c>
      <c r="E2163" s="9" t="s">
        <v>2172</v>
      </c>
      <c r="I2163" s="12" t="str">
        <f>IFERROR(__xludf.DUMMYFUNCTION("""COMPUTED_VALUE"""),"0xb7fef843db91346f32b25d45f9306994b813bdd8")</f>
        <v>0xb7fef843db91346f32b25d45f9306994b813bdd8</v>
      </c>
      <c r="J2163" s="11">
        <v>27.9026907562088</v>
      </c>
      <c r="K2163" s="12">
        <v>62.005979458241775</v>
      </c>
      <c r="L2163" s="13">
        <v>6.200597945824177E19</v>
      </c>
      <c r="M2163" s="9">
        <v>6.2005979458241782E18</v>
      </c>
    </row>
    <row r="2164" ht="15.75" customHeight="1">
      <c r="A2164" s="8"/>
      <c r="B2164" s="8"/>
      <c r="C2164" s="8"/>
      <c r="D2164" s="8">
        <v>27.9026907562088</v>
      </c>
      <c r="E2164" s="9" t="s">
        <v>2173</v>
      </c>
      <c r="I2164" s="12" t="str">
        <f>IFERROR(__xludf.DUMMYFUNCTION("""COMPUTED_VALUE"""),"0xb818e1bcc4451322456ab04a4e97c2680e147cab")</f>
        <v>0xb818e1bcc4451322456ab04a4e97c2680e147cab</v>
      </c>
      <c r="J2164" s="11">
        <v>27.9026907562088</v>
      </c>
      <c r="K2164" s="12">
        <v>62.005979458241775</v>
      </c>
      <c r="L2164" s="13">
        <v>6.200597945824177E19</v>
      </c>
      <c r="M2164" s="9">
        <v>6.2005979458241782E18</v>
      </c>
    </row>
    <row r="2165" ht="15.75" customHeight="1">
      <c r="A2165" s="8"/>
      <c r="B2165" s="8"/>
      <c r="C2165" s="8"/>
      <c r="D2165" s="8">
        <v>27.9026907562088</v>
      </c>
      <c r="E2165" s="9" t="s">
        <v>2174</v>
      </c>
      <c r="I2165" s="12" t="str">
        <f>IFERROR(__xludf.DUMMYFUNCTION("""COMPUTED_VALUE"""),"0xb81e594cf546360dbcca737c2ca01ff9b3f3461b")</f>
        <v>0xb81e594cf546360dbcca737c2ca01ff9b3f3461b</v>
      </c>
      <c r="J2165" s="11">
        <v>27.9026907562088</v>
      </c>
      <c r="K2165" s="12">
        <v>62.005979458241775</v>
      </c>
      <c r="L2165" s="13">
        <v>6.200597945824177E19</v>
      </c>
      <c r="M2165" s="9">
        <v>6.2005979458241782E18</v>
      </c>
    </row>
    <row r="2166" ht="15.75" customHeight="1">
      <c r="A2166" s="8"/>
      <c r="B2166" s="8"/>
      <c r="C2166" s="8"/>
      <c r="D2166" s="8">
        <v>27.4728162805846</v>
      </c>
      <c r="E2166" s="9" t="s">
        <v>2175</v>
      </c>
      <c r="I2166" s="12" t="str">
        <f>IFERROR(__xludf.DUMMYFUNCTION("""COMPUTED_VALUE"""),"0xb8242bdb7991895cb67a2e8c8d6b86a95f1cc539")</f>
        <v>0xb8242bdb7991895cb67a2e8c8d6b86a95f1cc539</v>
      </c>
      <c r="J2166" s="11">
        <v>80.9749334285034</v>
      </c>
      <c r="K2166" s="12">
        <v>179.94429650778534</v>
      </c>
      <c r="L2166" s="13">
        <v>1.7994429650778535E20</v>
      </c>
      <c r="M2166" s="9">
        <v>1.7994429650778536E19</v>
      </c>
    </row>
    <row r="2167" ht="15.75" customHeight="1">
      <c r="A2167" s="8"/>
      <c r="B2167" s="8"/>
      <c r="C2167" s="8"/>
      <c r="D2167" s="8">
        <v>21.0835564074143</v>
      </c>
      <c r="E2167" s="9" t="s">
        <v>2176</v>
      </c>
      <c r="I2167" s="12" t="str">
        <f>IFERROR(__xludf.DUMMYFUNCTION("""COMPUTED_VALUE"""),"0xb82b7a46df1c39cd7ce2c27d41d0346c6558b404")</f>
        <v>0xb82b7a46df1c39cd7ce2c27d41d0346c6558b404</v>
      </c>
      <c r="J2167" s="11">
        <v>21.0835564074143</v>
      </c>
      <c r="K2167" s="12">
        <v>46.852347572031775</v>
      </c>
      <c r="L2167" s="13">
        <v>4.6852347572031775E19</v>
      </c>
      <c r="M2167" s="9">
        <v>4.6852347572031775E18</v>
      </c>
    </row>
    <row r="2168" ht="15.75" customHeight="1">
      <c r="A2168" s="8"/>
      <c r="B2168" s="8"/>
      <c r="C2168" s="8"/>
      <c r="D2168" s="8">
        <v>27.9026907562088</v>
      </c>
      <c r="E2168" s="9" t="s">
        <v>2177</v>
      </c>
      <c r="I2168" s="12" t="str">
        <f>IFERROR(__xludf.DUMMYFUNCTION("""COMPUTED_VALUE"""),"0xb840ee91a9d52fc6cfcad18e620140162a3f7c78")</f>
        <v>0xb840ee91a9d52fc6cfcad18e620140162a3f7c78</v>
      </c>
      <c r="J2168" s="11">
        <v>78.47653679375759</v>
      </c>
      <c r="K2168" s="12">
        <v>174.39230398612798</v>
      </c>
      <c r="L2168" s="13">
        <v>1.74392303986128E20</v>
      </c>
      <c r="M2168" s="9">
        <v>1.74392303986128E19</v>
      </c>
    </row>
    <row r="2169" ht="15.75" customHeight="1">
      <c r="A2169" s="8"/>
      <c r="B2169" s="8"/>
      <c r="C2169" s="8"/>
      <c r="D2169" s="8">
        <v>20.9751909852473</v>
      </c>
      <c r="E2169" s="9" t="s">
        <v>2178</v>
      </c>
      <c r="I2169" s="12" t="str">
        <f>IFERROR(__xludf.DUMMYFUNCTION("""COMPUTED_VALUE"""),"0xb84466d33a34fbc2f46c56df0c5eedacd262a2cf")</f>
        <v>0xb84466d33a34fbc2f46c56df0c5eedacd262a2cf</v>
      </c>
      <c r="J2169" s="11">
        <v>20.9751909852473</v>
      </c>
      <c r="K2169" s="12">
        <v>46.611535522771774</v>
      </c>
      <c r="L2169" s="13">
        <v>4.661153552277177E19</v>
      </c>
      <c r="M2169" s="9">
        <v>4.6611535522771773E18</v>
      </c>
    </row>
    <row r="2170" ht="15.75" customHeight="1">
      <c r="A2170" s="8"/>
      <c r="B2170" s="8"/>
      <c r="C2170" s="8"/>
      <c r="D2170" s="8">
        <v>27.9026907562088</v>
      </c>
      <c r="E2170" s="9" t="s">
        <v>2179</v>
      </c>
      <c r="I2170" s="12" t="str">
        <f>IFERROR(__xludf.DUMMYFUNCTION("""COMPUTED_VALUE"""),"0xb860f57931841b8b856dc85e0b02da76aed88e34")</f>
        <v>0xb860f57931841b8b856dc85e0b02da76aed88e34</v>
      </c>
      <c r="J2170" s="11">
        <v>29.547759754262028</v>
      </c>
      <c r="K2170" s="12">
        <v>65.66168834280451</v>
      </c>
      <c r="L2170" s="13">
        <v>6.566168834280451E19</v>
      </c>
      <c r="M2170" s="9">
        <v>6.5661688342804521E18</v>
      </c>
    </row>
    <row r="2171" ht="15.75" customHeight="1">
      <c r="A2171" s="8"/>
      <c r="B2171" s="8"/>
      <c r="C2171" s="8"/>
      <c r="D2171" s="8">
        <v>26.3015817051909</v>
      </c>
      <c r="E2171" s="9" t="s">
        <v>2180</v>
      </c>
      <c r="I2171" s="12" t="str">
        <f>IFERROR(__xludf.DUMMYFUNCTION("""COMPUTED_VALUE"""),"0xb86d0cabde482046e546856f54faa82fa50caef1")</f>
        <v>0xb86d0cabde482046e546856f54faa82fa50caef1</v>
      </c>
      <c r="J2171" s="11">
        <v>87.6361048741216</v>
      </c>
      <c r="K2171" s="12">
        <v>194.74689972027022</v>
      </c>
      <c r="L2171" s="13">
        <v>1.9474689972027022E20</v>
      </c>
      <c r="M2171" s="9">
        <v>1.9474689972027023E19</v>
      </c>
    </row>
    <row r="2172" ht="15.75" customHeight="1">
      <c r="A2172" s="8"/>
      <c r="B2172" s="8"/>
      <c r="C2172" s="8"/>
      <c r="D2172" s="8">
        <v>24.4338174568572</v>
      </c>
      <c r="E2172" s="9" t="s">
        <v>2181</v>
      </c>
      <c r="I2172" s="12" t="str">
        <f>IFERROR(__xludf.DUMMYFUNCTION("""COMPUTED_VALUE"""),"0xb886718ddc1510f8fd339e2915f04a5533c1c8bb")</f>
        <v>0xb886718ddc1510f8fd339e2915f04a5533c1c8bb</v>
      </c>
      <c r="J2172" s="11">
        <v>24.4338174568572</v>
      </c>
      <c r="K2172" s="12">
        <v>54.29737212634933</v>
      </c>
      <c r="L2172" s="13">
        <v>5.429737212634933E19</v>
      </c>
      <c r="M2172" s="9">
        <v>5.4297372126349332E18</v>
      </c>
    </row>
    <row r="2173" ht="15.75" customHeight="1">
      <c r="A2173" s="8"/>
      <c r="B2173" s="8"/>
      <c r="C2173" s="8"/>
      <c r="D2173" s="8">
        <v>27.9026907562088</v>
      </c>
      <c r="E2173" s="9" t="s">
        <v>2182</v>
      </c>
      <c r="I2173" s="12" t="str">
        <f>IFERROR(__xludf.DUMMYFUNCTION("""COMPUTED_VALUE"""),"0xb8a7ec8c4e1be9e71dbeb5c96ee7678f2d0ea371")</f>
        <v>0xb8a7ec8c4e1be9e71dbeb5c96ee7678f2d0ea371</v>
      </c>
      <c r="J2173" s="11">
        <v>93.06578864093494</v>
      </c>
      <c r="K2173" s="12">
        <v>206.8128636465221</v>
      </c>
      <c r="L2173" s="13">
        <v>2.0681286364652208E20</v>
      </c>
      <c r="M2173" s="9">
        <v>2.068128636465221E19</v>
      </c>
    </row>
    <row r="2174" ht="15.75" customHeight="1">
      <c r="A2174" s="8"/>
      <c r="B2174" s="8"/>
      <c r="C2174" s="8"/>
      <c r="D2174" s="8">
        <v>27.9026907562088</v>
      </c>
      <c r="E2174" s="9" t="s">
        <v>2183</v>
      </c>
      <c r="I2174" s="12" t="str">
        <f>IFERROR(__xludf.DUMMYFUNCTION("""COMPUTED_VALUE"""),"0xb8d16046d9af9e5a8b50cc92cd6af66a987f1103")</f>
        <v>0xb8d16046d9af9e5a8b50cc92cd6af66a987f1103</v>
      </c>
      <c r="J2174" s="11">
        <v>61.777138052629695</v>
      </c>
      <c r="K2174" s="12">
        <v>137.28252900584377</v>
      </c>
      <c r="L2174" s="13">
        <v>1.3728252900584378E20</v>
      </c>
      <c r="M2174" s="9">
        <v>1.3728252900584378E19</v>
      </c>
    </row>
    <row r="2175" ht="15.75" customHeight="1">
      <c r="A2175" s="8"/>
      <c r="B2175" s="8"/>
      <c r="C2175" s="8"/>
      <c r="D2175" s="8">
        <v>27.9026907562088</v>
      </c>
      <c r="E2175" s="9" t="s">
        <v>2184</v>
      </c>
      <c r="I2175" s="12" t="str">
        <f>IFERROR(__xludf.DUMMYFUNCTION("""COMPUTED_VALUE"""),"0xb8d78bdad2f8e0e6ca2faebb61cb90bda9f12d65")</f>
        <v>0xb8d78bdad2f8e0e6ca2faebb61cb90bda9f12d65</v>
      </c>
      <c r="J2175" s="11">
        <v>91.1199983031448</v>
      </c>
      <c r="K2175" s="12">
        <v>202.48888511809955</v>
      </c>
      <c r="L2175" s="13">
        <v>2.0248888511809955E20</v>
      </c>
      <c r="M2175" s="9">
        <v>2.0248888511809958E19</v>
      </c>
    </row>
    <row r="2176" ht="15.75" customHeight="1">
      <c r="A2176" s="8"/>
      <c r="B2176" s="8"/>
      <c r="C2176" s="8"/>
      <c r="D2176" s="8">
        <v>8.85985275031698</v>
      </c>
      <c r="E2176" s="9" t="s">
        <v>2185</v>
      </c>
      <c r="I2176" s="12" t="str">
        <f>IFERROR(__xludf.DUMMYFUNCTION("""COMPUTED_VALUE"""),"0xb8e18294bdb03bd3f19695243163c42a541bc4d9")</f>
        <v>0xb8e18294bdb03bd3f19695243163c42a541bc4d9</v>
      </c>
      <c r="J2176" s="11">
        <v>8.85985275031698</v>
      </c>
      <c r="K2176" s="12">
        <v>19.688561667371065</v>
      </c>
      <c r="L2176" s="13">
        <v>1.9688561667371065E19</v>
      </c>
      <c r="M2176" s="9">
        <v>1.96885616673710669E18</v>
      </c>
    </row>
    <row r="2177" ht="15.75" customHeight="1">
      <c r="A2177" s="8"/>
      <c r="B2177" s="8"/>
      <c r="C2177" s="8"/>
      <c r="D2177" s="8">
        <v>27.4175482126657</v>
      </c>
      <c r="E2177" s="9" t="s">
        <v>2186</v>
      </c>
      <c r="I2177" s="12" t="str">
        <f>IFERROR(__xludf.DUMMYFUNCTION("""COMPUTED_VALUE"""),"0xb8f3b1f93e344a10ed33108d476e3990a5429d48")</f>
        <v>0xb8f3b1f93e344a10ed33108d476e3990a5429d48</v>
      </c>
      <c r="J2177" s="11">
        <v>27.4175482126657</v>
      </c>
      <c r="K2177" s="12">
        <v>60.92788491703489</v>
      </c>
      <c r="L2177" s="13">
        <v>6.0927884917034885E19</v>
      </c>
      <c r="M2177" s="9">
        <v>6.0927884917034885E18</v>
      </c>
    </row>
    <row r="2178" ht="15.75" customHeight="1">
      <c r="A2178" s="8"/>
      <c r="B2178" s="8"/>
      <c r="C2178" s="8"/>
      <c r="D2178" s="8">
        <v>25.1100244559281</v>
      </c>
      <c r="E2178" s="9" t="s">
        <v>2187</v>
      </c>
      <c r="I2178" s="12" t="str">
        <f>IFERROR(__xludf.DUMMYFUNCTION("""COMPUTED_VALUE"""),"0xb91013d90577dfc5b711cc4422528b2842312882")</f>
        <v>0xb91013d90577dfc5b711cc4422528b2842312882</v>
      </c>
      <c r="J2178" s="11">
        <v>86.06557199812084</v>
      </c>
      <c r="K2178" s="12">
        <v>191.25682666249077</v>
      </c>
      <c r="L2178" s="13">
        <v>1.9125682666249077E20</v>
      </c>
      <c r="M2178" s="9">
        <v>1.9125682666249077E19</v>
      </c>
    </row>
    <row r="2179" ht="15.75" customHeight="1">
      <c r="A2179" s="8"/>
      <c r="B2179" s="8"/>
      <c r="C2179" s="8"/>
      <c r="D2179" s="8">
        <v>27.9026907562088</v>
      </c>
      <c r="E2179" s="9" t="s">
        <v>2188</v>
      </c>
      <c r="I2179" s="12" t="str">
        <f>IFERROR(__xludf.DUMMYFUNCTION("""COMPUTED_VALUE"""),"0xb91ac8933f8941b35186e2516e9faa95caf5f325")</f>
        <v>0xb91ac8933f8941b35186e2516e9faa95caf5f325</v>
      </c>
      <c r="J2179" s="11">
        <v>65.83307528437041</v>
      </c>
      <c r="K2179" s="12">
        <v>146.29572285415645</v>
      </c>
      <c r="L2179" s="13">
        <v>1.4629572285415645E20</v>
      </c>
      <c r="M2179" s="9">
        <v>1.4629572285415645E19</v>
      </c>
    </row>
    <row r="2180" ht="15.75" customHeight="1">
      <c r="A2180" s="8"/>
      <c r="B2180" s="8"/>
      <c r="C2180" s="8"/>
      <c r="D2180" s="8">
        <v>27.9026907562088</v>
      </c>
      <c r="E2180" s="9" t="s">
        <v>2189</v>
      </c>
      <c r="I2180" s="12" t="str">
        <f>IFERROR(__xludf.DUMMYFUNCTION("""COMPUTED_VALUE"""),"0xb9365bc835ec7884f008975ee4d8a98f51bc5ba4")</f>
        <v>0xb9365bc835ec7884f008975ee4d8a98f51bc5ba4</v>
      </c>
      <c r="J2180" s="11">
        <v>87.23347146909481</v>
      </c>
      <c r="K2180" s="12">
        <v>193.8521588202107</v>
      </c>
      <c r="L2180" s="13">
        <v>1.938521588202107E20</v>
      </c>
      <c r="M2180" s="9">
        <v>1.9385215882021073E19</v>
      </c>
    </row>
    <row r="2181" ht="15.75" customHeight="1">
      <c r="A2181" s="8"/>
      <c r="B2181" s="8"/>
      <c r="C2181" s="8"/>
      <c r="D2181" s="8">
        <v>27.9026907562088</v>
      </c>
      <c r="E2181" s="9" t="s">
        <v>2190</v>
      </c>
      <c r="I2181" s="12" t="str">
        <f>IFERROR(__xludf.DUMMYFUNCTION("""COMPUTED_VALUE"""),"0xb94c1e4dce921ec02867f5447ff93d50c2b2efe7")</f>
        <v>0xb94c1e4dce921ec02867f5447ff93d50c2b2efe7</v>
      </c>
      <c r="J2181" s="11">
        <v>77.2272720732483</v>
      </c>
      <c r="K2181" s="12">
        <v>171.616160162774</v>
      </c>
      <c r="L2181" s="13">
        <v>1.7161616016277402E20</v>
      </c>
      <c r="M2181" s="9">
        <v>1.7161616016277404E19</v>
      </c>
    </row>
    <row r="2182" ht="15.75" customHeight="1">
      <c r="A2182" s="8"/>
      <c r="B2182" s="8"/>
      <c r="C2182" s="8"/>
      <c r="D2182" s="8">
        <v>27.9026907562088</v>
      </c>
      <c r="E2182" s="9" t="s">
        <v>2191</v>
      </c>
      <c r="I2182" s="12" t="str">
        <f>IFERROR(__xludf.DUMMYFUNCTION("""COMPUTED_VALUE"""),"0xb94ee82f3f53a244da6d5fb6a052bc1ddf9bfed0")</f>
        <v>0xb94ee82f3f53a244da6d5fb6a052bc1ddf9bfed0</v>
      </c>
      <c r="J2182" s="11">
        <v>27.9026907562088</v>
      </c>
      <c r="K2182" s="12">
        <v>62.005979458241775</v>
      </c>
      <c r="L2182" s="13">
        <v>6.200597945824177E19</v>
      </c>
      <c r="M2182" s="9">
        <v>6.2005979458241782E18</v>
      </c>
    </row>
    <row r="2183" ht="15.75" customHeight="1">
      <c r="A2183" s="8"/>
      <c r="B2183" s="8"/>
      <c r="C2183" s="8"/>
      <c r="D2183" s="8">
        <v>27.9026907562088</v>
      </c>
      <c r="E2183" s="9" t="s">
        <v>2192</v>
      </c>
      <c r="I2183" s="12" t="str">
        <f>IFERROR(__xludf.DUMMYFUNCTION("""COMPUTED_VALUE"""),"0xb955bccc2d0db2785e1bb9668723024a123fe0d1")</f>
        <v>0xb955bccc2d0db2785e1bb9668723024a123fe0d1</v>
      </c>
      <c r="J2183" s="11">
        <v>27.9026907562088</v>
      </c>
      <c r="K2183" s="12">
        <v>62.005979458241775</v>
      </c>
      <c r="L2183" s="13">
        <v>6.200597945824177E19</v>
      </c>
      <c r="M2183" s="9">
        <v>6.2005979458241782E18</v>
      </c>
    </row>
    <row r="2184" ht="15.75" customHeight="1">
      <c r="A2184" s="8"/>
      <c r="B2184" s="8"/>
      <c r="C2184" s="8"/>
      <c r="D2184" s="8">
        <v>27.9026907562088</v>
      </c>
      <c r="E2184" s="9" t="s">
        <v>2193</v>
      </c>
      <c r="I2184" s="12" t="str">
        <f>IFERROR(__xludf.DUMMYFUNCTION("""COMPUTED_VALUE"""),"0xb95d0877b4830858fdaf6a1111d8a233214c06b2")</f>
        <v>0xb95d0877b4830858fdaf6a1111d8a233214c06b2</v>
      </c>
      <c r="J2184" s="11">
        <v>29.848481093998938</v>
      </c>
      <c r="K2184" s="12">
        <v>66.32995798666431</v>
      </c>
      <c r="L2184" s="13">
        <v>6.632995798666431E19</v>
      </c>
      <c r="M2184" s="9">
        <v>6.6329957986664315E18</v>
      </c>
    </row>
    <row r="2185" ht="15.75" customHeight="1">
      <c r="A2185" s="8"/>
      <c r="B2185" s="8"/>
      <c r="C2185" s="8"/>
      <c r="D2185" s="8">
        <v>25.6722378382513</v>
      </c>
      <c r="E2185" s="9" t="s">
        <v>2194</v>
      </c>
      <c r="I2185" s="12" t="str">
        <f>IFERROR(__xludf.DUMMYFUNCTION("""COMPUTED_VALUE"""),"0xb96238e23ca53008e423616990eb8fcb5c5b3b6d")</f>
        <v>0xb96238e23ca53008e423616990eb8fcb5c5b3b6d</v>
      </c>
      <c r="J2185" s="11">
        <v>25.6722378382513</v>
      </c>
      <c r="K2185" s="12">
        <v>57.04941741833622</v>
      </c>
      <c r="L2185" s="13">
        <v>5.7049417418336215E19</v>
      </c>
      <c r="M2185" s="9">
        <v>5.7049417418336215E18</v>
      </c>
    </row>
    <row r="2186" ht="15.75" customHeight="1">
      <c r="A2186" s="8"/>
      <c r="B2186" s="8"/>
      <c r="C2186" s="8"/>
      <c r="D2186" s="8">
        <v>27.6389089922931</v>
      </c>
      <c r="E2186" s="9" t="s">
        <v>2195</v>
      </c>
      <c r="I2186" s="12" t="str">
        <f>IFERROR(__xludf.DUMMYFUNCTION("""COMPUTED_VALUE"""),"0xb966c9109ba022a5580502de94ed1746d71bec06")</f>
        <v>0xb966c9109ba022a5580502de94ed1746d71bec06</v>
      </c>
      <c r="J2186" s="11">
        <v>27.6389089922931</v>
      </c>
      <c r="K2186" s="12">
        <v>61.419797760651335</v>
      </c>
      <c r="L2186" s="13">
        <v>6.141979776065134E19</v>
      </c>
      <c r="M2186" s="9">
        <v>6.1419797760651346E18</v>
      </c>
    </row>
    <row r="2187" ht="15.75" customHeight="1">
      <c r="A2187" s="8"/>
      <c r="B2187" s="8"/>
      <c r="C2187" s="8"/>
      <c r="D2187" s="8">
        <v>24.4354544101862</v>
      </c>
      <c r="E2187" s="9" t="s">
        <v>2196</v>
      </c>
      <c r="I2187" s="12" t="str">
        <f>IFERROR(__xludf.DUMMYFUNCTION("""COMPUTED_VALUE"""),"0xb968dcad041665fafa8289177330300c01c0ccf9")</f>
        <v>0xb968dcad041665fafa8289177330300c01c0ccf9</v>
      </c>
      <c r="J2187" s="11">
        <v>24.4354544101862</v>
      </c>
      <c r="K2187" s="12">
        <v>54.30100980041377</v>
      </c>
      <c r="L2187" s="13">
        <v>5.430100980041377E19</v>
      </c>
      <c r="M2187" s="9">
        <v>5.4301009800413778E18</v>
      </c>
    </row>
    <row r="2188" ht="15.75" customHeight="1">
      <c r="A2188" s="8"/>
      <c r="B2188" s="8"/>
      <c r="C2188" s="8"/>
      <c r="D2188" s="8">
        <v>25.266820694772</v>
      </c>
      <c r="E2188" s="9" t="s">
        <v>2197</v>
      </c>
      <c r="I2188" s="12" t="str">
        <f>IFERROR(__xludf.DUMMYFUNCTION("""COMPUTED_VALUE"""),"0xb97af1953c9939b2aa0b7769ab32cd4bfe4fdd50")</f>
        <v>0xb97af1953c9939b2aa0b7769ab32cd4bfe4fdd50</v>
      </c>
      <c r="J2188" s="11">
        <v>25.266820694772</v>
      </c>
      <c r="K2188" s="12">
        <v>56.14849043282667</v>
      </c>
      <c r="L2188" s="13">
        <v>5.614849043282667E19</v>
      </c>
      <c r="M2188" s="9">
        <v>5.6148490432826675E18</v>
      </c>
    </row>
    <row r="2189" ht="15.75" customHeight="1">
      <c r="A2189" s="8"/>
      <c r="B2189" s="8"/>
      <c r="C2189" s="8"/>
      <c r="D2189" s="8">
        <v>27.9026907562088</v>
      </c>
      <c r="E2189" s="9" t="s">
        <v>2198</v>
      </c>
      <c r="I2189" s="12" t="str">
        <f>IFERROR(__xludf.DUMMYFUNCTION("""COMPUTED_VALUE"""),"0xb98331c95471b0e72d26663432bf8b0dbfb264b7")</f>
        <v>0xb98331c95471b0e72d26663432bf8b0dbfb264b7</v>
      </c>
      <c r="J2189" s="11">
        <v>91.1199983031448</v>
      </c>
      <c r="K2189" s="12">
        <v>202.48888511809955</v>
      </c>
      <c r="L2189" s="13">
        <v>2.0248888511809955E20</v>
      </c>
      <c r="M2189" s="9">
        <v>2.0248888511809958E19</v>
      </c>
    </row>
    <row r="2190" ht="15.75" customHeight="1">
      <c r="A2190" s="8"/>
      <c r="B2190" s="8"/>
      <c r="C2190" s="8"/>
      <c r="D2190" s="8">
        <v>25.184011745171</v>
      </c>
      <c r="E2190" s="9" t="s">
        <v>2199</v>
      </c>
      <c r="I2190" s="12" t="str">
        <f>IFERROR(__xludf.DUMMYFUNCTION("""COMPUTED_VALUE"""),"0xb99e5a2f97ace18edef5ddae1a21cf9fac51faa0")</f>
        <v>0xb99e5a2f97ace18edef5ddae1a21cf9fac51faa0</v>
      </c>
      <c r="J2190" s="11">
        <v>82.7154217422474</v>
      </c>
      <c r="K2190" s="12">
        <v>183.81204831610532</v>
      </c>
      <c r="L2190" s="13">
        <v>1.8381204831610533E20</v>
      </c>
      <c r="M2190" s="9">
        <v>1.8381204831610534E19</v>
      </c>
    </row>
    <row r="2191" ht="15.75" customHeight="1">
      <c r="A2191" s="8"/>
      <c r="B2191" s="8"/>
      <c r="C2191" s="8"/>
      <c r="D2191" s="8">
        <v>27.9026907562088</v>
      </c>
      <c r="E2191" s="9" t="s">
        <v>2200</v>
      </c>
      <c r="I2191" s="12" t="str">
        <f>IFERROR(__xludf.DUMMYFUNCTION("""COMPUTED_VALUE"""),"0xb9b4524a03321af1adad77a0f5bb4bebeabe4681")</f>
        <v>0xb9b4524a03321af1adad77a0f5bb4bebeabe4681</v>
      </c>
      <c r="J2191" s="11">
        <v>91.1199983031448</v>
      </c>
      <c r="K2191" s="12">
        <v>202.48888511809955</v>
      </c>
      <c r="L2191" s="13">
        <v>2.0248888511809955E20</v>
      </c>
      <c r="M2191" s="9">
        <v>2.0248888511809958E19</v>
      </c>
    </row>
    <row r="2192" ht="15.75" customHeight="1">
      <c r="A2192" s="8"/>
      <c r="B2192" s="8"/>
      <c r="C2192" s="8"/>
      <c r="D2192" s="8">
        <v>27.9026907562088</v>
      </c>
      <c r="E2192" s="9" t="s">
        <v>2201</v>
      </c>
      <c r="I2192" s="12" t="str">
        <f>IFERROR(__xludf.DUMMYFUNCTION("""COMPUTED_VALUE"""),"0xb9bfc11c32b6f1b09df687d96dfa9072a292315f")</f>
        <v>0xb9bfc11c32b6f1b09df687d96dfa9072a292315f</v>
      </c>
      <c r="J2192" s="11">
        <v>91.1199983031448</v>
      </c>
      <c r="K2192" s="12">
        <v>202.48888511809955</v>
      </c>
      <c r="L2192" s="13">
        <v>2.0248888511809955E20</v>
      </c>
      <c r="M2192" s="9">
        <v>2.0248888511809958E19</v>
      </c>
    </row>
    <row r="2193" ht="15.75" customHeight="1">
      <c r="A2193" s="8"/>
      <c r="B2193" s="8"/>
      <c r="C2193" s="8"/>
      <c r="D2193" s="8">
        <v>26.9248235161275</v>
      </c>
      <c r="E2193" s="9" t="s">
        <v>2202</v>
      </c>
      <c r="I2193" s="12" t="str">
        <f>IFERROR(__xludf.DUMMYFUNCTION("""COMPUTED_VALUE"""),"0xb9e36e01fe6d9c8d3ef55f8b05582796d9cd58d9")</f>
        <v>0xb9e36e01fe6d9c8d3ef55f8b05582796d9cd58d9</v>
      </c>
      <c r="J2193" s="11">
        <v>28.23978668952746</v>
      </c>
      <c r="K2193" s="12">
        <v>62.75508153228324</v>
      </c>
      <c r="L2193" s="13">
        <v>6.275508153228324E19</v>
      </c>
      <c r="M2193" s="9">
        <v>6.2755081532283249E18</v>
      </c>
    </row>
    <row r="2194" ht="15.75" customHeight="1">
      <c r="A2194" s="8"/>
      <c r="B2194" s="8"/>
      <c r="C2194" s="8"/>
      <c r="D2194" s="8">
        <v>27.9026907562088</v>
      </c>
      <c r="E2194" s="9" t="s">
        <v>2203</v>
      </c>
      <c r="I2194" s="12" t="str">
        <f>IFERROR(__xludf.DUMMYFUNCTION("""COMPUTED_VALUE"""),"0xb9f831f19f94f09709cf75c757e5bd7a9a812819")</f>
        <v>0xb9f831f19f94f09709cf75c757e5bd7a9a812819</v>
      </c>
      <c r="J2194" s="11">
        <v>137.83211151265368</v>
      </c>
      <c r="K2194" s="12">
        <v>306.2935811392304</v>
      </c>
      <c r="L2194" s="13">
        <v>3.062935811392304E20</v>
      </c>
      <c r="M2194" s="9">
        <v>3.062935811392304E19</v>
      </c>
    </row>
    <row r="2195" ht="15.75" customHeight="1">
      <c r="A2195" s="8"/>
      <c r="B2195" s="8"/>
      <c r="C2195" s="8"/>
      <c r="D2195" s="8">
        <v>27.0858197509772</v>
      </c>
      <c r="E2195" s="9" t="s">
        <v>2204</v>
      </c>
      <c r="I2195" s="12" t="str">
        <f>IFERROR(__xludf.DUMMYFUNCTION("""COMPUTED_VALUE"""),"0xba050b96b369d66a7c506e4e13831b861c15208d")</f>
        <v>0xba050b96b369d66a7c506e4e13831b861c15208d</v>
      </c>
      <c r="J2195" s="11">
        <v>111.353842067425</v>
      </c>
      <c r="K2195" s="12">
        <v>247.45298237205557</v>
      </c>
      <c r="L2195" s="13">
        <v>2.4745298237205558E20</v>
      </c>
      <c r="M2195" s="9">
        <v>2.474529823720556E19</v>
      </c>
    </row>
    <row r="2196" ht="15.75" customHeight="1">
      <c r="A2196" s="8"/>
      <c r="B2196" s="8"/>
      <c r="C2196" s="8"/>
      <c r="D2196" s="8">
        <v>27.9026907562088</v>
      </c>
      <c r="E2196" s="9" t="s">
        <v>2205</v>
      </c>
      <c r="I2196" s="12" t="str">
        <f>IFERROR(__xludf.DUMMYFUNCTION("""COMPUTED_VALUE"""),"0xba05481bf27daae231ffb967fb8fa2dd516d98f8")</f>
        <v>0xba05481bf27daae231ffb967fb8fa2dd516d98f8</v>
      </c>
      <c r="J2196" s="11">
        <v>27.9026907562088</v>
      </c>
      <c r="K2196" s="12">
        <v>62.005979458241775</v>
      </c>
      <c r="L2196" s="13">
        <v>6.200597945824177E19</v>
      </c>
      <c r="M2196" s="9">
        <v>6.2005979458241782E18</v>
      </c>
    </row>
    <row r="2197" ht="15.75" customHeight="1">
      <c r="A2197" s="8"/>
      <c r="B2197" s="8"/>
      <c r="C2197" s="8"/>
      <c r="D2197" s="8">
        <v>27.9026907562088</v>
      </c>
      <c r="E2197" s="9" t="s">
        <v>2206</v>
      </c>
      <c r="I2197" s="12" t="str">
        <f>IFERROR(__xludf.DUMMYFUNCTION("""COMPUTED_VALUE"""),"0xba07c823f84bb2aa1cfda61cfa957750f2cf0022")</f>
        <v>0xba07c823f84bb2aa1cfda61cfa957750f2cf0022</v>
      </c>
      <c r="J2197" s="11">
        <v>27.9026907562088</v>
      </c>
      <c r="K2197" s="12">
        <v>62.005979458241775</v>
      </c>
      <c r="L2197" s="13">
        <v>6.200597945824177E19</v>
      </c>
      <c r="M2197" s="9">
        <v>6.2005979458241782E18</v>
      </c>
    </row>
    <row r="2198" ht="15.75" customHeight="1">
      <c r="A2198" s="8"/>
      <c r="B2198" s="8"/>
      <c r="C2198" s="8"/>
      <c r="D2198" s="8">
        <v>27.9026907562088</v>
      </c>
      <c r="E2198" s="9" t="s">
        <v>2207</v>
      </c>
      <c r="I2198" s="12" t="str">
        <f>IFERROR(__xludf.DUMMYFUNCTION("""COMPUTED_VALUE"""),"0xba179f9c7fe5b6fb9ff8378bf1f802e74fb60e28")</f>
        <v>0xba179f9c7fe5b6fb9ff8378bf1f802e74fb60e28</v>
      </c>
      <c r="J2198" s="11">
        <v>98.90315965430537</v>
      </c>
      <c r="K2198" s="12">
        <v>219.7847992317897</v>
      </c>
      <c r="L2198" s="13">
        <v>2.197847992317897E20</v>
      </c>
      <c r="M2198" s="9">
        <v>2.197847992317897E19</v>
      </c>
    </row>
    <row r="2199" ht="15.75" customHeight="1">
      <c r="A2199" s="8"/>
      <c r="B2199" s="8"/>
      <c r="C2199" s="8"/>
      <c r="D2199" s="8">
        <v>27.9026907562088</v>
      </c>
      <c r="E2199" s="9" t="s">
        <v>2208</v>
      </c>
      <c r="I2199" s="12" t="str">
        <f>IFERROR(__xludf.DUMMYFUNCTION("""COMPUTED_VALUE"""),"0xba3608c9903d92d24d3d7aa856a5744f3cabafed")</f>
        <v>0xba3608c9903d92d24d3d7aa856a5744f3cabafed</v>
      </c>
      <c r="J2199" s="11">
        <v>113.45775940133109</v>
      </c>
      <c r="K2199" s="12">
        <v>252.1283542251802</v>
      </c>
      <c r="L2199" s="13">
        <v>2.521283542251802E20</v>
      </c>
      <c r="M2199" s="9">
        <v>2.5212835422518022E19</v>
      </c>
    </row>
    <row r="2200" ht="15.75" customHeight="1">
      <c r="A2200" s="8"/>
      <c r="B2200" s="8"/>
      <c r="C2200" s="8"/>
      <c r="D2200" s="8">
        <v>27.9026907562088</v>
      </c>
      <c r="E2200" s="9" t="s">
        <v>2209</v>
      </c>
      <c r="I2200" s="12" t="str">
        <f>IFERROR(__xludf.DUMMYFUNCTION("""COMPUTED_VALUE"""),"0xba5b0827556dc36fefe521b9a89f7c007dcbb7cf")</f>
        <v>0xba5b0827556dc36fefe521b9a89f7c007dcbb7cf</v>
      </c>
      <c r="J2200" s="11">
        <v>27.9026907562088</v>
      </c>
      <c r="K2200" s="12">
        <v>62.005979458241775</v>
      </c>
      <c r="L2200" s="13">
        <v>6.200597945824177E19</v>
      </c>
      <c r="M2200" s="9">
        <v>6.2005979458241782E18</v>
      </c>
    </row>
    <row r="2201" ht="15.75" customHeight="1">
      <c r="A2201" s="8"/>
      <c r="B2201" s="8"/>
      <c r="C2201" s="8"/>
      <c r="D2201" s="8">
        <v>27.9026907562088</v>
      </c>
      <c r="E2201" s="9" t="s">
        <v>2210</v>
      </c>
      <c r="I2201" s="12" t="str">
        <f>IFERROR(__xludf.DUMMYFUNCTION("""COMPUTED_VALUE"""),"0xba5cc2f19f102c99feba29f94b603d583d95edad")</f>
        <v>0xba5cc2f19f102c99feba29f94b603d583d95edad</v>
      </c>
      <c r="J2201" s="11">
        <v>27.9026907562088</v>
      </c>
      <c r="K2201" s="12">
        <v>62.005979458241775</v>
      </c>
      <c r="L2201" s="13">
        <v>6.200597945824177E19</v>
      </c>
      <c r="M2201" s="9">
        <v>6.2005979458241782E18</v>
      </c>
    </row>
    <row r="2202" ht="15.75" customHeight="1">
      <c r="A2202" s="8"/>
      <c r="B2202" s="8"/>
      <c r="C2202" s="8"/>
      <c r="D2202" s="8">
        <v>27.9026907562088</v>
      </c>
      <c r="E2202" s="9" t="s">
        <v>2211</v>
      </c>
      <c r="I2202" s="12" t="str">
        <f>IFERROR(__xludf.DUMMYFUNCTION("""COMPUTED_VALUE"""),"0xba980c9b9eac87a5b1363dcc326d9753d5ef2666")</f>
        <v>0xba980c9b9eac87a5b1363dcc326d9753d5ef2666</v>
      </c>
      <c r="J2202" s="11">
        <v>98.90315965430537</v>
      </c>
      <c r="K2202" s="12">
        <v>219.7847992317897</v>
      </c>
      <c r="L2202" s="13">
        <v>2.197847992317897E20</v>
      </c>
      <c r="M2202" s="9">
        <v>2.197847992317897E19</v>
      </c>
    </row>
    <row r="2203" ht="15.75" customHeight="1">
      <c r="A2203" s="8"/>
      <c r="B2203" s="8"/>
      <c r="C2203" s="8"/>
      <c r="D2203" s="8">
        <v>27.9026907562088</v>
      </c>
      <c r="E2203" s="9" t="s">
        <v>2212</v>
      </c>
      <c r="I2203" s="12" t="str">
        <f>IFERROR(__xludf.DUMMYFUNCTION("""COMPUTED_VALUE"""),"0xbaaa67d958c51be7c522ad2a483d6cf0bb3dd036")</f>
        <v>0xbaaa67d958c51be7c522ad2a483d6cf0bb3dd036</v>
      </c>
      <c r="J2203" s="11">
        <v>108.6726924531547</v>
      </c>
      <c r="K2203" s="12">
        <v>241.49487211812155</v>
      </c>
      <c r="L2203" s="13">
        <v>2.4149487211812156E20</v>
      </c>
      <c r="M2203" s="9">
        <v>2.414948721181216E19</v>
      </c>
    </row>
    <row r="2204" ht="15.75" customHeight="1">
      <c r="A2204" s="8"/>
      <c r="B2204" s="8"/>
      <c r="C2204" s="8"/>
      <c r="D2204" s="8">
        <v>11.1611151904392</v>
      </c>
      <c r="E2204" s="9" t="s">
        <v>2213</v>
      </c>
      <c r="I2204" s="12" t="str">
        <f>IFERROR(__xludf.DUMMYFUNCTION("""COMPUTED_VALUE"""),"0xbaad2c1c9663b6f47e654c69356c2cd8cd505f01")</f>
        <v>0xbaad2c1c9663b6f47e654c69356c2cd8cd505f01</v>
      </c>
      <c r="J2204" s="11">
        <v>11.1611151904392</v>
      </c>
      <c r="K2204" s="12">
        <v>24.802478200975997</v>
      </c>
      <c r="L2204" s="13">
        <v>2.4802478200976E19</v>
      </c>
      <c r="M2204" s="9">
        <v>2.4802478200976E18</v>
      </c>
    </row>
    <row r="2205" ht="15.75" customHeight="1">
      <c r="A2205" s="8"/>
      <c r="B2205" s="8"/>
      <c r="C2205" s="8"/>
      <c r="D2205" s="8">
        <v>21.3978382989935</v>
      </c>
      <c r="E2205" s="9" t="s">
        <v>2214</v>
      </c>
      <c r="I2205" s="12" t="str">
        <f>IFERROR(__xludf.DUMMYFUNCTION("""COMPUTED_VALUE"""),"0xbaaddb7fea2f51841600f6628279aad6be472e82")</f>
        <v>0xbaaddb7fea2f51841600f6628279aad6be472e82</v>
      </c>
      <c r="J2205" s="11">
        <v>21.3978382989935</v>
      </c>
      <c r="K2205" s="12">
        <v>47.55075177554111</v>
      </c>
      <c r="L2205" s="13">
        <v>4.755075177554111E19</v>
      </c>
      <c r="M2205" s="9">
        <v>4.7550751775541115E18</v>
      </c>
    </row>
    <row r="2206" ht="15.75" customHeight="1">
      <c r="A2206" s="8"/>
      <c r="B2206" s="8"/>
      <c r="C2206" s="8"/>
      <c r="D2206" s="8">
        <v>27.9026907562088</v>
      </c>
      <c r="E2206" s="9" t="s">
        <v>2215</v>
      </c>
      <c r="I2206" s="12" t="str">
        <f>IFERROR(__xludf.DUMMYFUNCTION("""COMPUTED_VALUE"""),"0xbabe160c5afa80af51087fdf883525a1c5ac7336")</f>
        <v>0xbabe160c5afa80af51087fdf883525a1c5ac7336</v>
      </c>
      <c r="J2206" s="11">
        <v>27.9026907562088</v>
      </c>
      <c r="K2206" s="12">
        <v>62.005979458241775</v>
      </c>
      <c r="L2206" s="13">
        <v>6.200597945824177E19</v>
      </c>
      <c r="M2206" s="9">
        <v>6.2005979458241782E18</v>
      </c>
    </row>
    <row r="2207" ht="15.75" customHeight="1">
      <c r="A2207" s="8"/>
      <c r="B2207" s="8"/>
      <c r="C2207" s="8"/>
      <c r="D2207" s="8">
        <v>27.9026907562088</v>
      </c>
      <c r="E2207" s="9" t="s">
        <v>2216</v>
      </c>
      <c r="I2207" s="12" t="str">
        <f>IFERROR(__xludf.DUMMYFUNCTION("""COMPUTED_VALUE"""),"0xbad19e37e23ebb8e91ad0b7bfdbc193f4010ba2e")</f>
        <v>0xbad19e37e23ebb8e91ad0b7bfdbc193f4010ba2e</v>
      </c>
      <c r="J2207" s="11">
        <v>100.52559208822156</v>
      </c>
      <c r="K2207" s="12">
        <v>223.39020464049236</v>
      </c>
      <c r="L2207" s="13">
        <v>2.2339020464049236E20</v>
      </c>
      <c r="M2207" s="9">
        <v>2.233902046404924E19</v>
      </c>
    </row>
    <row r="2208" ht="15.75" customHeight="1">
      <c r="A2208" s="8"/>
      <c r="B2208" s="8"/>
      <c r="C2208" s="8"/>
      <c r="D2208" s="8">
        <v>27.9026907562088</v>
      </c>
      <c r="E2208" s="9" t="s">
        <v>2217</v>
      </c>
      <c r="I2208" s="12" t="str">
        <f>IFERROR(__xludf.DUMMYFUNCTION("""COMPUTED_VALUE"""),"0xbae36e9955d81f81740f0c8ca0b35bc7e26ef5ac")</f>
        <v>0xbae36e9955d81f81740f0c8ca0b35bc7e26ef5ac</v>
      </c>
      <c r="J2208" s="11">
        <v>91.1199983031448</v>
      </c>
      <c r="K2208" s="12">
        <v>202.48888511809955</v>
      </c>
      <c r="L2208" s="13">
        <v>2.0248888511809955E20</v>
      </c>
      <c r="M2208" s="9">
        <v>2.0248888511809958E19</v>
      </c>
    </row>
    <row r="2209" ht="15.75" customHeight="1">
      <c r="A2209" s="8"/>
      <c r="B2209" s="8"/>
      <c r="C2209" s="8"/>
      <c r="D2209" s="8">
        <v>9.48691485711102</v>
      </c>
      <c r="E2209" s="9" t="s">
        <v>2218</v>
      </c>
      <c r="I2209" s="12" t="str">
        <f>IFERROR(__xludf.DUMMYFUNCTION("""COMPUTED_VALUE"""),"0xbaee7cf28379b27ce721dc52182507a760031a24")</f>
        <v>0xbaee7cf28379b27ce721dc52182507a760031a24</v>
      </c>
      <c r="J2209" s="11">
        <v>11.432705194901159</v>
      </c>
      <c r="K2209" s="12">
        <v>25.406011544224796</v>
      </c>
      <c r="L2209" s="13">
        <v>2.5406011544224797E19</v>
      </c>
      <c r="M2209" s="9">
        <v>2.5406011544224799E18</v>
      </c>
    </row>
    <row r="2210" ht="15.75" customHeight="1">
      <c r="A2210" s="8"/>
      <c r="B2210" s="8"/>
      <c r="C2210" s="8"/>
      <c r="D2210" s="8">
        <v>27.6816621940635</v>
      </c>
      <c r="E2210" s="9" t="s">
        <v>2219</v>
      </c>
      <c r="I2210" s="12" t="str">
        <f>IFERROR(__xludf.DUMMYFUNCTION("""COMPUTED_VALUE"""),"0xbb17b689aba22a3be6792655ff4ca363c89771df")</f>
        <v>0xbb17b689aba22a3be6792655ff4ca363c89771df</v>
      </c>
      <c r="J2210" s="11">
        <v>131.0359567366182</v>
      </c>
      <c r="K2210" s="12">
        <v>291.19101497026264</v>
      </c>
      <c r="L2210" s="13">
        <v>2.9119101497026265E20</v>
      </c>
      <c r="M2210" s="9">
        <v>2.9119101497026265E19</v>
      </c>
    </row>
    <row r="2211" ht="15.75" customHeight="1">
      <c r="A2211" s="8"/>
      <c r="B2211" s="8"/>
      <c r="C2211" s="8"/>
      <c r="D2211" s="8">
        <v>27.9026907562088</v>
      </c>
      <c r="E2211" s="9" t="s">
        <v>2220</v>
      </c>
      <c r="I2211" s="12" t="str">
        <f>IFERROR(__xludf.DUMMYFUNCTION("""COMPUTED_VALUE"""),"0xbb1ce0950298e6b16fc10170e216fd7f6d416e26")</f>
        <v>0xbb1ce0950298e6b16fc10170e216fd7f6d416e26</v>
      </c>
      <c r="J2211" s="11">
        <v>127.8693327350705</v>
      </c>
      <c r="K2211" s="12">
        <v>284.1540727446011</v>
      </c>
      <c r="L2211" s="13">
        <v>2.841540727446011E20</v>
      </c>
      <c r="M2211" s="9">
        <v>2.841540727446011E19</v>
      </c>
    </row>
    <row r="2212" ht="15.75" customHeight="1">
      <c r="A2212" s="8"/>
      <c r="B2212" s="8"/>
      <c r="C2212" s="8"/>
      <c r="D2212" s="8">
        <v>9.24261558850195</v>
      </c>
      <c r="E2212" s="9" t="s">
        <v>2221</v>
      </c>
      <c r="I2212" s="12" t="str">
        <f>IFERROR(__xludf.DUMMYFUNCTION("""COMPUTED_VALUE"""),"0xbb5d8941655d1726a8e70d0f5cb296b11bbab715")</f>
        <v>0xbb5d8941655d1726a8e70d0f5cb296b11bbab715</v>
      </c>
      <c r="J2212" s="11">
        <v>9.24261558850195</v>
      </c>
      <c r="K2212" s="12">
        <v>20.539145752226556</v>
      </c>
      <c r="L2212" s="13">
        <v>2.0539145752226558E19</v>
      </c>
      <c r="M2212" s="9">
        <v>2.053914575222656E18</v>
      </c>
    </row>
    <row r="2213" ht="15.75" customHeight="1">
      <c r="A2213" s="8"/>
      <c r="B2213" s="8"/>
      <c r="C2213" s="8"/>
      <c r="D2213" s="8">
        <v>24.1729515897087</v>
      </c>
      <c r="E2213" s="9" t="s">
        <v>2222</v>
      </c>
      <c r="I2213" s="12" t="str">
        <f>IFERROR(__xludf.DUMMYFUNCTION("""COMPUTED_VALUE"""),"0xbb90fb6febff45a7d6db21f5241ae0e8b2e724ac")</f>
        <v>0xbb90fb6febff45a7d6db21f5241ae0e8b2e724ac</v>
      </c>
      <c r="J2213" s="11">
        <v>24.1729515897087</v>
      </c>
      <c r="K2213" s="12">
        <v>53.71767019935266</v>
      </c>
      <c r="L2213" s="13">
        <v>5.371767019935266E19</v>
      </c>
      <c r="M2213" s="9">
        <v>5.3717670199352668E18</v>
      </c>
    </row>
    <row r="2214" ht="15.75" customHeight="1">
      <c r="A2214" s="8"/>
      <c r="B2214" s="8"/>
      <c r="C2214" s="8"/>
      <c r="D2214" s="8">
        <v>27.9026907562088</v>
      </c>
      <c r="E2214" s="9" t="s">
        <v>2223</v>
      </c>
      <c r="I2214" s="12" t="str">
        <f>IFERROR(__xludf.DUMMYFUNCTION("""COMPUTED_VALUE"""),"0xbb9fa6c1ca604d110ff89068f0774a6c1ca40c06")</f>
        <v>0xbb9fa6c1ca604d110ff89068f0774a6c1ca40c06</v>
      </c>
      <c r="J2214" s="11">
        <v>27.9026907562088</v>
      </c>
      <c r="K2214" s="12">
        <v>62.005979458241775</v>
      </c>
      <c r="L2214" s="13">
        <v>6.200597945824177E19</v>
      </c>
      <c r="M2214" s="9">
        <v>6.2005979458241782E18</v>
      </c>
    </row>
    <row r="2215" ht="15.75" customHeight="1">
      <c r="A2215" s="8"/>
      <c r="B2215" s="8"/>
      <c r="C2215" s="8"/>
      <c r="D2215" s="8">
        <v>24.7748416510564</v>
      </c>
      <c r="E2215" s="9" t="s">
        <v>2224</v>
      </c>
      <c r="I2215" s="12" t="str">
        <f>IFERROR(__xludf.DUMMYFUNCTION("""COMPUTED_VALUE"""),"0xbba95f998d1e2d6772952fefe8b0ede76160893d")</f>
        <v>0xbba95f998d1e2d6772952fefe8b0ede76160893d</v>
      </c>
      <c r="J2215" s="11">
        <v>24.7748416510564</v>
      </c>
      <c r="K2215" s="12">
        <v>55.05520366901422</v>
      </c>
      <c r="L2215" s="13">
        <v>5.505520366901422E19</v>
      </c>
      <c r="M2215" s="9">
        <v>5.5055203669014221E18</v>
      </c>
    </row>
    <row r="2216" ht="15.75" customHeight="1">
      <c r="A2216" s="8"/>
      <c r="B2216" s="8"/>
      <c r="C2216" s="8"/>
      <c r="D2216" s="8">
        <v>27.9026907562088</v>
      </c>
      <c r="E2216" s="9" t="s">
        <v>2225</v>
      </c>
      <c r="I2216" s="12" t="str">
        <f>IFERROR(__xludf.DUMMYFUNCTION("""COMPUTED_VALUE"""),"0xbbb7b32a5e384829fa67e200041d64e4dd8a6105")</f>
        <v>0xbbb7b32a5e384829fa67e200041d64e4dd8a6105</v>
      </c>
      <c r="J2216" s="11">
        <v>285.9493731121458</v>
      </c>
      <c r="K2216" s="12">
        <v>635.4430513603239</v>
      </c>
      <c r="L2216" s="13">
        <v>6.354430513603239E20</v>
      </c>
      <c r="M2216" s="9">
        <v>6.354430513603239E19</v>
      </c>
    </row>
    <row r="2217" ht="15.75" customHeight="1">
      <c r="A2217" s="8"/>
      <c r="B2217" s="8"/>
      <c r="C2217" s="8"/>
      <c r="D2217" s="8">
        <v>26.1010230796647</v>
      </c>
      <c r="E2217" s="9" t="s">
        <v>2226</v>
      </c>
      <c r="I2217" s="12" t="str">
        <f>IFERROR(__xludf.DUMMYFUNCTION("""COMPUTED_VALUE"""),"0xbbd72f032d31864712f7f47970511ce341da1cd6")</f>
        <v>0xbbd72f032d31864712f7f47970511ce341da1cd6</v>
      </c>
      <c r="J2217" s="11">
        <v>26.1010230796647</v>
      </c>
      <c r="K2217" s="12">
        <v>58.002273510365995</v>
      </c>
      <c r="L2217" s="13">
        <v>5.8002273510365995E19</v>
      </c>
      <c r="M2217" s="9">
        <v>5.8002273510366003E18</v>
      </c>
    </row>
    <row r="2218" ht="15.75" customHeight="1">
      <c r="A2218" s="8"/>
      <c r="B2218" s="8"/>
      <c r="C2218" s="8"/>
      <c r="D2218" s="8">
        <v>27.9026907562088</v>
      </c>
      <c r="E2218" s="9" t="s">
        <v>2227</v>
      </c>
      <c r="I2218" s="12" t="str">
        <f>IFERROR(__xludf.DUMMYFUNCTION("""COMPUTED_VALUE"""),"0xbbda8c587de8dc04abb35de738c04e4413355007")</f>
        <v>0xbbda8c587de8dc04abb35de738c04e4413355007</v>
      </c>
      <c r="J2218" s="11">
        <v>91.1199983031448</v>
      </c>
      <c r="K2218" s="12">
        <v>202.48888511809955</v>
      </c>
      <c r="L2218" s="13">
        <v>2.0248888511809955E20</v>
      </c>
      <c r="M2218" s="9">
        <v>2.0248888511809958E19</v>
      </c>
    </row>
    <row r="2219" ht="15.75" customHeight="1">
      <c r="A2219" s="8"/>
      <c r="B2219" s="8"/>
      <c r="C2219" s="8"/>
      <c r="D2219" s="8">
        <v>21.7028347544993</v>
      </c>
      <c r="E2219" s="9" t="s">
        <v>2228</v>
      </c>
      <c r="I2219" s="12" t="str">
        <f>IFERROR(__xludf.DUMMYFUNCTION("""COMPUTED_VALUE"""),"0xbbe138dab68c297ca95f9dd015058e7ce8f20b13")</f>
        <v>0xbbe138dab68c297ca95f9dd015058e7ce8f20b13</v>
      </c>
      <c r="J2219" s="11">
        <v>21.7028347544993</v>
      </c>
      <c r="K2219" s="12">
        <v>48.22852167666511</v>
      </c>
      <c r="L2219" s="13">
        <v>4.822852167666511E19</v>
      </c>
      <c r="M2219" s="9">
        <v>4.8228521676665108E18</v>
      </c>
    </row>
    <row r="2220" ht="15.75" customHeight="1">
      <c r="A2220" s="8"/>
      <c r="B2220" s="8"/>
      <c r="C2220" s="8"/>
      <c r="D2220" s="8">
        <v>2.35393796323252</v>
      </c>
      <c r="E2220" s="9" t="s">
        <v>2229</v>
      </c>
      <c r="I2220" s="12" t="str">
        <f>IFERROR(__xludf.DUMMYFUNCTION("""COMPUTED_VALUE"""),"0xbbf9bde9739171e9391608c9ae8bf4e45df1cc15")</f>
        <v>0xbbf9bde9739171e9391608c9ae8bf4e45df1cc15</v>
      </c>
      <c r="J2220" s="11">
        <v>2.35393796323252</v>
      </c>
      <c r="K2220" s="12">
        <v>5.230973251627822</v>
      </c>
      <c r="L2220" s="13">
        <v>5.2309732516278221E18</v>
      </c>
      <c r="M2220" s="9">
        <v>5.2309732516278221E17</v>
      </c>
    </row>
    <row r="2221" ht="15.75" customHeight="1">
      <c r="A2221" s="8"/>
      <c r="B2221" s="8"/>
      <c r="C2221" s="8"/>
      <c r="D2221" s="8">
        <v>27.9026907562088</v>
      </c>
      <c r="E2221" s="9" t="s">
        <v>2230</v>
      </c>
      <c r="I2221" s="12" t="str">
        <f>IFERROR(__xludf.DUMMYFUNCTION("""COMPUTED_VALUE"""),"0xbc0147233b8a028ed4fbcea6cf473e30edcfabd3")</f>
        <v>0xbc0147233b8a028ed4fbcea6cf473e30edcfabd3</v>
      </c>
      <c r="J2221" s="11">
        <v>33.12916937503462</v>
      </c>
      <c r="K2221" s="12">
        <v>73.62037638896582</v>
      </c>
      <c r="L2221" s="13">
        <v>7.362037638896583E19</v>
      </c>
      <c r="M2221" s="9">
        <v>7.3620376388965827E18</v>
      </c>
    </row>
    <row r="2222" ht="15.75" customHeight="1">
      <c r="A2222" s="8"/>
      <c r="B2222" s="8"/>
      <c r="C2222" s="8"/>
      <c r="D2222" s="8">
        <v>27.9026907562088</v>
      </c>
      <c r="E2222" s="9" t="s">
        <v>2231</v>
      </c>
      <c r="I2222" s="12" t="str">
        <f>IFERROR(__xludf.DUMMYFUNCTION("""COMPUTED_VALUE"""),"0xbc090a63e401b273cd90bdbc8512bf875d7bf2e2")</f>
        <v>0xbc090a63e401b273cd90bdbc8512bf875d7bf2e2</v>
      </c>
      <c r="J2222" s="11">
        <v>27.9026907562088</v>
      </c>
      <c r="K2222" s="12">
        <v>62.005979458241775</v>
      </c>
      <c r="L2222" s="13">
        <v>6.200597945824177E19</v>
      </c>
      <c r="M2222" s="9">
        <v>6.2005979458241782E18</v>
      </c>
    </row>
    <row r="2223" ht="15.75" customHeight="1">
      <c r="A2223" s="8"/>
      <c r="B2223" s="8"/>
      <c r="C2223" s="8"/>
      <c r="D2223" s="8">
        <v>27.9026907562088</v>
      </c>
      <c r="E2223" s="9" t="s">
        <v>2232</v>
      </c>
      <c r="I2223" s="12" t="str">
        <f>IFERROR(__xludf.DUMMYFUNCTION("""COMPUTED_VALUE"""),"0xbc1eb4359ab755af079f6ef77e3faac465e53eda")</f>
        <v>0xbc1eb4359ab755af079f6ef77e3faac465e53eda</v>
      </c>
      <c r="J2223" s="11">
        <v>93.06578864093494</v>
      </c>
      <c r="K2223" s="12">
        <v>206.8128636465221</v>
      </c>
      <c r="L2223" s="13">
        <v>2.0681286364652208E20</v>
      </c>
      <c r="M2223" s="9">
        <v>2.068128636465221E19</v>
      </c>
    </row>
    <row r="2224" ht="15.75" customHeight="1">
      <c r="A2224" s="8"/>
      <c r="B2224" s="8"/>
      <c r="C2224" s="8"/>
      <c r="D2224" s="8">
        <v>27.9026907562088</v>
      </c>
      <c r="E2224" s="9" t="s">
        <v>2233</v>
      </c>
      <c r="I2224" s="12" t="str">
        <f>IFERROR(__xludf.DUMMYFUNCTION("""COMPUTED_VALUE"""),"0xbc48c372b6b064dc2512e4f274164623eaf2862c")</f>
        <v>0xbc48c372b6b064dc2512e4f274164623eaf2862c</v>
      </c>
      <c r="J2224" s="11">
        <v>27.9026907562088</v>
      </c>
      <c r="K2224" s="12">
        <v>62.005979458241775</v>
      </c>
      <c r="L2224" s="13">
        <v>6.200597945824177E19</v>
      </c>
      <c r="M2224" s="9">
        <v>6.2005979458241782E18</v>
      </c>
    </row>
    <row r="2225" ht="15.75" customHeight="1">
      <c r="A2225" s="8"/>
      <c r="B2225" s="8"/>
      <c r="C2225" s="8"/>
      <c r="D2225" s="8">
        <v>27.9026907562088</v>
      </c>
      <c r="E2225" s="9" t="s">
        <v>2234</v>
      </c>
      <c r="I2225" s="12" t="str">
        <f>IFERROR(__xludf.DUMMYFUNCTION("""COMPUTED_VALUE"""),"0xbc583e290a8714d9ee161c368e4587ff1e9b6d6f")</f>
        <v>0xbc583e290a8714d9ee161c368e4587ff1e9b6d6f</v>
      </c>
      <c r="J2225" s="11">
        <v>27.914402919343452</v>
      </c>
      <c r="K2225" s="12">
        <v>62.03200648742989</v>
      </c>
      <c r="L2225" s="13">
        <v>6.203200648742989E19</v>
      </c>
      <c r="M2225" s="9">
        <v>6.2032006487429898E18</v>
      </c>
    </row>
    <row r="2226" ht="15.75" customHeight="1">
      <c r="A2226" s="8"/>
      <c r="B2226" s="8"/>
      <c r="C2226" s="8"/>
      <c r="D2226" s="8">
        <v>27.9026907562088</v>
      </c>
      <c r="E2226" s="9" t="s">
        <v>2235</v>
      </c>
      <c r="I2226" s="12" t="str">
        <f>IFERROR(__xludf.DUMMYFUNCTION("""COMPUTED_VALUE"""),"0xbc8ca713a71ffbe54446e215ef850f773ec4d5a7")</f>
        <v>0xbc8ca713a71ffbe54446e215ef850f773ec4d5a7</v>
      </c>
      <c r="J2226" s="11">
        <v>91.1199983031448</v>
      </c>
      <c r="K2226" s="12">
        <v>202.48888511809955</v>
      </c>
      <c r="L2226" s="13">
        <v>2.0248888511809955E20</v>
      </c>
      <c r="M2226" s="9">
        <v>2.0248888511809958E19</v>
      </c>
    </row>
    <row r="2227" ht="15.75" customHeight="1">
      <c r="A2227" s="8"/>
      <c r="B2227" s="8"/>
      <c r="C2227" s="8"/>
      <c r="D2227" s="8">
        <v>27.9026907562088</v>
      </c>
      <c r="E2227" s="9" t="s">
        <v>2236</v>
      </c>
      <c r="I2227" s="12" t="str">
        <f>IFERROR(__xludf.DUMMYFUNCTION("""COMPUTED_VALUE"""),"0xbc9a30c2751412d9295f8adabe6524bd9c8d1c13")</f>
        <v>0xbc9a30c2751412d9295f8adabe6524bd9c8d1c13</v>
      </c>
      <c r="J2227" s="11">
        <v>91.1199983031448</v>
      </c>
      <c r="K2227" s="12">
        <v>202.48888511809955</v>
      </c>
      <c r="L2227" s="13">
        <v>2.0248888511809955E20</v>
      </c>
      <c r="M2227" s="9">
        <v>2.0248888511809958E19</v>
      </c>
    </row>
    <row r="2228" ht="15.75" customHeight="1">
      <c r="A2228" s="8"/>
      <c r="B2228" s="8"/>
      <c r="C2228" s="8"/>
      <c r="D2228" s="8">
        <v>6.35935131301876</v>
      </c>
      <c r="E2228" s="9" t="s">
        <v>2237</v>
      </c>
      <c r="I2228" s="12" t="str">
        <f>IFERROR(__xludf.DUMMYFUNCTION("""COMPUTED_VALUE"""),"0xbcab384ba79678ebb17e417d37db9696d3f2c6f1")</f>
        <v>0xbcab384ba79678ebb17e417d37db9696d3f2c6f1</v>
      </c>
      <c r="J2228" s="11">
        <v>6.35935131301876</v>
      </c>
      <c r="K2228" s="12">
        <v>14.131891806708357</v>
      </c>
      <c r="L2228" s="13">
        <v>1.4131891806708357E19</v>
      </c>
      <c r="M2228" s="9">
        <v>1.41318918067083571E18</v>
      </c>
    </row>
    <row r="2229" ht="15.75" customHeight="1">
      <c r="A2229" s="8"/>
      <c r="B2229" s="8"/>
      <c r="C2229" s="8"/>
      <c r="D2229" s="8">
        <v>27.9026907562088</v>
      </c>
      <c r="E2229" s="9" t="s">
        <v>2238</v>
      </c>
      <c r="I2229" s="12" t="str">
        <f>IFERROR(__xludf.DUMMYFUNCTION("""COMPUTED_VALUE"""),"0xbcb72adf4ddf6d9f28f715340bb5508d08ec0103")</f>
        <v>0xbcb72adf4ddf6d9f28f715340bb5508d08ec0103</v>
      </c>
      <c r="J2229" s="11">
        <v>29.848481093998938</v>
      </c>
      <c r="K2229" s="12">
        <v>66.32995798666431</v>
      </c>
      <c r="L2229" s="13">
        <v>6.632995798666431E19</v>
      </c>
      <c r="M2229" s="9">
        <v>6.6329957986664315E18</v>
      </c>
    </row>
    <row r="2230" ht="15.75" customHeight="1">
      <c r="A2230" s="8"/>
      <c r="B2230" s="8"/>
      <c r="C2230" s="8"/>
      <c r="D2230" s="8">
        <v>27.9026907562088</v>
      </c>
      <c r="E2230" s="9" t="s">
        <v>2239</v>
      </c>
      <c r="I2230" s="12" t="str">
        <f>IFERROR(__xludf.DUMMYFUNCTION("""COMPUTED_VALUE"""),"0xbcb86d45fccd36d8d345f2e71aed2814fd549746")</f>
        <v>0xbcb86d45fccd36d8d345f2e71aed2814fd549746</v>
      </c>
      <c r="J2230" s="11">
        <v>27.9026907562088</v>
      </c>
      <c r="K2230" s="12">
        <v>62.005979458241775</v>
      </c>
      <c r="L2230" s="13">
        <v>6.200597945824177E19</v>
      </c>
      <c r="M2230" s="9">
        <v>6.2005979458241782E18</v>
      </c>
    </row>
    <row r="2231" ht="15.75" customHeight="1">
      <c r="A2231" s="8"/>
      <c r="B2231" s="8"/>
      <c r="C2231" s="8"/>
      <c r="D2231" s="8">
        <v>27.9026907562088</v>
      </c>
      <c r="E2231" s="9" t="s">
        <v>2240</v>
      </c>
      <c r="I2231" s="12" t="str">
        <f>IFERROR(__xludf.DUMMYFUNCTION("""COMPUTED_VALUE"""),"0xbcb98e278c5d295d43b3821bd88d65a8e77feed2")</f>
        <v>0xbcb98e278c5d295d43b3821bd88d65a8e77feed2</v>
      </c>
      <c r="J2231" s="11">
        <v>27.9026907562088</v>
      </c>
      <c r="K2231" s="12">
        <v>62.005979458241775</v>
      </c>
      <c r="L2231" s="13">
        <v>6.200597945824177E19</v>
      </c>
      <c r="M2231" s="9">
        <v>6.2005979458241782E18</v>
      </c>
    </row>
    <row r="2232" ht="15.75" customHeight="1">
      <c r="A2232" s="8"/>
      <c r="B2232" s="8"/>
      <c r="C2232" s="8"/>
      <c r="D2232" s="8">
        <v>27.9026907562088</v>
      </c>
      <c r="E2232" s="9" t="s">
        <v>2241</v>
      </c>
      <c r="I2232" s="12" t="str">
        <f>IFERROR(__xludf.DUMMYFUNCTION("""COMPUTED_VALUE"""),"0xbcc6b6fb2dbf45962772a58368722b65d57238b2")</f>
        <v>0xbcc6b6fb2dbf45962772a58368722b65d57238b2</v>
      </c>
      <c r="J2232" s="11">
        <v>27.9026907562088</v>
      </c>
      <c r="K2232" s="12">
        <v>62.005979458241775</v>
      </c>
      <c r="L2232" s="13">
        <v>6.200597945824177E19</v>
      </c>
      <c r="M2232" s="9">
        <v>6.2005979458241782E18</v>
      </c>
    </row>
    <row r="2233" ht="15.75" customHeight="1">
      <c r="A2233" s="8"/>
      <c r="B2233" s="8"/>
      <c r="C2233" s="8"/>
      <c r="D2233" s="8">
        <v>24.4587691367522</v>
      </c>
      <c r="E2233" s="9" t="s">
        <v>2242</v>
      </c>
      <c r="I2233" s="12" t="str">
        <f>IFERROR(__xludf.DUMMYFUNCTION("""COMPUTED_VALUE"""),"0xbce030cd572abc5c7183e7144e579df5d762102e")</f>
        <v>0xbce030cd572abc5c7183e7144e579df5d762102e</v>
      </c>
      <c r="J2233" s="11">
        <v>24.4587691367522</v>
      </c>
      <c r="K2233" s="12">
        <v>54.35282030389377</v>
      </c>
      <c r="L2233" s="13">
        <v>5.4352820303893774E19</v>
      </c>
      <c r="M2233" s="9">
        <v>5.435282030389378E18</v>
      </c>
    </row>
    <row r="2234" ht="15.75" customHeight="1">
      <c r="A2234" s="8"/>
      <c r="B2234" s="8"/>
      <c r="C2234" s="8"/>
      <c r="D2234" s="8">
        <v>27.9026907562088</v>
      </c>
      <c r="E2234" s="9" t="s">
        <v>2243</v>
      </c>
      <c r="I2234" s="12" t="str">
        <f>IFERROR(__xludf.DUMMYFUNCTION("""COMPUTED_VALUE"""),"0xbce6d08c9abb1b7ec781fc5fcdf67bac0a0a12e8")</f>
        <v>0xbce6d08c9abb1b7ec781fc5fcdf67bac0a0a12e8</v>
      </c>
      <c r="J2234" s="11">
        <v>27.9026907562088</v>
      </c>
      <c r="K2234" s="12">
        <v>62.005979458241775</v>
      </c>
      <c r="L2234" s="13">
        <v>6.200597945824177E19</v>
      </c>
      <c r="M2234" s="9">
        <v>6.2005979458241782E18</v>
      </c>
    </row>
    <row r="2235" ht="15.75" customHeight="1">
      <c r="A2235" s="8"/>
      <c r="B2235" s="8"/>
      <c r="C2235" s="8"/>
      <c r="D2235" s="8">
        <v>27.9026907562088</v>
      </c>
      <c r="E2235" s="9" t="s">
        <v>2244</v>
      </c>
      <c r="I2235" s="12" t="str">
        <f>IFERROR(__xludf.DUMMYFUNCTION("""COMPUTED_VALUE"""),"0xbcf97d25be15cf38fa41bd9610e8a485d5613051")</f>
        <v>0xbcf97d25be15cf38fa41bd9610e8a485d5613051</v>
      </c>
      <c r="J2235" s="11">
        <v>27.9026907562088</v>
      </c>
      <c r="K2235" s="12">
        <v>62.005979458241775</v>
      </c>
      <c r="L2235" s="13">
        <v>6.200597945824177E19</v>
      </c>
      <c r="M2235" s="9">
        <v>6.2005979458241782E18</v>
      </c>
    </row>
    <row r="2236" ht="15.75" customHeight="1">
      <c r="A2236" s="8"/>
      <c r="B2236" s="8"/>
      <c r="C2236" s="8"/>
      <c r="D2236" s="8">
        <v>27.9026907562088</v>
      </c>
      <c r="E2236" s="9" t="s">
        <v>2245</v>
      </c>
      <c r="I2236" s="12" t="str">
        <f>IFERROR(__xludf.DUMMYFUNCTION("""COMPUTED_VALUE"""),"0xbd062e5034ecbe61b024029d32f537890715bc92")</f>
        <v>0xbd062e5034ecbe61b024029d32f537890715bc92</v>
      </c>
      <c r="J2236" s="11">
        <v>91.1199983031448</v>
      </c>
      <c r="K2236" s="12">
        <v>202.48888511809955</v>
      </c>
      <c r="L2236" s="13">
        <v>2.0248888511809955E20</v>
      </c>
      <c r="M2236" s="9">
        <v>2.0248888511809958E19</v>
      </c>
    </row>
    <row r="2237" ht="15.75" customHeight="1">
      <c r="A2237" s="8"/>
      <c r="B2237" s="8"/>
      <c r="C2237" s="8"/>
      <c r="D2237" s="8">
        <v>27.9026907562088</v>
      </c>
      <c r="E2237" s="9" t="s">
        <v>2246</v>
      </c>
      <c r="I2237" s="12" t="str">
        <f>IFERROR(__xludf.DUMMYFUNCTION("""COMPUTED_VALUE"""),"0xbd261bda33b5812bbc5e330974d4a6b6f587ce66")</f>
        <v>0xbd261bda33b5812bbc5e330974d4a6b6f587ce66</v>
      </c>
      <c r="J2237" s="11">
        <v>99.370149335375</v>
      </c>
      <c r="K2237" s="12">
        <v>220.82255407861112</v>
      </c>
      <c r="L2237" s="13">
        <v>2.208225540786111E20</v>
      </c>
      <c r="M2237" s="9">
        <v>2.2082255407861113E19</v>
      </c>
    </row>
    <row r="2238" ht="15.75" customHeight="1">
      <c r="A2238" s="8"/>
      <c r="B2238" s="8"/>
      <c r="C2238" s="8"/>
      <c r="D2238" s="8">
        <v>27.9026907562088</v>
      </c>
      <c r="E2238" s="9" t="s">
        <v>2247</v>
      </c>
      <c r="I2238" s="12" t="str">
        <f>IFERROR(__xludf.DUMMYFUNCTION("""COMPUTED_VALUE"""),"0xbd556f72e237a7135e8868cef3441e5cbc2f47d8")</f>
        <v>0xbd556f72e237a7135e8868cef3441e5cbc2f47d8</v>
      </c>
      <c r="J2238" s="11">
        <v>91.1199983031448</v>
      </c>
      <c r="K2238" s="12">
        <v>202.48888511809955</v>
      </c>
      <c r="L2238" s="13">
        <v>2.0248888511809955E20</v>
      </c>
      <c r="M2238" s="9">
        <v>2.0248888511809958E19</v>
      </c>
    </row>
    <row r="2239" ht="15.75" customHeight="1">
      <c r="A2239" s="8"/>
      <c r="B2239" s="8"/>
      <c r="C2239" s="8"/>
      <c r="D2239" s="8">
        <v>10.637187871975</v>
      </c>
      <c r="E2239" s="9" t="s">
        <v>2248</v>
      </c>
      <c r="I2239" s="12" t="str">
        <f>IFERROR(__xludf.DUMMYFUNCTION("""COMPUTED_VALUE"""),"0xbd848387557de7d127a19b735cdd6b9be46f6a35")</f>
        <v>0xbd848387557de7d127a19b735cdd6b9be46f6a35</v>
      </c>
      <c r="J2239" s="11">
        <v>28.4558220992514</v>
      </c>
      <c r="K2239" s="12">
        <v>63.23516022055866</v>
      </c>
      <c r="L2239" s="13">
        <v>6.323516022055866E19</v>
      </c>
      <c r="M2239" s="9">
        <v>6.3235160220558664E18</v>
      </c>
    </row>
    <row r="2240" ht="15.75" customHeight="1">
      <c r="A2240" s="8"/>
      <c r="B2240" s="8"/>
      <c r="C2240" s="8"/>
      <c r="D2240" s="8">
        <v>25.7232474562307</v>
      </c>
      <c r="E2240" s="9" t="s">
        <v>2249</v>
      </c>
      <c r="I2240" s="12" t="str">
        <f>IFERROR(__xludf.DUMMYFUNCTION("""COMPUTED_VALUE"""),"0xbda031fca69da17b6fb5ac057b7f32ee9b41c181")</f>
        <v>0xbda031fca69da17b6fb5ac057b7f32ee9b41c181</v>
      </c>
      <c r="J2240" s="11">
        <v>25.7232474562307</v>
      </c>
      <c r="K2240" s="12">
        <v>57.16277212495711</v>
      </c>
      <c r="L2240" s="13">
        <v>5.716277212495711E19</v>
      </c>
      <c r="M2240" s="9">
        <v>5.7162772124957112E18</v>
      </c>
    </row>
    <row r="2241" ht="15.75" customHeight="1">
      <c r="A2241" s="8"/>
      <c r="B2241" s="8"/>
      <c r="C2241" s="8"/>
      <c r="D2241" s="8">
        <v>24.3939553724422</v>
      </c>
      <c r="E2241" s="9" t="s">
        <v>2250</v>
      </c>
      <c r="I2241" s="12" t="str">
        <f>IFERROR(__xludf.DUMMYFUNCTION("""COMPUTED_VALUE"""),"0xbda7a4193ca42d3c0b60f21292aa2974be501796")</f>
        <v>0xbda7a4193ca42d3c0b60f21292aa2974be501796</v>
      </c>
      <c r="J2241" s="11">
        <v>80.0253414867192</v>
      </c>
      <c r="K2241" s="12">
        <v>177.83409219270933</v>
      </c>
      <c r="L2241" s="13">
        <v>1.7783409219270935E20</v>
      </c>
      <c r="M2241" s="9">
        <v>1.7783409219270935E19</v>
      </c>
    </row>
    <row r="2242" ht="15.75" customHeight="1">
      <c r="A2242" s="8"/>
      <c r="B2242" s="8"/>
      <c r="C2242" s="8"/>
      <c r="D2242" s="8">
        <v>27.9026907562088</v>
      </c>
      <c r="E2242" s="9" t="s">
        <v>2251</v>
      </c>
      <c r="I2242" s="12" t="str">
        <f>IFERROR(__xludf.DUMMYFUNCTION("""COMPUTED_VALUE"""),"0xbdc5ad779ab3ee87e0305ba87425f24836bc6661")</f>
        <v>0xbdc5ad779ab3ee87e0305ba87425f24836bc6661</v>
      </c>
      <c r="J2242" s="11">
        <v>27.9026907562088</v>
      </c>
      <c r="K2242" s="12">
        <v>62.005979458241775</v>
      </c>
      <c r="L2242" s="13">
        <v>6.200597945824177E19</v>
      </c>
      <c r="M2242" s="9">
        <v>6.2005979458241782E18</v>
      </c>
    </row>
    <row r="2243" ht="15.75" customHeight="1">
      <c r="A2243" s="8"/>
      <c r="B2243" s="8"/>
      <c r="C2243" s="8"/>
      <c r="D2243" s="8">
        <v>27.9026907562088</v>
      </c>
      <c r="E2243" s="9" t="s">
        <v>2252</v>
      </c>
      <c r="I2243" s="12" t="str">
        <f>IFERROR(__xludf.DUMMYFUNCTION("""COMPUTED_VALUE"""),"0xbdcd88b1967b6e0e47df420e5882286776e74afb")</f>
        <v>0xbdcd88b1967b6e0e47df420e5882286776e74afb</v>
      </c>
      <c r="J2243" s="11">
        <v>27.9026907562088</v>
      </c>
      <c r="K2243" s="12">
        <v>62.005979458241775</v>
      </c>
      <c r="L2243" s="13">
        <v>6.200597945824177E19</v>
      </c>
      <c r="M2243" s="9">
        <v>6.2005979458241782E18</v>
      </c>
    </row>
    <row r="2244" ht="15.75" customHeight="1">
      <c r="A2244" s="8"/>
      <c r="B2244" s="8"/>
      <c r="C2244" s="8"/>
      <c r="D2244" s="8">
        <v>14.9185296148676</v>
      </c>
      <c r="E2244" s="9" t="s">
        <v>2253</v>
      </c>
      <c r="I2244" s="12" t="str">
        <f>IFERROR(__xludf.DUMMYFUNCTION("""COMPUTED_VALUE"""),"0xbde939648882e88f590b7e5aae5fb789ff16ba25")</f>
        <v>0xbde939648882e88f590b7e5aae5fb789ff16ba25</v>
      </c>
      <c r="J2244" s="11">
        <v>14.9185296148676</v>
      </c>
      <c r="K2244" s="12">
        <v>33.15228803303911</v>
      </c>
      <c r="L2244" s="13">
        <v>3.3152288033039114E19</v>
      </c>
      <c r="M2244" s="9">
        <v>3.3152288033039114E18</v>
      </c>
    </row>
    <row r="2245" ht="15.75" customHeight="1">
      <c r="A2245" s="8"/>
      <c r="B2245" s="8"/>
      <c r="C2245" s="8"/>
      <c r="D2245" s="8">
        <v>27.9026907562088</v>
      </c>
      <c r="E2245" s="9" t="s">
        <v>2254</v>
      </c>
      <c r="I2245" s="12" t="str">
        <f>IFERROR(__xludf.DUMMYFUNCTION("""COMPUTED_VALUE"""),"0xbdf7b90fcd8116be6425c324a4524443d5e0b0a9")</f>
        <v>0xbdf7b90fcd8116be6425c324a4524443d5e0b0a9</v>
      </c>
      <c r="J2245" s="11">
        <v>91.1199983031448</v>
      </c>
      <c r="K2245" s="12">
        <v>202.48888511809955</v>
      </c>
      <c r="L2245" s="13">
        <v>2.0248888511809955E20</v>
      </c>
      <c r="M2245" s="9">
        <v>2.0248888511809958E19</v>
      </c>
    </row>
    <row r="2246" ht="15.75" customHeight="1">
      <c r="A2246" s="8"/>
      <c r="B2246" s="8"/>
      <c r="C2246" s="8"/>
      <c r="D2246" s="8">
        <v>27.4909291368856</v>
      </c>
      <c r="E2246" s="9" t="s">
        <v>2255</v>
      </c>
      <c r="I2246" s="12" t="str">
        <f>IFERROR(__xludf.DUMMYFUNCTION("""COMPUTED_VALUE"""),"0xbdfbad10f9ee6ec2529b5abc049a8670d6d7f9bb")</f>
        <v>0xbdfbad10f9ee6ec2529b5abc049a8670d6d7f9bb</v>
      </c>
      <c r="J2246" s="11">
        <v>27.4909291368856</v>
      </c>
      <c r="K2246" s="12">
        <v>61.090953637523555</v>
      </c>
      <c r="L2246" s="13">
        <v>6.1090953637523554E19</v>
      </c>
      <c r="M2246" s="9">
        <v>6.1090953637523558E18</v>
      </c>
    </row>
    <row r="2247" ht="15.75" customHeight="1">
      <c r="A2247" s="8"/>
      <c r="B2247" s="8"/>
      <c r="C2247" s="8"/>
      <c r="D2247" s="8">
        <v>27.9026907562088</v>
      </c>
      <c r="E2247" s="9" t="s">
        <v>2256</v>
      </c>
      <c r="I2247" s="12" t="str">
        <f>IFERROR(__xludf.DUMMYFUNCTION("""COMPUTED_VALUE"""),"0xbe642857ec351c4eab0a8a8ef95459ff2ac1211c")</f>
        <v>0xbe642857ec351c4eab0a8a8ef95459ff2ac1211c</v>
      </c>
      <c r="J2247" s="11">
        <v>91.1199983031448</v>
      </c>
      <c r="K2247" s="12">
        <v>202.48888511809955</v>
      </c>
      <c r="L2247" s="13">
        <v>2.0248888511809955E20</v>
      </c>
      <c r="M2247" s="9">
        <v>2.0248888511809958E19</v>
      </c>
    </row>
    <row r="2248" ht="15.75" customHeight="1">
      <c r="A2248" s="8"/>
      <c r="B2248" s="8"/>
      <c r="C2248" s="8"/>
      <c r="D2248" s="8">
        <v>27.3446369410847</v>
      </c>
      <c r="E2248" s="9" t="s">
        <v>2257</v>
      </c>
      <c r="I2248" s="12" t="str">
        <f>IFERROR(__xludf.DUMMYFUNCTION("""COMPUTED_VALUE"""),"0xbe6fd916c4e7c251e0f519a9eb8cfba0db1077fe")</f>
        <v>0xbe6fd916c4e7c251e0f519a9eb8cfba0db1077fe</v>
      </c>
      <c r="J2248" s="11">
        <v>27.3446369410847</v>
      </c>
      <c r="K2248" s="12">
        <v>60.76585986907711</v>
      </c>
      <c r="L2248" s="13">
        <v>6.076585986907711E19</v>
      </c>
      <c r="M2248" s="9">
        <v>6.0765859869077115E18</v>
      </c>
    </row>
    <row r="2249" ht="15.75" customHeight="1">
      <c r="A2249" s="8"/>
      <c r="B2249" s="8"/>
      <c r="C2249" s="8"/>
      <c r="D2249" s="8">
        <v>27.9026907562088</v>
      </c>
      <c r="E2249" s="9" t="s">
        <v>2258</v>
      </c>
      <c r="I2249" s="12" t="str">
        <f>IFERROR(__xludf.DUMMYFUNCTION("""COMPUTED_VALUE"""),"0xbe94f3294a0813d6d87bc21a63c1894ea7647b57")</f>
        <v>0xbe94f3294a0813d6d87bc21a63c1894ea7647b57</v>
      </c>
      <c r="J2249" s="11">
        <v>27.9026907562088</v>
      </c>
      <c r="K2249" s="12">
        <v>62.005979458241775</v>
      </c>
      <c r="L2249" s="13">
        <v>6.200597945824177E19</v>
      </c>
      <c r="M2249" s="9">
        <v>6.2005979458241782E18</v>
      </c>
    </row>
    <row r="2250" ht="15.75" customHeight="1">
      <c r="A2250" s="8"/>
      <c r="B2250" s="8"/>
      <c r="C2250" s="8"/>
      <c r="D2250" s="8">
        <v>22.7070126030025</v>
      </c>
      <c r="E2250" s="9" t="s">
        <v>2259</v>
      </c>
      <c r="I2250" s="12" t="str">
        <f>IFERROR(__xludf.DUMMYFUNCTION("""COMPUTED_VALUE"""),"0xbe98b7e46f94648769772b5d2129330cb624f73c")</f>
        <v>0xbe98b7e46f94648769772b5d2129330cb624f73c</v>
      </c>
      <c r="J2250" s="11">
        <v>22.7070126030025</v>
      </c>
      <c r="K2250" s="12">
        <v>50.46002800667222</v>
      </c>
      <c r="L2250" s="13">
        <v>5.046002800667222E19</v>
      </c>
      <c r="M2250" s="9">
        <v>5.046002800667222E18</v>
      </c>
    </row>
    <row r="2251" ht="15.75" customHeight="1">
      <c r="A2251" s="8"/>
      <c r="B2251" s="8"/>
      <c r="C2251" s="8"/>
      <c r="D2251" s="8">
        <v>27.9026907562088</v>
      </c>
      <c r="E2251" s="9" t="s">
        <v>2260</v>
      </c>
      <c r="I2251" s="12" t="str">
        <f>IFERROR(__xludf.DUMMYFUNCTION("""COMPUTED_VALUE"""),"0xbe9b268ad415ac88bbdb40ff25c0e1bb989ef5d4")</f>
        <v>0xbe9b268ad415ac88bbdb40ff25c0e1bb989ef5d4</v>
      </c>
      <c r="J2251" s="11">
        <v>27.9026907562088</v>
      </c>
      <c r="K2251" s="12">
        <v>62.005979458241775</v>
      </c>
      <c r="L2251" s="13">
        <v>6.200597945824177E19</v>
      </c>
      <c r="M2251" s="9">
        <v>6.2005979458241782E18</v>
      </c>
    </row>
    <row r="2252" ht="15.75" customHeight="1">
      <c r="A2252" s="8"/>
      <c r="B2252" s="8"/>
      <c r="C2252" s="8"/>
      <c r="D2252" s="8">
        <v>13.9513453781044</v>
      </c>
      <c r="E2252" s="9" t="s">
        <v>2261</v>
      </c>
      <c r="I2252" s="12" t="str">
        <f>IFERROR(__xludf.DUMMYFUNCTION("""COMPUTED_VALUE"""),"0xbe9e0c20ee408a3b4cb95bcd672e1de7cefb5cbb")</f>
        <v>0xbe9e0c20ee408a3b4cb95bcd672e1de7cefb5cbb</v>
      </c>
      <c r="J2252" s="11">
        <v>13.9513453781044</v>
      </c>
      <c r="K2252" s="12">
        <v>31.002989729120888</v>
      </c>
      <c r="L2252" s="13">
        <v>3.1002989729120887E19</v>
      </c>
      <c r="M2252" s="9">
        <v>3.1002989729120891E18</v>
      </c>
    </row>
    <row r="2253" ht="15.75" customHeight="1">
      <c r="A2253" s="8"/>
      <c r="B2253" s="8"/>
      <c r="C2253" s="8"/>
      <c r="D2253" s="8">
        <v>12.968956621692</v>
      </c>
      <c r="E2253" s="9" t="s">
        <v>2262</v>
      </c>
      <c r="I2253" s="12" t="str">
        <f>IFERROR(__xludf.DUMMYFUNCTION("""COMPUTED_VALUE"""),"0xbea0a00b67c370b3717b22de03d2bf3140a4f0e6")</f>
        <v>0xbea0a00b67c370b3717b22de03d2bf3140a4f0e6</v>
      </c>
      <c r="J2253" s="11">
        <v>18.618553867756027</v>
      </c>
      <c r="K2253" s="12">
        <v>41.37456415056895</v>
      </c>
      <c r="L2253" s="13">
        <v>4.137456415056895E19</v>
      </c>
      <c r="M2253" s="9">
        <v>4.1374564150568955E18</v>
      </c>
    </row>
    <row r="2254" ht="15.75" customHeight="1">
      <c r="A2254" s="8"/>
      <c r="B2254" s="8"/>
      <c r="C2254" s="8"/>
      <c r="D2254" s="8">
        <v>27.9026907562088</v>
      </c>
      <c r="E2254" s="9" t="s">
        <v>2263</v>
      </c>
      <c r="I2254" s="12" t="str">
        <f>IFERROR(__xludf.DUMMYFUNCTION("""COMPUTED_VALUE"""),"0xbea0beec20c2193983f7e7266c1378a7ec121aee")</f>
        <v>0xbea0beec20c2193983f7e7266c1378a7ec121aee</v>
      </c>
      <c r="J2254" s="11">
        <v>27.9026907562088</v>
      </c>
      <c r="K2254" s="12">
        <v>62.005979458241775</v>
      </c>
      <c r="L2254" s="13">
        <v>6.200597945824177E19</v>
      </c>
      <c r="M2254" s="9">
        <v>6.2005979458241782E18</v>
      </c>
    </row>
    <row r="2255" ht="15.75" customHeight="1">
      <c r="A2255" s="8"/>
      <c r="B2255" s="8"/>
      <c r="C2255" s="8"/>
      <c r="D2255" s="8">
        <v>27.1582171808428</v>
      </c>
      <c r="E2255" s="9" t="s">
        <v>2264</v>
      </c>
      <c r="I2255" s="12" t="str">
        <f>IFERROR(__xludf.DUMMYFUNCTION("""COMPUTED_VALUE"""),"0xbef3784d1c5979e27b9e18f587a79953843dab11")</f>
        <v>0xbef3784d1c5979e27b9e18f587a79953843dab11</v>
      </c>
      <c r="J2255" s="11">
        <v>27.1582171808428</v>
      </c>
      <c r="K2255" s="12">
        <v>60.35159373520622</v>
      </c>
      <c r="L2255" s="13">
        <v>6.035159373520622E19</v>
      </c>
      <c r="M2255" s="9">
        <v>6.0351593735206226E18</v>
      </c>
    </row>
    <row r="2256" ht="15.75" customHeight="1">
      <c r="A2256" s="8"/>
      <c r="B2256" s="8"/>
      <c r="C2256" s="8"/>
      <c r="D2256" s="8">
        <v>27.9026907562088</v>
      </c>
      <c r="E2256" s="9" t="s">
        <v>2265</v>
      </c>
      <c r="I2256" s="12" t="str">
        <f>IFERROR(__xludf.DUMMYFUNCTION("""COMPUTED_VALUE"""),"0xbefbbb230a7de4eff48749971ae62ec9d4ce9782")</f>
        <v>0xbefbbb230a7de4eff48749971ae62ec9d4ce9782</v>
      </c>
      <c r="J2256" s="11">
        <v>102.7947403298856</v>
      </c>
      <c r="K2256" s="12">
        <v>228.43275628863466</v>
      </c>
      <c r="L2256" s="13">
        <v>2.2843275628863465E20</v>
      </c>
      <c r="M2256" s="9">
        <v>2.2843275628863468E19</v>
      </c>
    </row>
    <row r="2257" ht="15.75" customHeight="1">
      <c r="A2257" s="8"/>
      <c r="B2257" s="8"/>
      <c r="C2257" s="8"/>
      <c r="D2257" s="8">
        <v>9.1109360694485</v>
      </c>
      <c r="E2257" s="9" t="s">
        <v>2266</v>
      </c>
      <c r="I2257" s="12" t="str">
        <f>IFERROR(__xludf.DUMMYFUNCTION("""COMPUTED_VALUE"""),"0xbf115122e45671ff168566d2484268bbf4acfac3")</f>
        <v>0xbf115122e45671ff168566d2484268bbf4acfac3</v>
      </c>
      <c r="J2257" s="11">
        <v>9.1109360694485</v>
      </c>
      <c r="K2257" s="12">
        <v>20.246524598774446</v>
      </c>
      <c r="L2257" s="13">
        <v>2.0246524598774444E19</v>
      </c>
      <c r="M2257" s="9">
        <v>2.02465245987744461E18</v>
      </c>
    </row>
    <row r="2258" ht="15.75" customHeight="1">
      <c r="A2258" s="8"/>
      <c r="B2258" s="8"/>
      <c r="C2258" s="8"/>
      <c r="D2258" s="8">
        <v>27.9026907562088</v>
      </c>
      <c r="E2258" s="9" t="s">
        <v>2267</v>
      </c>
      <c r="I2258" s="12" t="str">
        <f>IFERROR(__xludf.DUMMYFUNCTION("""COMPUTED_VALUE"""),"0xbf6ad28484f234a9e358aefc4cd610f6ad92f523")</f>
        <v>0xbf6ad28484f234a9e358aefc4cd610f6ad92f523</v>
      </c>
      <c r="J2258" s="11">
        <v>49.797965603769</v>
      </c>
      <c r="K2258" s="12">
        <v>110.66214578615333</v>
      </c>
      <c r="L2258" s="13">
        <v>1.1066214578615334E20</v>
      </c>
      <c r="M2258" s="9">
        <v>1.1066214578615335E19</v>
      </c>
    </row>
    <row r="2259" ht="15.75" customHeight="1">
      <c r="A2259" s="8"/>
      <c r="B2259" s="8"/>
      <c r="C2259" s="8"/>
      <c r="D2259" s="8">
        <v>27.9026907562088</v>
      </c>
      <c r="E2259" s="9" t="s">
        <v>2268</v>
      </c>
      <c r="I2259" s="12" t="str">
        <f>IFERROR(__xludf.DUMMYFUNCTION("""COMPUTED_VALUE"""),"0xbf7d7ea4521220d424a18f5354ef716d2afce553")</f>
        <v>0xbf7d7ea4521220d424a18f5354ef716d2afce553</v>
      </c>
      <c r="J2259" s="11">
        <v>27.9026907562088</v>
      </c>
      <c r="K2259" s="12">
        <v>62.005979458241775</v>
      </c>
      <c r="L2259" s="13">
        <v>6.200597945824177E19</v>
      </c>
      <c r="M2259" s="9">
        <v>6.2005979458241782E18</v>
      </c>
    </row>
    <row r="2260" ht="15.75" customHeight="1">
      <c r="A2260" s="8"/>
      <c r="B2260" s="8"/>
      <c r="C2260" s="8"/>
      <c r="D2260" s="8">
        <v>18.6484842505099</v>
      </c>
      <c r="E2260" s="9" t="s">
        <v>2269</v>
      </c>
      <c r="I2260" s="12" t="str">
        <f>IFERROR(__xludf.DUMMYFUNCTION("""COMPUTED_VALUE"""),"0xbf8547a5cf288309184c270b4633d1b7630a623d")</f>
        <v>0xbf8547a5cf288309184c270b4633d1b7630a623d</v>
      </c>
      <c r="J2260" s="11">
        <v>18.6484842505099</v>
      </c>
      <c r="K2260" s="12">
        <v>41.44107611224422</v>
      </c>
      <c r="L2260" s="13">
        <v>4.144107611224422E19</v>
      </c>
      <c r="M2260" s="9">
        <v>4.1441076112244224E18</v>
      </c>
    </row>
    <row r="2261" ht="15.75" customHeight="1">
      <c r="A2261" s="8"/>
      <c r="B2261" s="8"/>
      <c r="C2261" s="8"/>
      <c r="D2261" s="8">
        <v>27.9026907562088</v>
      </c>
      <c r="E2261" s="9" t="s">
        <v>2270</v>
      </c>
      <c r="I2261" s="12" t="str">
        <f>IFERROR(__xludf.DUMMYFUNCTION("""COMPUTED_VALUE"""),"0xbf984c6972f092495d5367aa47ad93931d8332fe")</f>
        <v>0xbf984c6972f092495d5367aa47ad93931d8332fe</v>
      </c>
      <c r="J2261" s="11">
        <v>27.9026907562088</v>
      </c>
      <c r="K2261" s="12">
        <v>62.005979458241775</v>
      </c>
      <c r="L2261" s="13">
        <v>6.200597945824177E19</v>
      </c>
      <c r="M2261" s="9">
        <v>6.2005979458241782E18</v>
      </c>
    </row>
    <row r="2262" ht="15.75" customHeight="1">
      <c r="A2262" s="8"/>
      <c r="B2262" s="8"/>
      <c r="C2262" s="8"/>
      <c r="D2262" s="8">
        <v>27.9026907562088</v>
      </c>
      <c r="E2262" s="9" t="s">
        <v>2271</v>
      </c>
      <c r="I2262" s="12" t="str">
        <f>IFERROR(__xludf.DUMMYFUNCTION("""COMPUTED_VALUE"""),"0xbfd139dd89b84f45d9ed02bbf743f584da44f4fe")</f>
        <v>0xbfd139dd89b84f45d9ed02bbf743f584da44f4fe</v>
      </c>
      <c r="J2262" s="11">
        <v>68.3617675862478</v>
      </c>
      <c r="K2262" s="12">
        <v>151.91503908055066</v>
      </c>
      <c r="L2262" s="13">
        <v>1.5191503908055066E20</v>
      </c>
      <c r="M2262" s="9">
        <v>1.5191503908055067E19</v>
      </c>
    </row>
    <row r="2263" ht="15.75" customHeight="1">
      <c r="A2263" s="8"/>
      <c r="B2263" s="8"/>
      <c r="C2263" s="8"/>
      <c r="D2263" s="8">
        <v>18.7124670992588</v>
      </c>
      <c r="E2263" s="9" t="s">
        <v>2272</v>
      </c>
      <c r="I2263" s="12" t="str">
        <f>IFERROR(__xludf.DUMMYFUNCTION("""COMPUTED_VALUE"""),"0xbfdc9f399c26addb8ebc5f50565e2b8609d56212")</f>
        <v>0xbfdc9f399c26addb8ebc5f50565e2b8609d56212</v>
      </c>
      <c r="J2263" s="11">
        <v>61.809656640369</v>
      </c>
      <c r="K2263" s="12">
        <v>137.35479253415332</v>
      </c>
      <c r="L2263" s="13">
        <v>1.3735479253415331E20</v>
      </c>
      <c r="M2263" s="9">
        <v>1.3735479253415332E19</v>
      </c>
    </row>
    <row r="2264" ht="15.75" customHeight="1">
      <c r="A2264" s="8"/>
      <c r="B2264" s="8"/>
      <c r="C2264" s="8"/>
      <c r="D2264" s="8">
        <v>8.20055578641666</v>
      </c>
      <c r="E2264" s="9" t="s">
        <v>2273</v>
      </c>
      <c r="I2264" s="12" t="str">
        <f>IFERROR(__xludf.DUMMYFUNCTION("""COMPUTED_VALUE"""),"0xbfebe373d0afd4cbaf46b76b2d3f4560b83f4cc7")</f>
        <v>0xbfebe373d0afd4cbaf46b76b2d3f4560b83f4cc7</v>
      </c>
      <c r="J2264" s="11">
        <v>8.798810890354167</v>
      </c>
      <c r="K2264" s="12">
        <v>19.552913089675926</v>
      </c>
      <c r="L2264" s="13">
        <v>1.9552913089675928E19</v>
      </c>
      <c r="M2264" s="9">
        <v>1.95529130896759296E18</v>
      </c>
    </row>
    <row r="2265" ht="15.75" customHeight="1">
      <c r="A2265" s="8"/>
      <c r="B2265" s="8"/>
      <c r="C2265" s="8"/>
      <c r="D2265" s="8">
        <v>27.9026907562088</v>
      </c>
      <c r="E2265" s="9" t="s">
        <v>2274</v>
      </c>
      <c r="I2265" s="12" t="str">
        <f>IFERROR(__xludf.DUMMYFUNCTION("""COMPUTED_VALUE"""),"0xbff357034c09fd3f864b73bb7889df4e2c11d768")</f>
        <v>0xbff357034c09fd3f864b73bb7889df4e2c11d768</v>
      </c>
      <c r="J2265" s="11">
        <v>55.4488217909427</v>
      </c>
      <c r="K2265" s="12">
        <v>123.21960397987267</v>
      </c>
      <c r="L2265" s="13">
        <v>1.2321960397987267E20</v>
      </c>
      <c r="M2265" s="9">
        <v>1.2321960397987267E19</v>
      </c>
    </row>
    <row r="2266" ht="15.75" customHeight="1">
      <c r="A2266" s="8"/>
      <c r="B2266" s="8"/>
      <c r="C2266" s="8"/>
      <c r="D2266" s="8">
        <v>27.9026907562088</v>
      </c>
      <c r="E2266" s="9" t="s">
        <v>2275</v>
      </c>
      <c r="I2266" s="12" t="str">
        <f>IFERROR(__xludf.DUMMYFUNCTION("""COMPUTED_VALUE"""),"0xc00d26348737361e0510e782ffd55d2e2f9b453f")</f>
        <v>0xc00d26348737361e0510e782ffd55d2e2f9b453f</v>
      </c>
      <c r="J2266" s="11">
        <v>29.81433990154751</v>
      </c>
      <c r="K2266" s="12">
        <v>66.25408867010557</v>
      </c>
      <c r="L2266" s="13">
        <v>6.6254088670105575E19</v>
      </c>
      <c r="M2266" s="9">
        <v>6.625408867010558E18</v>
      </c>
    </row>
    <row r="2267" ht="15.75" customHeight="1">
      <c r="A2267" s="8"/>
      <c r="B2267" s="8"/>
      <c r="C2267" s="8"/>
      <c r="D2267" s="8">
        <v>27.9026907562088</v>
      </c>
      <c r="E2267" s="9" t="s">
        <v>2276</v>
      </c>
      <c r="I2267" s="12" t="str">
        <f>IFERROR(__xludf.DUMMYFUNCTION("""COMPUTED_VALUE"""),"0xc01d8653c8113015e4d22105965a9f25db39a67c")</f>
        <v>0xc01d8653c8113015e4d22105965a9f25db39a67c</v>
      </c>
      <c r="J2267" s="11">
        <v>91.1199983031448</v>
      </c>
      <c r="K2267" s="12">
        <v>202.48888511809955</v>
      </c>
      <c r="L2267" s="13">
        <v>2.0248888511809955E20</v>
      </c>
      <c r="M2267" s="9">
        <v>2.0248888511809958E19</v>
      </c>
    </row>
    <row r="2268" ht="15.75" customHeight="1">
      <c r="A2268" s="8"/>
      <c r="B2268" s="8"/>
      <c r="C2268" s="8"/>
      <c r="D2268" s="8">
        <v>27.9026907562088</v>
      </c>
      <c r="E2268" s="9" t="s">
        <v>2277</v>
      </c>
      <c r="I2268" s="12" t="str">
        <f>IFERROR(__xludf.DUMMYFUNCTION("""COMPUTED_VALUE"""),"0xc0208277c2a69fbfb3b76ec84b4300fe3d16d896")</f>
        <v>0xc0208277c2a69fbfb3b76ec84b4300fe3d16d896</v>
      </c>
      <c r="J2268" s="11">
        <v>27.9026907562088</v>
      </c>
      <c r="K2268" s="12">
        <v>62.005979458241775</v>
      </c>
      <c r="L2268" s="13">
        <v>6.200597945824177E19</v>
      </c>
      <c r="M2268" s="9">
        <v>6.2005979458241782E18</v>
      </c>
    </row>
    <row r="2269" ht="15.75" customHeight="1">
      <c r="A2269" s="8"/>
      <c r="B2269" s="8"/>
      <c r="C2269" s="8"/>
      <c r="D2269" s="8">
        <v>27.9026907562088</v>
      </c>
      <c r="E2269" s="9" t="s">
        <v>2278</v>
      </c>
      <c r="I2269" s="12" t="str">
        <f>IFERROR(__xludf.DUMMYFUNCTION("""COMPUTED_VALUE"""),"0xc043c68a85570a695b745fe05a64ea12789cab4c")</f>
        <v>0xc043c68a85570a695b745fe05a64ea12789cab4c</v>
      </c>
      <c r="J2269" s="11">
        <v>27.9026907562088</v>
      </c>
      <c r="K2269" s="12">
        <v>62.005979458241775</v>
      </c>
      <c r="L2269" s="13">
        <v>6.200597945824177E19</v>
      </c>
      <c r="M2269" s="9">
        <v>6.2005979458241782E18</v>
      </c>
    </row>
    <row r="2270" ht="15.75" customHeight="1">
      <c r="A2270" s="8"/>
      <c r="B2270" s="8"/>
      <c r="C2270" s="8"/>
      <c r="D2270" s="8">
        <v>27.9026907562088</v>
      </c>
      <c r="E2270" s="9" t="s">
        <v>2279</v>
      </c>
      <c r="I2270" s="12" t="str">
        <f>IFERROR(__xludf.DUMMYFUNCTION("""COMPUTED_VALUE"""),"0xc0be42902e4c73f21dec71fb7dfc2223fd23d082")</f>
        <v>0xc0be42902e4c73f21dec71fb7dfc2223fd23d082</v>
      </c>
      <c r="J2270" s="11">
        <v>91.1199983031448</v>
      </c>
      <c r="K2270" s="12">
        <v>202.48888511809955</v>
      </c>
      <c r="L2270" s="13">
        <v>2.0248888511809955E20</v>
      </c>
      <c r="M2270" s="9">
        <v>2.0248888511809958E19</v>
      </c>
    </row>
    <row r="2271" ht="15.75" customHeight="1">
      <c r="A2271" s="8"/>
      <c r="B2271" s="8"/>
      <c r="C2271" s="8"/>
      <c r="D2271" s="8">
        <v>27.9026907562088</v>
      </c>
      <c r="E2271" s="9" t="s">
        <v>2280</v>
      </c>
      <c r="I2271" s="12" t="str">
        <f>IFERROR(__xludf.DUMMYFUNCTION("""COMPUTED_VALUE"""),"0xc0c7d56a3806208ce6829ca086e305dd498c638c")</f>
        <v>0xc0c7d56a3806208ce6829ca086e305dd498c638c</v>
      </c>
      <c r="J2271" s="11">
        <v>27.9026907562088</v>
      </c>
      <c r="K2271" s="12">
        <v>62.005979458241775</v>
      </c>
      <c r="L2271" s="13">
        <v>6.200597945824177E19</v>
      </c>
      <c r="M2271" s="9">
        <v>6.2005979458241782E18</v>
      </c>
    </row>
    <row r="2272" ht="15.75" customHeight="1">
      <c r="A2272" s="8"/>
      <c r="B2272" s="8"/>
      <c r="C2272" s="8"/>
      <c r="D2272" s="8">
        <v>27.9026907562088</v>
      </c>
      <c r="E2272" s="9" t="s">
        <v>2281</v>
      </c>
      <c r="I2272" s="12" t="str">
        <f>IFERROR(__xludf.DUMMYFUNCTION("""COMPUTED_VALUE"""),"0xc0d94a4b3e31042d07405a77034f0bbd354b7809")</f>
        <v>0xc0d94a4b3e31042d07405a77034f0bbd354b7809</v>
      </c>
      <c r="J2272" s="11">
        <v>27.9026907562088</v>
      </c>
      <c r="K2272" s="12">
        <v>62.005979458241775</v>
      </c>
      <c r="L2272" s="13">
        <v>6.200597945824177E19</v>
      </c>
      <c r="M2272" s="9">
        <v>6.2005979458241782E18</v>
      </c>
    </row>
    <row r="2273" ht="15.75" customHeight="1">
      <c r="A2273" s="8"/>
      <c r="B2273" s="8"/>
      <c r="C2273" s="8"/>
      <c r="D2273" s="8">
        <v>25.685161446039</v>
      </c>
      <c r="E2273" s="9" t="s">
        <v>2282</v>
      </c>
      <c r="I2273" s="12" t="str">
        <f>IFERROR(__xludf.DUMMYFUNCTION("""COMPUTED_VALUE"""),"0xc10ddf21d8016174b6a3d7b6dbb8f57e2a3712a5")</f>
        <v>0xc10ddf21d8016174b6a3d7b6dbb8f57e2a3712a5</v>
      </c>
      <c r="J2273" s="11">
        <v>25.685161446039</v>
      </c>
      <c r="K2273" s="12">
        <v>57.078136546753335</v>
      </c>
      <c r="L2273" s="13">
        <v>5.707813654675333E19</v>
      </c>
      <c r="M2273" s="9">
        <v>5.7078136546753331E18</v>
      </c>
    </row>
    <row r="2274" ht="15.75" customHeight="1">
      <c r="A2274" s="8"/>
      <c r="B2274" s="8"/>
      <c r="C2274" s="8"/>
      <c r="D2274" s="8">
        <v>27.9026907562088</v>
      </c>
      <c r="E2274" s="9" t="s">
        <v>2283</v>
      </c>
      <c r="I2274" s="12" t="str">
        <f>IFERROR(__xludf.DUMMYFUNCTION("""COMPUTED_VALUE"""),"0xc13456a34305e9265e907f70f76b1ba6e2055c8b")</f>
        <v>0xc13456a34305e9265e907f70f76b1ba6e2055c8b</v>
      </c>
      <c r="J2274" s="11">
        <v>91.1199983031448</v>
      </c>
      <c r="K2274" s="12">
        <v>202.48888511809955</v>
      </c>
      <c r="L2274" s="13">
        <v>2.0248888511809955E20</v>
      </c>
      <c r="M2274" s="9">
        <v>2.0248888511809958E19</v>
      </c>
    </row>
    <row r="2275" ht="15.75" customHeight="1">
      <c r="A2275" s="8"/>
      <c r="B2275" s="8"/>
      <c r="C2275" s="8"/>
      <c r="D2275" s="8">
        <v>25.9857934731605</v>
      </c>
      <c r="E2275" s="9" t="s">
        <v>2284</v>
      </c>
      <c r="I2275" s="12" t="str">
        <f>IFERROR(__xludf.DUMMYFUNCTION("""COMPUTED_VALUE"""),"0xc1628ddf809b0e8d70c1c7a0890061dd546f33c1")</f>
        <v>0xc1628ddf809b0e8d70c1c7a0890061dd546f33c1</v>
      </c>
      <c r="J2275" s="11">
        <v>25.9857934731605</v>
      </c>
      <c r="K2275" s="12">
        <v>57.74620771813444</v>
      </c>
      <c r="L2275" s="13">
        <v>5.774620771813444E19</v>
      </c>
      <c r="M2275" s="9">
        <v>5.7746207718134446E18</v>
      </c>
    </row>
    <row r="2276" ht="15.75" customHeight="1">
      <c r="A2276" s="8"/>
      <c r="B2276" s="8"/>
      <c r="C2276" s="8"/>
      <c r="D2276" s="8">
        <v>27.9026907562088</v>
      </c>
      <c r="E2276" s="9" t="s">
        <v>2285</v>
      </c>
      <c r="I2276" s="12" t="str">
        <f>IFERROR(__xludf.DUMMYFUNCTION("""COMPUTED_VALUE"""),"0xc19222d208024384654bfc5e82996915b1df3f43")</f>
        <v>0xc19222d208024384654bfc5e82996915b1df3f43</v>
      </c>
      <c r="J2276" s="11">
        <v>27.9026907562088</v>
      </c>
      <c r="K2276" s="12">
        <v>62.005979458241775</v>
      </c>
      <c r="L2276" s="13">
        <v>6.200597945824177E19</v>
      </c>
      <c r="M2276" s="9">
        <v>6.2005979458241782E18</v>
      </c>
    </row>
    <row r="2277" ht="15.75" customHeight="1">
      <c r="A2277" s="8"/>
      <c r="B2277" s="8"/>
      <c r="C2277" s="8"/>
      <c r="D2277" s="8">
        <v>27.9026907562088</v>
      </c>
      <c r="E2277" s="9" t="s">
        <v>2286</v>
      </c>
      <c r="I2277" s="12" t="str">
        <f>IFERROR(__xludf.DUMMYFUNCTION("""COMPUTED_VALUE"""),"0xc1bfc461639ad16cbd0d4d85b462776014bc3f78")</f>
        <v>0xc1bfc461639ad16cbd0d4d85b462776014bc3f78</v>
      </c>
      <c r="J2277" s="11">
        <v>27.9026907562088</v>
      </c>
      <c r="K2277" s="12">
        <v>62.005979458241775</v>
      </c>
      <c r="L2277" s="13">
        <v>6.200597945824177E19</v>
      </c>
      <c r="M2277" s="9">
        <v>6.2005979458241782E18</v>
      </c>
    </row>
    <row r="2278" ht="15.75" customHeight="1">
      <c r="A2278" s="8"/>
      <c r="B2278" s="8"/>
      <c r="C2278" s="8"/>
      <c r="D2278" s="8">
        <v>27.7305721230924</v>
      </c>
      <c r="E2278" s="9" t="s">
        <v>2287</v>
      </c>
      <c r="I2278" s="12" t="str">
        <f>IFERROR(__xludf.DUMMYFUNCTION("""COMPUTED_VALUE"""),"0xc1da45d6c9a435dc6cac7083f2b09b2f69eae1ba")</f>
        <v>0xc1da45d6c9a435dc6cac7083f2b09b2f69eae1ba</v>
      </c>
      <c r="J2278" s="11">
        <v>29.67222640126452</v>
      </c>
      <c r="K2278" s="12">
        <v>65.93828089169894</v>
      </c>
      <c r="L2278" s="13">
        <v>6.593828089169894E19</v>
      </c>
      <c r="M2278" s="9">
        <v>6.5938280891698944E18</v>
      </c>
    </row>
    <row r="2279" ht="15.75" customHeight="1">
      <c r="A2279" s="8"/>
      <c r="B2279" s="8"/>
      <c r="C2279" s="8"/>
      <c r="D2279" s="8">
        <v>22.643407741078</v>
      </c>
      <c r="E2279" s="9" t="s">
        <v>2288</v>
      </c>
      <c r="I2279" s="12" t="str">
        <f>IFERROR(__xludf.DUMMYFUNCTION("""COMPUTED_VALUE"""),"0xc20fc018d2a1b89e4235a1460fd571ba34270be2")</f>
        <v>0xc20fc018d2a1b89e4235a1460fd571ba34270be2</v>
      </c>
      <c r="J2279" s="11">
        <v>22.643407741078</v>
      </c>
      <c r="K2279" s="12">
        <v>50.31868386906222</v>
      </c>
      <c r="L2279" s="13">
        <v>5.031868386906222E19</v>
      </c>
      <c r="M2279" s="9">
        <v>5.0318683869062216E18</v>
      </c>
    </row>
    <row r="2280" ht="15.75" customHeight="1">
      <c r="A2280" s="8"/>
      <c r="B2280" s="8"/>
      <c r="C2280" s="8"/>
      <c r="D2280" s="8">
        <v>2.51061294632733</v>
      </c>
      <c r="E2280" s="9" t="s">
        <v>2289</v>
      </c>
      <c r="I2280" s="12" t="str">
        <f>IFERROR(__xludf.DUMMYFUNCTION("""COMPUTED_VALUE"""),"0xc2125b7f54c5a7bc36e3012915b13d5692039092")</f>
        <v>0xc2125b7f54c5a7bc36e3012915b13d5692039092</v>
      </c>
      <c r="J2280" s="11">
        <v>2.51061294632733</v>
      </c>
      <c r="K2280" s="12">
        <v>5.5791398807274</v>
      </c>
      <c r="L2280" s="13">
        <v>5.5791398807274004E18</v>
      </c>
      <c r="M2280" s="9">
        <v>5.579139880727401E17</v>
      </c>
    </row>
    <row r="2281" ht="15.75" customHeight="1">
      <c r="A2281" s="8"/>
      <c r="B2281" s="8"/>
      <c r="C2281" s="8"/>
      <c r="D2281" s="8">
        <v>27.9026907562088</v>
      </c>
      <c r="E2281" s="9" t="s">
        <v>2290</v>
      </c>
      <c r="I2281" s="12" t="str">
        <f>IFERROR(__xludf.DUMMYFUNCTION("""COMPUTED_VALUE"""),"0xc213f492cffadd83e6bccacfee85dbe94975bd9e")</f>
        <v>0xc213f492cffadd83e6bccacfee85dbe94975bd9e</v>
      </c>
      <c r="J2281" s="11">
        <v>27.9026907562088</v>
      </c>
      <c r="K2281" s="12">
        <v>62.005979458241775</v>
      </c>
      <c r="L2281" s="13">
        <v>6.200597945824177E19</v>
      </c>
      <c r="M2281" s="9">
        <v>6.2005979458241782E18</v>
      </c>
    </row>
    <row r="2282" ht="15.75" customHeight="1">
      <c r="A2282" s="8"/>
      <c r="B2282" s="8"/>
      <c r="C2282" s="8"/>
      <c r="D2282" s="8">
        <v>24.4804966598294</v>
      </c>
      <c r="E2282" s="9" t="s">
        <v>2291</v>
      </c>
      <c r="I2282" s="12" t="str">
        <f>IFERROR(__xludf.DUMMYFUNCTION("""COMPUTED_VALUE"""),"0xc21738177c76570a17267d15d1bdd237f5cd3236")</f>
        <v>0xc21738177c76570a17267d15d1bdd237f5cd3236</v>
      </c>
      <c r="J2282" s="11">
        <v>24.4804966598294</v>
      </c>
      <c r="K2282" s="12">
        <v>54.40110368850977</v>
      </c>
      <c r="L2282" s="13">
        <v>5.440110368850977E19</v>
      </c>
      <c r="M2282" s="9">
        <v>5.4401103688509768E18</v>
      </c>
    </row>
    <row r="2283" ht="15.75" customHeight="1">
      <c r="A2283" s="8"/>
      <c r="B2283" s="8"/>
      <c r="C2283" s="8"/>
      <c r="D2283" s="8">
        <v>27.9026907562088</v>
      </c>
      <c r="E2283" s="9" t="s">
        <v>2292</v>
      </c>
      <c r="I2283" s="12" t="str">
        <f>IFERROR(__xludf.DUMMYFUNCTION("""COMPUTED_VALUE"""),"0xc218b5dcb7ab41f38108069acf14b651bd0bb632")</f>
        <v>0xc218b5dcb7ab41f38108069acf14b651bd0bb632</v>
      </c>
      <c r="J2283" s="11">
        <v>91.1199983031448</v>
      </c>
      <c r="K2283" s="12">
        <v>202.48888511809955</v>
      </c>
      <c r="L2283" s="13">
        <v>2.0248888511809955E20</v>
      </c>
      <c r="M2283" s="9">
        <v>2.0248888511809958E19</v>
      </c>
    </row>
    <row r="2284" ht="15.75" customHeight="1">
      <c r="A2284" s="8"/>
      <c r="B2284" s="8"/>
      <c r="C2284" s="8"/>
      <c r="D2284" s="8">
        <v>27.6356440480582</v>
      </c>
      <c r="E2284" s="9" t="s">
        <v>2293</v>
      </c>
      <c r="I2284" s="12" t="str">
        <f>IFERROR(__xludf.DUMMYFUNCTION("""COMPUTED_VALUE"""),"0xc219a95b73de62f94364769453c8c42dfe53f770")</f>
        <v>0xc219a95b73de62f94364769453c8c42dfe53f770</v>
      </c>
      <c r="J2284" s="11">
        <v>29.58252729257863</v>
      </c>
      <c r="K2284" s="12">
        <v>65.73894953906361</v>
      </c>
      <c r="L2284" s="13">
        <v>6.573894953906361E19</v>
      </c>
      <c r="M2284" s="9">
        <v>6.5738949539063613E18</v>
      </c>
    </row>
    <row r="2285" ht="15.75" customHeight="1">
      <c r="A2285" s="8"/>
      <c r="B2285" s="8"/>
      <c r="C2285" s="8"/>
      <c r="D2285" s="8">
        <v>27.9026907562088</v>
      </c>
      <c r="E2285" s="9" t="s">
        <v>2294</v>
      </c>
      <c r="I2285" s="12" t="str">
        <f>IFERROR(__xludf.DUMMYFUNCTION("""COMPUTED_VALUE"""),"0xc21abef8f6ea59d2740cd28c279e75968b0b523a")</f>
        <v>0xc21abef8f6ea59d2740cd28c279e75968b0b523a</v>
      </c>
      <c r="J2285" s="11">
        <v>91.1199983031448</v>
      </c>
      <c r="K2285" s="12">
        <v>202.48888511809955</v>
      </c>
      <c r="L2285" s="13">
        <v>2.0248888511809955E20</v>
      </c>
      <c r="M2285" s="9">
        <v>2.0248888511809958E19</v>
      </c>
    </row>
    <row r="2286" ht="15.75" customHeight="1">
      <c r="A2286" s="8"/>
      <c r="B2286" s="8"/>
      <c r="C2286" s="8"/>
      <c r="D2286" s="8">
        <v>27.9026907562088</v>
      </c>
      <c r="E2286" s="9" t="s">
        <v>2295</v>
      </c>
      <c r="I2286" s="12" t="str">
        <f>IFERROR(__xludf.DUMMYFUNCTION("""COMPUTED_VALUE"""),"0xc229eab0b6d74e9d8be4ccf4b22fbc7a46dcae78")</f>
        <v>0xc229eab0b6d74e9d8be4ccf4b22fbc7a46dcae78</v>
      </c>
      <c r="J2286" s="11">
        <v>91.1199983031448</v>
      </c>
      <c r="K2286" s="12">
        <v>202.48888511809955</v>
      </c>
      <c r="L2286" s="13">
        <v>2.0248888511809955E20</v>
      </c>
      <c r="M2286" s="9">
        <v>2.0248888511809958E19</v>
      </c>
    </row>
    <row r="2287" ht="15.75" customHeight="1">
      <c r="A2287" s="8"/>
      <c r="B2287" s="8"/>
      <c r="C2287" s="8"/>
      <c r="D2287" s="8">
        <v>27.9026907562088</v>
      </c>
      <c r="E2287" s="9" t="s">
        <v>2296</v>
      </c>
      <c r="I2287" s="12" t="str">
        <f>IFERROR(__xludf.DUMMYFUNCTION("""COMPUTED_VALUE"""),"0xc22bb52a2272c7039f5268189d4a9fcd05af7943")</f>
        <v>0xc22bb52a2272c7039f5268189d4a9fcd05af7943</v>
      </c>
      <c r="J2287" s="11">
        <v>91.1199983031448</v>
      </c>
      <c r="K2287" s="12">
        <v>202.48888511809955</v>
      </c>
      <c r="L2287" s="13">
        <v>2.0248888511809955E20</v>
      </c>
      <c r="M2287" s="9">
        <v>2.0248888511809958E19</v>
      </c>
    </row>
    <row r="2288" ht="15.75" customHeight="1">
      <c r="A2288" s="8"/>
      <c r="B2288" s="8"/>
      <c r="C2288" s="8"/>
      <c r="D2288" s="8">
        <v>27.9026907562088</v>
      </c>
      <c r="E2288" s="9" t="s">
        <v>2297</v>
      </c>
      <c r="I2288" s="12" t="str">
        <f>IFERROR(__xludf.DUMMYFUNCTION("""COMPUTED_VALUE"""),"0xc233beb7d1722f8b83ad6932015f0aec6102f354")</f>
        <v>0xc233beb7d1722f8b83ad6932015f0aec6102f354</v>
      </c>
      <c r="J2288" s="11">
        <v>27.9026907562088</v>
      </c>
      <c r="K2288" s="12">
        <v>62.005979458241775</v>
      </c>
      <c r="L2288" s="13">
        <v>6.200597945824177E19</v>
      </c>
      <c r="M2288" s="9">
        <v>6.2005979458241782E18</v>
      </c>
    </row>
    <row r="2289" ht="15.75" customHeight="1">
      <c r="A2289" s="8"/>
      <c r="B2289" s="8"/>
      <c r="C2289" s="8"/>
      <c r="D2289" s="8">
        <v>27.9026907562088</v>
      </c>
      <c r="E2289" s="9" t="s">
        <v>2298</v>
      </c>
      <c r="I2289" s="12" t="str">
        <f>IFERROR(__xludf.DUMMYFUNCTION("""COMPUTED_VALUE"""),"0xc2437af081d76c4770c3da471b7afab847259892")</f>
        <v>0xc2437af081d76c4770c3da471b7afab847259892</v>
      </c>
      <c r="J2289" s="11">
        <v>91.1199983031448</v>
      </c>
      <c r="K2289" s="12">
        <v>202.48888511809955</v>
      </c>
      <c r="L2289" s="13">
        <v>2.0248888511809955E20</v>
      </c>
      <c r="M2289" s="9">
        <v>2.0248888511809958E19</v>
      </c>
    </row>
    <row r="2290" ht="15.75" customHeight="1">
      <c r="A2290" s="8"/>
      <c r="B2290" s="8"/>
      <c r="C2290" s="8"/>
      <c r="D2290" s="8">
        <v>27.9026907562088</v>
      </c>
      <c r="E2290" s="9" t="s">
        <v>2299</v>
      </c>
      <c r="I2290" s="12" t="str">
        <f>IFERROR(__xludf.DUMMYFUNCTION("""COMPUTED_VALUE"""),"0xc245c8b69a9850d891b9dd5ae3ab2a777f881d74")</f>
        <v>0xc245c8b69a9850d891b9dd5ae3ab2a777f881d74</v>
      </c>
      <c r="J2290" s="11">
        <v>91.1199983031448</v>
      </c>
      <c r="K2290" s="12">
        <v>202.48888511809955</v>
      </c>
      <c r="L2290" s="13">
        <v>2.0248888511809955E20</v>
      </c>
      <c r="M2290" s="9">
        <v>2.0248888511809958E19</v>
      </c>
    </row>
    <row r="2291" ht="15.75" customHeight="1">
      <c r="A2291" s="8"/>
      <c r="B2291" s="8"/>
      <c r="C2291" s="8"/>
      <c r="D2291" s="8">
        <v>27.226410991257</v>
      </c>
      <c r="E2291" s="9" t="s">
        <v>2300</v>
      </c>
      <c r="I2291" s="12" t="str">
        <f>IFERROR(__xludf.DUMMYFUNCTION("""COMPUTED_VALUE"""),"0xc2516bb280d08c9784dcd7dd8e2622a062a5eb92")</f>
        <v>0xc2516bb280d08c9784dcd7dd8e2622a062a5eb92</v>
      </c>
      <c r="J2291" s="11">
        <v>89.0599289332078</v>
      </c>
      <c r="K2291" s="12">
        <v>197.91095318490622</v>
      </c>
      <c r="L2291" s="13">
        <v>1.979109531849062E20</v>
      </c>
      <c r="M2291" s="9">
        <v>1.9791095318490624E19</v>
      </c>
    </row>
    <row r="2292" ht="15.75" customHeight="1">
      <c r="A2292" s="8"/>
      <c r="B2292" s="8"/>
      <c r="C2292" s="8"/>
      <c r="D2292" s="8">
        <v>27.9026907562088</v>
      </c>
      <c r="E2292" s="9" t="s">
        <v>2301</v>
      </c>
      <c r="I2292" s="12" t="str">
        <f>IFERROR(__xludf.DUMMYFUNCTION("""COMPUTED_VALUE"""),"0xc27523524d84598178abbf18ac5ce93a27c50fcb")</f>
        <v>0xc27523524d84598178abbf18ac5ce93a27c50fcb</v>
      </c>
      <c r="J2292" s="11">
        <v>27.9026907562088</v>
      </c>
      <c r="K2292" s="12">
        <v>62.005979458241775</v>
      </c>
      <c r="L2292" s="13">
        <v>6.200597945824177E19</v>
      </c>
      <c r="M2292" s="9">
        <v>6.2005979458241782E18</v>
      </c>
    </row>
    <row r="2293" ht="15.75" customHeight="1">
      <c r="A2293" s="8"/>
      <c r="B2293" s="8"/>
      <c r="C2293" s="8"/>
      <c r="D2293" s="8">
        <v>23.5711590908426</v>
      </c>
      <c r="E2293" s="9" t="s">
        <v>2302</v>
      </c>
      <c r="I2293" s="12" t="str">
        <f>IFERROR(__xludf.DUMMYFUNCTION("""COMPUTED_VALUE"""),"0xc29b25a76f876be69eb85061de48140d25d4924d")</f>
        <v>0xc29b25a76f876be69eb85061de48140d25d4924d</v>
      </c>
      <c r="J2293" s="11">
        <v>23.5711590908426</v>
      </c>
      <c r="K2293" s="12">
        <v>52.38035353520577</v>
      </c>
      <c r="L2293" s="13">
        <v>5.238035353520577E19</v>
      </c>
      <c r="M2293" s="9">
        <v>5.2380353535205775E18</v>
      </c>
    </row>
    <row r="2294" ht="15.75" customHeight="1">
      <c r="A2294" s="8"/>
      <c r="B2294" s="8"/>
      <c r="C2294" s="8"/>
      <c r="D2294" s="8">
        <v>27.9026907562088</v>
      </c>
      <c r="E2294" s="9" t="s">
        <v>2303</v>
      </c>
      <c r="I2294" s="12" t="str">
        <f>IFERROR(__xludf.DUMMYFUNCTION("""COMPUTED_VALUE"""),"0xc366bbacdeebc699c9e89e3958adf8622e58f9f2")</f>
        <v>0xc366bbacdeebc699c9e89e3958adf8622e58f9f2</v>
      </c>
      <c r="J2294" s="11">
        <v>27.9026907562088</v>
      </c>
      <c r="K2294" s="12">
        <v>62.005979458241775</v>
      </c>
      <c r="L2294" s="13">
        <v>6.200597945824177E19</v>
      </c>
      <c r="M2294" s="9">
        <v>6.2005979458241782E18</v>
      </c>
    </row>
    <row r="2295" ht="15.75" customHeight="1">
      <c r="A2295" s="8"/>
      <c r="B2295" s="8"/>
      <c r="C2295" s="8"/>
      <c r="D2295" s="8">
        <v>14.1042872375608</v>
      </c>
      <c r="E2295" s="9" t="s">
        <v>2304</v>
      </c>
      <c r="I2295" s="12" t="str">
        <f>IFERROR(__xludf.DUMMYFUNCTION("""COMPUTED_VALUE"""),"0xc36c76e898c8a1933c0bf4f6526cae8ac0c11e13")</f>
        <v>0xc36c76e898c8a1933c0bf4f6526cae8ac0c11e13</v>
      </c>
      <c r="J2295" s="11">
        <v>14.1042872375608</v>
      </c>
      <c r="K2295" s="12">
        <v>31.34286052791289</v>
      </c>
      <c r="L2295" s="13">
        <v>3.134286052791289E19</v>
      </c>
      <c r="M2295" s="9">
        <v>3.1342860527912893E18</v>
      </c>
    </row>
    <row r="2296" ht="15.75" customHeight="1">
      <c r="A2296" s="8"/>
      <c r="B2296" s="8"/>
      <c r="C2296" s="8"/>
      <c r="D2296" s="8">
        <v>24.6072630998018</v>
      </c>
      <c r="E2296" s="9" t="s">
        <v>2305</v>
      </c>
      <c r="I2296" s="12" t="str">
        <f>IFERROR(__xludf.DUMMYFUNCTION("""COMPUTED_VALUE"""),"0xc374290eae6f52d50744dd83d2a58c676fb9b3e4")</f>
        <v>0xc374290eae6f52d50744dd83d2a58c676fb9b3e4</v>
      </c>
      <c r="J2296" s="11">
        <v>68.8247430904826</v>
      </c>
      <c r="K2296" s="12">
        <v>152.94387353440578</v>
      </c>
      <c r="L2296" s="13">
        <v>1.5294387353440577E20</v>
      </c>
      <c r="M2296" s="9">
        <v>1.5294387353440578E19</v>
      </c>
    </row>
    <row r="2297" ht="15.75" customHeight="1">
      <c r="A2297" s="8"/>
      <c r="B2297" s="8"/>
      <c r="C2297" s="8"/>
      <c r="D2297" s="8">
        <v>27.9026907562088</v>
      </c>
      <c r="E2297" s="9" t="s">
        <v>2306</v>
      </c>
      <c r="I2297" s="12" t="str">
        <f>IFERROR(__xludf.DUMMYFUNCTION("""COMPUTED_VALUE"""),"0xc382895fdec7930001e85c195e36628ce4bb8200")</f>
        <v>0xc382895fdec7930001e85c195e36628ce4bb8200</v>
      </c>
      <c r="J2297" s="11">
        <v>91.1199983031448</v>
      </c>
      <c r="K2297" s="12">
        <v>202.48888511809955</v>
      </c>
      <c r="L2297" s="13">
        <v>2.0248888511809955E20</v>
      </c>
      <c r="M2297" s="9">
        <v>2.0248888511809958E19</v>
      </c>
    </row>
    <row r="2298" ht="15.75" customHeight="1">
      <c r="A2298" s="8"/>
      <c r="B2298" s="8"/>
      <c r="C2298" s="8"/>
      <c r="D2298" s="8">
        <v>24.166098063806</v>
      </c>
      <c r="E2298" s="9" t="s">
        <v>2307</v>
      </c>
      <c r="I2298" s="12" t="str">
        <f>IFERROR(__xludf.DUMMYFUNCTION("""COMPUTED_VALUE"""),"0xc38a35c4686ae82f51c64b1506483c8732a6ef1b")</f>
        <v>0xc38a35c4686ae82f51c64b1506483c8732a6ef1b</v>
      </c>
      <c r="J2298" s="11">
        <v>24.166098063806</v>
      </c>
      <c r="K2298" s="12">
        <v>53.70244014179111</v>
      </c>
      <c r="L2298" s="13">
        <v>5.370244014179111E19</v>
      </c>
      <c r="M2298" s="9">
        <v>5.3702440141791109E18</v>
      </c>
    </row>
    <row r="2299" ht="15.75" customHeight="1">
      <c r="A2299" s="8"/>
      <c r="B2299" s="8"/>
      <c r="C2299" s="8"/>
      <c r="D2299" s="8">
        <v>27.9026907562088</v>
      </c>
      <c r="E2299" s="9" t="s">
        <v>2308</v>
      </c>
      <c r="I2299" s="12" t="str">
        <f>IFERROR(__xludf.DUMMYFUNCTION("""COMPUTED_VALUE"""),"0xc38cb33426bff1e6264f990824d5f3c06820dfa4")</f>
        <v>0xc38cb33426bff1e6264f990824d5f3c06820dfa4</v>
      </c>
      <c r="J2299" s="11">
        <v>29.848481093998938</v>
      </c>
      <c r="K2299" s="12">
        <v>66.32995798666431</v>
      </c>
      <c r="L2299" s="13">
        <v>6.632995798666431E19</v>
      </c>
      <c r="M2299" s="9">
        <v>6.6329957986664315E18</v>
      </c>
    </row>
    <row r="2300" ht="15.75" customHeight="1">
      <c r="A2300" s="8"/>
      <c r="B2300" s="8"/>
      <c r="C2300" s="8"/>
      <c r="D2300" s="8">
        <v>8.59659667695152</v>
      </c>
      <c r="E2300" s="9" t="s">
        <v>2309</v>
      </c>
      <c r="I2300" s="12" t="str">
        <f>IFERROR(__xludf.DUMMYFUNCTION("""COMPUTED_VALUE"""),"0xc3a41ba30b2e436c957d5d589e555646fa1bee71")</f>
        <v>0xc3a41ba30b2e436c957d5d589e555646fa1bee71</v>
      </c>
      <c r="J2300" s="11">
        <v>8.59659667695152</v>
      </c>
      <c r="K2300" s="12">
        <v>19.10354817100338</v>
      </c>
      <c r="L2300" s="13">
        <v>1.910354817100338E19</v>
      </c>
      <c r="M2300" s="9">
        <v>1.91035481710033818E18</v>
      </c>
    </row>
    <row r="2301" ht="15.75" customHeight="1">
      <c r="A2301" s="8"/>
      <c r="B2301" s="8"/>
      <c r="C2301" s="8"/>
      <c r="D2301" s="8">
        <v>27.9026907562088</v>
      </c>
      <c r="E2301" s="9" t="s">
        <v>2310</v>
      </c>
      <c r="I2301" s="12" t="str">
        <f>IFERROR(__xludf.DUMMYFUNCTION("""COMPUTED_VALUE"""),"0xc3a9acf040d72c6cba9ffcab75bae1127ca11d11")</f>
        <v>0xc3a9acf040d72c6cba9ffcab75bae1127ca11d11</v>
      </c>
      <c r="J2301" s="11">
        <v>27.9026907562088</v>
      </c>
      <c r="K2301" s="12">
        <v>62.005979458241775</v>
      </c>
      <c r="L2301" s="13">
        <v>6.200597945824177E19</v>
      </c>
      <c r="M2301" s="9">
        <v>6.2005979458241782E18</v>
      </c>
    </row>
    <row r="2302" ht="15.75" customHeight="1">
      <c r="A2302" s="8"/>
      <c r="B2302" s="8"/>
      <c r="C2302" s="8"/>
      <c r="D2302" s="8">
        <v>0.758953188568881</v>
      </c>
      <c r="E2302" s="9" t="s">
        <v>2311</v>
      </c>
      <c r="I2302" s="12" t="str">
        <f>IFERROR(__xludf.DUMMYFUNCTION("""COMPUTED_VALUE"""),"0xc3ab2ff2d5466fb16f4d1cd4bf43e6cd18935d0b")</f>
        <v>0xc3ab2ff2d5466fb16f4d1cd4bf43e6cd18935d0b</v>
      </c>
      <c r="J2302" s="11">
        <v>65.92205107329502</v>
      </c>
      <c r="K2302" s="12">
        <v>146.4934468295445</v>
      </c>
      <c r="L2302" s="13">
        <v>1.4649344682954449E20</v>
      </c>
      <c r="M2302" s="9">
        <v>1.4649344682954449E19</v>
      </c>
    </row>
    <row r="2303" ht="15.75" customHeight="1">
      <c r="A2303" s="8"/>
      <c r="B2303" s="8"/>
      <c r="C2303" s="8"/>
      <c r="D2303" s="8">
        <v>11.1048749644595</v>
      </c>
      <c r="E2303" s="9" t="s">
        <v>2312</v>
      </c>
      <c r="I2303" s="12" t="str">
        <f>IFERROR(__xludf.DUMMYFUNCTION("""COMPUTED_VALUE"""),"0xc3dbade79477dda19f0f31fa2a7385aa9f9e41b6")</f>
        <v>0xc3dbade79477dda19f0f31fa2a7385aa9f9e41b6</v>
      </c>
      <c r="J2303" s="11">
        <v>17.21001102645516</v>
      </c>
      <c r="K2303" s="12">
        <v>38.24446894767813</v>
      </c>
      <c r="L2303" s="13">
        <v>3.824446894767813E19</v>
      </c>
      <c r="M2303" s="9">
        <v>3.8244468947678126E18</v>
      </c>
    </row>
    <row r="2304" ht="15.75" customHeight="1">
      <c r="A2304" s="8"/>
      <c r="B2304" s="8"/>
      <c r="C2304" s="8"/>
      <c r="D2304" s="8">
        <v>27.9026907562088</v>
      </c>
      <c r="E2304" s="9" t="s">
        <v>2313</v>
      </c>
      <c r="I2304" s="12" t="str">
        <f>IFERROR(__xludf.DUMMYFUNCTION("""COMPUTED_VALUE"""),"0xc3dd7b1ed2268985705482a7593584eb7fd2b07f")</f>
        <v>0xc3dd7b1ed2268985705482a7593584eb7fd2b07f</v>
      </c>
      <c r="J2304" s="11">
        <v>27.9026907562088</v>
      </c>
      <c r="K2304" s="12">
        <v>62.005979458241775</v>
      </c>
      <c r="L2304" s="13">
        <v>6.200597945824177E19</v>
      </c>
      <c r="M2304" s="9">
        <v>6.2005979458241782E18</v>
      </c>
    </row>
    <row r="2305" ht="15.75" customHeight="1">
      <c r="A2305" s="8"/>
      <c r="B2305" s="8"/>
      <c r="C2305" s="8"/>
      <c r="D2305" s="8">
        <v>27.9026907562088</v>
      </c>
      <c r="E2305" s="9" t="s">
        <v>2314</v>
      </c>
      <c r="I2305" s="12" t="str">
        <f>IFERROR(__xludf.DUMMYFUNCTION("""COMPUTED_VALUE"""),"0xc40bc7031e4767b5499889ea48a991c374651c52")</f>
        <v>0xc40bc7031e4767b5499889ea48a991c374651c52</v>
      </c>
      <c r="J2305" s="11">
        <v>91.1199983031448</v>
      </c>
      <c r="K2305" s="12">
        <v>202.48888511809955</v>
      </c>
      <c r="L2305" s="13">
        <v>2.0248888511809955E20</v>
      </c>
      <c r="M2305" s="9">
        <v>2.0248888511809958E19</v>
      </c>
    </row>
    <row r="2306" ht="15.75" customHeight="1">
      <c r="A2306" s="8"/>
      <c r="B2306" s="8"/>
      <c r="C2306" s="8"/>
      <c r="D2306" s="8">
        <v>27.9026907562088</v>
      </c>
      <c r="E2306" s="9" t="s">
        <v>2315</v>
      </c>
      <c r="I2306" s="12" t="str">
        <f>IFERROR(__xludf.DUMMYFUNCTION("""COMPUTED_VALUE"""),"0xc411c42891efe50ccbee1270912bc7c93190e595")</f>
        <v>0xc411c42891efe50ccbee1270912bc7c93190e595</v>
      </c>
      <c r="J2306" s="11">
        <v>27.9026907562088</v>
      </c>
      <c r="K2306" s="12">
        <v>62.005979458241775</v>
      </c>
      <c r="L2306" s="13">
        <v>6.200597945824177E19</v>
      </c>
      <c r="M2306" s="9">
        <v>6.2005979458241782E18</v>
      </c>
    </row>
    <row r="2307" ht="15.75" customHeight="1">
      <c r="A2307" s="8"/>
      <c r="B2307" s="8"/>
      <c r="C2307" s="8"/>
      <c r="D2307" s="8">
        <v>27.9026907562088</v>
      </c>
      <c r="E2307" s="9" t="s">
        <v>2316</v>
      </c>
      <c r="I2307" s="12" t="str">
        <f>IFERROR(__xludf.DUMMYFUNCTION("""COMPUTED_VALUE"""),"0xc42ec18533a9d3febd511bd55f55c9fe35083f8f")</f>
        <v>0xc42ec18533a9d3febd511bd55f55c9fe35083f8f</v>
      </c>
      <c r="J2307" s="11">
        <v>29.848481093998938</v>
      </c>
      <c r="K2307" s="12">
        <v>66.32995798666431</v>
      </c>
      <c r="L2307" s="13">
        <v>6.632995798666431E19</v>
      </c>
      <c r="M2307" s="9">
        <v>6.6329957986664315E18</v>
      </c>
    </row>
    <row r="2308" ht="15.75" customHeight="1">
      <c r="A2308" s="8"/>
      <c r="B2308" s="8"/>
      <c r="C2308" s="8"/>
      <c r="D2308" s="8">
        <v>27.9026907562088</v>
      </c>
      <c r="E2308" s="9" t="s">
        <v>2317</v>
      </c>
      <c r="I2308" s="12" t="str">
        <f>IFERROR(__xludf.DUMMYFUNCTION("""COMPUTED_VALUE"""),"0xc449d09d85bacd06b9d11ad795e4537132863446")</f>
        <v>0xc449d09d85bacd06b9d11ad795e4537132863446</v>
      </c>
      <c r="J2308" s="11">
        <v>91.1199983031448</v>
      </c>
      <c r="K2308" s="12">
        <v>202.48888511809955</v>
      </c>
      <c r="L2308" s="13">
        <v>2.0248888511809955E20</v>
      </c>
      <c r="M2308" s="9">
        <v>2.0248888511809958E19</v>
      </c>
    </row>
    <row r="2309" ht="15.75" customHeight="1">
      <c r="A2309" s="8"/>
      <c r="B2309" s="8"/>
      <c r="C2309" s="8"/>
      <c r="D2309" s="8">
        <v>25.5139928833742</v>
      </c>
      <c r="E2309" s="9" t="s">
        <v>2318</v>
      </c>
      <c r="I2309" s="12" t="str">
        <f>IFERROR(__xludf.DUMMYFUNCTION("""COMPUTED_VALUE"""),"0xc4519ac7b577975429a432b62fd9af490b98d000")</f>
        <v>0xc4519ac7b577975429a432b62fd9af490b98d000</v>
      </c>
      <c r="J2309" s="11">
        <v>25.5139928833742</v>
      </c>
      <c r="K2309" s="12">
        <v>56.69776196305378</v>
      </c>
      <c r="L2309" s="13">
        <v>5.669776196305378E19</v>
      </c>
      <c r="M2309" s="9">
        <v>5.6697761963053783E18</v>
      </c>
    </row>
    <row r="2310" ht="15.75" customHeight="1">
      <c r="A2310" s="8"/>
      <c r="B2310" s="8"/>
      <c r="C2310" s="8"/>
      <c r="D2310" s="8">
        <v>27.9026907562088</v>
      </c>
      <c r="E2310" s="9" t="s">
        <v>2319</v>
      </c>
      <c r="I2310" s="12" t="str">
        <f>IFERROR(__xludf.DUMMYFUNCTION("""COMPUTED_VALUE"""),"0xc4680721d6f425475cac6afa6ca36f7e1463282a")</f>
        <v>0xc4680721d6f425475cac6afa6ca36f7e1463282a</v>
      </c>
      <c r="J2310" s="11">
        <v>27.9026907562088</v>
      </c>
      <c r="K2310" s="12">
        <v>62.005979458241775</v>
      </c>
      <c r="L2310" s="13">
        <v>6.200597945824177E19</v>
      </c>
      <c r="M2310" s="9">
        <v>6.2005979458241782E18</v>
      </c>
    </row>
    <row r="2311" ht="15.75" customHeight="1">
      <c r="A2311" s="8"/>
      <c r="B2311" s="8"/>
      <c r="C2311" s="8"/>
      <c r="D2311" s="8">
        <v>3.19392075995826</v>
      </c>
      <c r="E2311" s="9" t="s">
        <v>2320</v>
      </c>
      <c r="I2311" s="12" t="str">
        <f>IFERROR(__xludf.DUMMYFUNCTION("""COMPUTED_VALUE"""),"0xc4831adef453ddd5b1183c3d6fe3c4c94dd88e7a")</f>
        <v>0xc4831adef453ddd5b1183c3d6fe3c4c94dd88e7a</v>
      </c>
      <c r="J2311" s="11">
        <v>3.19392075995826</v>
      </c>
      <c r="K2311" s="12">
        <v>7.097601688796134</v>
      </c>
      <c r="L2311" s="13">
        <v>7.0976016887961344E18</v>
      </c>
      <c r="M2311" s="9">
        <v>7.0976016887961344E17</v>
      </c>
    </row>
    <row r="2312" ht="15.75" customHeight="1">
      <c r="A2312" s="8"/>
      <c r="B2312" s="8"/>
      <c r="C2312" s="8"/>
      <c r="D2312" s="8">
        <v>27.9026907562088</v>
      </c>
      <c r="E2312" s="9" t="s">
        <v>2321</v>
      </c>
      <c r="I2312" s="12" t="str">
        <f>IFERROR(__xludf.DUMMYFUNCTION("""COMPUTED_VALUE"""),"0xc485a40c286182e4767d1cf382c382011dd82bf6")</f>
        <v>0xc485a40c286182e4767d1cf382c382011dd82bf6</v>
      </c>
      <c r="J2312" s="11">
        <v>91.1199982980874</v>
      </c>
      <c r="K2312" s="12">
        <v>202.48888510686086</v>
      </c>
      <c r="L2312" s="13">
        <v>2.0248888510686085E20</v>
      </c>
      <c r="M2312" s="9">
        <v>2.0248888510686085E19</v>
      </c>
    </row>
    <row r="2313" ht="15.75" customHeight="1">
      <c r="A2313" s="8"/>
      <c r="B2313" s="8"/>
      <c r="C2313" s="8"/>
      <c r="D2313" s="8">
        <v>27.9026907562088</v>
      </c>
      <c r="E2313" s="9" t="s">
        <v>2322</v>
      </c>
      <c r="I2313" s="12" t="str">
        <f>IFERROR(__xludf.DUMMYFUNCTION("""COMPUTED_VALUE"""),"0xc48f0a509f8d7ef050022a78df5fefa0fc3a2feb")</f>
        <v>0xc48f0a509f8d7ef050022a78df5fefa0fc3a2feb</v>
      </c>
      <c r="J2313" s="11">
        <v>95.02609584983814</v>
      </c>
      <c r="K2313" s="12">
        <v>211.1691018885292</v>
      </c>
      <c r="L2313" s="13">
        <v>2.111691018885292E20</v>
      </c>
      <c r="M2313" s="9">
        <v>2.111691018885292E19</v>
      </c>
    </row>
    <row r="2314" ht="15.75" customHeight="1">
      <c r="A2314" s="8"/>
      <c r="B2314" s="8"/>
      <c r="C2314" s="8"/>
      <c r="D2314" s="8">
        <v>27.9026907562088</v>
      </c>
      <c r="E2314" s="9" t="s">
        <v>2323</v>
      </c>
      <c r="I2314" s="12" t="str">
        <f>IFERROR(__xludf.DUMMYFUNCTION("""COMPUTED_VALUE"""),"0xc4abbc0b2844ab76e3db900eb96eee88a78f9500")</f>
        <v>0xc4abbc0b2844ab76e3db900eb96eee88a78f9500</v>
      </c>
      <c r="J2314" s="11">
        <v>73.7411184855598</v>
      </c>
      <c r="K2314" s="12">
        <v>163.86915219013287</v>
      </c>
      <c r="L2314" s="13">
        <v>1.6386915219013288E20</v>
      </c>
      <c r="M2314" s="9">
        <v>1.6386915219013288E19</v>
      </c>
    </row>
    <row r="2315" ht="15.75" customHeight="1">
      <c r="A2315" s="8"/>
      <c r="B2315" s="8"/>
      <c r="C2315" s="8"/>
      <c r="D2315" s="8">
        <v>27.9026907562088</v>
      </c>
      <c r="E2315" s="9" t="s">
        <v>2324</v>
      </c>
      <c r="I2315" s="12" t="str">
        <f>IFERROR(__xludf.DUMMYFUNCTION("""COMPUTED_VALUE"""),"0xc4b1bb0c1c8c29e234f1884b7787c7e14e1bc0a1")</f>
        <v>0xc4b1bb0c1c8c29e234f1884b7787c7e14e1bc0a1</v>
      </c>
      <c r="J2315" s="11">
        <v>113.3857502728752</v>
      </c>
      <c r="K2315" s="12">
        <v>251.96833393972267</v>
      </c>
      <c r="L2315" s="13">
        <v>2.5196833393972268E20</v>
      </c>
      <c r="M2315" s="9">
        <v>2.519683339397227E19</v>
      </c>
    </row>
    <row r="2316" ht="15.75" customHeight="1">
      <c r="A2316" s="8"/>
      <c r="B2316" s="8"/>
      <c r="C2316" s="8"/>
      <c r="D2316" s="8">
        <v>27.9026907562088</v>
      </c>
      <c r="E2316" s="9" t="s">
        <v>2325</v>
      </c>
      <c r="I2316" s="12" t="str">
        <f>IFERROR(__xludf.DUMMYFUNCTION("""COMPUTED_VALUE"""),"0xc4b7c1ba140d6ce202b37b7d582c86b9f8e5d01d")</f>
        <v>0xc4b7c1ba140d6ce202b37b7d582c86b9f8e5d01d</v>
      </c>
      <c r="J2316" s="11">
        <v>27.9026907562088</v>
      </c>
      <c r="K2316" s="12">
        <v>62.005979458241775</v>
      </c>
      <c r="L2316" s="13">
        <v>6.200597945824177E19</v>
      </c>
      <c r="M2316" s="9">
        <v>6.2005979458241782E18</v>
      </c>
    </row>
    <row r="2317" ht="15.75" customHeight="1">
      <c r="A2317" s="8"/>
      <c r="B2317" s="8"/>
      <c r="C2317" s="8"/>
      <c r="D2317" s="8">
        <v>4.92336563590753</v>
      </c>
      <c r="E2317" s="9" t="s">
        <v>2326</v>
      </c>
      <c r="I2317" s="12" t="str">
        <f>IFERROR(__xludf.DUMMYFUNCTION("""COMPUTED_VALUE"""),"0xc4d8456659364091424e14b49e086dc2f04cc111")</f>
        <v>0xc4d8456659364091424e14b49e086dc2f04cc111</v>
      </c>
      <c r="J2317" s="11">
        <v>4.92336563590753</v>
      </c>
      <c r="K2317" s="12">
        <v>10.940812524238956</v>
      </c>
      <c r="L2317" s="13">
        <v>1.0940812524238957E19</v>
      </c>
      <c r="M2317" s="9">
        <v>1.09408125242389568E18</v>
      </c>
    </row>
    <row r="2318" ht="15.75" customHeight="1">
      <c r="A2318" s="8"/>
      <c r="B2318" s="8"/>
      <c r="C2318" s="8"/>
      <c r="D2318" s="8">
        <v>26.0888326433694</v>
      </c>
      <c r="E2318" s="9" t="s">
        <v>2327</v>
      </c>
      <c r="I2318" s="12" t="str">
        <f>IFERROR(__xludf.DUMMYFUNCTION("""COMPUTED_VALUE"""),"0xc4f82b240afb34be1ec3c777ea740adc96391246")</f>
        <v>0xc4f82b240afb34be1ec3c777ea740adc96391246</v>
      </c>
      <c r="J2318" s="11">
        <v>92.86944505977007</v>
      </c>
      <c r="K2318" s="12">
        <v>206.37654457726683</v>
      </c>
      <c r="L2318" s="13">
        <v>2.063765445772668E20</v>
      </c>
      <c r="M2318" s="9">
        <v>2.063765445772668E19</v>
      </c>
    </row>
    <row r="2319" ht="15.75" customHeight="1">
      <c r="A2319" s="8"/>
      <c r="B2319" s="8"/>
      <c r="C2319" s="8"/>
      <c r="D2319" s="8">
        <v>27.9026907562088</v>
      </c>
      <c r="E2319" s="9" t="s">
        <v>2328</v>
      </c>
      <c r="I2319" s="12" t="str">
        <f>IFERROR(__xludf.DUMMYFUNCTION("""COMPUTED_VALUE"""),"0xc5063a157362676a666a06006ae836057724651b")</f>
        <v>0xc5063a157362676a666a06006ae836057724651b</v>
      </c>
      <c r="J2319" s="11">
        <v>27.9026907562088</v>
      </c>
      <c r="K2319" s="12">
        <v>62.005979458241775</v>
      </c>
      <c r="L2319" s="13">
        <v>6.200597945824177E19</v>
      </c>
      <c r="M2319" s="9">
        <v>6.2005979458241782E18</v>
      </c>
    </row>
    <row r="2320" ht="15.75" customHeight="1">
      <c r="A2320" s="8"/>
      <c r="B2320" s="8"/>
      <c r="C2320" s="8"/>
      <c r="D2320" s="8">
        <v>26.3399726732723</v>
      </c>
      <c r="E2320" s="9" t="s">
        <v>2329</v>
      </c>
      <c r="I2320" s="12" t="str">
        <f>IFERROR(__xludf.DUMMYFUNCTION("""COMPUTED_VALUE"""),"0xc51a3ebf353f9b9f71f6aae6c3716e66bb21f0f7")</f>
        <v>0xc51a3ebf353f9b9f71f6aae6c3716e66bb21f0f7</v>
      </c>
      <c r="J2320" s="11">
        <v>85.82419108980659</v>
      </c>
      <c r="K2320" s="12">
        <v>190.72042464401463</v>
      </c>
      <c r="L2320" s="13">
        <v>1.9072042464401464E20</v>
      </c>
      <c r="M2320" s="9">
        <v>1.9072042464401465E19</v>
      </c>
    </row>
    <row r="2321" ht="15.75" customHeight="1">
      <c r="A2321" s="8"/>
      <c r="B2321" s="8"/>
      <c r="C2321" s="8"/>
      <c r="D2321" s="8">
        <v>27.9026907562088</v>
      </c>
      <c r="E2321" s="9" t="s">
        <v>2330</v>
      </c>
      <c r="I2321" s="12" t="str">
        <f>IFERROR(__xludf.DUMMYFUNCTION("""COMPUTED_VALUE"""),"0xc52930c66d9cf8a3a3cf26922f6cbd15953eaf33")</f>
        <v>0xc52930c66d9cf8a3a3cf26922f6cbd15953eaf33</v>
      </c>
      <c r="J2321" s="11">
        <v>91.1199983031448</v>
      </c>
      <c r="K2321" s="12">
        <v>202.48888511809955</v>
      </c>
      <c r="L2321" s="13">
        <v>2.0248888511809955E20</v>
      </c>
      <c r="M2321" s="9">
        <v>2.0248888511809958E19</v>
      </c>
    </row>
    <row r="2322" ht="15.75" customHeight="1">
      <c r="A2322" s="8"/>
      <c r="B2322" s="8"/>
      <c r="C2322" s="8"/>
      <c r="D2322" s="8">
        <v>27.9026907562088</v>
      </c>
      <c r="E2322" s="9" t="s">
        <v>2331</v>
      </c>
      <c r="I2322" s="12" t="str">
        <f>IFERROR(__xludf.DUMMYFUNCTION("""COMPUTED_VALUE"""),"0xc53834e1dedc8945c233505b40ec3e80eee6e02b")</f>
        <v>0xc53834e1dedc8945c233505b40ec3e80eee6e02b</v>
      </c>
      <c r="J2322" s="11">
        <v>91.1199983031448</v>
      </c>
      <c r="K2322" s="12">
        <v>202.48888511809955</v>
      </c>
      <c r="L2322" s="13">
        <v>2.0248888511809955E20</v>
      </c>
      <c r="M2322" s="9">
        <v>2.0248888511809958E19</v>
      </c>
    </row>
    <row r="2323" ht="15.75" customHeight="1">
      <c r="A2323" s="8"/>
      <c r="B2323" s="8"/>
      <c r="C2323" s="8"/>
      <c r="D2323" s="8">
        <v>27.9026907562088</v>
      </c>
      <c r="E2323" s="9" t="s">
        <v>2332</v>
      </c>
      <c r="I2323" s="12" t="str">
        <f>IFERROR(__xludf.DUMMYFUNCTION("""COMPUTED_VALUE"""),"0xc57943ce0f9d7d181c33b6875639ef7a4208fc70")</f>
        <v>0xc57943ce0f9d7d181c33b6875639ef7a4208fc70</v>
      </c>
      <c r="J2323" s="11">
        <v>107.02590769353449</v>
      </c>
      <c r="K2323" s="12">
        <v>237.83535043007663</v>
      </c>
      <c r="L2323" s="13">
        <v>2.3783535043007663E20</v>
      </c>
      <c r="M2323" s="9">
        <v>2.3783535043007664E19</v>
      </c>
    </row>
    <row r="2324" ht="15.75" customHeight="1">
      <c r="A2324" s="8"/>
      <c r="B2324" s="8"/>
      <c r="C2324" s="8"/>
      <c r="D2324" s="8">
        <v>27.9026907562088</v>
      </c>
      <c r="E2324" s="9" t="s">
        <v>2333</v>
      </c>
      <c r="I2324" s="12" t="str">
        <f>IFERROR(__xludf.DUMMYFUNCTION("""COMPUTED_VALUE"""),"0xc5817c87daff11abd66cf371cedd9fdc11aaeecf")</f>
        <v>0xc5817c87daff11abd66cf371cedd9fdc11aaeecf</v>
      </c>
      <c r="J2324" s="11">
        <v>27.9026907562088</v>
      </c>
      <c r="K2324" s="12">
        <v>62.005979458241775</v>
      </c>
      <c r="L2324" s="13">
        <v>6.200597945824177E19</v>
      </c>
      <c r="M2324" s="9">
        <v>6.2005979458241782E18</v>
      </c>
    </row>
    <row r="2325" ht="15.75" customHeight="1">
      <c r="A2325" s="8"/>
      <c r="B2325" s="8"/>
      <c r="C2325" s="8"/>
      <c r="D2325" s="8">
        <v>27.9026907562088</v>
      </c>
      <c r="E2325" s="9" t="s">
        <v>2334</v>
      </c>
      <c r="I2325" s="12" t="str">
        <f>IFERROR(__xludf.DUMMYFUNCTION("""COMPUTED_VALUE"""),"0xc5a1122af56e03b96e213a3d7f64ec46f7d1c8b4")</f>
        <v>0xc5a1122af56e03b96e213a3d7f64ec46f7d1c8b4</v>
      </c>
      <c r="J2325" s="11">
        <v>29.848481093998938</v>
      </c>
      <c r="K2325" s="12">
        <v>66.32995798666431</v>
      </c>
      <c r="L2325" s="13">
        <v>6.632995798666431E19</v>
      </c>
      <c r="M2325" s="9">
        <v>6.6329957986664315E18</v>
      </c>
    </row>
    <row r="2326" ht="15.75" customHeight="1">
      <c r="A2326" s="8"/>
      <c r="B2326" s="8"/>
      <c r="C2326" s="8"/>
      <c r="D2326" s="8">
        <v>27.9026907562088</v>
      </c>
      <c r="E2326" s="9" t="s">
        <v>2335</v>
      </c>
      <c r="I2326" s="12" t="str">
        <f>IFERROR(__xludf.DUMMYFUNCTION("""COMPUTED_VALUE"""),"0xc5a444017b9975b80f4fd030bbfea138058a5e67")</f>
        <v>0xc5a444017b9975b80f4fd030bbfea138058a5e67</v>
      </c>
      <c r="J2326" s="11">
        <v>93.49413565906985</v>
      </c>
      <c r="K2326" s="12">
        <v>207.7647459090441</v>
      </c>
      <c r="L2326" s="13">
        <v>2.0776474590904412E20</v>
      </c>
      <c r="M2326" s="9">
        <v>2.0776474590904414E19</v>
      </c>
    </row>
    <row r="2327" ht="15.75" customHeight="1">
      <c r="A2327" s="8"/>
      <c r="B2327" s="8"/>
      <c r="C2327" s="8"/>
      <c r="D2327" s="8">
        <v>27.9026907562088</v>
      </c>
      <c r="E2327" s="9" t="s">
        <v>2336</v>
      </c>
      <c r="I2327" s="12" t="str">
        <f>IFERROR(__xludf.DUMMYFUNCTION("""COMPUTED_VALUE"""),"0xc5a651c5e83d5de93ed8de3eb0d000d4bdf61713")</f>
        <v>0xc5a651c5e83d5de93ed8de3eb0d000d4bdf61713</v>
      </c>
      <c r="J2327" s="11">
        <v>106.6863210054659</v>
      </c>
      <c r="K2327" s="12">
        <v>237.08071334547978</v>
      </c>
      <c r="L2327" s="13">
        <v>2.3708071334547977E20</v>
      </c>
      <c r="M2327" s="9">
        <v>2.370807133454798E19</v>
      </c>
    </row>
    <row r="2328" ht="15.75" customHeight="1">
      <c r="A2328" s="8"/>
      <c r="B2328" s="8"/>
      <c r="C2328" s="8"/>
      <c r="D2328" s="8">
        <v>8.40404651561493</v>
      </c>
      <c r="E2328" s="9" t="s">
        <v>2337</v>
      </c>
      <c r="I2328" s="12" t="str">
        <f>IFERROR(__xludf.DUMMYFUNCTION("""COMPUTED_VALUE"""),"0xc5a75ab0a01d24d186b087f4633420e32c213653")</f>
        <v>0xc5a75ab0a01d24d186b087f4633420e32c213653</v>
      </c>
      <c r="J2328" s="11">
        <v>8.40404651561493</v>
      </c>
      <c r="K2328" s="12">
        <v>18.67565892358873</v>
      </c>
      <c r="L2328" s="13">
        <v>1.867565892358873E19</v>
      </c>
      <c r="M2328" s="9">
        <v>1.86756589235887309E18</v>
      </c>
    </row>
    <row r="2329" ht="15.75" customHeight="1">
      <c r="A2329" s="8"/>
      <c r="B2329" s="8"/>
      <c r="C2329" s="8"/>
      <c r="D2329" s="8">
        <v>27.9026907562088</v>
      </c>
      <c r="E2329" s="9" t="s">
        <v>2338</v>
      </c>
      <c r="I2329" s="12" t="str">
        <f>IFERROR(__xludf.DUMMYFUNCTION("""COMPUTED_VALUE"""),"0xc5b06d5b65370302f8e33b6af7b8f2ff31c0ab09")</f>
        <v>0xc5b06d5b65370302f8e33b6af7b8f2ff31c0ab09</v>
      </c>
      <c r="J2329" s="11">
        <v>40.9137515035104</v>
      </c>
      <c r="K2329" s="12">
        <v>90.91944778557865</v>
      </c>
      <c r="L2329" s="13">
        <v>9.091944778557866E19</v>
      </c>
      <c r="M2329" s="9">
        <v>9.091944778557866E18</v>
      </c>
    </row>
    <row r="2330" ht="15.75" customHeight="1">
      <c r="A2330" s="8"/>
      <c r="B2330" s="8"/>
      <c r="C2330" s="8"/>
      <c r="D2330" s="8">
        <v>27.9026907562088</v>
      </c>
      <c r="E2330" s="9" t="s">
        <v>2339</v>
      </c>
      <c r="I2330" s="12" t="str">
        <f>IFERROR(__xludf.DUMMYFUNCTION("""COMPUTED_VALUE"""),"0xc5b15520f95aa7178f38910d1d30dc2abb98e45a")</f>
        <v>0xc5b15520f95aa7178f38910d1d30dc2abb98e45a</v>
      </c>
      <c r="J2330" s="11">
        <v>27.9026907562088</v>
      </c>
      <c r="K2330" s="12">
        <v>62.005979458241775</v>
      </c>
      <c r="L2330" s="13">
        <v>6.200597945824177E19</v>
      </c>
      <c r="M2330" s="9">
        <v>6.2005979458241782E18</v>
      </c>
    </row>
    <row r="2331" ht="15.75" customHeight="1">
      <c r="A2331" s="8"/>
      <c r="B2331" s="8"/>
      <c r="C2331" s="8"/>
      <c r="D2331" s="8">
        <v>27.9026907562088</v>
      </c>
      <c r="E2331" s="9" t="s">
        <v>2340</v>
      </c>
      <c r="I2331" s="12" t="str">
        <f>IFERROR(__xludf.DUMMYFUNCTION("""COMPUTED_VALUE"""),"0xc5d85c5dd04c755f4cb094f2349a21a68f73df3e")</f>
        <v>0xc5d85c5dd04c755f4cb094f2349a21a68f73df3e</v>
      </c>
      <c r="J2331" s="11">
        <v>91.1199983031448</v>
      </c>
      <c r="K2331" s="12">
        <v>202.48888511809955</v>
      </c>
      <c r="L2331" s="13">
        <v>2.0248888511809955E20</v>
      </c>
      <c r="M2331" s="9">
        <v>2.0248888511809958E19</v>
      </c>
    </row>
    <row r="2332" ht="15.75" customHeight="1">
      <c r="A2332" s="8"/>
      <c r="B2332" s="8"/>
      <c r="C2332" s="8"/>
      <c r="D2332" s="8">
        <v>27.9026907562088</v>
      </c>
      <c r="E2332" s="9" t="s">
        <v>2341</v>
      </c>
      <c r="I2332" s="12" t="str">
        <f>IFERROR(__xludf.DUMMYFUNCTION("""COMPUTED_VALUE"""),"0xc5ef2512f25ca019fe540cb81b330cdaf5643bbe")</f>
        <v>0xc5ef2512f25ca019fe540cb81b330cdaf5643bbe</v>
      </c>
      <c r="J2332" s="11">
        <v>91.1199983031448</v>
      </c>
      <c r="K2332" s="12">
        <v>202.48888511809955</v>
      </c>
      <c r="L2332" s="13">
        <v>2.0248888511809955E20</v>
      </c>
      <c r="M2332" s="9">
        <v>2.0248888511809958E19</v>
      </c>
    </row>
    <row r="2333" ht="15.75" customHeight="1">
      <c r="A2333" s="8"/>
      <c r="B2333" s="8"/>
      <c r="C2333" s="8"/>
      <c r="D2333" s="8">
        <v>23.1254300105876</v>
      </c>
      <c r="E2333" s="9" t="s">
        <v>2342</v>
      </c>
      <c r="I2333" s="12" t="str">
        <f>IFERROR(__xludf.DUMMYFUNCTION("""COMPUTED_VALUE"""),"0xc61098e444096b46564553217bd1962881009961")</f>
        <v>0xc61098e444096b46564553217bd1962881009961</v>
      </c>
      <c r="J2333" s="11">
        <v>23.1254300105876</v>
      </c>
      <c r="K2333" s="12">
        <v>51.389844467972445</v>
      </c>
      <c r="L2333" s="13">
        <v>5.138984446797245E19</v>
      </c>
      <c r="M2333" s="9">
        <v>5.1389844467972454E18</v>
      </c>
    </row>
    <row r="2334" ht="15.75" customHeight="1">
      <c r="A2334" s="8"/>
      <c r="B2334" s="8"/>
      <c r="C2334" s="8"/>
      <c r="D2334" s="8">
        <v>27.9026907562088</v>
      </c>
      <c r="E2334" s="9" t="s">
        <v>2343</v>
      </c>
      <c r="I2334" s="12" t="str">
        <f>IFERROR(__xludf.DUMMYFUNCTION("""COMPUTED_VALUE"""),"0xc6172bc971420c9dfe39b8f2921cd38e67be8865")</f>
        <v>0xc6172bc971420c9dfe39b8f2921cd38e67be8865</v>
      </c>
      <c r="J2334" s="11">
        <v>27.9026907562088</v>
      </c>
      <c r="K2334" s="12">
        <v>62.005979458241775</v>
      </c>
      <c r="L2334" s="13">
        <v>6.200597945824177E19</v>
      </c>
      <c r="M2334" s="9">
        <v>6.2005979458241782E18</v>
      </c>
    </row>
    <row r="2335" ht="15.75" customHeight="1">
      <c r="A2335" s="8"/>
      <c r="B2335" s="8"/>
      <c r="C2335" s="8"/>
      <c r="D2335" s="8">
        <v>27.9026907562088</v>
      </c>
      <c r="E2335" s="9" t="s">
        <v>2344</v>
      </c>
      <c r="I2335" s="12" t="str">
        <f>IFERROR(__xludf.DUMMYFUNCTION("""COMPUTED_VALUE"""),"0xc634f7bf06a10b28e3854d7b61b10adbe894a399")</f>
        <v>0xc634f7bf06a10b28e3854d7b61b10adbe894a399</v>
      </c>
      <c r="J2335" s="11">
        <v>271.2860133018388</v>
      </c>
      <c r="K2335" s="12">
        <v>602.8578073374196</v>
      </c>
      <c r="L2335" s="13">
        <v>6.028578073374196E20</v>
      </c>
      <c r="M2335" s="9">
        <v>6.028578073374196E19</v>
      </c>
    </row>
    <row r="2336" ht="15.75" customHeight="1">
      <c r="A2336" s="8"/>
      <c r="B2336" s="8"/>
      <c r="C2336" s="8"/>
      <c r="D2336" s="8">
        <v>27.1489182599774</v>
      </c>
      <c r="E2336" s="9" t="s">
        <v>2345</v>
      </c>
      <c r="I2336" s="12" t="str">
        <f>IFERROR(__xludf.DUMMYFUNCTION("""COMPUTED_VALUE"""),"0xc638466721325846c3937e36da15df5fdc22c3d7")</f>
        <v>0xc638466721325846c3937e36da15df5fdc22c3d7</v>
      </c>
      <c r="J2336" s="11">
        <v>27.1489182599774</v>
      </c>
      <c r="K2336" s="12">
        <v>60.33092946661644</v>
      </c>
      <c r="L2336" s="13">
        <v>6.033092946661644E19</v>
      </c>
      <c r="M2336" s="9">
        <v>6.0330929466616443E18</v>
      </c>
    </row>
    <row r="2337" ht="15.75" customHeight="1">
      <c r="A2337" s="8"/>
      <c r="B2337" s="8"/>
      <c r="C2337" s="8"/>
      <c r="D2337" s="8">
        <v>27.9026907562088</v>
      </c>
      <c r="E2337" s="9" t="s">
        <v>2346</v>
      </c>
      <c r="I2337" s="12" t="str">
        <f>IFERROR(__xludf.DUMMYFUNCTION("""COMPUTED_VALUE"""),"0xc647e0cbf52716bb7b7ad6c2ba1554c70d8444b2")</f>
        <v>0xc647e0cbf52716bb7b7ad6c2ba1554c70d8444b2</v>
      </c>
      <c r="J2337" s="11">
        <v>27.9026907562088</v>
      </c>
      <c r="K2337" s="12">
        <v>62.005979458241775</v>
      </c>
      <c r="L2337" s="13">
        <v>6.200597945824177E19</v>
      </c>
      <c r="M2337" s="9">
        <v>6.2005979458241782E18</v>
      </c>
    </row>
    <row r="2338" ht="15.75" customHeight="1">
      <c r="A2338" s="8"/>
      <c r="B2338" s="8"/>
      <c r="C2338" s="8"/>
      <c r="D2338" s="8">
        <v>20.0766746062964</v>
      </c>
      <c r="E2338" s="9" t="s">
        <v>2347</v>
      </c>
      <c r="I2338" s="12" t="str">
        <f>IFERROR(__xludf.DUMMYFUNCTION("""COMPUTED_VALUE"""),"0xc65aa07a7134b08a558cbc29aba93cebdfb02a33")</f>
        <v>0xc65aa07a7134b08a558cbc29aba93cebdfb02a33</v>
      </c>
      <c r="J2338" s="11">
        <v>66.244718035667</v>
      </c>
      <c r="K2338" s="12">
        <v>147.21048452370445</v>
      </c>
      <c r="L2338" s="13">
        <v>1.4721048452370445E20</v>
      </c>
      <c r="M2338" s="9">
        <v>1.4721048452370446E19</v>
      </c>
    </row>
    <row r="2339" ht="15.75" customHeight="1">
      <c r="A2339" s="8"/>
      <c r="B2339" s="8"/>
      <c r="C2339" s="8"/>
      <c r="D2339" s="8">
        <v>27.9026907562088</v>
      </c>
      <c r="E2339" s="9" t="s">
        <v>2348</v>
      </c>
      <c r="I2339" s="12" t="str">
        <f>IFERROR(__xludf.DUMMYFUNCTION("""COMPUTED_VALUE"""),"0xc662e72d7baaab0684b57bbf6c4e2e0bc565a9f3")</f>
        <v>0xc662e72d7baaab0684b57bbf6c4e2e0bc565a9f3</v>
      </c>
      <c r="J2339" s="11">
        <v>91.1199983031448</v>
      </c>
      <c r="K2339" s="12">
        <v>202.48888511809955</v>
      </c>
      <c r="L2339" s="13">
        <v>2.0248888511809955E20</v>
      </c>
      <c r="M2339" s="9">
        <v>2.0248888511809958E19</v>
      </c>
    </row>
    <row r="2340" ht="15.75" customHeight="1">
      <c r="A2340" s="8"/>
      <c r="B2340" s="8"/>
      <c r="C2340" s="8"/>
      <c r="D2340" s="8">
        <v>27.9026907562088</v>
      </c>
      <c r="E2340" s="9" t="s">
        <v>2349</v>
      </c>
      <c r="I2340" s="12" t="str">
        <f>IFERROR(__xludf.DUMMYFUNCTION("""COMPUTED_VALUE"""),"0xc67751ee412ad017b599617b19f86a1a5365790b")</f>
        <v>0xc67751ee412ad017b599617b19f86a1a5365790b</v>
      </c>
      <c r="J2340" s="11">
        <v>27.9026907562088</v>
      </c>
      <c r="K2340" s="12">
        <v>62.005979458241775</v>
      </c>
      <c r="L2340" s="13">
        <v>6.200597945824177E19</v>
      </c>
      <c r="M2340" s="9">
        <v>6.2005979458241782E18</v>
      </c>
    </row>
    <row r="2341" ht="15.75" customHeight="1">
      <c r="A2341" s="8"/>
      <c r="B2341" s="8"/>
      <c r="C2341" s="8"/>
      <c r="D2341" s="8">
        <v>27.9026907562088</v>
      </c>
      <c r="E2341" s="9" t="s">
        <v>2350</v>
      </c>
      <c r="I2341" s="12" t="str">
        <f>IFERROR(__xludf.DUMMYFUNCTION("""COMPUTED_VALUE"""),"0xc689ea08511a71f93e1628c7ce039d22cfe0bf4e")</f>
        <v>0xc689ea08511a71f93e1628c7ce039d22cfe0bf4e</v>
      </c>
      <c r="J2341" s="11">
        <v>27.9026907562088</v>
      </c>
      <c r="K2341" s="12">
        <v>62.005979458241775</v>
      </c>
      <c r="L2341" s="13">
        <v>6.200597945824177E19</v>
      </c>
      <c r="M2341" s="9">
        <v>6.2005979458241782E18</v>
      </c>
    </row>
    <row r="2342" ht="15.75" customHeight="1">
      <c r="A2342" s="8"/>
      <c r="B2342" s="8"/>
      <c r="C2342" s="8"/>
      <c r="D2342" s="8">
        <v>27.9026907562088</v>
      </c>
      <c r="E2342" s="9" t="s">
        <v>2351</v>
      </c>
      <c r="I2342" s="12" t="str">
        <f>IFERROR(__xludf.DUMMYFUNCTION("""COMPUTED_VALUE"""),"0xc69ab4e730d6ff3ead00a2ea031252689c111c9f")</f>
        <v>0xc69ab4e730d6ff3ead00a2ea031252689c111c9f</v>
      </c>
      <c r="J2342" s="11">
        <v>27.9026907562088</v>
      </c>
      <c r="K2342" s="12">
        <v>62.005979458241775</v>
      </c>
      <c r="L2342" s="13">
        <v>6.200597945824177E19</v>
      </c>
      <c r="M2342" s="9">
        <v>6.2005979458241782E18</v>
      </c>
    </row>
    <row r="2343" ht="15.75" customHeight="1">
      <c r="A2343" s="8"/>
      <c r="B2343" s="8"/>
      <c r="C2343" s="8"/>
      <c r="D2343" s="8">
        <v>27.9026907562088</v>
      </c>
      <c r="E2343" s="9" t="s">
        <v>2352</v>
      </c>
      <c r="I2343" s="12" t="str">
        <f>IFERROR(__xludf.DUMMYFUNCTION("""COMPUTED_VALUE"""),"0xc69b07c24d76f3d5314784d519ba4e7fc3baa641")</f>
        <v>0xc69b07c24d76f3d5314784d519ba4e7fc3baa641</v>
      </c>
      <c r="J2343" s="11">
        <v>27.9026907562088</v>
      </c>
      <c r="K2343" s="12">
        <v>62.005979458241775</v>
      </c>
      <c r="L2343" s="13">
        <v>6.200597945824177E19</v>
      </c>
      <c r="M2343" s="9">
        <v>6.2005979458241782E18</v>
      </c>
    </row>
    <row r="2344" ht="15.75" customHeight="1">
      <c r="A2344" s="8"/>
      <c r="B2344" s="8"/>
      <c r="C2344" s="8"/>
      <c r="D2344" s="8">
        <v>27.9026907562088</v>
      </c>
      <c r="E2344" s="9" t="s">
        <v>2353</v>
      </c>
      <c r="I2344" s="12" t="str">
        <f>IFERROR(__xludf.DUMMYFUNCTION("""COMPUTED_VALUE"""),"0xc6bba850c99db423899723ce0bcb589b3f7fd443")</f>
        <v>0xc6bba850c99db423899723ce0bcb589b3f7fd443</v>
      </c>
      <c r="J2344" s="11">
        <v>27.9026907562088</v>
      </c>
      <c r="K2344" s="12">
        <v>62.005979458241775</v>
      </c>
      <c r="L2344" s="13">
        <v>6.200597945824177E19</v>
      </c>
      <c r="M2344" s="9">
        <v>6.2005979458241782E18</v>
      </c>
    </row>
    <row r="2345" ht="15.75" customHeight="1">
      <c r="A2345" s="8"/>
      <c r="B2345" s="8"/>
      <c r="C2345" s="8"/>
      <c r="D2345" s="8">
        <v>27.6567168291653</v>
      </c>
      <c r="E2345" s="9" t="s">
        <v>2354</v>
      </c>
      <c r="I2345" s="12" t="str">
        <f>IFERROR(__xludf.DUMMYFUNCTION("""COMPUTED_VALUE"""),"0xc6caebb4ab4074c487a84a74e9684b3ed2691424")</f>
        <v>0xc6caebb4ab4074c487a84a74e9684b3ed2691424</v>
      </c>
      <c r="J2345" s="11">
        <v>27.6567168291653</v>
      </c>
      <c r="K2345" s="12">
        <v>61.459370731478444</v>
      </c>
      <c r="L2345" s="13">
        <v>6.145937073147844E19</v>
      </c>
      <c r="M2345" s="9">
        <v>6.1459370731478446E18</v>
      </c>
    </row>
    <row r="2346" ht="15.75" customHeight="1">
      <c r="A2346" s="8"/>
      <c r="B2346" s="8"/>
      <c r="C2346" s="8"/>
      <c r="D2346" s="8">
        <v>27.9026907562088</v>
      </c>
      <c r="E2346" s="9" t="s">
        <v>2355</v>
      </c>
      <c r="I2346" s="12" t="str">
        <f>IFERROR(__xludf.DUMMYFUNCTION("""COMPUTED_VALUE"""),"0xc6d1849af21de257fdfa67271d64529d5cd01881")</f>
        <v>0xc6d1849af21de257fdfa67271d64529d5cd01881</v>
      </c>
      <c r="J2346" s="11">
        <v>91.1199983031448</v>
      </c>
      <c r="K2346" s="12">
        <v>202.48888511809955</v>
      </c>
      <c r="L2346" s="13">
        <v>2.0248888511809955E20</v>
      </c>
      <c r="M2346" s="9">
        <v>2.0248888511809958E19</v>
      </c>
    </row>
    <row r="2347" ht="15.75" customHeight="1">
      <c r="A2347" s="8"/>
      <c r="B2347" s="8"/>
      <c r="C2347" s="8"/>
      <c r="D2347" s="8">
        <v>19.3606732098451</v>
      </c>
      <c r="E2347" s="9" t="s">
        <v>2356</v>
      </c>
      <c r="I2347" s="12" t="str">
        <f>IFERROR(__xludf.DUMMYFUNCTION("""COMPUTED_VALUE"""),"0xc6d2486088828445b6f5a342ab73db74a07311a5")</f>
        <v>0xc6d2486088828445b6f5a342ab73db74a07311a5</v>
      </c>
      <c r="J2347" s="11">
        <v>19.3606732098451</v>
      </c>
      <c r="K2347" s="12">
        <v>43.02371824410022</v>
      </c>
      <c r="L2347" s="13">
        <v>4.302371824410023E19</v>
      </c>
      <c r="M2347" s="9">
        <v>4.3023718244100229E18</v>
      </c>
    </row>
    <row r="2348" ht="15.75" customHeight="1">
      <c r="A2348" s="8"/>
      <c r="B2348" s="8"/>
      <c r="C2348" s="8"/>
      <c r="D2348" s="8">
        <v>27.2574185979598</v>
      </c>
      <c r="E2348" s="9" t="s">
        <v>2357</v>
      </c>
      <c r="I2348" s="12" t="str">
        <f>IFERROR(__xludf.DUMMYFUNCTION("""COMPUTED_VALUE"""),"0xc6db8392d5d6ae5761f4c915e3cd04b47d9f9948")</f>
        <v>0xc6db8392d5d6ae5761f4c915e3cd04b47d9f9948</v>
      </c>
      <c r="J2348" s="11">
        <v>27.2574185979598</v>
      </c>
      <c r="K2348" s="12">
        <v>60.57204132879955</v>
      </c>
      <c r="L2348" s="13">
        <v>6.057204132879955E19</v>
      </c>
      <c r="M2348" s="9">
        <v>6.0572041328799549E18</v>
      </c>
    </row>
    <row r="2349" ht="15.75" customHeight="1">
      <c r="A2349" s="8"/>
      <c r="B2349" s="8"/>
      <c r="C2349" s="8"/>
      <c r="D2349" s="8">
        <v>27.9026907562088</v>
      </c>
      <c r="E2349" s="9" t="s">
        <v>2358</v>
      </c>
      <c r="I2349" s="12" t="str">
        <f>IFERROR(__xludf.DUMMYFUNCTION("""COMPUTED_VALUE"""),"0xc6f1d794d9a07267d1adfbff69caabba4bb11f51")</f>
        <v>0xc6f1d794d9a07267d1adfbff69caabba4bb11f51</v>
      </c>
      <c r="J2349" s="11">
        <v>2961.6125590600345</v>
      </c>
      <c r="K2349" s="12">
        <v>6581.361242355632</v>
      </c>
      <c r="L2349" s="13">
        <v>6.581361242355632E21</v>
      </c>
      <c r="M2349" s="9">
        <v>6.581361242355633E20</v>
      </c>
    </row>
    <row r="2350" ht="15.75" customHeight="1">
      <c r="A2350" s="8"/>
      <c r="B2350" s="8"/>
      <c r="C2350" s="8"/>
      <c r="D2350" s="8">
        <v>27.9026907562088</v>
      </c>
      <c r="E2350" s="9" t="s">
        <v>2359</v>
      </c>
      <c r="I2350" s="12" t="str">
        <f>IFERROR(__xludf.DUMMYFUNCTION("""COMPUTED_VALUE"""),"0xc74992d8c1216db6237d5e9fbfd0d50b83a934ec")</f>
        <v>0xc74992d8c1216db6237d5e9fbfd0d50b83a934ec</v>
      </c>
      <c r="J2350" s="11">
        <v>27.9026907562088</v>
      </c>
      <c r="K2350" s="12">
        <v>62.005979458241775</v>
      </c>
      <c r="L2350" s="13">
        <v>6.200597945824177E19</v>
      </c>
      <c r="M2350" s="9">
        <v>6.2005979458241782E18</v>
      </c>
    </row>
    <row r="2351" ht="15.75" customHeight="1">
      <c r="A2351" s="8"/>
      <c r="B2351" s="8"/>
      <c r="C2351" s="8"/>
      <c r="D2351" s="8">
        <v>27.9026907562088</v>
      </c>
      <c r="E2351" s="9" t="s">
        <v>2360</v>
      </c>
      <c r="I2351" s="12" t="str">
        <f>IFERROR(__xludf.DUMMYFUNCTION("""COMPUTED_VALUE"""),"0xc765bacb8950756ad405767288266fd9671beb6d")</f>
        <v>0xc765bacb8950756ad405767288266fd9671beb6d</v>
      </c>
      <c r="J2351" s="11">
        <v>91.1199983031448</v>
      </c>
      <c r="K2351" s="12">
        <v>202.48888511809955</v>
      </c>
      <c r="L2351" s="13">
        <v>2.0248888511809955E20</v>
      </c>
      <c r="M2351" s="9">
        <v>2.0248888511809958E19</v>
      </c>
    </row>
    <row r="2352" ht="15.75" customHeight="1">
      <c r="A2352" s="8"/>
      <c r="B2352" s="8"/>
      <c r="C2352" s="8"/>
      <c r="D2352" s="8">
        <v>27.9026907562088</v>
      </c>
      <c r="E2352" s="9" t="s">
        <v>2361</v>
      </c>
      <c r="I2352" s="12" t="str">
        <f>IFERROR(__xludf.DUMMYFUNCTION("""COMPUTED_VALUE"""),"0xc7811fac3b4519132769ceebb15a7ffe40e097ec")</f>
        <v>0xc7811fac3b4519132769ceebb15a7ffe40e097ec</v>
      </c>
      <c r="J2352" s="11">
        <v>91.1199983031448</v>
      </c>
      <c r="K2352" s="12">
        <v>202.48888511809955</v>
      </c>
      <c r="L2352" s="13">
        <v>2.0248888511809955E20</v>
      </c>
      <c r="M2352" s="9">
        <v>2.0248888511809958E19</v>
      </c>
    </row>
    <row r="2353" ht="15.75" customHeight="1">
      <c r="A2353" s="8"/>
      <c r="B2353" s="8"/>
      <c r="C2353" s="8"/>
      <c r="D2353" s="8">
        <v>27.9026907562088</v>
      </c>
      <c r="E2353" s="9" t="s">
        <v>2362</v>
      </c>
      <c r="I2353" s="12" t="str">
        <f>IFERROR(__xludf.DUMMYFUNCTION("""COMPUTED_VALUE"""),"0xc7c130ccf8225a6ea9eb49a306b090bd89ed71a1")</f>
        <v>0xc7c130ccf8225a6ea9eb49a306b090bd89ed71a1</v>
      </c>
      <c r="J2353" s="11">
        <v>87.0359301300321</v>
      </c>
      <c r="K2353" s="12">
        <v>193.413178066738</v>
      </c>
      <c r="L2353" s="13">
        <v>1.93413178066738E20</v>
      </c>
      <c r="M2353" s="9">
        <v>1.93413178066738E19</v>
      </c>
    </row>
    <row r="2354" ht="15.75" customHeight="1">
      <c r="A2354" s="8"/>
      <c r="B2354" s="8"/>
      <c r="C2354" s="8"/>
      <c r="D2354" s="8">
        <v>27.9026907562088</v>
      </c>
      <c r="E2354" s="9" t="s">
        <v>2363</v>
      </c>
      <c r="I2354" s="12" t="str">
        <f>IFERROR(__xludf.DUMMYFUNCTION("""COMPUTED_VALUE"""),"0xc7c50dd1acf186cfc5db9daba5bfcbd176147e93")</f>
        <v>0xc7c50dd1acf186cfc5db9daba5bfcbd176147e93</v>
      </c>
      <c r="J2354" s="11">
        <v>91.1199983031448</v>
      </c>
      <c r="K2354" s="12">
        <v>202.48888511809955</v>
      </c>
      <c r="L2354" s="13">
        <v>2.0248888511809955E20</v>
      </c>
      <c r="M2354" s="9">
        <v>2.0248888511809958E19</v>
      </c>
    </row>
    <row r="2355" ht="15.75" customHeight="1">
      <c r="A2355" s="8"/>
      <c r="B2355" s="8"/>
      <c r="C2355" s="8"/>
      <c r="D2355" s="8">
        <v>26.1745073170402</v>
      </c>
      <c r="E2355" s="9" t="s">
        <v>2364</v>
      </c>
      <c r="I2355" s="12" t="str">
        <f>IFERROR(__xludf.DUMMYFUNCTION("""COMPUTED_VALUE"""),"0xc7c53721dd281d8c590c548f3c35a3412403e60b")</f>
        <v>0xc7c53721dd281d8c590c548f3c35a3412403e60b</v>
      </c>
      <c r="J2355" s="11">
        <v>26.1745073170402</v>
      </c>
      <c r="K2355" s="12">
        <v>58.16557181564488</v>
      </c>
      <c r="L2355" s="13">
        <v>5.816557181564488E19</v>
      </c>
      <c r="M2355" s="9">
        <v>5.8165571815644887E18</v>
      </c>
    </row>
    <row r="2356" ht="15.75" customHeight="1">
      <c r="A2356" s="8"/>
      <c r="B2356" s="8"/>
      <c r="C2356" s="8"/>
      <c r="D2356" s="8">
        <v>27.9026907562088</v>
      </c>
      <c r="E2356" s="9" t="s">
        <v>2365</v>
      </c>
      <c r="I2356" s="12" t="str">
        <f>IFERROR(__xludf.DUMMYFUNCTION("""COMPUTED_VALUE"""),"0xc7e671084d38b4de80c3a8f2f0f30b39153b3e92")</f>
        <v>0xc7e671084d38b4de80c3a8f2f0f30b39153b3e92</v>
      </c>
      <c r="J2356" s="11">
        <v>27.9026907562088</v>
      </c>
      <c r="K2356" s="12">
        <v>62.005979458241775</v>
      </c>
      <c r="L2356" s="13">
        <v>6.200597945824177E19</v>
      </c>
      <c r="M2356" s="9">
        <v>6.2005979458241782E18</v>
      </c>
    </row>
    <row r="2357" ht="15.75" customHeight="1">
      <c r="A2357" s="8"/>
      <c r="B2357" s="8"/>
      <c r="C2357" s="8"/>
      <c r="D2357" s="8">
        <v>19.395002866896</v>
      </c>
      <c r="E2357" s="9" t="s">
        <v>2366</v>
      </c>
      <c r="I2357" s="12" t="str">
        <f>IFERROR(__xludf.DUMMYFUNCTION("""COMPUTED_VALUE"""),"0xc7f4eba65d2fd3fa4909ca73fe5bdbfb629f282b")</f>
        <v>0xc7f4eba65d2fd3fa4909ca73fe5bdbfb629f282b</v>
      </c>
      <c r="J2357" s="11">
        <v>19.395002866896</v>
      </c>
      <c r="K2357" s="12">
        <v>43.10000637088</v>
      </c>
      <c r="L2357" s="13">
        <v>4.3100006370880004E19</v>
      </c>
      <c r="M2357" s="9">
        <v>4.3100006370880005E18</v>
      </c>
    </row>
    <row r="2358" ht="15.75" customHeight="1">
      <c r="A2358" s="8"/>
      <c r="B2358" s="8"/>
      <c r="C2358" s="8"/>
      <c r="D2358" s="8">
        <v>27.9026907562088</v>
      </c>
      <c r="E2358" s="9" t="s">
        <v>2367</v>
      </c>
      <c r="I2358" s="12" t="str">
        <f>IFERROR(__xludf.DUMMYFUNCTION("""COMPUTED_VALUE"""),"0xc7f89cc5580b8b5ce042c5d4fc49d24d4ec689a1")</f>
        <v>0xc7f89cc5580b8b5ce042c5d4fc49d24d4ec689a1</v>
      </c>
      <c r="J2358" s="11">
        <v>27.9026907562088</v>
      </c>
      <c r="K2358" s="12">
        <v>62.005979458241775</v>
      </c>
      <c r="L2358" s="13">
        <v>6.200597945824177E19</v>
      </c>
      <c r="M2358" s="9">
        <v>6.2005979458241782E18</v>
      </c>
    </row>
    <row r="2359" ht="15.75" customHeight="1">
      <c r="A2359" s="8"/>
      <c r="B2359" s="8"/>
      <c r="C2359" s="8"/>
      <c r="D2359" s="8">
        <v>27.9026907562088</v>
      </c>
      <c r="E2359" s="9" t="s">
        <v>2368</v>
      </c>
      <c r="I2359" s="12" t="str">
        <f>IFERROR(__xludf.DUMMYFUNCTION("""COMPUTED_VALUE"""),"0xc7fa401d9d520c540ad0dacd275b67ae6aec91de")</f>
        <v>0xc7fa401d9d520c540ad0dacd275b67ae6aec91de</v>
      </c>
      <c r="J2359" s="11">
        <v>27.9026907562088</v>
      </c>
      <c r="K2359" s="12">
        <v>62.005979458241775</v>
      </c>
      <c r="L2359" s="13">
        <v>6.200597945824177E19</v>
      </c>
      <c r="M2359" s="9">
        <v>6.2005979458241782E18</v>
      </c>
    </row>
    <row r="2360" ht="15.75" customHeight="1">
      <c r="A2360" s="8"/>
      <c r="B2360" s="8"/>
      <c r="C2360" s="8"/>
      <c r="D2360" s="8">
        <v>6.41334155567509</v>
      </c>
      <c r="E2360" s="9" t="s">
        <v>2369</v>
      </c>
      <c r="I2360" s="12" t="str">
        <f>IFERROR(__xludf.DUMMYFUNCTION("""COMPUTED_VALUE"""),"0xc818e913984193e4c11b5c61339551f32cf26711")</f>
        <v>0xc818e913984193e4c11b5c61339551f32cf26711</v>
      </c>
      <c r="J2360" s="11">
        <v>6.5479088144957975</v>
      </c>
      <c r="K2360" s="12">
        <v>14.550908476657327</v>
      </c>
      <c r="L2360" s="13">
        <v>1.4550908476657326E19</v>
      </c>
      <c r="M2360" s="9">
        <v>1.45509084766573261E18</v>
      </c>
    </row>
    <row r="2361" ht="15.75" customHeight="1">
      <c r="A2361" s="8"/>
      <c r="B2361" s="8"/>
      <c r="C2361" s="8"/>
      <c r="D2361" s="8">
        <v>26.2854504666501</v>
      </c>
      <c r="E2361" s="9" t="s">
        <v>2370</v>
      </c>
      <c r="I2361" s="12" t="str">
        <f>IFERROR(__xludf.DUMMYFUNCTION("""COMPUTED_VALUE"""),"0xc81d1733f229aa5196f5d5f2f78614c40489208d")</f>
        <v>0xc81d1733f229aa5196f5d5f2f78614c40489208d</v>
      </c>
      <c r="J2361" s="11">
        <v>26.2854504666501</v>
      </c>
      <c r="K2361" s="12">
        <v>58.41211214811133</v>
      </c>
      <c r="L2361" s="13">
        <v>5.8412112148111335E19</v>
      </c>
      <c r="M2361" s="9">
        <v>5.841211214811134E18</v>
      </c>
    </row>
    <row r="2362" ht="15.75" customHeight="1">
      <c r="A2362" s="8"/>
      <c r="B2362" s="8"/>
      <c r="C2362" s="8"/>
      <c r="D2362" s="8">
        <v>24.1724945336186</v>
      </c>
      <c r="E2362" s="9" t="s">
        <v>2371</v>
      </c>
      <c r="I2362" s="12" t="str">
        <f>IFERROR(__xludf.DUMMYFUNCTION("""COMPUTED_VALUE"""),"0xc8220a969545c2c0ba555b64fb2e5d46f55dc9b4")</f>
        <v>0xc8220a969545c2c0ba555b64fb2e5d46f55dc9b4</v>
      </c>
      <c r="J2362" s="11">
        <v>24.1724945336186</v>
      </c>
      <c r="K2362" s="12">
        <v>53.71665451915244</v>
      </c>
      <c r="L2362" s="13">
        <v>5.371665451915244E19</v>
      </c>
      <c r="M2362" s="9">
        <v>5.3716654519152445E18</v>
      </c>
    </row>
    <row r="2363" ht="15.75" customHeight="1">
      <c r="A2363" s="8"/>
      <c r="B2363" s="8"/>
      <c r="C2363" s="8"/>
      <c r="D2363" s="8">
        <v>27.9026907562088</v>
      </c>
      <c r="E2363" s="9" t="s">
        <v>2372</v>
      </c>
      <c r="I2363" s="12" t="str">
        <f>IFERROR(__xludf.DUMMYFUNCTION("""COMPUTED_VALUE"""),"0xc825c4ed0ce2607939a201f12b591f015d634090")</f>
        <v>0xc825c4ed0ce2607939a201f12b591f015d634090</v>
      </c>
      <c r="J2363" s="11">
        <v>157.276896753784</v>
      </c>
      <c r="K2363" s="12">
        <v>349.5042150084089</v>
      </c>
      <c r="L2363" s="13">
        <v>3.495042150084089E20</v>
      </c>
      <c r="M2363" s="9">
        <v>3.495042150084089E19</v>
      </c>
    </row>
    <row r="2364" ht="15.75" customHeight="1">
      <c r="A2364" s="8"/>
      <c r="B2364" s="8"/>
      <c r="C2364" s="8"/>
      <c r="D2364" s="8">
        <v>27.9026907562088</v>
      </c>
      <c r="E2364" s="9" t="s">
        <v>2373</v>
      </c>
      <c r="I2364" s="12" t="str">
        <f>IFERROR(__xludf.DUMMYFUNCTION("""COMPUTED_VALUE"""),"0xc82f4f59719bf7857a3a90b07d42de343b2bc194")</f>
        <v>0xc82f4f59719bf7857a3a90b07d42de343b2bc194</v>
      </c>
      <c r="J2364" s="11">
        <v>27.9026907562088</v>
      </c>
      <c r="K2364" s="12">
        <v>62.005979458241775</v>
      </c>
      <c r="L2364" s="13">
        <v>6.200597945824177E19</v>
      </c>
      <c r="M2364" s="9">
        <v>6.2005979458241782E18</v>
      </c>
    </row>
    <row r="2365" ht="15.75" customHeight="1">
      <c r="A2365" s="8"/>
      <c r="B2365" s="8"/>
      <c r="C2365" s="8"/>
      <c r="D2365" s="8">
        <v>27.9026907562088</v>
      </c>
      <c r="E2365" s="9" t="s">
        <v>2374</v>
      </c>
      <c r="I2365" s="12" t="str">
        <f>IFERROR(__xludf.DUMMYFUNCTION("""COMPUTED_VALUE"""),"0xc8385829ebb0c989545250aa6113c4fa6a13a84d")</f>
        <v>0xc8385829ebb0c989545250aa6113c4fa6a13a84d</v>
      </c>
      <c r="J2365" s="11">
        <v>27.9026907562088</v>
      </c>
      <c r="K2365" s="12">
        <v>62.005979458241775</v>
      </c>
      <c r="L2365" s="13">
        <v>6.200597945824177E19</v>
      </c>
      <c r="M2365" s="9">
        <v>6.2005979458241782E18</v>
      </c>
    </row>
    <row r="2366" ht="15.75" customHeight="1">
      <c r="A2366" s="8"/>
      <c r="B2366" s="8"/>
      <c r="C2366" s="8"/>
      <c r="D2366" s="8">
        <v>27.9026907562088</v>
      </c>
      <c r="E2366" s="9" t="s">
        <v>2375</v>
      </c>
      <c r="I2366" s="12" t="str">
        <f>IFERROR(__xludf.DUMMYFUNCTION("""COMPUTED_VALUE"""),"0xc857e7167fc7a3ac3f45ba8b80c0cbbe6d3c2b21")</f>
        <v>0xc857e7167fc7a3ac3f45ba8b80c0cbbe6d3c2b21</v>
      </c>
      <c r="J2366" s="11">
        <v>91.1199983031448</v>
      </c>
      <c r="K2366" s="12">
        <v>202.48888511809955</v>
      </c>
      <c r="L2366" s="13">
        <v>2.0248888511809955E20</v>
      </c>
      <c r="M2366" s="9">
        <v>2.0248888511809958E19</v>
      </c>
    </row>
    <row r="2367" ht="15.75" customHeight="1">
      <c r="A2367" s="8"/>
      <c r="B2367" s="8"/>
      <c r="C2367" s="8"/>
      <c r="D2367" s="8">
        <v>18.4138420732958</v>
      </c>
      <c r="E2367" s="9" t="s">
        <v>2376</v>
      </c>
      <c r="I2367" s="12" t="str">
        <f>IFERROR(__xludf.DUMMYFUNCTION("""COMPUTED_VALUE"""),"0xc85a5c0df9f79c05d18fd1a4e0702af609b34350")</f>
        <v>0xc85a5c0df9f79c05d18fd1a4e0702af609b34350</v>
      </c>
      <c r="J2367" s="11">
        <v>19.72132903796809</v>
      </c>
      <c r="K2367" s="12">
        <v>43.825175639929085</v>
      </c>
      <c r="L2367" s="13">
        <v>4.382517563992909E19</v>
      </c>
      <c r="M2367" s="9">
        <v>4.3825175639929088E18</v>
      </c>
    </row>
    <row r="2368" ht="15.75" customHeight="1">
      <c r="A2368" s="8"/>
      <c r="B2368" s="8"/>
      <c r="C2368" s="8"/>
      <c r="D2368" s="8">
        <v>27.9026907562088</v>
      </c>
      <c r="E2368" s="9" t="s">
        <v>2377</v>
      </c>
      <c r="I2368" s="12" t="str">
        <f>IFERROR(__xludf.DUMMYFUNCTION("""COMPUTED_VALUE"""),"0xc87a69f30a36c1ecd98b9c404be1b8b088b872ee")</f>
        <v>0xc87a69f30a36c1ecd98b9c404be1b8b088b872ee</v>
      </c>
      <c r="J2368" s="11">
        <v>91.1199983031448</v>
      </c>
      <c r="K2368" s="12">
        <v>202.48888511809955</v>
      </c>
      <c r="L2368" s="13">
        <v>2.0248888511809955E20</v>
      </c>
      <c r="M2368" s="9">
        <v>2.0248888511809958E19</v>
      </c>
    </row>
    <row r="2369" ht="15.75" customHeight="1">
      <c r="A2369" s="8"/>
      <c r="B2369" s="8"/>
      <c r="C2369" s="8"/>
      <c r="D2369" s="8">
        <v>27.9026907562088</v>
      </c>
      <c r="E2369" s="9" t="s">
        <v>2378</v>
      </c>
      <c r="I2369" s="12" t="str">
        <f>IFERROR(__xludf.DUMMYFUNCTION("""COMPUTED_VALUE"""),"0xc88684b926de001e109c26fae3ad89a35038dfa0")</f>
        <v>0xc88684b926de001e109c26fae3ad89a35038dfa0</v>
      </c>
      <c r="J2369" s="11">
        <v>68.3617675862478</v>
      </c>
      <c r="K2369" s="12">
        <v>151.91503908055066</v>
      </c>
      <c r="L2369" s="13">
        <v>1.5191503908055066E20</v>
      </c>
      <c r="M2369" s="9">
        <v>1.5191503908055067E19</v>
      </c>
    </row>
    <row r="2370" ht="15.75" customHeight="1">
      <c r="A2370" s="8"/>
      <c r="B2370" s="8"/>
      <c r="C2370" s="8"/>
      <c r="D2370" s="8">
        <v>26.5331572173824</v>
      </c>
      <c r="E2370" s="9" t="s">
        <v>2379</v>
      </c>
      <c r="I2370" s="12" t="str">
        <f>IFERROR(__xludf.DUMMYFUNCTION("""COMPUTED_VALUE"""),"0xc8c87cc2a8b231264484de23c68fce2da663d458")</f>
        <v>0xc8c87cc2a8b231264484de23c68fce2da663d458</v>
      </c>
      <c r="J2370" s="11">
        <v>26.5331572173824</v>
      </c>
      <c r="K2370" s="12">
        <v>58.96257159418311</v>
      </c>
      <c r="L2370" s="13">
        <v>5.896257159418311E19</v>
      </c>
      <c r="M2370" s="9">
        <v>5.8962571594183107E18</v>
      </c>
    </row>
    <row r="2371" ht="15.75" customHeight="1">
      <c r="A2371" s="8"/>
      <c r="B2371" s="8"/>
      <c r="C2371" s="8"/>
      <c r="D2371" s="8">
        <v>27.9026907562088</v>
      </c>
      <c r="E2371" s="9" t="s">
        <v>2380</v>
      </c>
      <c r="I2371" s="12" t="str">
        <f>IFERROR(__xludf.DUMMYFUNCTION("""COMPUTED_VALUE"""),"0xc8f06894f521296b288a35527d9db37e1b02bccc")</f>
        <v>0xc8f06894f521296b288a35527d9db37e1b02bccc</v>
      </c>
      <c r="J2371" s="11">
        <v>102.7947403298856</v>
      </c>
      <c r="K2371" s="12">
        <v>228.43275628863466</v>
      </c>
      <c r="L2371" s="13">
        <v>2.2843275628863465E20</v>
      </c>
      <c r="M2371" s="9">
        <v>2.2843275628863468E19</v>
      </c>
    </row>
    <row r="2372" ht="15.75" customHeight="1">
      <c r="A2372" s="8"/>
      <c r="B2372" s="8"/>
      <c r="C2372" s="8"/>
      <c r="D2372" s="8">
        <v>20.4906975248426</v>
      </c>
      <c r="E2372" s="9" t="s">
        <v>2381</v>
      </c>
      <c r="I2372" s="12" t="str">
        <f>IFERROR(__xludf.DUMMYFUNCTION("""COMPUTED_VALUE"""),"0xc8f9158a784503d99380078dd1e46e9d4c05d488")</f>
        <v>0xc8f9158a784503d99380078dd1e46e9d4c05d488</v>
      </c>
      <c r="J2372" s="11">
        <v>20.4906975248426</v>
      </c>
      <c r="K2372" s="12">
        <v>45.53488338853911</v>
      </c>
      <c r="L2372" s="13">
        <v>4.553488338853911E19</v>
      </c>
      <c r="M2372" s="9">
        <v>4.553488338853911E18</v>
      </c>
    </row>
    <row r="2373" ht="15.75" customHeight="1">
      <c r="A2373" s="8"/>
      <c r="B2373" s="8"/>
      <c r="C2373" s="8"/>
      <c r="D2373" s="8">
        <v>27.9026907562088</v>
      </c>
      <c r="E2373" s="9" t="s">
        <v>2382</v>
      </c>
      <c r="I2373" s="12" t="str">
        <f>IFERROR(__xludf.DUMMYFUNCTION("""COMPUTED_VALUE"""),"0xc90d70039fcc067646caa76c9c6376550cae4b2c")</f>
        <v>0xc90d70039fcc067646caa76c9c6376550cae4b2c</v>
      </c>
      <c r="J2373" s="11">
        <v>91.1199983031448</v>
      </c>
      <c r="K2373" s="12">
        <v>202.48888511809955</v>
      </c>
      <c r="L2373" s="13">
        <v>2.0248888511809955E20</v>
      </c>
      <c r="M2373" s="9">
        <v>2.0248888511809958E19</v>
      </c>
    </row>
    <row r="2374" ht="15.75" customHeight="1">
      <c r="A2374" s="8"/>
      <c r="B2374" s="8"/>
      <c r="C2374" s="8"/>
      <c r="D2374" s="8">
        <v>12.1865635934999</v>
      </c>
      <c r="E2374" s="9" t="s">
        <v>2383</v>
      </c>
      <c r="I2374" s="12" t="str">
        <f>IFERROR(__xludf.DUMMYFUNCTION("""COMPUTED_VALUE"""),"0xc952860ccdd18adb18e2d3de8f1b8e93164a59c4")</f>
        <v>0xc952860ccdd18adb18e2d3de8f1b8e93164a59c4</v>
      </c>
      <c r="J2374" s="11">
        <v>12.1865635934999</v>
      </c>
      <c r="K2374" s="12">
        <v>27.081252429999775</v>
      </c>
      <c r="L2374" s="13">
        <v>2.7081252429999776E19</v>
      </c>
      <c r="M2374" s="9">
        <v>2.7081252429999775E18</v>
      </c>
    </row>
    <row r="2375" ht="15.75" customHeight="1">
      <c r="A2375" s="8"/>
      <c r="B2375" s="8"/>
      <c r="C2375" s="8"/>
      <c r="D2375" s="8">
        <v>11.1610763024835</v>
      </c>
      <c r="E2375" s="9" t="s">
        <v>2384</v>
      </c>
      <c r="I2375" s="12" t="str">
        <f>IFERROR(__xludf.DUMMYFUNCTION("""COMPUTED_VALUE"""),"0xc95936215e32cd62c36c8e2bebdfdb7919e0008a")</f>
        <v>0xc95936215e32cd62c36c8e2bebdfdb7919e0008a</v>
      </c>
      <c r="J2375" s="11">
        <v>11.1610763024835</v>
      </c>
      <c r="K2375" s="12">
        <v>24.802391783296663</v>
      </c>
      <c r="L2375" s="13">
        <v>2.4802391783296664E19</v>
      </c>
      <c r="M2375" s="9">
        <v>2.4802391783296666E18</v>
      </c>
    </row>
    <row r="2376" ht="15.75" customHeight="1">
      <c r="A2376" s="8"/>
      <c r="B2376" s="8"/>
      <c r="C2376" s="8"/>
      <c r="D2376" s="8">
        <v>27.9026907562088</v>
      </c>
      <c r="E2376" s="9" t="s">
        <v>2385</v>
      </c>
      <c r="I2376" s="12" t="str">
        <f>IFERROR(__xludf.DUMMYFUNCTION("""COMPUTED_VALUE"""),"0xc99562cda5f8ca85ed58da58f3f10788aa644a57")</f>
        <v>0xc99562cda5f8ca85ed58da58f3f10788aa644a57</v>
      </c>
      <c r="J2376" s="11">
        <v>27.9026907562088</v>
      </c>
      <c r="K2376" s="12">
        <v>62.005979458241775</v>
      </c>
      <c r="L2376" s="13">
        <v>6.200597945824177E19</v>
      </c>
      <c r="M2376" s="9">
        <v>6.2005979458241782E18</v>
      </c>
    </row>
    <row r="2377" ht="15.75" customHeight="1">
      <c r="A2377" s="8"/>
      <c r="B2377" s="8"/>
      <c r="C2377" s="8"/>
      <c r="D2377" s="8">
        <v>27.9026907562088</v>
      </c>
      <c r="E2377" s="9" t="s">
        <v>2386</v>
      </c>
      <c r="I2377" s="12" t="str">
        <f>IFERROR(__xludf.DUMMYFUNCTION("""COMPUTED_VALUE"""),"0xc999cb40239ee0afe899d49d9570ec78b1682ff6")</f>
        <v>0xc999cb40239ee0afe899d49d9570ec78b1682ff6</v>
      </c>
      <c r="J2377" s="11">
        <v>91.1199983031448</v>
      </c>
      <c r="K2377" s="12">
        <v>202.48888511809955</v>
      </c>
      <c r="L2377" s="13">
        <v>2.0248888511809955E20</v>
      </c>
      <c r="M2377" s="9">
        <v>2.0248888511809958E19</v>
      </c>
    </row>
    <row r="2378" ht="15.75" customHeight="1">
      <c r="A2378" s="8"/>
      <c r="B2378" s="8"/>
      <c r="C2378" s="8"/>
      <c r="D2378" s="8">
        <v>27.9026907562088</v>
      </c>
      <c r="E2378" s="9" t="s">
        <v>2387</v>
      </c>
      <c r="I2378" s="12" t="str">
        <f>IFERROR(__xludf.DUMMYFUNCTION("""COMPUTED_VALUE"""),"0xc9a3592a5f37cd53206231491d03ecf33d70ec30")</f>
        <v>0xc9a3592a5f37cd53206231491d03ecf33d70ec30</v>
      </c>
      <c r="J2378" s="11">
        <v>102.7947403298856</v>
      </c>
      <c r="K2378" s="12">
        <v>228.43275628863466</v>
      </c>
      <c r="L2378" s="13">
        <v>2.2843275628863465E20</v>
      </c>
      <c r="M2378" s="9">
        <v>2.2843275628863468E19</v>
      </c>
    </row>
    <row r="2379" ht="15.75" customHeight="1">
      <c r="A2379" s="8"/>
      <c r="B2379" s="8"/>
      <c r="C2379" s="8"/>
      <c r="D2379" s="8">
        <v>27.3376009808893</v>
      </c>
      <c r="E2379" s="9" t="s">
        <v>2388</v>
      </c>
      <c r="I2379" s="12" t="str">
        <f>IFERROR(__xludf.DUMMYFUNCTION("""COMPUTED_VALUE"""),"0xc9fc80756f9e468de14306d96eaaeabb41478e5a")</f>
        <v>0xc9fc80756f9e468de14306d96eaaeabb41478e5a</v>
      </c>
      <c r="J2379" s="11">
        <v>89.4105437806563</v>
      </c>
      <c r="K2379" s="12">
        <v>198.69009729034732</v>
      </c>
      <c r="L2379" s="13">
        <v>1.986900972903473E20</v>
      </c>
      <c r="M2379" s="9">
        <v>1.986900972903473E19</v>
      </c>
    </row>
    <row r="2380" ht="15.75" customHeight="1">
      <c r="A2380" s="8"/>
      <c r="B2380" s="8"/>
      <c r="C2380" s="8"/>
      <c r="D2380" s="8">
        <v>27.9026907562088</v>
      </c>
      <c r="E2380" s="9" t="s">
        <v>2389</v>
      </c>
      <c r="I2380" s="12" t="str">
        <f>IFERROR(__xludf.DUMMYFUNCTION("""COMPUTED_VALUE"""),"0xca020e11d0367e7d61c2dee60913e1de57a72b0f")</f>
        <v>0xca020e11d0367e7d61c2dee60913e1de57a72b0f</v>
      </c>
      <c r="J2380" s="11">
        <v>27.9026907562088</v>
      </c>
      <c r="K2380" s="12">
        <v>62.005979458241775</v>
      </c>
      <c r="L2380" s="13">
        <v>6.200597945824177E19</v>
      </c>
      <c r="M2380" s="9">
        <v>6.2005979458241782E18</v>
      </c>
    </row>
    <row r="2381" ht="15.75" customHeight="1">
      <c r="A2381" s="8"/>
      <c r="B2381" s="8"/>
      <c r="C2381" s="8"/>
      <c r="D2381" s="8">
        <v>27.9026907562088</v>
      </c>
      <c r="E2381" s="9" t="s">
        <v>2390</v>
      </c>
      <c r="I2381" s="12" t="str">
        <f>IFERROR(__xludf.DUMMYFUNCTION("""COMPUTED_VALUE"""),"0xca19509388d5a40e42398f2fbe28c35a3147ca07")</f>
        <v>0xca19509388d5a40e42398f2fbe28c35a3147ca07</v>
      </c>
      <c r="J2381" s="11">
        <v>123.04190309743029</v>
      </c>
      <c r="K2381" s="12">
        <v>273.4264513276229</v>
      </c>
      <c r="L2381" s="13">
        <v>2.7342645132762287E20</v>
      </c>
      <c r="M2381" s="9">
        <v>2.734264513276229E19</v>
      </c>
    </row>
    <row r="2382" ht="15.75" customHeight="1">
      <c r="A2382" s="8"/>
      <c r="B2382" s="8"/>
      <c r="C2382" s="8"/>
      <c r="D2382" s="8">
        <v>26.5251772011628</v>
      </c>
      <c r="E2382" s="9" t="s">
        <v>2391</v>
      </c>
      <c r="I2382" s="12" t="str">
        <f>IFERROR(__xludf.DUMMYFUNCTION("""COMPUTED_VALUE"""),"0xca48b341252fcf96dce170202673adcab8d5ded3")</f>
        <v>0xca48b341252fcf96dce170202673adcab8d5ded3</v>
      </c>
      <c r="J2382" s="11">
        <v>86.9220889115735</v>
      </c>
      <c r="K2382" s="12">
        <v>193.16019758127442</v>
      </c>
      <c r="L2382" s="13">
        <v>1.931601975812744E20</v>
      </c>
      <c r="M2382" s="9">
        <v>1.9316019758127444E19</v>
      </c>
    </row>
    <row r="2383" ht="15.75" customHeight="1">
      <c r="A2383" s="8"/>
      <c r="B2383" s="8"/>
      <c r="C2383" s="8"/>
      <c r="D2383" s="8">
        <v>27.9026907562088</v>
      </c>
      <c r="E2383" s="9" t="s">
        <v>2392</v>
      </c>
      <c r="I2383" s="12" t="str">
        <f>IFERROR(__xludf.DUMMYFUNCTION("""COMPUTED_VALUE"""),"0xca586ab5754660d697411b24f80ac108cbfebd47")</f>
        <v>0xca586ab5754660d697411b24f80ac108cbfebd47</v>
      </c>
      <c r="J2383" s="11">
        <v>27.9026907562088</v>
      </c>
      <c r="K2383" s="12">
        <v>62.005979458241775</v>
      </c>
      <c r="L2383" s="13">
        <v>6.200597945824177E19</v>
      </c>
      <c r="M2383" s="9">
        <v>6.2005979458241782E18</v>
      </c>
    </row>
    <row r="2384" ht="15.75" customHeight="1">
      <c r="A2384" s="8"/>
      <c r="B2384" s="8"/>
      <c r="C2384" s="8"/>
      <c r="D2384" s="8">
        <v>27.9026907562088</v>
      </c>
      <c r="E2384" s="9" t="s">
        <v>2393</v>
      </c>
      <c r="I2384" s="12" t="str">
        <f>IFERROR(__xludf.DUMMYFUNCTION("""COMPUTED_VALUE"""),"0xca5f6c9360cb881edfeb39022d7e422caacf5e58")</f>
        <v>0xca5f6c9360cb881edfeb39022d7e422caacf5e58</v>
      </c>
      <c r="J2384" s="11">
        <v>27.9026907562088</v>
      </c>
      <c r="K2384" s="12">
        <v>62.005979458241775</v>
      </c>
      <c r="L2384" s="13">
        <v>6.200597945824177E19</v>
      </c>
      <c r="M2384" s="9">
        <v>6.2005979458241782E18</v>
      </c>
    </row>
    <row r="2385" ht="15.75" customHeight="1">
      <c r="A2385" s="8"/>
      <c r="B2385" s="8"/>
      <c r="C2385" s="8"/>
      <c r="D2385" s="8">
        <v>27.9026907562088</v>
      </c>
      <c r="E2385" s="9" t="s">
        <v>2394</v>
      </c>
      <c r="I2385" s="12" t="str">
        <f>IFERROR(__xludf.DUMMYFUNCTION("""COMPUTED_VALUE"""),"0xca618709bb757c9c440a64c4f337b7a9970a058b")</f>
        <v>0xca618709bb757c9c440a64c4f337b7a9970a058b</v>
      </c>
      <c r="J2385" s="11">
        <v>91.1199983031448</v>
      </c>
      <c r="K2385" s="12">
        <v>202.48888511809955</v>
      </c>
      <c r="L2385" s="13">
        <v>2.0248888511809955E20</v>
      </c>
      <c r="M2385" s="9">
        <v>2.0248888511809958E19</v>
      </c>
    </row>
    <row r="2386" ht="15.75" customHeight="1">
      <c r="A2386" s="8"/>
      <c r="B2386" s="8"/>
      <c r="C2386" s="8"/>
      <c r="D2386" s="8">
        <v>20.116746646351</v>
      </c>
      <c r="E2386" s="9" t="s">
        <v>2395</v>
      </c>
      <c r="I2386" s="12" t="str">
        <f>IFERROR(__xludf.DUMMYFUNCTION("""COMPUTED_VALUE"""),"0xca6592c4b05c8fd38cb58dc8deb9e942c15d09f4")</f>
        <v>0xca6592c4b05c8fd38cb58dc8deb9e942c15d09f4</v>
      </c>
      <c r="J2386" s="11">
        <v>20.116746646351</v>
      </c>
      <c r="K2386" s="12">
        <v>44.70388143633556</v>
      </c>
      <c r="L2386" s="13">
        <v>4.4703881436335555E19</v>
      </c>
      <c r="M2386" s="9">
        <v>4.4703881436335555E18</v>
      </c>
    </row>
    <row r="2387" ht="15.75" customHeight="1">
      <c r="A2387" s="8"/>
      <c r="B2387" s="8"/>
      <c r="C2387" s="8"/>
      <c r="D2387" s="8">
        <v>18.4438067376755</v>
      </c>
      <c r="E2387" s="9" t="s">
        <v>2396</v>
      </c>
      <c r="I2387" s="12" t="str">
        <f>IFERROR(__xludf.DUMMYFUNCTION("""COMPUTED_VALUE"""),"0xca7152743a37a9ea4dfe4ba2a9c4a773912d9d19")</f>
        <v>0xca7152743a37a9ea4dfe4ba2a9c4a773912d9d19</v>
      </c>
      <c r="J2387" s="11">
        <v>18.4438067376755</v>
      </c>
      <c r="K2387" s="12">
        <v>40.986237194834445</v>
      </c>
      <c r="L2387" s="13">
        <v>4.0986237194834444E19</v>
      </c>
      <c r="M2387" s="9">
        <v>4.0986237194834447E18</v>
      </c>
    </row>
    <row r="2388" ht="15.75" customHeight="1">
      <c r="A2388" s="8"/>
      <c r="B2388" s="8"/>
      <c r="C2388" s="8"/>
      <c r="D2388" s="8">
        <v>27.9026907562088</v>
      </c>
      <c r="E2388" s="9" t="s">
        <v>2397</v>
      </c>
      <c r="I2388" s="12" t="str">
        <f>IFERROR(__xludf.DUMMYFUNCTION("""COMPUTED_VALUE"""),"0xca7731cb167e8b4db5037ba2a40e0a43b2676e81")</f>
        <v>0xca7731cb167e8b4db5037ba2a40e0a43b2676e81</v>
      </c>
      <c r="J2388" s="11">
        <v>27.9026907562088</v>
      </c>
      <c r="K2388" s="12">
        <v>62.005979458241775</v>
      </c>
      <c r="L2388" s="13">
        <v>6.200597945824177E19</v>
      </c>
      <c r="M2388" s="9">
        <v>6.2005979458241782E18</v>
      </c>
    </row>
    <row r="2389" ht="15.75" customHeight="1">
      <c r="A2389" s="8"/>
      <c r="B2389" s="8"/>
      <c r="C2389" s="8"/>
      <c r="D2389" s="8">
        <v>27.9026907562088</v>
      </c>
      <c r="E2389" s="9" t="s">
        <v>2398</v>
      </c>
      <c r="I2389" s="12" t="str">
        <f>IFERROR(__xludf.DUMMYFUNCTION("""COMPUTED_VALUE"""),"0xca80a9374ce92a33b3251ef074cc03e1075dd017")</f>
        <v>0xca80a9374ce92a33b3251ef074cc03e1075dd017</v>
      </c>
      <c r="J2389" s="11">
        <v>91.1199983031448</v>
      </c>
      <c r="K2389" s="12">
        <v>202.48888511809955</v>
      </c>
      <c r="L2389" s="13">
        <v>2.0248888511809955E20</v>
      </c>
      <c r="M2389" s="9">
        <v>2.0248888511809958E19</v>
      </c>
    </row>
    <row r="2390" ht="15.75" customHeight="1">
      <c r="A2390" s="8"/>
      <c r="B2390" s="8"/>
      <c r="C2390" s="8"/>
      <c r="D2390" s="8">
        <v>27.9026907562088</v>
      </c>
      <c r="E2390" s="9" t="s">
        <v>2399</v>
      </c>
      <c r="I2390" s="12" t="str">
        <f>IFERROR(__xludf.DUMMYFUNCTION("""COMPUTED_VALUE"""),"0xca92fb291178cc516c964af3a8958de287b23d6f")</f>
        <v>0xca92fb291178cc516c964af3a8958de287b23d6f</v>
      </c>
      <c r="J2390" s="11">
        <v>27.9026907562088</v>
      </c>
      <c r="K2390" s="12">
        <v>62.005979458241775</v>
      </c>
      <c r="L2390" s="13">
        <v>6.200597945824177E19</v>
      </c>
      <c r="M2390" s="9">
        <v>6.2005979458241782E18</v>
      </c>
    </row>
    <row r="2391" ht="15.75" customHeight="1">
      <c r="A2391" s="8"/>
      <c r="B2391" s="8"/>
      <c r="C2391" s="8"/>
      <c r="D2391" s="8">
        <v>26.7865831259605</v>
      </c>
      <c r="E2391" s="9" t="s">
        <v>2400</v>
      </c>
      <c r="I2391" s="12" t="str">
        <f>IFERROR(__xludf.DUMMYFUNCTION("""COMPUTED_VALUE"""),"0xca9b1da46d0dbf0e3cbaabb37d1dd43e50b35258")</f>
        <v>0xca9b1da46d0dbf0e3cbaabb37d1dd43e50b35258</v>
      </c>
      <c r="J2391" s="11">
        <v>90.0038906728965</v>
      </c>
      <c r="K2391" s="12">
        <v>200.00864593977</v>
      </c>
      <c r="L2391" s="13">
        <v>2.0000864593977E20</v>
      </c>
      <c r="M2391" s="9">
        <v>2.0000864593977E19</v>
      </c>
    </row>
    <row r="2392" ht="15.75" customHeight="1">
      <c r="A2392" s="8"/>
      <c r="B2392" s="8"/>
      <c r="C2392" s="8"/>
      <c r="D2392" s="8">
        <v>24.3084243783885</v>
      </c>
      <c r="E2392" s="9" t="s">
        <v>2401</v>
      </c>
      <c r="I2392" s="12" t="str">
        <f>IFERROR(__xludf.DUMMYFUNCTION("""COMPUTED_VALUE"""),"0xcab279386d7a7338efd8c1e7125b77a985331df8")</f>
        <v>0xcab279386d7a7338efd8c1e7125b77a985331df8</v>
      </c>
      <c r="J2392" s="11">
        <v>95.05618222661731</v>
      </c>
      <c r="K2392" s="12">
        <v>211.23596050359401</v>
      </c>
      <c r="L2392" s="13">
        <v>2.1123596050359402E20</v>
      </c>
      <c r="M2392" s="9">
        <v>2.1123596050359402E19</v>
      </c>
    </row>
    <row r="2393" ht="15.75" customHeight="1">
      <c r="A2393" s="8"/>
      <c r="B2393" s="8"/>
      <c r="C2393" s="8"/>
      <c r="D2393" s="8">
        <v>27.9026907562088</v>
      </c>
      <c r="E2393" s="9" t="s">
        <v>2402</v>
      </c>
      <c r="I2393" s="12" t="str">
        <f>IFERROR(__xludf.DUMMYFUNCTION("""COMPUTED_VALUE"""),"0xcadc031f7cbe7b84862292f139bdc1133235d730")</f>
        <v>0xcadc031f7cbe7b84862292f139bdc1133235d730</v>
      </c>
      <c r="J2393" s="11">
        <v>27.9026907562088</v>
      </c>
      <c r="K2393" s="12">
        <v>62.005979458241775</v>
      </c>
      <c r="L2393" s="13">
        <v>6.200597945824177E19</v>
      </c>
      <c r="M2393" s="9">
        <v>6.2005979458241782E18</v>
      </c>
    </row>
    <row r="2394" ht="15.75" customHeight="1">
      <c r="A2394" s="8"/>
      <c r="B2394" s="8"/>
      <c r="C2394" s="8"/>
      <c r="D2394" s="8">
        <v>27.9026907562088</v>
      </c>
      <c r="E2394" s="9" t="s">
        <v>2403</v>
      </c>
      <c r="I2394" s="12" t="str">
        <f>IFERROR(__xludf.DUMMYFUNCTION("""COMPUTED_VALUE"""),"0xcae6bdf13aacf7d4d3904c7cda09dfdcd000be29")</f>
        <v>0xcae6bdf13aacf7d4d3904c7cda09dfdcd000be29</v>
      </c>
      <c r="J2394" s="11">
        <v>91.1199983031448</v>
      </c>
      <c r="K2394" s="12">
        <v>202.48888511809955</v>
      </c>
      <c r="L2394" s="13">
        <v>2.0248888511809955E20</v>
      </c>
      <c r="M2394" s="9">
        <v>2.0248888511809958E19</v>
      </c>
    </row>
    <row r="2395" ht="15.75" customHeight="1">
      <c r="A2395" s="8"/>
      <c r="B2395" s="8"/>
      <c r="C2395" s="8"/>
      <c r="D2395" s="8">
        <v>27.9026907562088</v>
      </c>
      <c r="E2395" s="9" t="s">
        <v>2404</v>
      </c>
      <c r="I2395" s="12" t="str">
        <f>IFERROR(__xludf.DUMMYFUNCTION("""COMPUTED_VALUE"""),"0xcaf5e0c5e348ae4c6d26b7822a4ca2952f15fff5")</f>
        <v>0xcaf5e0c5e348ae4c6d26b7822a4ca2952f15fff5</v>
      </c>
      <c r="J2395" s="11">
        <v>27.9026907562088</v>
      </c>
      <c r="K2395" s="12">
        <v>62.005979458241775</v>
      </c>
      <c r="L2395" s="13">
        <v>6.200597945824177E19</v>
      </c>
      <c r="M2395" s="9">
        <v>6.2005979458241782E18</v>
      </c>
    </row>
    <row r="2396" ht="15.75" customHeight="1">
      <c r="A2396" s="8"/>
      <c r="B2396" s="8"/>
      <c r="C2396" s="8"/>
      <c r="D2396" s="8">
        <v>25.9138420348845</v>
      </c>
      <c r="E2396" s="9" t="s">
        <v>2405</v>
      </c>
      <c r="I2396" s="12" t="str">
        <f>IFERROR(__xludf.DUMMYFUNCTION("""COMPUTED_VALUE"""),"0xcaf80ff89c52d704b9acec2a4ac83ae8d4da321f")</f>
        <v>0xcaf80ff89c52d704b9acec2a4ac83ae8d4da321f</v>
      </c>
      <c r="J2396" s="11">
        <v>25.9138420348845</v>
      </c>
      <c r="K2396" s="12">
        <v>57.586315633076666</v>
      </c>
      <c r="L2396" s="13">
        <v>5.758631563307667E19</v>
      </c>
      <c r="M2396" s="9">
        <v>5.7586315633076675E18</v>
      </c>
    </row>
    <row r="2397" ht="15.75" customHeight="1">
      <c r="A2397" s="8"/>
      <c r="B2397" s="8"/>
      <c r="C2397" s="8"/>
      <c r="D2397" s="8">
        <v>27.9026907562088</v>
      </c>
      <c r="E2397" s="9" t="s">
        <v>2406</v>
      </c>
      <c r="I2397" s="12" t="str">
        <f>IFERROR(__xludf.DUMMYFUNCTION("""COMPUTED_VALUE"""),"0xcb02ee297300d1562ec93e136f4951f56d92a185")</f>
        <v>0xcb02ee297300d1562ec93e136f4951f56d92a185</v>
      </c>
      <c r="J2397" s="11">
        <v>27.9026907562088</v>
      </c>
      <c r="K2397" s="12">
        <v>62.005979458241775</v>
      </c>
      <c r="L2397" s="13">
        <v>6.200597945824177E19</v>
      </c>
      <c r="M2397" s="9">
        <v>6.2005979458241782E18</v>
      </c>
    </row>
    <row r="2398" ht="15.75" customHeight="1">
      <c r="A2398" s="8"/>
      <c r="B2398" s="8"/>
      <c r="C2398" s="8"/>
      <c r="D2398" s="8">
        <v>20.6215321012796</v>
      </c>
      <c r="E2398" s="9" t="s">
        <v>2407</v>
      </c>
      <c r="I2398" s="12" t="str">
        <f>IFERROR(__xludf.DUMMYFUNCTION("""COMPUTED_VALUE"""),"0xcb186e1c65fb5eb89710eac499a05b89f0d1ab9d")</f>
        <v>0xcb186e1c65fb5eb89710eac499a05b89f0d1ab9d</v>
      </c>
      <c r="J2398" s="11">
        <v>20.6215321012796</v>
      </c>
      <c r="K2398" s="12">
        <v>45.82562689173244</v>
      </c>
      <c r="L2398" s="13">
        <v>4.582562689173244E19</v>
      </c>
      <c r="M2398" s="9">
        <v>4.5825626891732444E18</v>
      </c>
    </row>
    <row r="2399" ht="15.75" customHeight="1">
      <c r="A2399" s="8"/>
      <c r="B2399" s="8"/>
      <c r="C2399" s="8"/>
      <c r="D2399" s="8">
        <v>27.9026907562088</v>
      </c>
      <c r="E2399" s="9" t="s">
        <v>2408</v>
      </c>
      <c r="I2399" s="12" t="str">
        <f>IFERROR(__xludf.DUMMYFUNCTION("""COMPUTED_VALUE"""),"0xcb36fd9bf9e6be4bb1af8e47dbf1f0e120f08435")</f>
        <v>0xcb36fd9bf9e6be4bb1af8e47dbf1f0e120f08435</v>
      </c>
      <c r="J2399" s="11">
        <v>455.4488337669818</v>
      </c>
      <c r="K2399" s="12">
        <v>1012.1085194821818</v>
      </c>
      <c r="L2399" s="13">
        <v>1.0121085194821818E21</v>
      </c>
      <c r="M2399" s="9">
        <v>1.0121085194821819E20</v>
      </c>
    </row>
    <row r="2400" ht="15.75" customHeight="1">
      <c r="A2400" s="8"/>
      <c r="B2400" s="8"/>
      <c r="C2400" s="8"/>
      <c r="D2400" s="8">
        <v>27.9026907562088</v>
      </c>
      <c r="E2400" s="9" t="s">
        <v>2409</v>
      </c>
      <c r="I2400" s="12" t="str">
        <f>IFERROR(__xludf.DUMMYFUNCTION("""COMPUTED_VALUE"""),"0xcb6a43585b6719bdf518011e5e44a1b0b5ebbd5c")</f>
        <v>0xcb6a43585b6719bdf518011e5e44a1b0b5ebbd5c</v>
      </c>
      <c r="J2400" s="11">
        <v>76.7350441942992</v>
      </c>
      <c r="K2400" s="12">
        <v>170.52232043177602</v>
      </c>
      <c r="L2400" s="13">
        <v>1.7052232043177604E20</v>
      </c>
      <c r="M2400" s="9">
        <v>1.7052232043177605E19</v>
      </c>
    </row>
    <row r="2401" ht="15.75" customHeight="1">
      <c r="A2401" s="8"/>
      <c r="B2401" s="8"/>
      <c r="C2401" s="8"/>
      <c r="D2401" s="8">
        <v>27.9026907562088</v>
      </c>
      <c r="E2401" s="9" t="s">
        <v>2410</v>
      </c>
      <c r="I2401" s="12" t="str">
        <f>IFERROR(__xludf.DUMMYFUNCTION("""COMPUTED_VALUE"""),"0xcb938bbed7789ee8aabd259a8cb789aa3500bbf3")</f>
        <v>0xcb938bbed7789ee8aabd259a8cb789aa3500bbf3</v>
      </c>
      <c r="J2401" s="11">
        <v>98.9031724645328</v>
      </c>
      <c r="K2401" s="12">
        <v>219.78482769896178</v>
      </c>
      <c r="L2401" s="13">
        <v>2.1978482769896178E20</v>
      </c>
      <c r="M2401" s="9">
        <v>2.1978482769896178E19</v>
      </c>
    </row>
    <row r="2402" ht="15.75" customHeight="1">
      <c r="A2402" s="8"/>
      <c r="B2402" s="8"/>
      <c r="C2402" s="8"/>
      <c r="D2402" s="8">
        <v>1.97418502776768</v>
      </c>
      <c r="E2402" s="9" t="s">
        <v>2411</v>
      </c>
      <c r="I2402" s="12" t="str">
        <f>IFERROR(__xludf.DUMMYFUNCTION("""COMPUTED_VALUE"""),"0xcbae3f4037abf68d974a1b9364e8a39e138339ff")</f>
        <v>0xcbae3f4037abf68d974a1b9364e8a39e138339ff</v>
      </c>
      <c r="J2402" s="11">
        <v>1.97418502776768</v>
      </c>
      <c r="K2402" s="12">
        <v>4.387077839483733</v>
      </c>
      <c r="L2402" s="13">
        <v>4.387077839483733E18</v>
      </c>
      <c r="M2402" s="9">
        <v>4.3870778394837331E17</v>
      </c>
    </row>
    <row r="2403" ht="15.75" customHeight="1">
      <c r="A2403" s="8"/>
      <c r="B2403" s="8"/>
      <c r="C2403" s="8"/>
      <c r="D2403" s="8">
        <v>27.9026907562088</v>
      </c>
      <c r="E2403" s="9" t="s">
        <v>2412</v>
      </c>
      <c r="I2403" s="12" t="str">
        <f>IFERROR(__xludf.DUMMYFUNCTION("""COMPUTED_VALUE"""),"0xcbb57ebf9b6158750a2c55eff87ce9906017b9d3")</f>
        <v>0xcbb57ebf9b6158750a2c55eff87ce9906017b9d3</v>
      </c>
      <c r="J2403" s="11">
        <v>27.9026907562088</v>
      </c>
      <c r="K2403" s="12">
        <v>62.005979458241775</v>
      </c>
      <c r="L2403" s="13">
        <v>6.200597945824177E19</v>
      </c>
      <c r="M2403" s="9">
        <v>6.2005979458241782E18</v>
      </c>
    </row>
    <row r="2404" ht="15.75" customHeight="1">
      <c r="A2404" s="8"/>
      <c r="B2404" s="8"/>
      <c r="C2404" s="8"/>
      <c r="D2404" s="8">
        <v>27.9026907562088</v>
      </c>
      <c r="E2404" s="9" t="s">
        <v>2413</v>
      </c>
      <c r="I2404" s="12" t="str">
        <f>IFERROR(__xludf.DUMMYFUNCTION("""COMPUTED_VALUE"""),"0xcbd3e9fb73ea951cf3efa97323c6b3c37b9c124d")</f>
        <v>0xcbd3e9fb73ea951cf3efa97323c6b3c37b9c124d</v>
      </c>
      <c r="J2404" s="11">
        <v>91.1199983031448</v>
      </c>
      <c r="K2404" s="12">
        <v>202.48888511809955</v>
      </c>
      <c r="L2404" s="13">
        <v>2.0248888511809955E20</v>
      </c>
      <c r="M2404" s="9">
        <v>2.0248888511809958E19</v>
      </c>
    </row>
    <row r="2405" ht="15.75" customHeight="1">
      <c r="A2405" s="8"/>
      <c r="B2405" s="8"/>
      <c r="C2405" s="8"/>
      <c r="D2405" s="8">
        <v>27.9026907562088</v>
      </c>
      <c r="E2405" s="9" t="s">
        <v>2414</v>
      </c>
      <c r="I2405" s="12" t="str">
        <f>IFERROR(__xludf.DUMMYFUNCTION("""COMPUTED_VALUE"""),"0xcbe1532f6635710e8fc805b0d1a8c4e72990befe")</f>
        <v>0xcbe1532f6635710e8fc805b0d1a8c4e72990befe</v>
      </c>
      <c r="J2405" s="11">
        <v>31.878336949277237</v>
      </c>
      <c r="K2405" s="12">
        <v>70.84074877617164</v>
      </c>
      <c r="L2405" s="13">
        <v>7.0840748776171635E19</v>
      </c>
      <c r="M2405" s="9">
        <v>7.0840748776171643E18</v>
      </c>
    </row>
    <row r="2406" ht="15.75" customHeight="1">
      <c r="A2406" s="8"/>
      <c r="B2406" s="8"/>
      <c r="C2406" s="8"/>
      <c r="D2406" s="8">
        <v>25.3482751797846</v>
      </c>
      <c r="E2406" s="9" t="s">
        <v>2415</v>
      </c>
      <c r="I2406" s="12" t="str">
        <f>IFERROR(__xludf.DUMMYFUNCTION("""COMPUTED_VALUE"""),"0xcbe202b35960c9fddc04be1b4b86f81c4cdf2973")</f>
        <v>0xcbe202b35960c9fddc04be1b4b86f81c4cdf2973</v>
      </c>
      <c r="J2406" s="11">
        <v>25.3482751797846</v>
      </c>
      <c r="K2406" s="12">
        <v>56.329500399521336</v>
      </c>
      <c r="L2406" s="13">
        <v>5.632950039952133E19</v>
      </c>
      <c r="M2406" s="9">
        <v>5.6329500399521341E18</v>
      </c>
    </row>
    <row r="2407" ht="15.75" customHeight="1">
      <c r="A2407" s="8"/>
      <c r="B2407" s="8"/>
      <c r="C2407" s="8"/>
      <c r="D2407" s="8">
        <v>23.8058085645023</v>
      </c>
      <c r="E2407" s="9" t="s">
        <v>2416</v>
      </c>
      <c r="I2407" s="12" t="str">
        <f>IFERROR(__xludf.DUMMYFUNCTION("""COMPUTED_VALUE"""),"0xcbf0c2b79e6cb6bac0bf9db247f089f29236aa82")</f>
        <v>0xcbf0c2b79e6cb6bac0bf9db247f089f29236aa82</v>
      </c>
      <c r="J2407" s="11">
        <v>23.8058085645023</v>
      </c>
      <c r="K2407" s="12">
        <v>52.90179681000511</v>
      </c>
      <c r="L2407" s="13">
        <v>5.290179681000511E19</v>
      </c>
      <c r="M2407" s="9">
        <v>5.2901796810005115E18</v>
      </c>
    </row>
    <row r="2408" ht="15.75" customHeight="1">
      <c r="A2408" s="8"/>
      <c r="B2408" s="8"/>
      <c r="C2408" s="8"/>
      <c r="D2408" s="8">
        <v>27.9026907562088</v>
      </c>
      <c r="E2408" s="9" t="s">
        <v>2417</v>
      </c>
      <c r="I2408" s="12" t="str">
        <f>IFERROR(__xludf.DUMMYFUNCTION("""COMPUTED_VALUE"""),"0xcbf170f63f784f4808b995da543fd0741912624a")</f>
        <v>0xcbf170f63f784f4808b995da543fd0741912624a</v>
      </c>
      <c r="J2408" s="11">
        <v>27.9026907562088</v>
      </c>
      <c r="K2408" s="12">
        <v>62.005979458241775</v>
      </c>
      <c r="L2408" s="13">
        <v>6.200597945824177E19</v>
      </c>
      <c r="M2408" s="9">
        <v>6.2005979458241782E18</v>
      </c>
    </row>
    <row r="2409" ht="15.75" customHeight="1">
      <c r="A2409" s="8"/>
      <c r="B2409" s="8"/>
      <c r="C2409" s="8"/>
      <c r="D2409" s="8">
        <v>27.9026907562088</v>
      </c>
      <c r="E2409" s="9" t="s">
        <v>2418</v>
      </c>
      <c r="I2409" s="12" t="str">
        <f>IFERROR(__xludf.DUMMYFUNCTION("""COMPUTED_VALUE"""),"0xcc09d6d8d704782e0b3b489038e80e4baa08622e")</f>
        <v>0xcc09d6d8d704782e0b3b489038e80e4baa08622e</v>
      </c>
      <c r="J2409" s="11">
        <v>27.9026907562088</v>
      </c>
      <c r="K2409" s="12">
        <v>62.005979458241775</v>
      </c>
      <c r="L2409" s="13">
        <v>6.200597945824177E19</v>
      </c>
      <c r="M2409" s="9">
        <v>6.2005979458241782E18</v>
      </c>
    </row>
    <row r="2410" ht="15.75" customHeight="1">
      <c r="A2410" s="8"/>
      <c r="B2410" s="8"/>
      <c r="C2410" s="8"/>
      <c r="D2410" s="8">
        <v>26.7915040573387</v>
      </c>
      <c r="E2410" s="9" t="s">
        <v>2419</v>
      </c>
      <c r="I2410" s="12" t="str">
        <f>IFERROR(__xludf.DUMMYFUNCTION("""COMPUTED_VALUE"""),"0xcc21db7e8328db2e0473779bb9ea11c594056f56")</f>
        <v>0xcc21db7e8328db2e0473779bb9ea11c594056f56</v>
      </c>
      <c r="J2410" s="11">
        <v>87.7303935607743</v>
      </c>
      <c r="K2410" s="12">
        <v>194.956430135054</v>
      </c>
      <c r="L2410" s="13">
        <v>1.94956430135054E20</v>
      </c>
      <c r="M2410" s="9">
        <v>1.94956430135054E19</v>
      </c>
    </row>
    <row r="2411" ht="15.75" customHeight="1">
      <c r="A2411" s="8"/>
      <c r="B2411" s="8"/>
      <c r="C2411" s="8"/>
      <c r="D2411" s="8">
        <v>27.9026907562088</v>
      </c>
      <c r="E2411" s="9" t="s">
        <v>2420</v>
      </c>
      <c r="I2411" s="12" t="str">
        <f>IFERROR(__xludf.DUMMYFUNCTION("""COMPUTED_VALUE"""),"0xcc2368eaf57c66f86cd91d0c905e3bc0dbb478a0")</f>
        <v>0xcc2368eaf57c66f86cd91d0c905e3bc0dbb478a0</v>
      </c>
      <c r="J2411" s="11">
        <v>91.1199983031448</v>
      </c>
      <c r="K2411" s="12">
        <v>202.48888511809955</v>
      </c>
      <c r="L2411" s="13">
        <v>2.0248888511809955E20</v>
      </c>
      <c r="M2411" s="9">
        <v>2.0248888511809958E19</v>
      </c>
    </row>
    <row r="2412" ht="15.75" customHeight="1">
      <c r="A2412" s="8"/>
      <c r="B2412" s="8"/>
      <c r="C2412" s="8"/>
      <c r="D2412" s="8">
        <v>27.9026907562088</v>
      </c>
      <c r="E2412" s="9" t="s">
        <v>2421</v>
      </c>
      <c r="I2412" s="12" t="str">
        <f>IFERROR(__xludf.DUMMYFUNCTION("""COMPUTED_VALUE"""),"0xcc2bb809c16faec1503359d6c5bfb5f0a53f5507")</f>
        <v>0xcc2bb809c16faec1503359d6c5bfb5f0a53f5507</v>
      </c>
      <c r="J2412" s="11">
        <v>124.8989185671817</v>
      </c>
      <c r="K2412" s="12">
        <v>277.5531523715149</v>
      </c>
      <c r="L2412" s="13">
        <v>2.775531523715149E20</v>
      </c>
      <c r="M2412" s="9">
        <v>2.775531523715149E19</v>
      </c>
    </row>
    <row r="2413" ht="15.75" customHeight="1">
      <c r="A2413" s="8"/>
      <c r="B2413" s="8"/>
      <c r="C2413" s="8"/>
      <c r="D2413" s="8">
        <v>27.9026907562088</v>
      </c>
      <c r="E2413" s="9" t="s">
        <v>2422</v>
      </c>
      <c r="I2413" s="12" t="str">
        <f>IFERROR(__xludf.DUMMYFUNCTION("""COMPUTED_VALUE"""),"0xcc2f61c25383453e03beaf6dfcf7a7493132c7bf")</f>
        <v>0xcc2f61c25383453e03beaf6dfcf7a7493132c7bf</v>
      </c>
      <c r="J2413" s="11">
        <v>91.1199983031448</v>
      </c>
      <c r="K2413" s="12">
        <v>202.48888511809955</v>
      </c>
      <c r="L2413" s="13">
        <v>2.0248888511809955E20</v>
      </c>
      <c r="M2413" s="9">
        <v>2.0248888511809958E19</v>
      </c>
    </row>
    <row r="2414" ht="15.75" customHeight="1">
      <c r="A2414" s="8"/>
      <c r="B2414" s="8"/>
      <c r="C2414" s="8"/>
      <c r="D2414" s="8">
        <v>27.9026907562088</v>
      </c>
      <c r="E2414" s="9" t="s">
        <v>2423</v>
      </c>
      <c r="I2414" s="12" t="str">
        <f>IFERROR(__xludf.DUMMYFUNCTION("""COMPUTED_VALUE"""),"0xcc2f8c281c9e5b7ff57ae9aa53d2fca1bc1cda92")</f>
        <v>0xcc2f8c281c9e5b7ff57ae9aa53d2fca1bc1cda92</v>
      </c>
      <c r="J2414" s="11">
        <v>91.1199983031448</v>
      </c>
      <c r="K2414" s="12">
        <v>202.48888511809955</v>
      </c>
      <c r="L2414" s="13">
        <v>2.0248888511809955E20</v>
      </c>
      <c r="M2414" s="9">
        <v>2.0248888511809958E19</v>
      </c>
    </row>
    <row r="2415" ht="15.75" customHeight="1">
      <c r="A2415" s="8"/>
      <c r="B2415" s="8"/>
      <c r="C2415" s="8"/>
      <c r="D2415" s="8">
        <v>27.9026907562088</v>
      </c>
      <c r="E2415" s="9" t="s">
        <v>2424</v>
      </c>
      <c r="I2415" s="12" t="str">
        <f>IFERROR(__xludf.DUMMYFUNCTION("""COMPUTED_VALUE"""),"0xcc4b9e85799dfc21755e6b2924f430fc260c4b45")</f>
        <v>0xcc4b9e85799dfc21755e6b2924f430fc260c4b45</v>
      </c>
      <c r="J2415" s="11">
        <v>27.9026907562088</v>
      </c>
      <c r="K2415" s="12">
        <v>62.005979458241775</v>
      </c>
      <c r="L2415" s="13">
        <v>6.200597945824177E19</v>
      </c>
      <c r="M2415" s="9">
        <v>6.2005979458241782E18</v>
      </c>
    </row>
    <row r="2416" ht="15.75" customHeight="1">
      <c r="A2416" s="8"/>
      <c r="B2416" s="8"/>
      <c r="C2416" s="8"/>
      <c r="D2416" s="8">
        <v>27.9026907562088</v>
      </c>
      <c r="E2416" s="9" t="s">
        <v>2425</v>
      </c>
      <c r="I2416" s="12" t="str">
        <f>IFERROR(__xludf.DUMMYFUNCTION("""COMPUTED_VALUE"""),"0xcc52f72c0813e1ada3e4acacd57d7ffeca3620ec")</f>
        <v>0xcc52f72c0813e1ada3e4acacd57d7ffeca3620ec</v>
      </c>
      <c r="J2416" s="11">
        <v>91.1199983031448</v>
      </c>
      <c r="K2416" s="12">
        <v>202.48888511809955</v>
      </c>
      <c r="L2416" s="13">
        <v>2.0248888511809955E20</v>
      </c>
      <c r="M2416" s="9">
        <v>2.0248888511809958E19</v>
      </c>
    </row>
    <row r="2417" ht="15.75" customHeight="1">
      <c r="A2417" s="8"/>
      <c r="B2417" s="8"/>
      <c r="C2417" s="8"/>
      <c r="D2417" s="8">
        <v>27.9026907562088</v>
      </c>
      <c r="E2417" s="9" t="s">
        <v>2426</v>
      </c>
      <c r="I2417" s="12" t="str">
        <f>IFERROR(__xludf.DUMMYFUNCTION("""COMPUTED_VALUE"""),"0xcc9baa200e9ab3fe7512f022126f15e9a1a64739")</f>
        <v>0xcc9baa200e9ab3fe7512f022126f15e9a1a64739</v>
      </c>
      <c r="J2417" s="11">
        <v>29.848481093998938</v>
      </c>
      <c r="K2417" s="12">
        <v>66.32995798666431</v>
      </c>
      <c r="L2417" s="13">
        <v>6.632995798666431E19</v>
      </c>
      <c r="M2417" s="9">
        <v>6.6329957986664315E18</v>
      </c>
    </row>
    <row r="2418" ht="15.75" customHeight="1">
      <c r="A2418" s="8"/>
      <c r="B2418" s="8"/>
      <c r="C2418" s="8"/>
      <c r="D2418" s="8">
        <v>27.9026907562088</v>
      </c>
      <c r="E2418" s="9" t="s">
        <v>2427</v>
      </c>
      <c r="I2418" s="12" t="str">
        <f>IFERROR(__xludf.DUMMYFUNCTION("""COMPUTED_VALUE"""),"0xcca1ad5b7ae6bbe9330d85fc8cdebbe5bc45f48a")</f>
        <v>0xcca1ad5b7ae6bbe9330d85fc8cdebbe5bc45f48a</v>
      </c>
      <c r="J2418" s="11">
        <v>91.1199983031448</v>
      </c>
      <c r="K2418" s="12">
        <v>202.48888511809955</v>
      </c>
      <c r="L2418" s="13">
        <v>2.0248888511809955E20</v>
      </c>
      <c r="M2418" s="9">
        <v>2.0248888511809958E19</v>
      </c>
    </row>
    <row r="2419" ht="15.75" customHeight="1">
      <c r="A2419" s="8"/>
      <c r="B2419" s="8"/>
      <c r="C2419" s="8"/>
      <c r="D2419" s="8">
        <v>25.8379071202956</v>
      </c>
      <c r="E2419" s="9" t="s">
        <v>2428</v>
      </c>
      <c r="I2419" s="12" t="str">
        <f>IFERROR(__xludf.DUMMYFUNCTION("""COMPUTED_VALUE"""),"0xcce696cc35257cd496ba8a94b6b57a47bcbc4474")</f>
        <v>0xcce696cc35257cd496ba8a94b6b57a47bcbc4474</v>
      </c>
      <c r="J2419" s="11">
        <v>25.8379071202956</v>
      </c>
      <c r="K2419" s="12">
        <v>57.417571378434666</v>
      </c>
      <c r="L2419" s="13">
        <v>5.741757137843466E19</v>
      </c>
      <c r="M2419" s="9">
        <v>5.7417571378434662E18</v>
      </c>
    </row>
    <row r="2420" ht="15.75" customHeight="1">
      <c r="A2420" s="8"/>
      <c r="B2420" s="8"/>
      <c r="C2420" s="8"/>
      <c r="D2420" s="8">
        <v>16.9348873643989</v>
      </c>
      <c r="E2420" s="9" t="s">
        <v>2429</v>
      </c>
      <c r="I2420" s="12" t="str">
        <f>IFERROR(__xludf.DUMMYFUNCTION("""COMPUTED_VALUE"""),"0xcd09ba3890706f1247bab7f680171bcdb1ef7572")</f>
        <v>0xcd09ba3890706f1247bab7f680171bcdb1ef7572</v>
      </c>
      <c r="J2420" s="11">
        <v>16.9348873643989</v>
      </c>
      <c r="K2420" s="12">
        <v>37.63308303199756</v>
      </c>
      <c r="L2420" s="13">
        <v>3.7633083031997555E19</v>
      </c>
      <c r="M2420" s="9">
        <v>3.7633083031997558E18</v>
      </c>
    </row>
    <row r="2421" ht="15.75" customHeight="1">
      <c r="A2421" s="8"/>
      <c r="B2421" s="8"/>
      <c r="C2421" s="8"/>
      <c r="D2421" s="8">
        <v>27.9026907562088</v>
      </c>
      <c r="E2421" s="9" t="s">
        <v>2430</v>
      </c>
      <c r="I2421" s="12" t="str">
        <f>IFERROR(__xludf.DUMMYFUNCTION("""COMPUTED_VALUE"""),"0xcd12fe10c9112a2d1792decd0fc747d28b7d96f4")</f>
        <v>0xcd12fe10c9112a2d1792decd0fc747d28b7d96f4</v>
      </c>
      <c r="J2421" s="11">
        <v>91.1199983031448</v>
      </c>
      <c r="K2421" s="12">
        <v>202.48888511809955</v>
      </c>
      <c r="L2421" s="13">
        <v>2.0248888511809955E20</v>
      </c>
      <c r="M2421" s="9">
        <v>2.0248888511809958E19</v>
      </c>
    </row>
    <row r="2422" ht="15.75" customHeight="1">
      <c r="A2422" s="8"/>
      <c r="B2422" s="8"/>
      <c r="C2422" s="8"/>
      <c r="D2422" s="8">
        <v>27.7352746116716</v>
      </c>
      <c r="E2422" s="9" t="s">
        <v>2431</v>
      </c>
      <c r="I2422" s="12" t="str">
        <f>IFERROR(__xludf.DUMMYFUNCTION("""COMPUTED_VALUE"""),"0xcd4134808f05c4d35991a1b4b0a817bf29e6d70a")</f>
        <v>0xcd4134808f05c4d35991a1b4b0a817bf29e6d70a</v>
      </c>
      <c r="J2422" s="11">
        <v>27.7352746116716</v>
      </c>
      <c r="K2422" s="12">
        <v>61.63394358149244</v>
      </c>
      <c r="L2422" s="13">
        <v>6.163394358149244E19</v>
      </c>
      <c r="M2422" s="9">
        <v>6.1633943581492439E18</v>
      </c>
    </row>
    <row r="2423" ht="15.75" customHeight="1">
      <c r="A2423" s="8"/>
      <c r="B2423" s="8"/>
      <c r="C2423" s="8"/>
      <c r="D2423" s="8">
        <v>27.9026907562088</v>
      </c>
      <c r="E2423" s="9" t="s">
        <v>2432</v>
      </c>
      <c r="I2423" s="12" t="str">
        <f>IFERROR(__xludf.DUMMYFUNCTION("""COMPUTED_VALUE"""),"0xcd4861c7ba0f5ed5ba038acd87ab1467fdcf7458")</f>
        <v>0xcd4861c7ba0f5ed5ba038acd87ab1467fdcf7458</v>
      </c>
      <c r="J2423" s="11">
        <v>29.848481093998938</v>
      </c>
      <c r="K2423" s="12">
        <v>66.32995798666431</v>
      </c>
      <c r="L2423" s="13">
        <v>6.632995798666431E19</v>
      </c>
      <c r="M2423" s="9">
        <v>6.6329957986664315E18</v>
      </c>
    </row>
    <row r="2424" ht="15.75" customHeight="1">
      <c r="A2424" s="8"/>
      <c r="B2424" s="8"/>
      <c r="C2424" s="8"/>
      <c r="D2424" s="8">
        <v>27.4941738403973</v>
      </c>
      <c r="E2424" s="9" t="s">
        <v>2433</v>
      </c>
      <c r="I2424" s="12" t="str">
        <f>IFERROR(__xludf.DUMMYFUNCTION("""COMPUTED_VALUE"""),"0xcd5d61d6f2d3bb50cbddb8d81f8f74616ff04734")</f>
        <v>0xcd5d61d6f2d3bb50cbddb8d81f8f74616ff04734</v>
      </c>
      <c r="J2424" s="11">
        <v>27.4941738403973</v>
      </c>
      <c r="K2424" s="12">
        <v>61.09816408977177</v>
      </c>
      <c r="L2424" s="13">
        <v>6.109816408977177E19</v>
      </c>
      <c r="M2424" s="9">
        <v>6.1098164089771776E18</v>
      </c>
    </row>
    <row r="2425" ht="15.75" customHeight="1">
      <c r="A2425" s="8"/>
      <c r="B2425" s="8"/>
      <c r="C2425" s="8"/>
      <c r="D2425" s="8">
        <v>27.9026907562088</v>
      </c>
      <c r="E2425" s="9" t="s">
        <v>2434</v>
      </c>
      <c r="I2425" s="12" t="str">
        <f>IFERROR(__xludf.DUMMYFUNCTION("""COMPUTED_VALUE"""),"0xcd62066073e63b6f8f3d6bd194d52bc977807486")</f>
        <v>0xcd62066073e63b6f8f3d6bd194d52bc977807486</v>
      </c>
      <c r="J2425" s="11">
        <v>27.9026907562088</v>
      </c>
      <c r="K2425" s="12">
        <v>62.005979458241775</v>
      </c>
      <c r="L2425" s="13">
        <v>6.200597945824177E19</v>
      </c>
      <c r="M2425" s="9">
        <v>6.2005979458241782E18</v>
      </c>
    </row>
    <row r="2426" ht="15.75" customHeight="1">
      <c r="A2426" s="8"/>
      <c r="B2426" s="8"/>
      <c r="C2426" s="8"/>
      <c r="D2426" s="8">
        <v>27.9026907562088</v>
      </c>
      <c r="E2426" s="9" t="s">
        <v>2435</v>
      </c>
      <c r="I2426" s="12" t="str">
        <f>IFERROR(__xludf.DUMMYFUNCTION("""COMPUTED_VALUE"""),"0xcd6385ce943f734c693685a6dae2e2e57c11f5ef")</f>
        <v>0xcd6385ce943f734c693685a6dae2e2e57c11f5ef</v>
      </c>
      <c r="J2426" s="11">
        <v>27.9026907562088</v>
      </c>
      <c r="K2426" s="12">
        <v>62.005979458241775</v>
      </c>
      <c r="L2426" s="13">
        <v>6.200597945824177E19</v>
      </c>
      <c r="M2426" s="9">
        <v>6.2005979458241782E18</v>
      </c>
    </row>
    <row r="2427" ht="15.75" customHeight="1">
      <c r="A2427" s="8"/>
      <c r="B2427" s="8"/>
      <c r="C2427" s="8"/>
      <c r="D2427" s="8">
        <v>27.9026907562088</v>
      </c>
      <c r="E2427" s="9" t="s">
        <v>2436</v>
      </c>
      <c r="I2427" s="12" t="str">
        <f>IFERROR(__xludf.DUMMYFUNCTION("""COMPUTED_VALUE"""),"0xcda350420ad361939c26b7bb3f0ad1da22e5ac40")</f>
        <v>0xcda350420ad361939c26b7bb3f0ad1da22e5ac40</v>
      </c>
      <c r="J2427" s="11">
        <v>27.9026907562088</v>
      </c>
      <c r="K2427" s="12">
        <v>62.005979458241775</v>
      </c>
      <c r="L2427" s="13">
        <v>6.200597945824177E19</v>
      </c>
      <c r="M2427" s="9">
        <v>6.2005979458241782E18</v>
      </c>
    </row>
    <row r="2428" ht="15.75" customHeight="1">
      <c r="A2428" s="8"/>
      <c r="B2428" s="8"/>
      <c r="C2428" s="8"/>
      <c r="D2428" s="8">
        <v>27.9026907562088</v>
      </c>
      <c r="E2428" s="9" t="s">
        <v>2437</v>
      </c>
      <c r="I2428" s="12" t="str">
        <f>IFERROR(__xludf.DUMMYFUNCTION("""COMPUTED_VALUE"""),"0xcda52838ef354ac7166bec9a7f631bcea34d1001")</f>
        <v>0xcda52838ef354ac7166bec9a7f631bcea34d1001</v>
      </c>
      <c r="J2428" s="11">
        <v>274.0242900554178</v>
      </c>
      <c r="K2428" s="12">
        <v>608.9428667898173</v>
      </c>
      <c r="L2428" s="13">
        <v>6.089428667898174E20</v>
      </c>
      <c r="M2428" s="9">
        <v>6.089428667898174E19</v>
      </c>
    </row>
    <row r="2429" ht="15.75" customHeight="1">
      <c r="A2429" s="8"/>
      <c r="B2429" s="8"/>
      <c r="C2429" s="8"/>
      <c r="D2429" s="8">
        <v>25.1387949030226</v>
      </c>
      <c r="E2429" s="9" t="s">
        <v>2438</v>
      </c>
      <c r="I2429" s="12" t="str">
        <f>IFERROR(__xludf.DUMMYFUNCTION("""COMPUTED_VALUE"""),"0xcda9387c6e089b89c311ef4e3af3890302bbb0e8")</f>
        <v>0xcda9387c6e089b89c311ef4e3af3890302bbb0e8</v>
      </c>
      <c r="J2429" s="11">
        <v>87.82003036352317</v>
      </c>
      <c r="K2429" s="12">
        <v>195.1556230300515</v>
      </c>
      <c r="L2429" s="13">
        <v>1.9515562303005147E20</v>
      </c>
      <c r="M2429" s="9">
        <v>1.9515562303005147E19</v>
      </c>
    </row>
    <row r="2430" ht="15.75" customHeight="1">
      <c r="A2430" s="8"/>
      <c r="B2430" s="8"/>
      <c r="C2430" s="8"/>
      <c r="D2430" s="8">
        <v>27.9026907562088</v>
      </c>
      <c r="E2430" s="9" t="s">
        <v>2439</v>
      </c>
      <c r="I2430" s="12" t="str">
        <f>IFERROR(__xludf.DUMMYFUNCTION("""COMPUTED_VALUE"""),"0xcdc5fccc3e1eb03a627b9265c0e7920f8cbc75ac")</f>
        <v>0xcdc5fccc3e1eb03a627b9265c0e7920f8cbc75ac</v>
      </c>
      <c r="J2430" s="11">
        <v>27.9026907562088</v>
      </c>
      <c r="K2430" s="12">
        <v>62.005979458241775</v>
      </c>
      <c r="L2430" s="13">
        <v>6.200597945824177E19</v>
      </c>
      <c r="M2430" s="9">
        <v>6.2005979458241782E18</v>
      </c>
    </row>
    <row r="2431" ht="15.75" customHeight="1">
      <c r="A2431" s="8"/>
      <c r="B2431" s="8"/>
      <c r="C2431" s="8"/>
      <c r="D2431" s="8">
        <v>27.9026907562088</v>
      </c>
      <c r="E2431" s="9" t="s">
        <v>2440</v>
      </c>
      <c r="I2431" s="12" t="str">
        <f>IFERROR(__xludf.DUMMYFUNCTION("""COMPUTED_VALUE"""),"0xcdcb2bb177b8008cf88ffbc274b5326bcdec7769")</f>
        <v>0xcdcb2bb177b8008cf88ffbc274b5326bcdec7769</v>
      </c>
      <c r="J2431" s="11">
        <v>27.9026907562088</v>
      </c>
      <c r="K2431" s="12">
        <v>62.005979458241775</v>
      </c>
      <c r="L2431" s="13">
        <v>6.200597945824177E19</v>
      </c>
      <c r="M2431" s="9">
        <v>6.2005979458241782E18</v>
      </c>
    </row>
    <row r="2432" ht="15.75" customHeight="1">
      <c r="A2432" s="8"/>
      <c r="B2432" s="8"/>
      <c r="C2432" s="8"/>
      <c r="D2432" s="8">
        <v>27.201872409339</v>
      </c>
      <c r="E2432" s="9" t="s">
        <v>2441</v>
      </c>
      <c r="I2432" s="12" t="str">
        <f>IFERROR(__xludf.DUMMYFUNCTION("""COMPUTED_VALUE"""),"0xce00b08cfea7ae7cd0b90a0e4647cc3b45b16c15")</f>
        <v>0xce00b08cfea7ae7cd0b90a0e4647cc3b45b16c15</v>
      </c>
      <c r="J2432" s="11">
        <v>88.9855928553608</v>
      </c>
      <c r="K2432" s="12">
        <v>197.7457619008018</v>
      </c>
      <c r="L2432" s="13">
        <v>1.977457619008018E20</v>
      </c>
      <c r="M2432" s="9">
        <v>1.977457619008018E19</v>
      </c>
    </row>
    <row r="2433" ht="15.75" customHeight="1">
      <c r="A2433" s="8"/>
      <c r="B2433" s="8"/>
      <c r="C2433" s="8"/>
      <c r="D2433" s="8">
        <v>27.9026907562088</v>
      </c>
      <c r="E2433" s="9" t="s">
        <v>2442</v>
      </c>
      <c r="I2433" s="12" t="str">
        <f>IFERROR(__xludf.DUMMYFUNCTION("""COMPUTED_VALUE"""),"0xce228b53cd09ff23601646a91724e8b1cc497bee")</f>
        <v>0xce228b53cd09ff23601646a91724e8b1cc497bee</v>
      </c>
      <c r="J2433" s="11">
        <v>27.9026907562088</v>
      </c>
      <c r="K2433" s="12">
        <v>62.005979458241775</v>
      </c>
      <c r="L2433" s="13">
        <v>6.200597945824177E19</v>
      </c>
      <c r="M2433" s="9">
        <v>6.2005979458241782E18</v>
      </c>
    </row>
    <row r="2434" ht="15.75" customHeight="1">
      <c r="A2434" s="8"/>
      <c r="B2434" s="8"/>
      <c r="C2434" s="8"/>
      <c r="D2434" s="8">
        <v>26.2497112962188</v>
      </c>
      <c r="E2434" s="9" t="s">
        <v>2443</v>
      </c>
      <c r="I2434" s="12" t="str">
        <f>IFERROR(__xludf.DUMMYFUNCTION("""COMPUTED_VALUE"""),"0xce22bd15c7292c111b43d9e948470e20eacebb8b")</f>
        <v>0xce22bd15c7292c111b43d9e948470e20eacebb8b</v>
      </c>
      <c r="J2434" s="11">
        <v>26.2497112962188</v>
      </c>
      <c r="K2434" s="12">
        <v>58.3326917693751</v>
      </c>
      <c r="L2434" s="13">
        <v>5.8332691769375105E19</v>
      </c>
      <c r="M2434" s="9">
        <v>5.8332691769375109E18</v>
      </c>
    </row>
    <row r="2435" ht="15.75" customHeight="1">
      <c r="A2435" s="8"/>
      <c r="B2435" s="8"/>
      <c r="C2435" s="8"/>
      <c r="D2435" s="8">
        <v>27.9026907562088</v>
      </c>
      <c r="E2435" s="9" t="s">
        <v>2444</v>
      </c>
      <c r="I2435" s="12" t="str">
        <f>IFERROR(__xludf.DUMMYFUNCTION("""COMPUTED_VALUE"""),"0xce4517646ff8e55ded94b638a31a0dce79ca3b56")</f>
        <v>0xce4517646ff8e55ded94b638a31a0dce79ca3b56</v>
      </c>
      <c r="J2435" s="11">
        <v>27.9026907562088</v>
      </c>
      <c r="K2435" s="12">
        <v>62.005979458241775</v>
      </c>
      <c r="L2435" s="13">
        <v>6.200597945824177E19</v>
      </c>
      <c r="M2435" s="9">
        <v>6.2005979458241782E18</v>
      </c>
    </row>
    <row r="2436" ht="15.75" customHeight="1">
      <c r="A2436" s="8"/>
      <c r="B2436" s="8"/>
      <c r="C2436" s="8"/>
      <c r="D2436" s="8">
        <v>27.9026907562088</v>
      </c>
      <c r="E2436" s="9" t="s">
        <v>2445</v>
      </c>
      <c r="I2436" s="12" t="str">
        <f>IFERROR(__xludf.DUMMYFUNCTION("""COMPUTED_VALUE"""),"0xce58e2e708f1118715e3028b7f220f07ca84b48d")</f>
        <v>0xce58e2e708f1118715e3028b7f220f07ca84b48d</v>
      </c>
      <c r="J2436" s="11">
        <v>157.9201908408705</v>
      </c>
      <c r="K2436" s="12">
        <v>350.9337574241567</v>
      </c>
      <c r="L2436" s="13">
        <v>3.509337574241567E20</v>
      </c>
      <c r="M2436" s="9">
        <v>3.5093375742415667E19</v>
      </c>
    </row>
    <row r="2437" ht="15.75" customHeight="1">
      <c r="A2437" s="8"/>
      <c r="B2437" s="8"/>
      <c r="C2437" s="8"/>
      <c r="D2437" s="8">
        <v>27.9026907562088</v>
      </c>
      <c r="E2437" s="9" t="s">
        <v>2446</v>
      </c>
      <c r="I2437" s="12" t="str">
        <f>IFERROR(__xludf.DUMMYFUNCTION("""COMPUTED_VALUE"""),"0xce7a3172b5bd75a1dd06a25dd59dab1b3c8e0fc2")</f>
        <v>0xce7a3172b5bd75a1dd06a25dd59dab1b3c8e0fc2</v>
      </c>
      <c r="J2437" s="11">
        <v>27.9026907562088</v>
      </c>
      <c r="K2437" s="12">
        <v>62.005979458241775</v>
      </c>
      <c r="L2437" s="13">
        <v>6.200597945824177E19</v>
      </c>
      <c r="M2437" s="9">
        <v>6.2005979458241782E18</v>
      </c>
    </row>
    <row r="2438" ht="15.75" customHeight="1">
      <c r="A2438" s="8"/>
      <c r="B2438" s="8"/>
      <c r="C2438" s="8"/>
      <c r="D2438" s="8">
        <v>26.7468636699146</v>
      </c>
      <c r="E2438" s="9" t="s">
        <v>2447</v>
      </c>
      <c r="I2438" s="12" t="str">
        <f>IFERROR(__xludf.DUMMYFUNCTION("""COMPUTED_VALUE"""),"0xceaa47fe733ed16f725d295459f55726c0e81271")</f>
        <v>0xceaa47fe733ed16f725d295459f55726c0e81271</v>
      </c>
      <c r="J2438" s="11">
        <v>26.7468636699146</v>
      </c>
      <c r="K2438" s="12">
        <v>59.43747482203244</v>
      </c>
      <c r="L2438" s="13">
        <v>5.943747482203244E19</v>
      </c>
      <c r="M2438" s="9">
        <v>5.9437474822032445E18</v>
      </c>
    </row>
    <row r="2439" ht="15.75" customHeight="1">
      <c r="A2439" s="8"/>
      <c r="B2439" s="8"/>
      <c r="C2439" s="8"/>
      <c r="D2439" s="8">
        <v>27.9026907562088</v>
      </c>
      <c r="E2439" s="9" t="s">
        <v>2448</v>
      </c>
      <c r="I2439" s="12" t="str">
        <f>IFERROR(__xludf.DUMMYFUNCTION("""COMPUTED_VALUE"""),"0xceb74b68fb9a650ff8b28e9b48055ebc6726ede2")</f>
        <v>0xceb74b68fb9a650ff8b28e9b48055ebc6726ede2</v>
      </c>
      <c r="J2439" s="11">
        <v>27.9026907562088</v>
      </c>
      <c r="K2439" s="12">
        <v>62.005979458241775</v>
      </c>
      <c r="L2439" s="13">
        <v>6.200597945824177E19</v>
      </c>
      <c r="M2439" s="9">
        <v>6.2005979458241782E18</v>
      </c>
    </row>
    <row r="2440" ht="15.75" customHeight="1">
      <c r="A2440" s="8"/>
      <c r="B2440" s="8"/>
      <c r="C2440" s="8"/>
      <c r="D2440" s="8">
        <v>26.1877738393754</v>
      </c>
      <c r="E2440" s="9" t="s">
        <v>2449</v>
      </c>
      <c r="I2440" s="12" t="str">
        <f>IFERROR(__xludf.DUMMYFUNCTION("""COMPUTED_VALUE"""),"0xcec9bf908bae3e33cb22d9dd427d29471e58f21e")</f>
        <v>0xcec9bf908bae3e33cb22d9dd427d29471e58f21e</v>
      </c>
      <c r="J2440" s="11">
        <v>26.1877738393754</v>
      </c>
      <c r="K2440" s="12">
        <v>58.195052976389775</v>
      </c>
      <c r="L2440" s="13">
        <v>5.8195052976389775E19</v>
      </c>
      <c r="M2440" s="9">
        <v>5.8195052976389775E18</v>
      </c>
    </row>
    <row r="2441" ht="15.75" customHeight="1">
      <c r="A2441" s="8"/>
      <c r="B2441" s="8"/>
      <c r="C2441" s="8"/>
      <c r="D2441" s="8">
        <v>27.9026907562088</v>
      </c>
      <c r="E2441" s="9" t="s">
        <v>2450</v>
      </c>
      <c r="I2441" s="12" t="str">
        <f>IFERROR(__xludf.DUMMYFUNCTION("""COMPUTED_VALUE"""),"0xced39f22ac3ed6e984590f96395ad16c2c88f3f4")</f>
        <v>0xced39f22ac3ed6e984590f96395ad16c2c88f3f4</v>
      </c>
      <c r="J2441" s="11">
        <v>27.9026907562088</v>
      </c>
      <c r="K2441" s="12">
        <v>62.005979458241775</v>
      </c>
      <c r="L2441" s="13">
        <v>6.200597945824177E19</v>
      </c>
      <c r="M2441" s="9">
        <v>6.2005979458241782E18</v>
      </c>
    </row>
    <row r="2442" ht="15.75" customHeight="1">
      <c r="A2442" s="8"/>
      <c r="B2442" s="8"/>
      <c r="C2442" s="8"/>
      <c r="D2442" s="8">
        <v>27.9026907562088</v>
      </c>
      <c r="E2442" s="9" t="s">
        <v>2451</v>
      </c>
      <c r="I2442" s="12" t="str">
        <f>IFERROR(__xludf.DUMMYFUNCTION("""COMPUTED_VALUE"""),"0xceedff58b93f04f50ac510ed2e5013f6268c29f0")</f>
        <v>0xceedff58b93f04f50ac510ed2e5013f6268c29f0</v>
      </c>
      <c r="J2442" s="11">
        <v>91.1199983031448</v>
      </c>
      <c r="K2442" s="12">
        <v>202.48888511809955</v>
      </c>
      <c r="L2442" s="13">
        <v>2.0248888511809955E20</v>
      </c>
      <c r="M2442" s="9">
        <v>2.0248888511809958E19</v>
      </c>
    </row>
    <row r="2443" ht="15.75" customHeight="1">
      <c r="A2443" s="8"/>
      <c r="B2443" s="8"/>
      <c r="C2443" s="8"/>
      <c r="D2443" s="8">
        <v>27.9026907562088</v>
      </c>
      <c r="E2443" s="9" t="s">
        <v>2452</v>
      </c>
      <c r="I2443" s="12" t="str">
        <f>IFERROR(__xludf.DUMMYFUNCTION("""COMPUTED_VALUE"""),"0xcf29f3fa0fe81cf72b5563f331f0801b17b9292e")</f>
        <v>0xcf29f3fa0fe81cf72b5563f331f0801b17b9292e</v>
      </c>
      <c r="J2443" s="11">
        <v>27.9026907562088</v>
      </c>
      <c r="K2443" s="12">
        <v>62.005979458241775</v>
      </c>
      <c r="L2443" s="13">
        <v>6.200597945824177E19</v>
      </c>
      <c r="M2443" s="9">
        <v>6.2005979458241782E18</v>
      </c>
    </row>
    <row r="2444" ht="15.75" customHeight="1">
      <c r="A2444" s="8"/>
      <c r="B2444" s="8"/>
      <c r="C2444" s="8"/>
      <c r="D2444" s="8">
        <v>27.443136528282</v>
      </c>
      <c r="E2444" s="9" t="s">
        <v>2453</v>
      </c>
      <c r="I2444" s="12" t="str">
        <f>IFERROR(__xludf.DUMMYFUNCTION("""COMPUTED_VALUE"""),"0xcf43e9a2f9ed4810de89ae08d88445d8ccf63ab1")</f>
        <v>0xcf43e9a2f9ed4810de89ae08d88445d8ccf63ab1</v>
      </c>
      <c r="J2444" s="11">
        <v>90.660444075218</v>
      </c>
      <c r="K2444" s="12">
        <v>201.46765350048443</v>
      </c>
      <c r="L2444" s="13">
        <v>2.0146765350048442E20</v>
      </c>
      <c r="M2444" s="9">
        <v>2.0146765350048444E19</v>
      </c>
    </row>
    <row r="2445" ht="15.75" customHeight="1">
      <c r="A2445" s="8"/>
      <c r="B2445" s="8"/>
      <c r="C2445" s="8"/>
      <c r="D2445" s="8">
        <v>27.9026907562088</v>
      </c>
      <c r="E2445" s="9" t="s">
        <v>2454</v>
      </c>
      <c r="I2445" s="12" t="str">
        <f>IFERROR(__xludf.DUMMYFUNCTION("""COMPUTED_VALUE"""),"0xcf56a2460ba604f8489889c8fbfbd97373f7b177")</f>
        <v>0xcf56a2460ba604f8489889c8fbfbd97373f7b177</v>
      </c>
      <c r="J2445" s="11">
        <v>56.9826522277993</v>
      </c>
      <c r="K2445" s="12">
        <v>126.62811606177621</v>
      </c>
      <c r="L2445" s="13">
        <v>1.2662811606177622E20</v>
      </c>
      <c r="M2445" s="9">
        <v>1.2662811606177622E19</v>
      </c>
    </row>
    <row r="2446" ht="15.75" customHeight="1">
      <c r="A2446" s="8"/>
      <c r="B2446" s="8"/>
      <c r="C2446" s="8"/>
      <c r="D2446" s="8">
        <v>27.9026907562088</v>
      </c>
      <c r="E2446" s="9" t="s">
        <v>2455</v>
      </c>
      <c r="I2446" s="12" t="str">
        <f>IFERROR(__xludf.DUMMYFUNCTION("""COMPUTED_VALUE"""),"0xcf5ade5a7d9585e40afbfa6f0db0d638d2f8ca61")</f>
        <v>0xcf5ade5a7d9585e40afbfa6f0db0d638d2f8ca61</v>
      </c>
      <c r="J2446" s="11">
        <v>27.9026907562088</v>
      </c>
      <c r="K2446" s="12">
        <v>62.005979458241775</v>
      </c>
      <c r="L2446" s="13">
        <v>6.200597945824177E19</v>
      </c>
      <c r="M2446" s="9">
        <v>6.2005979458241782E18</v>
      </c>
    </row>
    <row r="2447" ht="15.75" customHeight="1">
      <c r="A2447" s="8"/>
      <c r="B2447" s="8"/>
      <c r="C2447" s="8"/>
      <c r="D2447" s="8">
        <v>27.9026907562088</v>
      </c>
      <c r="E2447" s="9" t="s">
        <v>2456</v>
      </c>
      <c r="I2447" s="12" t="str">
        <f>IFERROR(__xludf.DUMMYFUNCTION("""COMPUTED_VALUE"""),"0xcf5c2aa3c4f244619a51aed5aae8f2359e7243d1")</f>
        <v>0xcf5c2aa3c4f244619a51aed5aae8f2359e7243d1</v>
      </c>
      <c r="J2447" s="11">
        <v>91.1199983031448</v>
      </c>
      <c r="K2447" s="12">
        <v>202.48888511809955</v>
      </c>
      <c r="L2447" s="13">
        <v>2.0248888511809955E20</v>
      </c>
      <c r="M2447" s="9">
        <v>2.0248888511809958E19</v>
      </c>
    </row>
    <row r="2448" ht="15.75" customHeight="1">
      <c r="A2448" s="8"/>
      <c r="B2448" s="8"/>
      <c r="C2448" s="8"/>
      <c r="D2448" s="8">
        <v>27.210666244035</v>
      </c>
      <c r="E2448" s="9" t="s">
        <v>2457</v>
      </c>
      <c r="I2448" s="12" t="str">
        <f>IFERROR(__xludf.DUMMYFUNCTION("""COMPUTED_VALUE"""),"0xcf664ab81b455531df430e96a4a099a2dcf2ddb6")</f>
        <v>0xcf664ab81b455531df430e96a4a099a2dcf2ddb6</v>
      </c>
      <c r="J2448" s="11">
        <v>27.210666244035</v>
      </c>
      <c r="K2448" s="12">
        <v>60.46814720896666</v>
      </c>
      <c r="L2448" s="13">
        <v>6.046814720896666E19</v>
      </c>
      <c r="M2448" s="9">
        <v>6.0468147208966666E18</v>
      </c>
    </row>
    <row r="2449" ht="15.75" customHeight="1">
      <c r="A2449" s="8"/>
      <c r="B2449" s="8"/>
      <c r="C2449" s="8"/>
      <c r="D2449" s="8">
        <v>27.9026907562088</v>
      </c>
      <c r="E2449" s="9" t="s">
        <v>2458</v>
      </c>
      <c r="I2449" s="12" t="str">
        <f>IFERROR(__xludf.DUMMYFUNCTION("""COMPUTED_VALUE"""),"0xcfa1aba8006906679950d2fa133342e91c6efc59")</f>
        <v>0xcfa1aba8006906679950d2fa133342e91c6efc59</v>
      </c>
      <c r="J2449" s="11">
        <v>27.9026907562088</v>
      </c>
      <c r="K2449" s="12">
        <v>62.005979458241775</v>
      </c>
      <c r="L2449" s="13">
        <v>6.200597945824177E19</v>
      </c>
      <c r="M2449" s="9">
        <v>6.2005979458241782E18</v>
      </c>
    </row>
    <row r="2450" ht="15.75" customHeight="1">
      <c r="A2450" s="8"/>
      <c r="B2450" s="8"/>
      <c r="C2450" s="8"/>
      <c r="D2450" s="8">
        <v>27.9026907562088</v>
      </c>
      <c r="E2450" s="9" t="s">
        <v>2459</v>
      </c>
      <c r="I2450" s="12" t="str">
        <f>IFERROR(__xludf.DUMMYFUNCTION("""COMPUTED_VALUE"""),"0xcfa8e189dd7dce85360f7914b7a461813d438a40")</f>
        <v>0xcfa8e189dd7dce85360f7914b7a461813d438a40</v>
      </c>
      <c r="J2450" s="11">
        <v>99.34257542694186</v>
      </c>
      <c r="K2450" s="12">
        <v>220.76127872653745</v>
      </c>
      <c r="L2450" s="13">
        <v>2.2076127872653745E20</v>
      </c>
      <c r="M2450" s="9">
        <v>2.2076127872653746E19</v>
      </c>
    </row>
    <row r="2451" ht="15.75" customHeight="1">
      <c r="A2451" s="8"/>
      <c r="B2451" s="8"/>
      <c r="C2451" s="8"/>
      <c r="D2451" s="8">
        <v>27.9026907562088</v>
      </c>
      <c r="E2451" s="9" t="s">
        <v>2460</v>
      </c>
      <c r="I2451" s="12" t="str">
        <f>IFERROR(__xludf.DUMMYFUNCTION("""COMPUTED_VALUE"""),"0xcfaf39e15ba9bf60783421a2898389f593dfefb9")</f>
        <v>0xcfaf39e15ba9bf60783421a2898389f593dfefb9</v>
      </c>
      <c r="J2451" s="11">
        <v>27.9026907562088</v>
      </c>
      <c r="K2451" s="12">
        <v>62.005979458241775</v>
      </c>
      <c r="L2451" s="13">
        <v>6.200597945824177E19</v>
      </c>
      <c r="M2451" s="9">
        <v>6.2005979458241782E18</v>
      </c>
    </row>
    <row r="2452" ht="15.75" customHeight="1">
      <c r="A2452" s="8"/>
      <c r="B2452" s="8"/>
      <c r="C2452" s="8"/>
      <c r="D2452" s="8">
        <v>5.58112078256051</v>
      </c>
      <c r="E2452" s="9" t="s">
        <v>2461</v>
      </c>
      <c r="I2452" s="12" t="str">
        <f>IFERROR(__xludf.DUMMYFUNCTION("""COMPUTED_VALUE"""),"0xcfd936c465b1847fa1b2c39a4755e9fe857e9853")</f>
        <v>0xcfd936c465b1847fa1b2c39a4755e9fe857e9853</v>
      </c>
      <c r="J2452" s="11">
        <v>5.58112078256051</v>
      </c>
      <c r="K2452" s="12">
        <v>12.402490627912243</v>
      </c>
      <c r="L2452" s="13">
        <v>1.2402490627912243E19</v>
      </c>
      <c r="M2452" s="9">
        <v>1.24024906279122432E18</v>
      </c>
    </row>
    <row r="2453" ht="15.75" customHeight="1">
      <c r="A2453" s="8"/>
      <c r="B2453" s="8"/>
      <c r="C2453" s="8"/>
      <c r="D2453" s="8">
        <v>26.5256918039924</v>
      </c>
      <c r="E2453" s="9" t="s">
        <v>2462</v>
      </c>
      <c r="I2453" s="12" t="str">
        <f>IFERROR(__xludf.DUMMYFUNCTION("""COMPUTED_VALUE"""),"0xcfee964deb29207b71cbbb933cec00a5d183334f")</f>
        <v>0xcfee964deb29207b71cbbb933cec00a5d183334f</v>
      </c>
      <c r="J2453" s="11">
        <v>26.5256918039924</v>
      </c>
      <c r="K2453" s="12">
        <v>58.94598178664978</v>
      </c>
      <c r="L2453" s="13">
        <v>5.894598178664978E19</v>
      </c>
      <c r="M2453" s="9">
        <v>5.8945981786649784E18</v>
      </c>
    </row>
    <row r="2454" ht="15.75" customHeight="1">
      <c r="A2454" s="8"/>
      <c r="B2454" s="8"/>
      <c r="C2454" s="8"/>
      <c r="D2454" s="8">
        <v>27.9026907562088</v>
      </c>
      <c r="E2454" s="9" t="s">
        <v>2463</v>
      </c>
      <c r="I2454" s="12" t="str">
        <f>IFERROR(__xludf.DUMMYFUNCTION("""COMPUTED_VALUE"""),"0xcffe2f1da1a7b0122b4c8b804a364d87ba6034e6")</f>
        <v>0xcffe2f1da1a7b0122b4c8b804a364d87ba6034e6</v>
      </c>
      <c r="J2454" s="11">
        <v>27.9026907562088</v>
      </c>
      <c r="K2454" s="12">
        <v>62.005979458241775</v>
      </c>
      <c r="L2454" s="13">
        <v>6.200597945824177E19</v>
      </c>
      <c r="M2454" s="9">
        <v>6.2005979458241782E18</v>
      </c>
    </row>
    <row r="2455" ht="15.75" customHeight="1">
      <c r="A2455" s="8"/>
      <c r="B2455" s="8"/>
      <c r="C2455" s="8"/>
      <c r="D2455" s="8">
        <v>25.6361916582211</v>
      </c>
      <c r="E2455" s="9" t="s">
        <v>2464</v>
      </c>
      <c r="I2455" s="12" t="str">
        <f>IFERROR(__xludf.DUMMYFUNCTION("""COMPUTED_VALUE"""),"0xd019cce82a63e2a62ae15979b8d268f2767ca7fd")</f>
        <v>0xd019cce82a63e2a62ae15979b8d268f2767ca7fd</v>
      </c>
      <c r="J2455" s="11">
        <v>25.6361916582211</v>
      </c>
      <c r="K2455" s="12">
        <v>56.96931479604689</v>
      </c>
      <c r="L2455" s="13">
        <v>5.6969314796046885E19</v>
      </c>
      <c r="M2455" s="9">
        <v>5.6969314796046889E18</v>
      </c>
    </row>
    <row r="2456" ht="15.75" customHeight="1">
      <c r="A2456" s="8"/>
      <c r="B2456" s="8"/>
      <c r="C2456" s="8"/>
      <c r="D2456" s="8">
        <v>27.9026907562088</v>
      </c>
      <c r="E2456" s="9" t="s">
        <v>2465</v>
      </c>
      <c r="I2456" s="12" t="str">
        <f>IFERROR(__xludf.DUMMYFUNCTION("""COMPUTED_VALUE"""),"0xd0590e6d498d6f80ccc1eb89a27aed1b4bd9f083")</f>
        <v>0xd0590e6d498d6f80ccc1eb89a27aed1b4bd9f083</v>
      </c>
      <c r="J2456" s="11">
        <v>65.83307528437041</v>
      </c>
      <c r="K2456" s="12">
        <v>146.29572285415645</v>
      </c>
      <c r="L2456" s="13">
        <v>1.4629572285415645E20</v>
      </c>
      <c r="M2456" s="9">
        <v>1.4629572285415645E19</v>
      </c>
    </row>
    <row r="2457" ht="15.75" customHeight="1">
      <c r="A2457" s="8"/>
      <c r="B2457" s="8"/>
      <c r="C2457" s="8"/>
      <c r="D2457" s="8">
        <v>27.9026907562088</v>
      </c>
      <c r="E2457" s="9" t="s">
        <v>2466</v>
      </c>
      <c r="I2457" s="12" t="str">
        <f>IFERROR(__xludf.DUMMYFUNCTION("""COMPUTED_VALUE"""),"0xd05e2e33751e5a0336bdc5297879ff751700c563")</f>
        <v>0xd05e2e33751e5a0336bdc5297879ff751700c563</v>
      </c>
      <c r="J2457" s="11">
        <v>27.9026907562088</v>
      </c>
      <c r="K2457" s="12">
        <v>62.005979458241775</v>
      </c>
      <c r="L2457" s="13">
        <v>6.200597945824177E19</v>
      </c>
      <c r="M2457" s="9">
        <v>6.2005979458241782E18</v>
      </c>
    </row>
    <row r="2458" ht="15.75" customHeight="1">
      <c r="A2458" s="8"/>
      <c r="B2458" s="8"/>
      <c r="C2458" s="8"/>
      <c r="D2458" s="8">
        <v>27.9026907562088</v>
      </c>
      <c r="E2458" s="9" t="s">
        <v>2467</v>
      </c>
      <c r="I2458" s="12" t="str">
        <f>IFERROR(__xludf.DUMMYFUNCTION("""COMPUTED_VALUE"""),"0xd07bdb3cd7813df5446dd34ed52c4dd3460db4e7")</f>
        <v>0xd07bdb3cd7813df5446dd34ed52c4dd3460db4e7</v>
      </c>
      <c r="J2458" s="11">
        <v>27.9026907562088</v>
      </c>
      <c r="K2458" s="12">
        <v>62.005979458241775</v>
      </c>
      <c r="L2458" s="13">
        <v>6.200597945824177E19</v>
      </c>
      <c r="M2458" s="9">
        <v>6.2005979458241782E18</v>
      </c>
    </row>
    <row r="2459" ht="15.75" customHeight="1">
      <c r="A2459" s="8"/>
      <c r="B2459" s="8"/>
      <c r="C2459" s="8"/>
      <c r="D2459" s="8">
        <v>27.9026907562088</v>
      </c>
      <c r="E2459" s="9" t="s">
        <v>2468</v>
      </c>
      <c r="I2459" s="12" t="str">
        <f>IFERROR(__xludf.DUMMYFUNCTION("""COMPUTED_VALUE"""),"0xd08b88e684c422b1921d24531bc5db6b994ba1ca")</f>
        <v>0xd08b88e684c422b1921d24531bc5db6b994ba1ca</v>
      </c>
      <c r="J2459" s="11">
        <v>91.1199983031448</v>
      </c>
      <c r="K2459" s="12">
        <v>202.48888511809955</v>
      </c>
      <c r="L2459" s="13">
        <v>2.0248888511809955E20</v>
      </c>
      <c r="M2459" s="9">
        <v>2.0248888511809958E19</v>
      </c>
    </row>
    <row r="2460" ht="15.75" customHeight="1">
      <c r="A2460" s="8"/>
      <c r="B2460" s="8"/>
      <c r="C2460" s="8"/>
      <c r="D2460" s="8">
        <v>27.9026907562088</v>
      </c>
      <c r="E2460" s="9" t="s">
        <v>2469</v>
      </c>
      <c r="I2460" s="12" t="str">
        <f>IFERROR(__xludf.DUMMYFUNCTION("""COMPUTED_VALUE"""),"0xd08d43533c9fa3aa1f635f97e66fdf0ff4d7b96e")</f>
        <v>0xd08d43533c9fa3aa1f635f97e66fdf0ff4d7b96e</v>
      </c>
      <c r="J2460" s="11">
        <v>27.9026907562088</v>
      </c>
      <c r="K2460" s="12">
        <v>62.005979458241775</v>
      </c>
      <c r="L2460" s="13">
        <v>6.200597945824177E19</v>
      </c>
      <c r="M2460" s="9">
        <v>6.2005979458241782E18</v>
      </c>
    </row>
    <row r="2461" ht="15.75" customHeight="1">
      <c r="A2461" s="8"/>
      <c r="B2461" s="8"/>
      <c r="C2461" s="8"/>
      <c r="D2461" s="8">
        <v>18.3334093586222</v>
      </c>
      <c r="E2461" s="9" t="s">
        <v>2470</v>
      </c>
      <c r="I2461" s="12" t="str">
        <f>IFERROR(__xludf.DUMMYFUNCTION("""COMPUTED_VALUE"""),"0xd0a444fdd2c876b40480e03c74efd64e5db1df2d")</f>
        <v>0xd0a444fdd2c876b40480e03c74efd64e5db1df2d</v>
      </c>
      <c r="J2461" s="11">
        <v>18.3334093586222</v>
      </c>
      <c r="K2461" s="12">
        <v>40.740909685827106</v>
      </c>
      <c r="L2461" s="13">
        <v>4.074090968582711E19</v>
      </c>
      <c r="M2461" s="9">
        <v>4.0740909685827113E18</v>
      </c>
    </row>
    <row r="2462" ht="15.75" customHeight="1">
      <c r="A2462" s="8"/>
      <c r="B2462" s="8"/>
      <c r="C2462" s="8"/>
      <c r="D2462" s="8">
        <v>27.9026907562088</v>
      </c>
      <c r="E2462" s="9" t="s">
        <v>2471</v>
      </c>
      <c r="I2462" s="12" t="str">
        <f>IFERROR(__xludf.DUMMYFUNCTION("""COMPUTED_VALUE"""),"0xd0ceede0fac1ecd850af7e067983001567f3e057")</f>
        <v>0xd0ceede0fac1ecd850af7e067983001567f3e057</v>
      </c>
      <c r="J2462" s="11">
        <v>27.9026907562088</v>
      </c>
      <c r="K2462" s="12">
        <v>62.005979458241775</v>
      </c>
      <c r="L2462" s="13">
        <v>6.200597945824177E19</v>
      </c>
      <c r="M2462" s="9">
        <v>6.2005979458241782E18</v>
      </c>
    </row>
    <row r="2463" ht="15.75" customHeight="1">
      <c r="A2463" s="8"/>
      <c r="B2463" s="8"/>
      <c r="C2463" s="8"/>
      <c r="D2463" s="8">
        <v>0.18866915978003</v>
      </c>
      <c r="E2463" s="9" t="s">
        <v>2472</v>
      </c>
      <c r="I2463" s="12" t="str">
        <f>IFERROR(__xludf.DUMMYFUNCTION("""COMPUTED_VALUE"""),"0xd0de66ea6102197ca4be803febeb08cd411a4a95")</f>
        <v>0xd0de66ea6102197ca4be803febeb08cd411a4a95</v>
      </c>
      <c r="J2463" s="11">
        <v>0.18866915978003</v>
      </c>
      <c r="K2463" s="12">
        <v>0.41926479951117773</v>
      </c>
      <c r="L2463" s="13">
        <v>4.1926479951117773E17</v>
      </c>
      <c r="M2463" s="9">
        <v>4.1926479951117776E16</v>
      </c>
    </row>
    <row r="2464" ht="15.75" customHeight="1">
      <c r="A2464" s="8"/>
      <c r="B2464" s="8"/>
      <c r="C2464" s="8"/>
      <c r="D2464" s="8">
        <v>27.9026907562088</v>
      </c>
      <c r="E2464" s="9" t="s">
        <v>2473</v>
      </c>
      <c r="I2464" s="12" t="str">
        <f>IFERROR(__xludf.DUMMYFUNCTION("""COMPUTED_VALUE"""),"0xd0f853b3c9c621c64b5b8c2067317b2afc008d03")</f>
        <v>0xd0f853b3c9c621c64b5b8c2067317b2afc008d03</v>
      </c>
      <c r="J2464" s="11">
        <v>215.76321688538178</v>
      </c>
      <c r="K2464" s="12">
        <v>479.4738153008484</v>
      </c>
      <c r="L2464" s="13">
        <v>4.794738153008484E20</v>
      </c>
      <c r="M2464" s="9">
        <v>4.794738153008484E19</v>
      </c>
    </row>
    <row r="2465" ht="15.75" customHeight="1">
      <c r="A2465" s="8"/>
      <c r="B2465" s="8"/>
      <c r="C2465" s="8"/>
      <c r="D2465" s="8">
        <v>27.9026907562088</v>
      </c>
      <c r="E2465" s="9" t="s">
        <v>2474</v>
      </c>
      <c r="I2465" s="12" t="str">
        <f>IFERROR(__xludf.DUMMYFUNCTION("""COMPUTED_VALUE"""),"0xd0ff39ae8bf1a1e38d92cf616e82e202a18b0e95")</f>
        <v>0xd0ff39ae8bf1a1e38d92cf616e82e202a18b0e95</v>
      </c>
      <c r="J2465" s="11">
        <v>27.9026907562088</v>
      </c>
      <c r="K2465" s="12">
        <v>62.005979458241775</v>
      </c>
      <c r="L2465" s="13">
        <v>6.200597945824177E19</v>
      </c>
      <c r="M2465" s="9">
        <v>6.2005979458241782E18</v>
      </c>
    </row>
    <row r="2466" ht="15.75" customHeight="1">
      <c r="A2466" s="8"/>
      <c r="B2466" s="8"/>
      <c r="C2466" s="8"/>
      <c r="D2466" s="8">
        <v>27.9026907562088</v>
      </c>
      <c r="E2466" s="9" t="s">
        <v>2475</v>
      </c>
      <c r="I2466" s="12" t="str">
        <f>IFERROR(__xludf.DUMMYFUNCTION("""COMPUTED_VALUE"""),"0xd116fac0563ab7785d8bc6ec5f676b36b0f9fad3")</f>
        <v>0xd116fac0563ab7785d8bc6ec5f676b36b0f9fad3</v>
      </c>
      <c r="J2466" s="11">
        <v>27.9026907562088</v>
      </c>
      <c r="K2466" s="12">
        <v>62.005979458241775</v>
      </c>
      <c r="L2466" s="13">
        <v>6.200597945824177E19</v>
      </c>
      <c r="M2466" s="9">
        <v>6.2005979458241782E18</v>
      </c>
    </row>
    <row r="2467" ht="15.75" customHeight="1">
      <c r="A2467" s="8"/>
      <c r="B2467" s="8"/>
      <c r="C2467" s="8"/>
      <c r="D2467" s="8">
        <v>27.9026907562088</v>
      </c>
      <c r="E2467" s="9" t="s">
        <v>2476</v>
      </c>
      <c r="I2467" s="12" t="str">
        <f>IFERROR(__xludf.DUMMYFUNCTION("""COMPUTED_VALUE"""),"0xd11edb0d9c91f658d6d77b929b1ed20086abe309")</f>
        <v>0xd11edb0d9c91f658d6d77b929b1ed20086abe309</v>
      </c>
      <c r="J2467" s="11">
        <v>93.08678770221842</v>
      </c>
      <c r="K2467" s="12">
        <v>206.85952822715203</v>
      </c>
      <c r="L2467" s="13">
        <v>2.0685952822715204E20</v>
      </c>
      <c r="M2467" s="9">
        <v>2.0685952822715204E19</v>
      </c>
    </row>
    <row r="2468" ht="15.75" customHeight="1">
      <c r="A2468" s="8"/>
      <c r="B2468" s="8"/>
      <c r="C2468" s="8"/>
      <c r="D2468" s="8">
        <v>5.25327652930207</v>
      </c>
      <c r="E2468" s="9" t="s">
        <v>2477</v>
      </c>
      <c r="I2468" s="12" t="str">
        <f>IFERROR(__xludf.DUMMYFUNCTION("""COMPUTED_VALUE"""),"0xd1434c0049fd66dd640db2f59ee839c0979750dd")</f>
        <v>0xd1434c0049fd66dd640db2f59ee839c0979750dd</v>
      </c>
      <c r="J2468" s="11">
        <v>5.25327652930207</v>
      </c>
      <c r="K2468" s="12">
        <v>11.673947842893488</v>
      </c>
      <c r="L2468" s="13">
        <v>1.1673947842893488E19</v>
      </c>
      <c r="M2468" s="9">
        <v>1.16739478428934886E18</v>
      </c>
    </row>
    <row r="2469" ht="15.75" customHeight="1">
      <c r="A2469" s="8"/>
      <c r="B2469" s="8"/>
      <c r="C2469" s="8"/>
      <c r="D2469" s="8">
        <v>27.9026907562088</v>
      </c>
      <c r="E2469" s="9" t="s">
        <v>2478</v>
      </c>
      <c r="I2469" s="12" t="str">
        <f>IFERROR(__xludf.DUMMYFUNCTION("""COMPUTED_VALUE"""),"0xd1453c1310846ec5ba080fcb1d3e128e9d124745")</f>
        <v>0xd1453c1310846ec5ba080fcb1d3e128e9d124745</v>
      </c>
      <c r="J2469" s="11">
        <v>190.54559123216728</v>
      </c>
      <c r="K2469" s="12">
        <v>423.43464718259395</v>
      </c>
      <c r="L2469" s="13">
        <v>4.2343464718259395E20</v>
      </c>
      <c r="M2469" s="9">
        <v>4.23434647182594E19</v>
      </c>
    </row>
    <row r="2470" ht="15.75" customHeight="1">
      <c r="A2470" s="8"/>
      <c r="B2470" s="8"/>
      <c r="C2470" s="8"/>
      <c r="D2470" s="8">
        <v>27.9026907562088</v>
      </c>
      <c r="E2470" s="9" t="s">
        <v>2479</v>
      </c>
      <c r="I2470" s="12" t="str">
        <f>IFERROR(__xludf.DUMMYFUNCTION("""COMPUTED_VALUE"""),"0xd18412d1276984e9b9881edecabd49a32f26c877")</f>
        <v>0xd18412d1276984e9b9881edecabd49a32f26c877</v>
      </c>
      <c r="J2470" s="11">
        <v>27.9026907562088</v>
      </c>
      <c r="K2470" s="12">
        <v>62.005979458241775</v>
      </c>
      <c r="L2470" s="13">
        <v>6.200597945824177E19</v>
      </c>
      <c r="M2470" s="9">
        <v>6.2005979458241782E18</v>
      </c>
    </row>
    <row r="2471" ht="15.75" customHeight="1">
      <c r="A2471" s="8"/>
      <c r="B2471" s="8"/>
      <c r="C2471" s="8"/>
      <c r="D2471" s="8">
        <v>27.9026907562088</v>
      </c>
      <c r="E2471" s="9" t="s">
        <v>2480</v>
      </c>
      <c r="I2471" s="12" t="str">
        <f>IFERROR(__xludf.DUMMYFUNCTION("""COMPUTED_VALUE"""),"0xd1902de19059234c401157a76da263662350f913")</f>
        <v>0xd1902de19059234c401157a76da263662350f913</v>
      </c>
      <c r="J2471" s="11">
        <v>91.1199983031448</v>
      </c>
      <c r="K2471" s="12">
        <v>202.48888511809955</v>
      </c>
      <c r="L2471" s="13">
        <v>2.0248888511809955E20</v>
      </c>
      <c r="M2471" s="9">
        <v>2.0248888511809958E19</v>
      </c>
    </row>
    <row r="2472" ht="15.75" customHeight="1">
      <c r="A2472" s="8"/>
      <c r="B2472" s="8"/>
      <c r="C2472" s="8"/>
      <c r="D2472" s="8">
        <v>27.9026907562088</v>
      </c>
      <c r="E2472" s="9" t="s">
        <v>2481</v>
      </c>
      <c r="I2472" s="12" t="str">
        <f>IFERROR(__xludf.DUMMYFUNCTION("""COMPUTED_VALUE"""),"0xd192b0c5dfa2f4ce85621ca55281db30aef081cb")</f>
        <v>0xd192b0c5dfa2f4ce85621ca55281db30aef081cb</v>
      </c>
      <c r="J2472" s="11">
        <v>27.9026907562088</v>
      </c>
      <c r="K2472" s="12">
        <v>62.005979458241775</v>
      </c>
      <c r="L2472" s="13">
        <v>6.200597945824177E19</v>
      </c>
      <c r="M2472" s="9">
        <v>6.2005979458241782E18</v>
      </c>
    </row>
    <row r="2473" ht="15.75" customHeight="1">
      <c r="A2473" s="8"/>
      <c r="B2473" s="8"/>
      <c r="C2473" s="8"/>
      <c r="D2473" s="8">
        <v>27.9026907562088</v>
      </c>
      <c r="E2473" s="9" t="s">
        <v>2482</v>
      </c>
      <c r="I2473" s="12" t="str">
        <f>IFERROR(__xludf.DUMMYFUNCTION("""COMPUTED_VALUE"""),"0xd1a371ef0ac3c633ea3a78cd399c9ea90a2dfe62")</f>
        <v>0xd1a371ef0ac3c633ea3a78cd399c9ea90a2dfe62</v>
      </c>
      <c r="J2473" s="11">
        <v>27.9026907562088</v>
      </c>
      <c r="K2473" s="12">
        <v>62.005979458241775</v>
      </c>
      <c r="L2473" s="13">
        <v>6.200597945824177E19</v>
      </c>
      <c r="M2473" s="9">
        <v>6.2005979458241782E18</v>
      </c>
    </row>
    <row r="2474" ht="15.75" customHeight="1">
      <c r="A2474" s="8"/>
      <c r="B2474" s="8"/>
      <c r="C2474" s="8"/>
      <c r="D2474" s="8">
        <v>20.1620801207455</v>
      </c>
      <c r="E2474" s="9" t="s">
        <v>2483</v>
      </c>
      <c r="I2474" s="12" t="str">
        <f>IFERROR(__xludf.DUMMYFUNCTION("""COMPUTED_VALUE"""),"0xd1cc6444fa70665f5daebcd9e23cd31b764fc76a")</f>
        <v>0xd1cc6444fa70665f5daebcd9e23cd31b764fc76a</v>
      </c>
      <c r="J2474" s="11">
        <v>20.1620801207455</v>
      </c>
      <c r="K2474" s="12">
        <v>44.804622490545555</v>
      </c>
      <c r="L2474" s="13">
        <v>4.480462249054555E19</v>
      </c>
      <c r="M2474" s="9">
        <v>4.4804622490545556E18</v>
      </c>
    </row>
    <row r="2475" ht="15.75" customHeight="1">
      <c r="A2475" s="8"/>
      <c r="B2475" s="8"/>
      <c r="C2475" s="8"/>
      <c r="D2475" s="8">
        <v>27.9026907562088</v>
      </c>
      <c r="E2475" s="9" t="s">
        <v>2484</v>
      </c>
      <c r="I2475" s="12" t="str">
        <f>IFERROR(__xludf.DUMMYFUNCTION("""COMPUTED_VALUE"""),"0xd1dc1e6b54c979f14ef9507be392407d43b1bf6f")</f>
        <v>0xd1dc1e6b54c979f14ef9507be392407d43b1bf6f</v>
      </c>
      <c r="J2475" s="11">
        <v>27.9026907562088</v>
      </c>
      <c r="K2475" s="12">
        <v>62.005979458241775</v>
      </c>
      <c r="L2475" s="13">
        <v>6.200597945824177E19</v>
      </c>
      <c r="M2475" s="9">
        <v>6.2005979458241782E18</v>
      </c>
    </row>
    <row r="2476" ht="15.75" customHeight="1">
      <c r="A2476" s="8"/>
      <c r="B2476" s="8"/>
      <c r="C2476" s="8"/>
      <c r="D2476" s="8">
        <v>27.9026907562088</v>
      </c>
      <c r="E2476" s="9" t="s">
        <v>2485</v>
      </c>
      <c r="I2476" s="12" t="str">
        <f>IFERROR(__xludf.DUMMYFUNCTION("""COMPUTED_VALUE"""),"0xd208a89cc5267e5c54b7c1156f066164ee6c9c25")</f>
        <v>0xd208a89cc5267e5c54b7c1156f066164ee6c9c25</v>
      </c>
      <c r="J2476" s="11">
        <v>111.7453758837203</v>
      </c>
      <c r="K2476" s="12">
        <v>248.32305751937844</v>
      </c>
      <c r="L2476" s="13">
        <v>2.4832305751937843E20</v>
      </c>
      <c r="M2476" s="9">
        <v>2.4832305751937843E19</v>
      </c>
    </row>
    <row r="2477" ht="15.75" customHeight="1">
      <c r="A2477" s="8"/>
      <c r="B2477" s="8"/>
      <c r="C2477" s="8"/>
      <c r="D2477" s="8">
        <v>27.9026907562088</v>
      </c>
      <c r="E2477" s="9" t="s">
        <v>2486</v>
      </c>
      <c r="I2477" s="12" t="str">
        <f>IFERROR(__xludf.DUMMYFUNCTION("""COMPUTED_VALUE"""),"0xd2202a70dfe5c12a3d601ce54bd402f63c8c8e9e")</f>
        <v>0xd2202a70dfe5c12a3d601ce54bd402f63c8c8e9e</v>
      </c>
      <c r="J2477" s="11">
        <v>102.7947403298856</v>
      </c>
      <c r="K2477" s="12">
        <v>228.43275628863466</v>
      </c>
      <c r="L2477" s="13">
        <v>2.2843275628863465E20</v>
      </c>
      <c r="M2477" s="9">
        <v>2.2843275628863468E19</v>
      </c>
    </row>
    <row r="2478" ht="15.75" customHeight="1">
      <c r="A2478" s="8"/>
      <c r="B2478" s="8"/>
      <c r="C2478" s="8"/>
      <c r="D2478" s="8">
        <v>27.9026907562088</v>
      </c>
      <c r="E2478" s="9" t="s">
        <v>2487</v>
      </c>
      <c r="I2478" s="12" t="str">
        <f>IFERROR(__xludf.DUMMYFUNCTION("""COMPUTED_VALUE"""),"0xd22bb85c10370215129c45c4619f28ac2b52b64f")</f>
        <v>0xd22bb85c10370215129c45c4619f28ac2b52b64f</v>
      </c>
      <c r="J2478" s="11">
        <v>27.9026907562088</v>
      </c>
      <c r="K2478" s="12">
        <v>62.005979458241775</v>
      </c>
      <c r="L2478" s="13">
        <v>6.200597945824177E19</v>
      </c>
      <c r="M2478" s="9">
        <v>6.2005979458241782E18</v>
      </c>
    </row>
    <row r="2479" ht="15.75" customHeight="1">
      <c r="A2479" s="8"/>
      <c r="B2479" s="8"/>
      <c r="C2479" s="8"/>
      <c r="D2479" s="8">
        <v>27.9026907562088</v>
      </c>
      <c r="E2479" s="9" t="s">
        <v>2488</v>
      </c>
      <c r="I2479" s="12" t="str">
        <f>IFERROR(__xludf.DUMMYFUNCTION("""COMPUTED_VALUE"""),"0xd24054efb72c200f4e4c353fca0195976e36719e")</f>
        <v>0xd24054efb72c200f4e4c353fca0195976e36719e</v>
      </c>
      <c r="J2479" s="11">
        <v>42.0633676467224</v>
      </c>
      <c r="K2479" s="12">
        <v>93.47415032604977</v>
      </c>
      <c r="L2479" s="13">
        <v>9.347415032604977E19</v>
      </c>
      <c r="M2479" s="9">
        <v>9.347415032604977E18</v>
      </c>
    </row>
    <row r="2480" ht="15.75" customHeight="1">
      <c r="A2480" s="8"/>
      <c r="B2480" s="8"/>
      <c r="C2480" s="8"/>
      <c r="D2480" s="8">
        <v>27.9026907562088</v>
      </c>
      <c r="E2480" s="9" t="s">
        <v>2489</v>
      </c>
      <c r="I2480" s="12" t="str">
        <f>IFERROR(__xludf.DUMMYFUNCTION("""COMPUTED_VALUE"""),"0xd257406916322166c750ea169208a9b2e1fd2c90")</f>
        <v>0xd257406916322166c750ea169208a9b2e1fd2c90</v>
      </c>
      <c r="J2480" s="11">
        <v>27.9026907562088</v>
      </c>
      <c r="K2480" s="12">
        <v>62.005979458241775</v>
      </c>
      <c r="L2480" s="13">
        <v>6.200597945824177E19</v>
      </c>
      <c r="M2480" s="9">
        <v>6.2005979458241782E18</v>
      </c>
    </row>
    <row r="2481" ht="15.75" customHeight="1">
      <c r="A2481" s="8"/>
      <c r="B2481" s="8"/>
      <c r="C2481" s="8"/>
      <c r="D2481" s="8">
        <v>27.2087996677364</v>
      </c>
      <c r="E2481" s="9" t="s">
        <v>2490</v>
      </c>
      <c r="I2481" s="12" t="str">
        <f>IFERROR(__xludf.DUMMYFUNCTION("""COMPUTED_VALUE"""),"0xd2612ba3ac1d30ed4423f1d5c35e0ba4bb5918a9")</f>
        <v>0xd2612ba3ac1d30ed4423f1d5c35e0ba4bb5918a9</v>
      </c>
      <c r="J2481" s="11">
        <v>27.2087996677364</v>
      </c>
      <c r="K2481" s="12">
        <v>60.463999261636445</v>
      </c>
      <c r="L2481" s="13">
        <v>6.0463999261636444E19</v>
      </c>
      <c r="M2481" s="9">
        <v>6.0463999261636444E18</v>
      </c>
    </row>
    <row r="2482" ht="15.75" customHeight="1">
      <c r="A2482" s="8"/>
      <c r="B2482" s="8"/>
      <c r="C2482" s="8"/>
      <c r="D2482" s="8">
        <v>27.9026907562088</v>
      </c>
      <c r="E2482" s="9" t="s">
        <v>2491</v>
      </c>
      <c r="I2482" s="12" t="str">
        <f>IFERROR(__xludf.DUMMYFUNCTION("""COMPUTED_VALUE"""),"0xd26d0adeafa5dbdb092731582551542263199545")</f>
        <v>0xd26d0adeafa5dbdb092731582551542263199545</v>
      </c>
      <c r="J2482" s="11">
        <v>27.9026907562088</v>
      </c>
      <c r="K2482" s="12">
        <v>62.005979458241775</v>
      </c>
      <c r="L2482" s="13">
        <v>6.200597945824177E19</v>
      </c>
      <c r="M2482" s="9">
        <v>6.2005979458241782E18</v>
      </c>
    </row>
    <row r="2483" ht="15.75" customHeight="1">
      <c r="A2483" s="8"/>
      <c r="B2483" s="8"/>
      <c r="C2483" s="8"/>
      <c r="D2483" s="8">
        <v>27.9026907562088</v>
      </c>
      <c r="E2483" s="9" t="s">
        <v>2492</v>
      </c>
      <c r="I2483" s="12" t="str">
        <f>IFERROR(__xludf.DUMMYFUNCTION("""COMPUTED_VALUE"""),"0xd2749e7729d61b8daf41f4e26f5bf5d0047481ed")</f>
        <v>0xd2749e7729d61b8daf41f4e26f5bf5d0047481ed</v>
      </c>
      <c r="J2483" s="11">
        <v>91.1199983031448</v>
      </c>
      <c r="K2483" s="12">
        <v>202.48888511809955</v>
      </c>
      <c r="L2483" s="13">
        <v>2.0248888511809955E20</v>
      </c>
      <c r="M2483" s="9">
        <v>2.0248888511809958E19</v>
      </c>
    </row>
    <row r="2484" ht="15.75" customHeight="1">
      <c r="A2484" s="8"/>
      <c r="B2484" s="8"/>
      <c r="C2484" s="8"/>
      <c r="D2484" s="8">
        <v>19.3684961378272</v>
      </c>
      <c r="E2484" s="9" t="s">
        <v>2493</v>
      </c>
      <c r="I2484" s="12" t="str">
        <f>IFERROR(__xludf.DUMMYFUNCTION("""COMPUTED_VALUE"""),"0xd294b71e770b0d05be6c402abb65c05f0e2f653f")</f>
        <v>0xd294b71e770b0d05be6c402abb65c05f0e2f653f</v>
      </c>
      <c r="J2484" s="11">
        <v>19.3684961378272</v>
      </c>
      <c r="K2484" s="12">
        <v>43.04110252850489</v>
      </c>
      <c r="L2484" s="13">
        <v>4.304110252850489E19</v>
      </c>
      <c r="M2484" s="9">
        <v>4.3041102528504893E18</v>
      </c>
    </row>
    <row r="2485" ht="15.75" customHeight="1">
      <c r="A2485" s="8"/>
      <c r="B2485" s="8"/>
      <c r="C2485" s="8"/>
      <c r="D2485" s="8">
        <v>27.9026907562088</v>
      </c>
      <c r="E2485" s="9" t="s">
        <v>2494</v>
      </c>
      <c r="I2485" s="12" t="str">
        <f>IFERROR(__xludf.DUMMYFUNCTION("""COMPUTED_VALUE"""),"0xd2a4c2ba8c22f95d976e1534c837c219ded5346d")</f>
        <v>0xd2a4c2ba8c22f95d976e1534c837c219ded5346d</v>
      </c>
      <c r="J2485" s="11">
        <v>91.1199983031448</v>
      </c>
      <c r="K2485" s="12">
        <v>202.48888511809955</v>
      </c>
      <c r="L2485" s="13">
        <v>2.0248888511809955E20</v>
      </c>
      <c r="M2485" s="9">
        <v>2.0248888511809958E19</v>
      </c>
    </row>
    <row r="2486" ht="15.75" customHeight="1">
      <c r="A2486" s="8"/>
      <c r="B2486" s="8"/>
      <c r="C2486" s="8"/>
      <c r="D2486" s="8">
        <v>27.9026907562088</v>
      </c>
      <c r="E2486" s="9" t="s">
        <v>2495</v>
      </c>
      <c r="I2486" s="12" t="str">
        <f>IFERROR(__xludf.DUMMYFUNCTION("""COMPUTED_VALUE"""),"0xd2b018a604bdb55b4677a4db6cc8b2004b869776")</f>
        <v>0xd2b018a604bdb55b4677a4db6cc8b2004b869776</v>
      </c>
      <c r="J2486" s="11">
        <v>27.9026907562088</v>
      </c>
      <c r="K2486" s="12">
        <v>62.005979458241775</v>
      </c>
      <c r="L2486" s="13">
        <v>6.200597945824177E19</v>
      </c>
      <c r="M2486" s="9">
        <v>6.2005979458241782E18</v>
      </c>
    </row>
    <row r="2487" ht="15.75" customHeight="1">
      <c r="A2487" s="8"/>
      <c r="B2487" s="8"/>
      <c r="C2487" s="8"/>
      <c r="D2487" s="8">
        <v>24.5543678654638</v>
      </c>
      <c r="E2487" s="9" t="s">
        <v>2496</v>
      </c>
      <c r="I2487" s="12" t="str">
        <f>IFERROR(__xludf.DUMMYFUNCTION("""COMPUTED_VALUE"""),"0xd2c634683a1287356ae39140e530aec7598ebc17")</f>
        <v>0xd2c634683a1287356ae39140e530aec7598ebc17</v>
      </c>
      <c r="J2487" s="11">
        <v>24.5543678654638</v>
      </c>
      <c r="K2487" s="12">
        <v>54.56526192325288</v>
      </c>
      <c r="L2487" s="13">
        <v>5.456526192325289E19</v>
      </c>
      <c r="M2487" s="9">
        <v>5.456526192325289E18</v>
      </c>
    </row>
    <row r="2488" ht="15.75" customHeight="1">
      <c r="A2488" s="8"/>
      <c r="B2488" s="8"/>
      <c r="C2488" s="8"/>
      <c r="D2488" s="8">
        <v>27.9026907562088</v>
      </c>
      <c r="E2488" s="9" t="s">
        <v>2497</v>
      </c>
      <c r="I2488" s="12" t="str">
        <f>IFERROR(__xludf.DUMMYFUNCTION("""COMPUTED_VALUE"""),"0xd2eac00e5a4f2cf9e6c2d601e94c34dcd9d0e162")</f>
        <v>0xd2eac00e5a4f2cf9e6c2d601e94c34dcd9d0e162</v>
      </c>
      <c r="J2488" s="11">
        <v>91.1199983031448</v>
      </c>
      <c r="K2488" s="12">
        <v>202.48888511809955</v>
      </c>
      <c r="L2488" s="13">
        <v>2.0248888511809955E20</v>
      </c>
      <c r="M2488" s="9">
        <v>2.0248888511809958E19</v>
      </c>
    </row>
    <row r="2489" ht="15.75" customHeight="1">
      <c r="A2489" s="8"/>
      <c r="B2489" s="8"/>
      <c r="C2489" s="8"/>
      <c r="D2489" s="8">
        <v>27.9026907562088</v>
      </c>
      <c r="E2489" s="9" t="s">
        <v>2498</v>
      </c>
      <c r="I2489" s="12" t="str">
        <f>IFERROR(__xludf.DUMMYFUNCTION("""COMPUTED_VALUE"""),"0xd2ede42d4a5177b2a94b44b9fd48fc556bc6296d")</f>
        <v>0xd2ede42d4a5177b2a94b44b9fd48fc556bc6296d</v>
      </c>
      <c r="J2489" s="11">
        <v>91.1199983031448</v>
      </c>
      <c r="K2489" s="12">
        <v>202.48888511809955</v>
      </c>
      <c r="L2489" s="13">
        <v>2.0248888511809955E20</v>
      </c>
      <c r="M2489" s="9">
        <v>2.0248888511809958E19</v>
      </c>
    </row>
    <row r="2490" ht="15.75" customHeight="1">
      <c r="A2490" s="8"/>
      <c r="B2490" s="8"/>
      <c r="C2490" s="8"/>
      <c r="D2490" s="8">
        <v>27.9026907562088</v>
      </c>
      <c r="E2490" s="9" t="s">
        <v>2499</v>
      </c>
      <c r="I2490" s="12" t="str">
        <f>IFERROR(__xludf.DUMMYFUNCTION("""COMPUTED_VALUE"""),"0xd342e08db37ff2cbe6eaecc375f75522c0fae7bb")</f>
        <v>0xd342e08db37ff2cbe6eaecc375f75522c0fae7bb</v>
      </c>
      <c r="J2490" s="11">
        <v>27.9026907562088</v>
      </c>
      <c r="K2490" s="12">
        <v>62.005979458241775</v>
      </c>
      <c r="L2490" s="13">
        <v>6.200597945824177E19</v>
      </c>
      <c r="M2490" s="9">
        <v>6.2005979458241782E18</v>
      </c>
    </row>
    <row r="2491" ht="15.75" customHeight="1">
      <c r="A2491" s="8"/>
      <c r="B2491" s="8"/>
      <c r="C2491" s="8"/>
      <c r="D2491" s="8">
        <v>13.1303518541714</v>
      </c>
      <c r="E2491" s="9" t="s">
        <v>2500</v>
      </c>
      <c r="I2491" s="12" t="str">
        <f>IFERROR(__xludf.DUMMYFUNCTION("""COMPUTED_VALUE"""),"0xd3578773270624e638f1204f447c46741c2511ee")</f>
        <v>0xd3578773270624e638f1204f447c46741c2511ee</v>
      </c>
      <c r="J2491" s="11">
        <v>13.1303518541714</v>
      </c>
      <c r="K2491" s="12">
        <v>29.17855967593644</v>
      </c>
      <c r="L2491" s="13">
        <v>2.917855967593644E19</v>
      </c>
      <c r="M2491" s="9">
        <v>2.917855967593644E18</v>
      </c>
    </row>
    <row r="2492" ht="15.75" customHeight="1">
      <c r="A2492" s="8"/>
      <c r="B2492" s="8"/>
      <c r="C2492" s="8"/>
      <c r="D2492" s="8">
        <v>17.254267965904</v>
      </c>
      <c r="E2492" s="9" t="s">
        <v>2501</v>
      </c>
      <c r="I2492" s="12" t="str">
        <f>IFERROR(__xludf.DUMMYFUNCTION("""COMPUTED_VALUE"""),"0xd35feb4e0637c92ae89272d3c99fff59f7897f38")</f>
        <v>0xd35feb4e0637c92ae89272d3c99fff59f7897f38</v>
      </c>
      <c r="J2492" s="11">
        <v>17.254267965904</v>
      </c>
      <c r="K2492" s="12">
        <v>38.34281770200889</v>
      </c>
      <c r="L2492" s="13">
        <v>3.834281770200889E19</v>
      </c>
      <c r="M2492" s="9">
        <v>3.8342817702008893E18</v>
      </c>
    </row>
    <row r="2493" ht="15.75" customHeight="1">
      <c r="A2493" s="8"/>
      <c r="B2493" s="8"/>
      <c r="C2493" s="8"/>
      <c r="D2493" s="8">
        <v>18.7774298388557</v>
      </c>
      <c r="E2493" s="9" t="s">
        <v>2502</v>
      </c>
      <c r="I2493" s="12" t="str">
        <f>IFERROR(__xludf.DUMMYFUNCTION("""COMPUTED_VALUE"""),"0xd377dcd7bcda8539b34f0deb07f21e75d1441a80")</f>
        <v>0xd377dcd7bcda8539b34f0deb07f21e75d1441a80</v>
      </c>
      <c r="J2493" s="11">
        <v>18.7774298388557</v>
      </c>
      <c r="K2493" s="12">
        <v>41.727621864123776</v>
      </c>
      <c r="L2493" s="13">
        <v>4.172762186412378E19</v>
      </c>
      <c r="M2493" s="9">
        <v>4.1727621864123781E18</v>
      </c>
    </row>
    <row r="2494" ht="15.75" customHeight="1">
      <c r="A2494" s="8"/>
      <c r="B2494" s="8"/>
      <c r="C2494" s="8"/>
      <c r="D2494" s="8">
        <v>27.9026907562088</v>
      </c>
      <c r="E2494" s="9" t="s">
        <v>2503</v>
      </c>
      <c r="I2494" s="12" t="str">
        <f>IFERROR(__xludf.DUMMYFUNCTION("""COMPUTED_VALUE"""),"0xd3866b764173aded51bf0471992c23d5f612ab69")</f>
        <v>0xd3866b764173aded51bf0471992c23d5f612ab69</v>
      </c>
      <c r="J2494" s="11">
        <v>91.1199983031448</v>
      </c>
      <c r="K2494" s="12">
        <v>202.48888511809955</v>
      </c>
      <c r="L2494" s="13">
        <v>2.0248888511809955E20</v>
      </c>
      <c r="M2494" s="9">
        <v>2.0248888511809958E19</v>
      </c>
    </row>
    <row r="2495" ht="15.75" customHeight="1">
      <c r="A2495" s="8"/>
      <c r="B2495" s="8"/>
      <c r="C2495" s="8"/>
      <c r="D2495" s="8">
        <v>27.9026907562088</v>
      </c>
      <c r="E2495" s="9" t="s">
        <v>2504</v>
      </c>
      <c r="I2495" s="12" t="str">
        <f>IFERROR(__xludf.DUMMYFUNCTION("""COMPUTED_VALUE"""),"0xd3d70a1d5f7147d7e28a58c58b9cb6f6767b429c")</f>
        <v>0xd3d70a1d5f7147d7e28a58c58b9cb6f6767b429c</v>
      </c>
      <c r="J2495" s="11">
        <v>27.9026907562088</v>
      </c>
      <c r="K2495" s="12">
        <v>62.005979458241775</v>
      </c>
      <c r="L2495" s="13">
        <v>6.200597945824177E19</v>
      </c>
      <c r="M2495" s="9">
        <v>6.2005979458241782E18</v>
      </c>
    </row>
    <row r="2496" ht="15.75" customHeight="1">
      <c r="A2496" s="8"/>
      <c r="B2496" s="8"/>
      <c r="C2496" s="8"/>
      <c r="D2496" s="8">
        <v>27.9026907562088</v>
      </c>
      <c r="E2496" s="9" t="s">
        <v>2505</v>
      </c>
      <c r="I2496" s="12" t="str">
        <f>IFERROR(__xludf.DUMMYFUNCTION("""COMPUTED_VALUE"""),"0xd3dd6d05d0a51d3f2decd726915655ec8fb02959")</f>
        <v>0xd3dd6d05d0a51d3f2decd726915655ec8fb02959</v>
      </c>
      <c r="J2496" s="11">
        <v>71.677832684084</v>
      </c>
      <c r="K2496" s="12">
        <v>159.28407263129776</v>
      </c>
      <c r="L2496" s="13">
        <v>1.5928407263129777E20</v>
      </c>
      <c r="M2496" s="9">
        <v>1.5928407263129778E19</v>
      </c>
    </row>
    <row r="2497" ht="15.75" customHeight="1">
      <c r="A2497" s="8"/>
      <c r="B2497" s="8"/>
      <c r="C2497" s="8"/>
      <c r="D2497" s="8">
        <v>27.9026907562088</v>
      </c>
      <c r="E2497" s="9" t="s">
        <v>2506</v>
      </c>
      <c r="I2497" s="12" t="str">
        <f>IFERROR(__xludf.DUMMYFUNCTION("""COMPUTED_VALUE"""),"0xd409769a2430cf7801499a732cef76bd28cdff4e")</f>
        <v>0xd409769a2430cf7801499a732cef76bd28cdff4e</v>
      </c>
      <c r="J2497" s="11">
        <v>221.37120351481678</v>
      </c>
      <c r="K2497" s="12">
        <v>491.9360078107039</v>
      </c>
      <c r="L2497" s="13">
        <v>4.9193600781070395E20</v>
      </c>
      <c r="M2497" s="9">
        <v>4.91936007810704E19</v>
      </c>
    </row>
    <row r="2498" ht="15.75" customHeight="1">
      <c r="A2498" s="8"/>
      <c r="B2498" s="8"/>
      <c r="C2498" s="8"/>
      <c r="D2498" s="8">
        <v>27.9026907562088</v>
      </c>
      <c r="E2498" s="9" t="s">
        <v>2507</v>
      </c>
      <c r="I2498" s="12" t="str">
        <f>IFERROR(__xludf.DUMMYFUNCTION("""COMPUTED_VALUE"""),"0xd4165d98b0900c5c00f6be7506e18bf423de2ec8")</f>
        <v>0xd4165d98b0900c5c00f6be7506e18bf423de2ec8</v>
      </c>
      <c r="J2498" s="11">
        <v>172.8431924903308</v>
      </c>
      <c r="K2498" s="12">
        <v>384.0959833118462</v>
      </c>
      <c r="L2498" s="13">
        <v>3.8409598331184624E20</v>
      </c>
      <c r="M2498" s="9">
        <v>3.840959833118463E19</v>
      </c>
    </row>
    <row r="2499" ht="15.75" customHeight="1">
      <c r="A2499" s="8"/>
      <c r="B2499" s="8"/>
      <c r="C2499" s="8"/>
      <c r="D2499" s="8">
        <v>19.8144644423362</v>
      </c>
      <c r="E2499" s="9" t="s">
        <v>2508</v>
      </c>
      <c r="I2499" s="12" t="str">
        <f>IFERROR(__xludf.DUMMYFUNCTION("""COMPUTED_VALUE"""),"0xd444089e6b9575941f0b7c7cfc2adc93fad17bf4")</f>
        <v>0xd444089e6b9575941f0b7c7cfc2adc93fad17bf4</v>
      </c>
      <c r="J2499" s="11">
        <v>19.8144644423362</v>
      </c>
      <c r="K2499" s="12">
        <v>44.03214320519155</v>
      </c>
      <c r="L2499" s="13">
        <v>4.403214320519155E19</v>
      </c>
      <c r="M2499" s="9">
        <v>4.4032143205191552E18</v>
      </c>
    </row>
    <row r="2500" ht="15.75" customHeight="1">
      <c r="A2500" s="8"/>
      <c r="B2500" s="8"/>
      <c r="C2500" s="8"/>
      <c r="D2500" s="8">
        <v>27.9026907562088</v>
      </c>
      <c r="E2500" s="9" t="s">
        <v>2509</v>
      </c>
      <c r="I2500" s="12" t="str">
        <f>IFERROR(__xludf.DUMMYFUNCTION("""COMPUTED_VALUE"""),"0xd4493f8cea59fa0a7a93d84c8ab858f15abd140e")</f>
        <v>0xd4493f8cea59fa0a7a93d84c8ab858f15abd140e</v>
      </c>
      <c r="J2500" s="11">
        <v>27.9026907562088</v>
      </c>
      <c r="K2500" s="12">
        <v>62.005979458241775</v>
      </c>
      <c r="L2500" s="13">
        <v>6.200597945824177E19</v>
      </c>
      <c r="M2500" s="9">
        <v>6.2005979458241782E18</v>
      </c>
    </row>
    <row r="2501" ht="15.75" customHeight="1">
      <c r="A2501" s="8"/>
      <c r="B2501" s="8"/>
      <c r="C2501" s="8"/>
      <c r="D2501" s="8">
        <v>27.9026907562088</v>
      </c>
      <c r="E2501" s="9" t="s">
        <v>2510</v>
      </c>
      <c r="I2501" s="12" t="str">
        <f>IFERROR(__xludf.DUMMYFUNCTION("""COMPUTED_VALUE"""),"0xd462fddd08696845c60969201ad16cffb2574d8b")</f>
        <v>0xd462fddd08696845c60969201ad16cffb2574d8b</v>
      </c>
      <c r="J2501" s="11">
        <v>27.9026907562088</v>
      </c>
      <c r="K2501" s="12">
        <v>62.005979458241775</v>
      </c>
      <c r="L2501" s="13">
        <v>6.200597945824177E19</v>
      </c>
      <c r="M2501" s="9">
        <v>6.2005979458241782E18</v>
      </c>
    </row>
    <row r="2502" ht="15.75" customHeight="1">
      <c r="A2502" s="8"/>
      <c r="B2502" s="8"/>
      <c r="C2502" s="8"/>
      <c r="D2502" s="8">
        <v>24.9862451509901</v>
      </c>
      <c r="E2502" s="9" t="s">
        <v>2511</v>
      </c>
      <c r="I2502" s="12" t="str">
        <f>IFERROR(__xludf.DUMMYFUNCTION("""COMPUTED_VALUE"""),"0xd464206b1df7960939eaa878999fd83c1c2598a6")</f>
        <v>0xd464206b1df7960939eaa878999fd83c1c2598a6</v>
      </c>
      <c r="J2502" s="11">
        <v>24.9862451509901</v>
      </c>
      <c r="K2502" s="12">
        <v>55.52498922442244</v>
      </c>
      <c r="L2502" s="13">
        <v>5.552498922442244E19</v>
      </c>
      <c r="M2502" s="9">
        <v>5.5524989224422441E18</v>
      </c>
    </row>
    <row r="2503" ht="15.75" customHeight="1">
      <c r="A2503" s="8"/>
      <c r="B2503" s="8"/>
      <c r="C2503" s="8"/>
      <c r="D2503" s="8">
        <v>27.7824583531707</v>
      </c>
      <c r="E2503" s="9" t="s">
        <v>2512</v>
      </c>
      <c r="I2503" s="12" t="str">
        <f>IFERROR(__xludf.DUMMYFUNCTION("""COMPUTED_VALUE"""),"0xd47ecde1130e265bf1afefba70d20508706a5305")</f>
        <v>0xd47ecde1130e265bf1afefba70d20508706a5305</v>
      </c>
      <c r="J2503" s="11">
        <v>27.7824583531707</v>
      </c>
      <c r="K2503" s="12">
        <v>61.73879634037933</v>
      </c>
      <c r="L2503" s="13">
        <v>6.173879634037933E19</v>
      </c>
      <c r="M2503" s="9">
        <v>6.1738796340379331E18</v>
      </c>
    </row>
    <row r="2504" ht="15.75" customHeight="1">
      <c r="A2504" s="8"/>
      <c r="B2504" s="8"/>
      <c r="C2504" s="8"/>
      <c r="D2504" s="8">
        <v>27.9026907562088</v>
      </c>
      <c r="E2504" s="9" t="s">
        <v>2513</v>
      </c>
      <c r="I2504" s="12" t="str">
        <f>IFERROR(__xludf.DUMMYFUNCTION("""COMPUTED_VALUE"""),"0xd4886cf6f71a7463319e5750a6d85ad2a7aaac1b")</f>
        <v>0xd4886cf6f71a7463319e5750a6d85ad2a7aaac1b</v>
      </c>
      <c r="J2504" s="11">
        <v>27.9026907562088</v>
      </c>
      <c r="K2504" s="12">
        <v>62.005979458241775</v>
      </c>
      <c r="L2504" s="13">
        <v>6.200597945824177E19</v>
      </c>
      <c r="M2504" s="9">
        <v>6.2005979458241782E18</v>
      </c>
    </row>
    <row r="2505" ht="15.75" customHeight="1">
      <c r="A2505" s="8"/>
      <c r="B2505" s="8"/>
      <c r="C2505" s="8"/>
      <c r="D2505" s="8">
        <v>27.3029682737827</v>
      </c>
      <c r="E2505" s="9" t="s">
        <v>2514</v>
      </c>
      <c r="I2505" s="12" t="str">
        <f>IFERROR(__xludf.DUMMYFUNCTION("""COMPUTED_VALUE"""),"0xd49c4badf382772821932e58195d12c143db3c91")</f>
        <v>0xd49c4badf382772821932e58195d12c143db3c91</v>
      </c>
      <c r="J2505" s="11">
        <v>145.3996471584552</v>
      </c>
      <c r="K2505" s="12">
        <v>323.1103270187893</v>
      </c>
      <c r="L2505" s="13">
        <v>3.231103270187893E20</v>
      </c>
      <c r="M2505" s="9">
        <v>3.2311032701878927E19</v>
      </c>
    </row>
    <row r="2506" ht="15.75" customHeight="1">
      <c r="A2506" s="8"/>
      <c r="B2506" s="8"/>
      <c r="C2506" s="8"/>
      <c r="D2506" s="8">
        <v>27.8996135252585</v>
      </c>
      <c r="E2506" s="9" t="s">
        <v>2515</v>
      </c>
      <c r="I2506" s="12" t="str">
        <f>IFERROR(__xludf.DUMMYFUNCTION("""COMPUTED_VALUE"""),"0xd4bc3aa1242e93f2450c32f14a1e4dbe7b420c49")</f>
        <v>0xd4bc3aa1242e93f2450c32f14a1e4dbe7b420c49</v>
      </c>
      <c r="J2506" s="11">
        <v>27.8996135252585</v>
      </c>
      <c r="K2506" s="12">
        <v>61.999141167241106</v>
      </c>
      <c r="L2506" s="13">
        <v>6.199914116724111E19</v>
      </c>
      <c r="M2506" s="9">
        <v>6.1999141167241114E18</v>
      </c>
    </row>
    <row r="2507" ht="15.75" customHeight="1">
      <c r="A2507" s="8"/>
      <c r="B2507" s="8"/>
      <c r="C2507" s="8"/>
      <c r="D2507" s="8">
        <v>24.4144681768523</v>
      </c>
      <c r="E2507" s="9" t="s">
        <v>2516</v>
      </c>
      <c r="I2507" s="12" t="str">
        <f>IFERROR(__xludf.DUMMYFUNCTION("""COMPUTED_VALUE"""),"0xd4d00a14d2d3181dbebeaf062933d150e9bafb27")</f>
        <v>0xd4d00a14d2d3181dbebeaf062933d150e9bafb27</v>
      </c>
      <c r="J2507" s="11">
        <v>90.3913987114985</v>
      </c>
      <c r="K2507" s="12">
        <v>200.8697749144411</v>
      </c>
      <c r="L2507" s="13">
        <v>2.0086977491444112E20</v>
      </c>
      <c r="M2507" s="9">
        <v>2.0086977491444113E19</v>
      </c>
    </row>
    <row r="2508" ht="15.75" customHeight="1">
      <c r="A2508" s="8"/>
      <c r="B2508" s="8"/>
      <c r="C2508" s="8"/>
      <c r="D2508" s="8">
        <v>27.9026907562088</v>
      </c>
      <c r="E2508" s="9" t="s">
        <v>2517</v>
      </c>
      <c r="I2508" s="12" t="str">
        <f>IFERROR(__xludf.DUMMYFUNCTION("""COMPUTED_VALUE"""),"0xd4f0a07e8eb8f0d78d8fb9a6c717896ecd7e0760")</f>
        <v>0xd4f0a07e8eb8f0d78d8fb9a6c717896ecd7e0760</v>
      </c>
      <c r="J2508" s="11">
        <v>164.5855860459074</v>
      </c>
      <c r="K2508" s="12">
        <v>365.7457467686831</v>
      </c>
      <c r="L2508" s="13">
        <v>3.657457467686831E20</v>
      </c>
      <c r="M2508" s="9">
        <v>3.657457467686831E19</v>
      </c>
    </row>
    <row r="2509" ht="15.75" customHeight="1">
      <c r="A2509" s="8"/>
      <c r="B2509" s="8"/>
      <c r="C2509" s="8"/>
      <c r="D2509" s="8">
        <v>27.9026907562088</v>
      </c>
      <c r="E2509" s="9" t="s">
        <v>2518</v>
      </c>
      <c r="I2509" s="12" t="str">
        <f>IFERROR(__xludf.DUMMYFUNCTION("""COMPUTED_VALUE"""),"0xd52ed4e2a4f158fbc5fbc3804979be12ed3ad784")</f>
        <v>0xd52ed4e2a4f158fbc5fbc3804979be12ed3ad784</v>
      </c>
      <c r="J2509" s="11">
        <v>91.1199983031448</v>
      </c>
      <c r="K2509" s="12">
        <v>202.48888511809955</v>
      </c>
      <c r="L2509" s="13">
        <v>2.0248888511809955E20</v>
      </c>
      <c r="M2509" s="9">
        <v>2.0248888511809958E19</v>
      </c>
    </row>
    <row r="2510" ht="15.75" customHeight="1">
      <c r="A2510" s="8"/>
      <c r="B2510" s="8"/>
      <c r="C2510" s="8"/>
      <c r="D2510" s="8">
        <v>27.9026907562088</v>
      </c>
      <c r="E2510" s="9" t="s">
        <v>2519</v>
      </c>
      <c r="I2510" s="12" t="str">
        <f>IFERROR(__xludf.DUMMYFUNCTION("""COMPUTED_VALUE"""),"0xd53a33a1ba0ad993942d5c84204f711b38b0925c")</f>
        <v>0xd53a33a1ba0ad993942d5c84204f711b38b0925c</v>
      </c>
      <c r="J2510" s="11">
        <v>30.12512763020957</v>
      </c>
      <c r="K2510" s="12">
        <v>66.94472806713237</v>
      </c>
      <c r="L2510" s="13">
        <v>6.6944728067132375E19</v>
      </c>
      <c r="M2510" s="9">
        <v>6.6944728067132375E18</v>
      </c>
    </row>
    <row r="2511" ht="15.75" customHeight="1">
      <c r="A2511" s="8"/>
      <c r="B2511" s="8"/>
      <c r="C2511" s="8"/>
      <c r="D2511" s="8">
        <v>27.9026907562088</v>
      </c>
      <c r="E2511" s="9" t="s">
        <v>2520</v>
      </c>
      <c r="I2511" s="12" t="str">
        <f>IFERROR(__xludf.DUMMYFUNCTION("""COMPUTED_VALUE"""),"0xd554ff20b3716fde0bb9b334cded4d7c04e5e47d")</f>
        <v>0xd554ff20b3716fde0bb9b334cded4d7c04e5e47d</v>
      </c>
      <c r="J2511" s="11">
        <v>102.9823944208889</v>
      </c>
      <c r="K2511" s="12">
        <v>228.84976537975308</v>
      </c>
      <c r="L2511" s="13">
        <v>2.2884976537975308E20</v>
      </c>
      <c r="M2511" s="9">
        <v>2.288497653797531E19</v>
      </c>
    </row>
    <row r="2512" ht="15.75" customHeight="1">
      <c r="A2512" s="8"/>
      <c r="B2512" s="8"/>
      <c r="C2512" s="8"/>
      <c r="D2512" s="8">
        <v>26.6829140605576</v>
      </c>
      <c r="E2512" s="9" t="s">
        <v>2521</v>
      </c>
      <c r="I2512" s="12" t="str">
        <f>IFERROR(__xludf.DUMMYFUNCTION("""COMPUTED_VALUE"""),"0xd55ea5a56440cca3894718e1afc6c109ca8e2e9c")</f>
        <v>0xd55ea5a56440cca3894718e1afc6c109ca8e2e9c</v>
      </c>
      <c r="J2512" s="11">
        <v>26.6829140605576</v>
      </c>
      <c r="K2512" s="12">
        <v>59.29536457901689</v>
      </c>
      <c r="L2512" s="13">
        <v>5.929536457901689E19</v>
      </c>
      <c r="M2512" s="9">
        <v>5.9295364579016899E18</v>
      </c>
    </row>
    <row r="2513" ht="15.75" customHeight="1">
      <c r="A2513" s="8"/>
      <c r="B2513" s="8"/>
      <c r="C2513" s="8"/>
      <c r="D2513" s="8">
        <v>27.9026907562088</v>
      </c>
      <c r="E2513" s="9" t="s">
        <v>2522</v>
      </c>
      <c r="I2513" s="12" t="str">
        <f>IFERROR(__xludf.DUMMYFUNCTION("""COMPUTED_VALUE"""),"0xd598e2906913ac80ffde233772f56cf26ed90d55")</f>
        <v>0xd598e2906913ac80ffde233772f56cf26ed90d55</v>
      </c>
      <c r="J2513" s="11">
        <v>628.3498951180878</v>
      </c>
      <c r="K2513" s="12">
        <v>1396.3331002624175</v>
      </c>
      <c r="L2513" s="13">
        <v>1.3963331002624175E21</v>
      </c>
      <c r="M2513" s="9">
        <v>1.3963331002624175E20</v>
      </c>
    </row>
    <row r="2514" ht="15.75" customHeight="1">
      <c r="A2514" s="8"/>
      <c r="B2514" s="8"/>
      <c r="C2514" s="8"/>
      <c r="D2514" s="8">
        <v>27.9026907562088</v>
      </c>
      <c r="E2514" s="9" t="s">
        <v>2523</v>
      </c>
      <c r="I2514" s="12" t="str">
        <f>IFERROR(__xludf.DUMMYFUNCTION("""COMPUTED_VALUE"""),"0xd5996e7e369d704d074e2bcfd7c339ebd1cdf8c6")</f>
        <v>0xd5996e7e369d704d074e2bcfd7c339ebd1cdf8c6</v>
      </c>
      <c r="J2514" s="11">
        <v>93.0776618845142</v>
      </c>
      <c r="K2514" s="12">
        <v>206.83924863225377</v>
      </c>
      <c r="L2514" s="13">
        <v>2.0683924863225378E20</v>
      </c>
      <c r="M2514" s="9">
        <v>2.0683924863225377E19</v>
      </c>
    </row>
    <row r="2515" ht="15.75" customHeight="1">
      <c r="A2515" s="8"/>
      <c r="B2515" s="8"/>
      <c r="C2515" s="8"/>
      <c r="D2515" s="8">
        <v>18.6252502552673</v>
      </c>
      <c r="E2515" s="9" t="s">
        <v>2524</v>
      </c>
      <c r="I2515" s="12" t="str">
        <f>IFERROR(__xludf.DUMMYFUNCTION("""COMPUTED_VALUE"""),"0xd5a688a035eb7f043aa16931b481709faa50f900")</f>
        <v>0xd5a688a035eb7f043aa16931b481709faa50f900</v>
      </c>
      <c r="J2515" s="11">
        <v>18.6252502552673</v>
      </c>
      <c r="K2515" s="12">
        <v>41.389445011705114</v>
      </c>
      <c r="L2515" s="13">
        <v>4.138944501170511E19</v>
      </c>
      <c r="M2515" s="9">
        <v>4.1389445011705114E18</v>
      </c>
    </row>
    <row r="2516" ht="15.75" customHeight="1">
      <c r="A2516" s="8"/>
      <c r="B2516" s="8"/>
      <c r="C2516" s="8"/>
      <c r="D2516" s="8">
        <v>25.4545516208646</v>
      </c>
      <c r="E2516" s="9" t="s">
        <v>2525</v>
      </c>
      <c r="I2516" s="12" t="str">
        <f>IFERROR(__xludf.DUMMYFUNCTION("""COMPUTED_VALUE"""),"0xd5e7b593ccb610164017b04d87183b3d83eea5dc")</f>
        <v>0xd5e7b593ccb610164017b04d87183b3d83eea5dc</v>
      </c>
      <c r="J2516" s="11">
        <v>25.4545516208646</v>
      </c>
      <c r="K2516" s="12">
        <v>56.56567026858799</v>
      </c>
      <c r="L2516" s="13">
        <v>5.656567026858799E19</v>
      </c>
      <c r="M2516" s="9">
        <v>5.6565670268587991E18</v>
      </c>
    </row>
    <row r="2517" ht="15.75" customHeight="1">
      <c r="A2517" s="8"/>
      <c r="B2517" s="8"/>
      <c r="C2517" s="8"/>
      <c r="D2517" s="8">
        <v>27.9026907562088</v>
      </c>
      <c r="E2517" s="9" t="s">
        <v>2526</v>
      </c>
      <c r="I2517" s="12" t="str">
        <f>IFERROR(__xludf.DUMMYFUNCTION("""COMPUTED_VALUE"""),"0xd60627699b79d9481d32e934c7f740c2ab9f2fd7")</f>
        <v>0xd60627699b79d9481d32e934c7f740c2ab9f2fd7</v>
      </c>
      <c r="J2517" s="11">
        <v>98.90315965430537</v>
      </c>
      <c r="K2517" s="12">
        <v>219.7847992317897</v>
      </c>
      <c r="L2517" s="13">
        <v>2.197847992317897E20</v>
      </c>
      <c r="M2517" s="9">
        <v>2.197847992317897E19</v>
      </c>
    </row>
    <row r="2518" ht="15.75" customHeight="1">
      <c r="A2518" s="8"/>
      <c r="B2518" s="8"/>
      <c r="C2518" s="8"/>
      <c r="D2518" s="8">
        <v>27.9026907562088</v>
      </c>
      <c r="E2518" s="9" t="s">
        <v>2527</v>
      </c>
      <c r="I2518" s="12" t="str">
        <f>IFERROR(__xludf.DUMMYFUNCTION("""COMPUTED_VALUE"""),"0xd60ac705472e579875546f6054491c61a0db1cf4")</f>
        <v>0xd60ac705472e579875546f6054491c61a0db1cf4</v>
      </c>
      <c r="J2518" s="11">
        <v>27.9026907562088</v>
      </c>
      <c r="K2518" s="12">
        <v>62.005979458241775</v>
      </c>
      <c r="L2518" s="13">
        <v>6.200597945824177E19</v>
      </c>
      <c r="M2518" s="9">
        <v>6.2005979458241782E18</v>
      </c>
    </row>
    <row r="2519" ht="15.75" customHeight="1">
      <c r="A2519" s="8"/>
      <c r="B2519" s="8"/>
      <c r="C2519" s="8"/>
      <c r="D2519" s="8">
        <v>27.9026907562088</v>
      </c>
      <c r="E2519" s="9" t="s">
        <v>2528</v>
      </c>
      <c r="I2519" s="12" t="str">
        <f>IFERROR(__xludf.DUMMYFUNCTION("""COMPUTED_VALUE"""),"0xd668337cb6b623216a93e55b76f8af19af10abf5")</f>
        <v>0xd668337cb6b623216a93e55b76f8af19af10abf5</v>
      </c>
      <c r="J2519" s="11">
        <v>91.50915637070283</v>
      </c>
      <c r="K2519" s="12">
        <v>203.35368082378406</v>
      </c>
      <c r="L2519" s="13">
        <v>2.0335368082378405E20</v>
      </c>
      <c r="M2519" s="9">
        <v>2.0335368082378404E19</v>
      </c>
    </row>
    <row r="2520" ht="15.75" customHeight="1">
      <c r="A2520" s="8"/>
      <c r="B2520" s="8"/>
      <c r="C2520" s="8"/>
      <c r="D2520" s="8">
        <v>27.9026907562088</v>
      </c>
      <c r="E2520" s="9" t="s">
        <v>2529</v>
      </c>
      <c r="I2520" s="12" t="str">
        <f>IFERROR(__xludf.DUMMYFUNCTION("""COMPUTED_VALUE"""),"0xd67faa7f84be9fb418de43b2bba4b4489dbd219d")</f>
        <v>0xd67faa7f84be9fb418de43b2bba4b4489dbd219d</v>
      </c>
      <c r="J2520" s="11">
        <v>27.9026907562088</v>
      </c>
      <c r="K2520" s="12">
        <v>62.005979458241775</v>
      </c>
      <c r="L2520" s="13">
        <v>6.200597945824177E19</v>
      </c>
      <c r="M2520" s="9">
        <v>6.2005979458241782E18</v>
      </c>
    </row>
    <row r="2521" ht="15.75" customHeight="1">
      <c r="A2521" s="8"/>
      <c r="B2521" s="8"/>
      <c r="C2521" s="8"/>
      <c r="D2521" s="8">
        <v>27.9026907562088</v>
      </c>
      <c r="E2521" s="9" t="s">
        <v>2530</v>
      </c>
      <c r="I2521" s="12" t="str">
        <f>IFERROR(__xludf.DUMMYFUNCTION("""COMPUTED_VALUE"""),"0xd6822c5afa18658fd7a80685cda85af3e97d4499")</f>
        <v>0xd6822c5afa18658fd7a80685cda85af3e97d4499</v>
      </c>
      <c r="J2521" s="11">
        <v>91.1199983031448</v>
      </c>
      <c r="K2521" s="12">
        <v>202.48888511809955</v>
      </c>
      <c r="L2521" s="13">
        <v>2.0248888511809955E20</v>
      </c>
      <c r="M2521" s="9">
        <v>2.0248888511809958E19</v>
      </c>
    </row>
    <row r="2522" ht="15.75" customHeight="1">
      <c r="A2522" s="8"/>
      <c r="B2522" s="8"/>
      <c r="C2522" s="8"/>
      <c r="D2522" s="8">
        <v>27.9026907562088</v>
      </c>
      <c r="E2522" s="9" t="s">
        <v>2531</v>
      </c>
      <c r="I2522" s="12" t="str">
        <f>IFERROR(__xludf.DUMMYFUNCTION("""COMPUTED_VALUE"""),"0xd6899008a6f6808be219812c16124359437894ce")</f>
        <v>0xd6899008a6f6808be219812c16124359437894ce</v>
      </c>
      <c r="J2522" s="11">
        <v>102.7947403298856</v>
      </c>
      <c r="K2522" s="12">
        <v>228.43275628863466</v>
      </c>
      <c r="L2522" s="13">
        <v>2.2843275628863465E20</v>
      </c>
      <c r="M2522" s="9">
        <v>2.2843275628863468E19</v>
      </c>
    </row>
    <row r="2523" ht="15.75" customHeight="1">
      <c r="A2523" s="8"/>
      <c r="B2523" s="8"/>
      <c r="C2523" s="8"/>
      <c r="D2523" s="8">
        <v>27.9026907562088</v>
      </c>
      <c r="E2523" s="9" t="s">
        <v>2532</v>
      </c>
      <c r="I2523" s="12" t="str">
        <f>IFERROR(__xludf.DUMMYFUNCTION("""COMPUTED_VALUE"""),"0xd697634808ae6923af7dc7ec89ad1cd7bb7607d6")</f>
        <v>0xd697634808ae6923af7dc7ec89ad1cd7bb7607d6</v>
      </c>
      <c r="J2523" s="11">
        <v>27.9026907562088</v>
      </c>
      <c r="K2523" s="12">
        <v>62.005979458241775</v>
      </c>
      <c r="L2523" s="13">
        <v>6.200597945824177E19</v>
      </c>
      <c r="M2523" s="9">
        <v>6.2005979458241782E18</v>
      </c>
    </row>
    <row r="2524" ht="15.75" customHeight="1">
      <c r="A2524" s="8"/>
      <c r="B2524" s="8"/>
      <c r="C2524" s="8"/>
      <c r="D2524" s="8">
        <v>27.9026907562088</v>
      </c>
      <c r="E2524" s="9" t="s">
        <v>2533</v>
      </c>
      <c r="I2524" s="12" t="str">
        <f>IFERROR(__xludf.DUMMYFUNCTION("""COMPUTED_VALUE"""),"0xd69902db3cf381b9c57ec724b796a51181682a95")</f>
        <v>0xd69902db3cf381b9c57ec724b796a51181682a95</v>
      </c>
      <c r="J2524" s="11">
        <v>27.9026907562088</v>
      </c>
      <c r="K2524" s="12">
        <v>62.005979458241775</v>
      </c>
      <c r="L2524" s="13">
        <v>6.200597945824177E19</v>
      </c>
      <c r="M2524" s="9">
        <v>6.2005979458241782E18</v>
      </c>
    </row>
    <row r="2525" ht="15.75" customHeight="1">
      <c r="A2525" s="8"/>
      <c r="B2525" s="8"/>
      <c r="C2525" s="8"/>
      <c r="D2525" s="8">
        <v>27.8938203987386</v>
      </c>
      <c r="E2525" s="9" t="s">
        <v>2534</v>
      </c>
      <c r="I2525" s="12" t="str">
        <f>IFERROR(__xludf.DUMMYFUNCTION("""COMPUTED_VALUE"""),"0xd6afa8dd648e622a980e4f3c85488ac14acf516c")</f>
        <v>0xd6afa8dd648e622a980e4f3c85488ac14acf516c</v>
      </c>
      <c r="J2525" s="11">
        <v>66.6668556759676</v>
      </c>
      <c r="K2525" s="12">
        <v>148.14856816881687</v>
      </c>
      <c r="L2525" s="13">
        <v>1.4814856816881687E20</v>
      </c>
      <c r="M2525" s="9">
        <v>1.4814856816881689E19</v>
      </c>
    </row>
    <row r="2526" ht="15.75" customHeight="1">
      <c r="A2526" s="8"/>
      <c r="B2526" s="8"/>
      <c r="C2526" s="8"/>
      <c r="D2526" s="8">
        <v>25.789652632366</v>
      </c>
      <c r="E2526" s="9" t="s">
        <v>2535</v>
      </c>
      <c r="I2526" s="12" t="str">
        <f>IFERROR(__xludf.DUMMYFUNCTION("""COMPUTED_VALUE"""),"0xd6c1f99db4cd132f97190266381d41b7663b3c1d")</f>
        <v>0xd6c1f99db4cd132f97190266381d41b7663b3c1d</v>
      </c>
      <c r="J2526" s="11">
        <v>25.789652632366</v>
      </c>
      <c r="K2526" s="12">
        <v>57.31033918303555</v>
      </c>
      <c r="L2526" s="13">
        <v>5.7310339183035556E19</v>
      </c>
      <c r="M2526" s="9">
        <v>5.7310339183035556E18</v>
      </c>
    </row>
    <row r="2527" ht="15.75" customHeight="1">
      <c r="A2527" s="8"/>
      <c r="B2527" s="8"/>
      <c r="C2527" s="8"/>
      <c r="D2527" s="8">
        <v>26.7117329302529</v>
      </c>
      <c r="E2527" s="9" t="s">
        <v>2536</v>
      </c>
      <c r="I2527" s="12" t="str">
        <f>IFERROR(__xludf.DUMMYFUNCTION("""COMPUTED_VALUE"""),"0xd6da611db7ef1d4d62fcdb5daa6db66f7e063cab")</f>
        <v>0xd6da611db7ef1d4d62fcdb5daa6db66f7e063cab</v>
      </c>
      <c r="J2527" s="11">
        <v>39.3551944396401</v>
      </c>
      <c r="K2527" s="12">
        <v>87.45598764364466</v>
      </c>
      <c r="L2527" s="13">
        <v>8.745598764364466E19</v>
      </c>
      <c r="M2527" s="9">
        <v>8.7455987643644662E18</v>
      </c>
    </row>
    <row r="2528" ht="15.75" customHeight="1">
      <c r="A2528" s="8"/>
      <c r="B2528" s="8"/>
      <c r="C2528" s="8"/>
      <c r="D2528" s="8">
        <v>24.6419431509573</v>
      </c>
      <c r="E2528" s="9" t="s">
        <v>2537</v>
      </c>
      <c r="I2528" s="12" t="str">
        <f>IFERROR(__xludf.DUMMYFUNCTION("""COMPUTED_VALUE"""),"0xd6f10a6c46a56310f979e05ad523a99ec4b9a8dd")</f>
        <v>0xd6f10a6c46a56310f979e05ad523a99ec4b9a8dd</v>
      </c>
      <c r="J2528" s="11">
        <v>82.760341558796</v>
      </c>
      <c r="K2528" s="12">
        <v>183.91187013065777</v>
      </c>
      <c r="L2528" s="13">
        <v>1.839118701306578E20</v>
      </c>
      <c r="M2528" s="9">
        <v>1.839118701306578E19</v>
      </c>
    </row>
    <row r="2529" ht="15.75" customHeight="1">
      <c r="A2529" s="8"/>
      <c r="B2529" s="8"/>
      <c r="C2529" s="8"/>
      <c r="D2529" s="8">
        <v>27.9026907562088</v>
      </c>
      <c r="E2529" s="9" t="s">
        <v>2538</v>
      </c>
      <c r="I2529" s="12" t="str">
        <f>IFERROR(__xludf.DUMMYFUNCTION("""COMPUTED_VALUE"""),"0xd7128d38d82b7877d1278af12ec65632be7b075c")</f>
        <v>0xd7128d38d82b7877d1278af12ec65632be7b075c</v>
      </c>
      <c r="J2529" s="11">
        <v>27.9026907562088</v>
      </c>
      <c r="K2529" s="12">
        <v>62.005979458241775</v>
      </c>
      <c r="L2529" s="13">
        <v>6.200597945824177E19</v>
      </c>
      <c r="M2529" s="9">
        <v>6.2005979458241782E18</v>
      </c>
    </row>
    <row r="2530" ht="15.75" customHeight="1">
      <c r="A2530" s="8"/>
      <c r="B2530" s="8"/>
      <c r="C2530" s="8"/>
      <c r="D2530" s="8">
        <v>27.717909067266</v>
      </c>
      <c r="E2530" s="9" t="s">
        <v>2539</v>
      </c>
      <c r="I2530" s="12" t="str">
        <f>IFERROR(__xludf.DUMMYFUNCTION("""COMPUTED_VALUE"""),"0xd715cf8ca4016174ab329c8ad27f48a075f52198")</f>
        <v>0xd715cf8ca4016174ab329c8ad27f48a075f52198</v>
      </c>
      <c r="J2530" s="11">
        <v>27.717909067266</v>
      </c>
      <c r="K2530" s="12">
        <v>61.59535348281333</v>
      </c>
      <c r="L2530" s="13">
        <v>6.159535348281333E19</v>
      </c>
      <c r="M2530" s="9">
        <v>6.1595353482813338E18</v>
      </c>
    </row>
    <row r="2531" ht="15.75" customHeight="1">
      <c r="A2531" s="8"/>
      <c r="B2531" s="8"/>
      <c r="C2531" s="8"/>
      <c r="D2531" s="8">
        <v>27.9026907562088</v>
      </c>
      <c r="E2531" s="9" t="s">
        <v>2540</v>
      </c>
      <c r="I2531" s="12" t="str">
        <f>IFERROR(__xludf.DUMMYFUNCTION("""COMPUTED_VALUE"""),"0xd735fa50e1a259d8f85b5389dc1bd48e5d0ebe70")</f>
        <v>0xd735fa50e1a259d8f85b5389dc1bd48e5d0ebe70</v>
      </c>
      <c r="J2531" s="11">
        <v>102.40864538665299</v>
      </c>
      <c r="K2531" s="12">
        <v>227.57476752589554</v>
      </c>
      <c r="L2531" s="13">
        <v>2.2757476752589554E20</v>
      </c>
      <c r="M2531" s="9">
        <v>2.2757476752589554E19</v>
      </c>
    </row>
    <row r="2532" ht="15.75" customHeight="1">
      <c r="A2532" s="8"/>
      <c r="B2532" s="8"/>
      <c r="C2532" s="8"/>
      <c r="D2532" s="8">
        <v>27.9026907562088</v>
      </c>
      <c r="E2532" s="9" t="s">
        <v>2541</v>
      </c>
      <c r="I2532" s="12" t="str">
        <f>IFERROR(__xludf.DUMMYFUNCTION("""COMPUTED_VALUE"""),"0xd7464f6283d4be6d86e75f7ee9ae3240bbd18be0")</f>
        <v>0xd7464f6283d4be6d86e75f7ee9ae3240bbd18be0</v>
      </c>
      <c r="J2532" s="11">
        <v>91.1199983031448</v>
      </c>
      <c r="K2532" s="12">
        <v>202.48888511809955</v>
      </c>
      <c r="L2532" s="13">
        <v>2.0248888511809955E20</v>
      </c>
      <c r="M2532" s="9">
        <v>2.0248888511809958E19</v>
      </c>
    </row>
    <row r="2533" ht="15.75" customHeight="1">
      <c r="A2533" s="8"/>
      <c r="B2533" s="8"/>
      <c r="C2533" s="8"/>
      <c r="D2533" s="8">
        <v>19.9161731195967</v>
      </c>
      <c r="E2533" s="9" t="s">
        <v>2542</v>
      </c>
      <c r="I2533" s="12" t="str">
        <f>IFERROR(__xludf.DUMMYFUNCTION("""COMPUTED_VALUE"""),"0xd7591536e3485e85e92e9ae156e5033b6947e7b6")</f>
        <v>0xd7591536e3485e85e92e9ae156e5033b6947e7b6</v>
      </c>
      <c r="J2533" s="11">
        <v>19.9161731195967</v>
      </c>
      <c r="K2533" s="12">
        <v>44.258162487992664</v>
      </c>
      <c r="L2533" s="13">
        <v>4.425816248799266E19</v>
      </c>
      <c r="M2533" s="9">
        <v>4.4258162487992668E18</v>
      </c>
    </row>
    <row r="2534" ht="15.75" customHeight="1">
      <c r="A2534" s="8"/>
      <c r="B2534" s="8"/>
      <c r="C2534" s="8"/>
      <c r="D2534" s="8">
        <v>27.9026907562088</v>
      </c>
      <c r="E2534" s="9" t="s">
        <v>2543</v>
      </c>
      <c r="I2534" s="12" t="str">
        <f>IFERROR(__xludf.DUMMYFUNCTION("""COMPUTED_VALUE"""),"0xd75ac203e9adeeaeb5caf97589e92b0247d2a8d1")</f>
        <v>0xd75ac203e9adeeaeb5caf97589e92b0247d2a8d1</v>
      </c>
      <c r="J2534" s="11">
        <v>73.7717572642054</v>
      </c>
      <c r="K2534" s="12">
        <v>163.9372383649009</v>
      </c>
      <c r="L2534" s="13">
        <v>1.6393723836490092E20</v>
      </c>
      <c r="M2534" s="9">
        <v>1.6393723836490093E19</v>
      </c>
    </row>
    <row r="2535" ht="15.75" customHeight="1">
      <c r="A2535" s="8"/>
      <c r="B2535" s="8"/>
      <c r="C2535" s="8"/>
      <c r="D2535" s="8">
        <v>20.7973134785577</v>
      </c>
      <c r="E2535" s="9" t="s">
        <v>2544</v>
      </c>
      <c r="I2535" s="12" t="str">
        <f>IFERROR(__xludf.DUMMYFUNCTION("""COMPUTED_VALUE"""),"0xd7613e085648aa55182d1656dbeb82b7a3009225")</f>
        <v>0xd7613e085648aa55182d1656dbeb82b7a3009225</v>
      </c>
      <c r="J2535" s="11">
        <v>20.7973134785577</v>
      </c>
      <c r="K2535" s="12">
        <v>46.216252174572666</v>
      </c>
      <c r="L2535" s="13">
        <v>4.621625217457267E19</v>
      </c>
      <c r="M2535" s="9">
        <v>4.6216252174572667E18</v>
      </c>
    </row>
    <row r="2536" ht="15.75" customHeight="1">
      <c r="A2536" s="8"/>
      <c r="B2536" s="8"/>
      <c r="C2536" s="8"/>
      <c r="D2536" s="8">
        <v>25.9366485118233</v>
      </c>
      <c r="E2536" s="9" t="s">
        <v>2545</v>
      </c>
      <c r="I2536" s="12" t="str">
        <f>IFERROR(__xludf.DUMMYFUNCTION("""COMPUTED_VALUE"""),"0xd76bfb41927005df4f570786cc031ad742fd96d5")</f>
        <v>0xd76bfb41927005df4f570786cc031ad742fd96d5</v>
      </c>
      <c r="J2536" s="11">
        <v>27.84863349109626</v>
      </c>
      <c r="K2536" s="12">
        <v>61.885852202436126</v>
      </c>
      <c r="L2536" s="13">
        <v>6.1885852202436125E19</v>
      </c>
      <c r="M2536" s="9">
        <v>6.1885852202436127E18</v>
      </c>
    </row>
    <row r="2537" ht="15.75" customHeight="1">
      <c r="A2537" s="8"/>
      <c r="B2537" s="8"/>
      <c r="C2537" s="8"/>
      <c r="D2537" s="8">
        <v>27.9026907562088</v>
      </c>
      <c r="E2537" s="9" t="s">
        <v>2546</v>
      </c>
      <c r="I2537" s="12" t="str">
        <f>IFERROR(__xludf.DUMMYFUNCTION("""COMPUTED_VALUE"""),"0xd7813a6c8ae0adfae06da74266e48310677e0e2f")</f>
        <v>0xd7813a6c8ae0adfae06da74266e48310677e0e2f</v>
      </c>
      <c r="J2537" s="11">
        <v>473.5067154856638</v>
      </c>
      <c r="K2537" s="12">
        <v>1052.2371455236973</v>
      </c>
      <c r="L2537" s="13">
        <v>1.0522371455236974E21</v>
      </c>
      <c r="M2537" s="9">
        <v>1.0522371455236974E20</v>
      </c>
    </row>
    <row r="2538" ht="15.75" customHeight="1">
      <c r="A2538" s="8"/>
      <c r="B2538" s="8"/>
      <c r="C2538" s="8"/>
      <c r="D2538" s="8">
        <v>27.9026907562088</v>
      </c>
      <c r="E2538" s="9" t="s">
        <v>2547</v>
      </c>
      <c r="I2538" s="12" t="str">
        <f>IFERROR(__xludf.DUMMYFUNCTION("""COMPUTED_VALUE"""),"0xd7978ca4e00b4b3838c7c33a7b9ad3c76ad85dc2")</f>
        <v>0xd7978ca4e00b4b3838c7c33a7b9ad3c76ad85dc2</v>
      </c>
      <c r="J2538" s="11">
        <v>91.1199983031448</v>
      </c>
      <c r="K2538" s="12">
        <v>202.48888511809955</v>
      </c>
      <c r="L2538" s="13">
        <v>2.0248888511809955E20</v>
      </c>
      <c r="M2538" s="9">
        <v>2.0248888511809958E19</v>
      </c>
    </row>
    <row r="2539" ht="15.75" customHeight="1">
      <c r="A2539" s="8"/>
      <c r="B2539" s="8"/>
      <c r="C2539" s="8"/>
      <c r="D2539" s="8">
        <v>13.2344636361795</v>
      </c>
      <c r="E2539" s="9" t="s">
        <v>2548</v>
      </c>
      <c r="I2539" s="12" t="str">
        <f>IFERROR(__xludf.DUMMYFUNCTION("""COMPUTED_VALUE"""),"0xd7b24895818db555cee8af8aadeed547555b514a")</f>
        <v>0xd7b24895818db555cee8af8aadeed547555b514a</v>
      </c>
      <c r="J2539" s="11">
        <v>13.2344636361795</v>
      </c>
      <c r="K2539" s="12">
        <v>29.40991919151</v>
      </c>
      <c r="L2539" s="13">
        <v>2.940991919151E19</v>
      </c>
      <c r="M2539" s="9">
        <v>2.9409919191510001E18</v>
      </c>
    </row>
    <row r="2540" ht="15.75" customHeight="1">
      <c r="A2540" s="8"/>
      <c r="B2540" s="8"/>
      <c r="C2540" s="8"/>
      <c r="D2540" s="8">
        <v>27.9026907562088</v>
      </c>
      <c r="E2540" s="9" t="s">
        <v>2549</v>
      </c>
      <c r="I2540" s="12" t="str">
        <f>IFERROR(__xludf.DUMMYFUNCTION("""COMPUTED_VALUE"""),"0xd7bd50f9ee5755a214f36b0e7fd33f6a4e6cc16d")</f>
        <v>0xd7bd50f9ee5755a214f36b0e7fd33f6a4e6cc16d</v>
      </c>
      <c r="J2540" s="11">
        <v>27.9026907562088</v>
      </c>
      <c r="K2540" s="12">
        <v>62.005979458241775</v>
      </c>
      <c r="L2540" s="13">
        <v>6.200597945824177E19</v>
      </c>
      <c r="M2540" s="9">
        <v>6.2005979458241782E18</v>
      </c>
    </row>
    <row r="2541" ht="15.75" customHeight="1">
      <c r="A2541" s="8"/>
      <c r="B2541" s="8"/>
      <c r="C2541" s="8"/>
      <c r="D2541" s="8">
        <v>26.4168166801141</v>
      </c>
      <c r="E2541" s="9" t="s">
        <v>2550</v>
      </c>
      <c r="I2541" s="12" t="str">
        <f>IFERROR(__xludf.DUMMYFUNCTION("""COMPUTED_VALUE"""),"0xd7cc49c42b031869c04a9716a7201c6f711fbd25")</f>
        <v>0xd7cc49c42b031869c04a9716a7201c6f711fbd25</v>
      </c>
      <c r="J2541" s="11">
        <v>26.4168166801141</v>
      </c>
      <c r="K2541" s="12">
        <v>58.70403706692022</v>
      </c>
      <c r="L2541" s="13">
        <v>5.870403706692022E19</v>
      </c>
      <c r="M2541" s="9">
        <v>5.8704037066920223E18</v>
      </c>
    </row>
    <row r="2542" ht="15.75" customHeight="1">
      <c r="A2542" s="8"/>
      <c r="B2542" s="8"/>
      <c r="C2542" s="8"/>
      <c r="D2542" s="8">
        <v>27.9026907562088</v>
      </c>
      <c r="E2542" s="9" t="s">
        <v>2551</v>
      </c>
      <c r="I2542" s="12" t="str">
        <f>IFERROR(__xludf.DUMMYFUNCTION("""COMPUTED_VALUE"""),"0xd7e51bfe897160b62556874296ea925801a0e909")</f>
        <v>0xd7e51bfe897160b62556874296ea925801a0e909</v>
      </c>
      <c r="J2542" s="11">
        <v>91.1199983031448</v>
      </c>
      <c r="K2542" s="12">
        <v>202.48888511809955</v>
      </c>
      <c r="L2542" s="13">
        <v>2.0248888511809955E20</v>
      </c>
      <c r="M2542" s="9">
        <v>2.0248888511809958E19</v>
      </c>
    </row>
    <row r="2543" ht="15.75" customHeight="1">
      <c r="A2543" s="8"/>
      <c r="B2543" s="8"/>
      <c r="C2543" s="8"/>
      <c r="D2543" s="8">
        <v>27.9026907562088</v>
      </c>
      <c r="E2543" s="9" t="s">
        <v>2552</v>
      </c>
      <c r="I2543" s="12" t="str">
        <f>IFERROR(__xludf.DUMMYFUNCTION("""COMPUTED_VALUE"""),"0xd7f10b3d4123a66f6efbf21490b05d3987a800cb")</f>
        <v>0xd7f10b3d4123a66f6efbf21490b05d3987a800cb</v>
      </c>
      <c r="J2543" s="11">
        <v>91.1199983031448</v>
      </c>
      <c r="K2543" s="12">
        <v>202.48888511809955</v>
      </c>
      <c r="L2543" s="13">
        <v>2.0248888511809955E20</v>
      </c>
      <c r="M2543" s="9">
        <v>2.0248888511809958E19</v>
      </c>
    </row>
    <row r="2544" ht="15.75" customHeight="1">
      <c r="A2544" s="8"/>
      <c r="B2544" s="8"/>
      <c r="C2544" s="8"/>
      <c r="D2544" s="8">
        <v>25.5445409218863</v>
      </c>
      <c r="E2544" s="9" t="s">
        <v>2553</v>
      </c>
      <c r="I2544" s="12" t="str">
        <f>IFERROR(__xludf.DUMMYFUNCTION("""COMPUTED_VALUE"""),"0xd7f2d5fbf05cfe5cc97b8cace500d7a34d83bb8e")</f>
        <v>0xd7f2d5fbf05cfe5cc97b8cace500d7a34d83bb8e</v>
      </c>
      <c r="J2544" s="11">
        <v>25.5445409218863</v>
      </c>
      <c r="K2544" s="12">
        <v>56.76564649308066</v>
      </c>
      <c r="L2544" s="13">
        <v>5.676564649308066E19</v>
      </c>
      <c r="M2544" s="9">
        <v>5.6765646493080658E18</v>
      </c>
    </row>
    <row r="2545" ht="15.75" customHeight="1">
      <c r="A2545" s="8"/>
      <c r="B2545" s="8"/>
      <c r="C2545" s="8"/>
      <c r="D2545" s="8">
        <v>27.9026907562088</v>
      </c>
      <c r="E2545" s="9" t="s">
        <v>2554</v>
      </c>
      <c r="I2545" s="12" t="str">
        <f>IFERROR(__xludf.DUMMYFUNCTION("""COMPUTED_VALUE"""),"0xd7fdd736e4c2b5129ce7b7f959675686a90f95cb")</f>
        <v>0xd7fdd736e4c2b5129ce7b7f959675686a90f95cb</v>
      </c>
      <c r="J2545" s="11">
        <v>27.9026907562088</v>
      </c>
      <c r="K2545" s="12">
        <v>62.005979458241775</v>
      </c>
      <c r="L2545" s="13">
        <v>6.200597945824177E19</v>
      </c>
      <c r="M2545" s="9">
        <v>6.2005979458241782E18</v>
      </c>
    </row>
    <row r="2546" ht="15.75" customHeight="1">
      <c r="A2546" s="8"/>
      <c r="B2546" s="8"/>
      <c r="C2546" s="8"/>
      <c r="D2546" s="8">
        <v>27.9026907562088</v>
      </c>
      <c r="E2546" s="9" t="s">
        <v>2555</v>
      </c>
      <c r="I2546" s="12" t="str">
        <f>IFERROR(__xludf.DUMMYFUNCTION("""COMPUTED_VALUE"""),"0xd7fdf8320323c244a42de9d57e9f8e0b2c834071")</f>
        <v>0xd7fdf8320323c244a42de9d57e9f8e0b2c834071</v>
      </c>
      <c r="J2546" s="11">
        <v>27.9026907562088</v>
      </c>
      <c r="K2546" s="12">
        <v>62.005979458241775</v>
      </c>
      <c r="L2546" s="13">
        <v>6.200597945824177E19</v>
      </c>
      <c r="M2546" s="9">
        <v>6.2005979458241782E18</v>
      </c>
    </row>
    <row r="2547" ht="15.75" customHeight="1">
      <c r="A2547" s="8"/>
      <c r="B2547" s="8"/>
      <c r="C2547" s="8"/>
      <c r="D2547" s="8">
        <v>27.9026907562088</v>
      </c>
      <c r="E2547" s="9" t="s">
        <v>2556</v>
      </c>
      <c r="I2547" s="12" t="str">
        <f>IFERROR(__xludf.DUMMYFUNCTION("""COMPUTED_VALUE"""),"0xd81af520255a973825b7d62dfc998c1316cffc3b")</f>
        <v>0xd81af520255a973825b7d62dfc998c1316cffc3b</v>
      </c>
      <c r="J2547" s="11">
        <v>91.1199983031448</v>
      </c>
      <c r="K2547" s="12">
        <v>202.48888511809955</v>
      </c>
      <c r="L2547" s="13">
        <v>2.0248888511809955E20</v>
      </c>
      <c r="M2547" s="9">
        <v>2.0248888511809958E19</v>
      </c>
    </row>
    <row r="2548" ht="15.75" customHeight="1">
      <c r="A2548" s="8"/>
      <c r="B2548" s="8"/>
      <c r="C2548" s="8"/>
      <c r="D2548" s="8">
        <v>27.9026907562088</v>
      </c>
      <c r="E2548" s="9" t="s">
        <v>2557</v>
      </c>
      <c r="I2548" s="12" t="str">
        <f>IFERROR(__xludf.DUMMYFUNCTION("""COMPUTED_VALUE"""),"0xd827804a094670e0727954da19b49145ac3d9d5e")</f>
        <v>0xd827804a094670e0727954da19b49145ac3d9d5e</v>
      </c>
      <c r="J2548" s="11">
        <v>91.1199983031448</v>
      </c>
      <c r="K2548" s="12">
        <v>202.48888511809955</v>
      </c>
      <c r="L2548" s="13">
        <v>2.0248888511809955E20</v>
      </c>
      <c r="M2548" s="9">
        <v>2.0248888511809958E19</v>
      </c>
    </row>
    <row r="2549" ht="15.75" customHeight="1">
      <c r="A2549" s="8"/>
      <c r="B2549" s="8"/>
      <c r="C2549" s="8"/>
      <c r="D2549" s="8">
        <v>27.9026907562088</v>
      </c>
      <c r="E2549" s="9" t="s">
        <v>2558</v>
      </c>
      <c r="I2549" s="12" t="str">
        <f>IFERROR(__xludf.DUMMYFUNCTION("""COMPUTED_VALUE"""),"0xd84a5d7a62f0edf2326d04f03db7429c65906945")</f>
        <v>0xd84a5d7a62f0edf2326d04f03db7429c65906945</v>
      </c>
      <c r="J2549" s="11">
        <v>27.9026907562088</v>
      </c>
      <c r="K2549" s="12">
        <v>62.005979458241775</v>
      </c>
      <c r="L2549" s="13">
        <v>6.200597945824177E19</v>
      </c>
      <c r="M2549" s="9">
        <v>6.2005979458241782E18</v>
      </c>
    </row>
    <row r="2550" ht="15.75" customHeight="1">
      <c r="A2550" s="8"/>
      <c r="B2550" s="8"/>
      <c r="C2550" s="8"/>
      <c r="D2550" s="8">
        <v>27.9026907562088</v>
      </c>
      <c r="E2550" s="9" t="s">
        <v>2559</v>
      </c>
      <c r="I2550" s="12" t="str">
        <f>IFERROR(__xludf.DUMMYFUNCTION("""COMPUTED_VALUE"""),"0xd84c8f8068a4d708e01f62c19b29a3bf30be3ede")</f>
        <v>0xd84c8f8068a4d708e01f62c19b29a3bf30be3ede</v>
      </c>
      <c r="J2550" s="11">
        <v>93.96085219631841</v>
      </c>
      <c r="K2550" s="12">
        <v>208.80189376959646</v>
      </c>
      <c r="L2550" s="13">
        <v>2.0880189376959647E20</v>
      </c>
      <c r="M2550" s="9">
        <v>2.0880189376959648E19</v>
      </c>
    </row>
    <row r="2551" ht="15.75" customHeight="1">
      <c r="A2551" s="8"/>
      <c r="B2551" s="8"/>
      <c r="C2551" s="8"/>
      <c r="D2551" s="8">
        <v>27.9026907562088</v>
      </c>
      <c r="E2551" s="9" t="s">
        <v>2560</v>
      </c>
      <c r="I2551" s="12" t="str">
        <f>IFERROR(__xludf.DUMMYFUNCTION("""COMPUTED_VALUE"""),"0xd868ea7cf6e655491cafa944e6703f081468b162")</f>
        <v>0xd868ea7cf6e655491cafa944e6703f081468b162</v>
      </c>
      <c r="J2551" s="11">
        <v>91.1199983031448</v>
      </c>
      <c r="K2551" s="12">
        <v>202.48888511809955</v>
      </c>
      <c r="L2551" s="13">
        <v>2.0248888511809955E20</v>
      </c>
      <c r="M2551" s="9">
        <v>2.0248888511809958E19</v>
      </c>
    </row>
    <row r="2552" ht="15.75" customHeight="1">
      <c r="A2552" s="8"/>
      <c r="B2552" s="8"/>
      <c r="C2552" s="8"/>
      <c r="D2552" s="8">
        <v>6.023609766172</v>
      </c>
      <c r="E2552" s="9" t="s">
        <v>2561</v>
      </c>
      <c r="I2552" s="12" t="str">
        <f>IFERROR(__xludf.DUMMYFUNCTION("""COMPUTED_VALUE"""),"0xd87c6437249f3b08d5a7d0ea0058b3b8b00395eb")</f>
        <v>0xd87c6437249f3b08d5a7d0ea0058b3b8b00395eb</v>
      </c>
      <c r="J2552" s="11">
        <v>6.023609766172</v>
      </c>
      <c r="K2552" s="12">
        <v>13.385799480382222</v>
      </c>
      <c r="L2552" s="13">
        <v>1.3385799480382222E19</v>
      </c>
      <c r="M2552" s="9">
        <v>1.33857994803822234E18</v>
      </c>
    </row>
    <row r="2553" ht="15.75" customHeight="1">
      <c r="A2553" s="8"/>
      <c r="B2553" s="8"/>
      <c r="C2553" s="8"/>
      <c r="D2553" s="8">
        <v>27.9026907562088</v>
      </c>
      <c r="E2553" s="9" t="s">
        <v>2562</v>
      </c>
      <c r="I2553" s="12" t="str">
        <f>IFERROR(__xludf.DUMMYFUNCTION("""COMPUTED_VALUE"""),"0xd8a19b4e91d6f45d958d1daba4160d70f2b4fb19")</f>
        <v>0xd8a19b4e91d6f45d958d1daba4160d70f2b4fb19</v>
      </c>
      <c r="J2553" s="11">
        <v>27.9026907562088</v>
      </c>
      <c r="K2553" s="12">
        <v>62.005979458241775</v>
      </c>
      <c r="L2553" s="13">
        <v>6.200597945824177E19</v>
      </c>
      <c r="M2553" s="9">
        <v>6.2005979458241782E18</v>
      </c>
    </row>
    <row r="2554" ht="15.75" customHeight="1">
      <c r="A2554" s="8"/>
      <c r="B2554" s="8"/>
      <c r="C2554" s="8"/>
      <c r="D2554" s="8">
        <v>24.5334596217652</v>
      </c>
      <c r="E2554" s="9" t="s">
        <v>2563</v>
      </c>
      <c r="I2554" s="12" t="str">
        <f>IFERROR(__xludf.DUMMYFUNCTION("""COMPUTED_VALUE"""),"0xd8c205d9ed7cd45b8eb9b0ba868e2b09b772f4c6")</f>
        <v>0xd8c205d9ed7cd45b8eb9b0ba868e2b09b772f4c6</v>
      </c>
      <c r="J2554" s="11">
        <v>24.5334596217652</v>
      </c>
      <c r="K2554" s="12">
        <v>54.51879915947822</v>
      </c>
      <c r="L2554" s="13">
        <v>5.451879915947822E19</v>
      </c>
      <c r="M2554" s="9">
        <v>5.4518799159478221E18</v>
      </c>
    </row>
    <row r="2555" ht="15.75" customHeight="1">
      <c r="A2555" s="8"/>
      <c r="B2555" s="8"/>
      <c r="C2555" s="8"/>
      <c r="D2555" s="8">
        <v>27.9026907562088</v>
      </c>
      <c r="E2555" s="9" t="s">
        <v>2564</v>
      </c>
      <c r="I2555" s="12" t="str">
        <f>IFERROR(__xludf.DUMMYFUNCTION("""COMPUTED_VALUE"""),"0xd8f35ef085d202fa7cad0e0c61da737b60e1f855")</f>
        <v>0xd8f35ef085d202fa7cad0e0c61da737b60e1f855</v>
      </c>
      <c r="J2555" s="11">
        <v>42.5634003632593</v>
      </c>
      <c r="K2555" s="12">
        <v>94.58533414057622</v>
      </c>
      <c r="L2555" s="13">
        <v>9.458533414057622E19</v>
      </c>
      <c r="M2555" s="9">
        <v>9.458533414057622E18</v>
      </c>
    </row>
    <row r="2556" ht="15.75" customHeight="1">
      <c r="A2556" s="8"/>
      <c r="B2556" s="8"/>
      <c r="C2556" s="8"/>
      <c r="D2556" s="8">
        <v>27.9026907562088</v>
      </c>
      <c r="E2556" s="9" t="s">
        <v>2565</v>
      </c>
      <c r="I2556" s="12" t="str">
        <f>IFERROR(__xludf.DUMMYFUNCTION("""COMPUTED_VALUE"""),"0xd8fe4f6b35704e8944e74d893af05d1bd14f4890")</f>
        <v>0xd8fe4f6b35704e8944e74d893af05d1bd14f4890</v>
      </c>
      <c r="J2556" s="11">
        <v>27.9026907562088</v>
      </c>
      <c r="K2556" s="12">
        <v>62.005979458241775</v>
      </c>
      <c r="L2556" s="13">
        <v>6.200597945824177E19</v>
      </c>
      <c r="M2556" s="9">
        <v>6.2005979458241782E18</v>
      </c>
    </row>
    <row r="2557" ht="15.75" customHeight="1">
      <c r="A2557" s="8"/>
      <c r="B2557" s="8"/>
      <c r="C2557" s="8"/>
      <c r="D2557" s="8">
        <v>24.1729515897087</v>
      </c>
      <c r="E2557" s="9" t="s">
        <v>2566</v>
      </c>
      <c r="I2557" s="12" t="str">
        <f>IFERROR(__xludf.DUMMYFUNCTION("""COMPUTED_VALUE"""),"0xd910896ec71d26fdb273301439f6e7b08e43861c")</f>
        <v>0xd910896ec71d26fdb273301439f6e7b08e43861c</v>
      </c>
      <c r="J2557" s="11">
        <v>24.1729515897087</v>
      </c>
      <c r="K2557" s="12">
        <v>53.71767019935266</v>
      </c>
      <c r="L2557" s="13">
        <v>5.371767019935266E19</v>
      </c>
      <c r="M2557" s="9">
        <v>5.3717670199352668E18</v>
      </c>
    </row>
    <row r="2558" ht="15.75" customHeight="1">
      <c r="A2558" s="8"/>
      <c r="B2558" s="8"/>
      <c r="C2558" s="8"/>
      <c r="D2558" s="8">
        <v>27.9026907562088</v>
      </c>
      <c r="E2558" s="9" t="s">
        <v>2567</v>
      </c>
      <c r="I2558" s="12" t="str">
        <f>IFERROR(__xludf.DUMMYFUNCTION("""COMPUTED_VALUE"""),"0xd91613333480222fd60bcdfc9a2ef9886d7e83a4")</f>
        <v>0xd91613333480222fd60bcdfc9a2ef9886d7e83a4</v>
      </c>
      <c r="J2558" s="11">
        <v>27.9026907562088</v>
      </c>
      <c r="K2558" s="12">
        <v>62.005979458241775</v>
      </c>
      <c r="L2558" s="13">
        <v>6.200597945824177E19</v>
      </c>
      <c r="M2558" s="9">
        <v>6.2005979458241782E18</v>
      </c>
    </row>
    <row r="2559" ht="15.75" customHeight="1">
      <c r="A2559" s="8"/>
      <c r="B2559" s="8"/>
      <c r="C2559" s="8"/>
      <c r="D2559" s="8">
        <v>27.9026907562088</v>
      </c>
      <c r="E2559" s="9" t="s">
        <v>2568</v>
      </c>
      <c r="I2559" s="12" t="str">
        <f>IFERROR(__xludf.DUMMYFUNCTION("""COMPUTED_VALUE"""),"0xd91672a7e9ea8bf163f52a8de90b2a98afbee032")</f>
        <v>0xd91672a7e9ea8bf163f52a8de90b2a98afbee032</v>
      </c>
      <c r="J2559" s="11">
        <v>91.1199983031448</v>
      </c>
      <c r="K2559" s="12">
        <v>202.48888511809955</v>
      </c>
      <c r="L2559" s="13">
        <v>2.0248888511809955E20</v>
      </c>
      <c r="M2559" s="9">
        <v>2.0248888511809958E19</v>
      </c>
    </row>
    <row r="2560" ht="15.75" customHeight="1">
      <c r="A2560" s="8"/>
      <c r="B2560" s="8"/>
      <c r="C2560" s="8"/>
      <c r="D2560" s="8">
        <v>13.3986141939694</v>
      </c>
      <c r="E2560" s="9" t="s">
        <v>2569</v>
      </c>
      <c r="I2560" s="12" t="str">
        <f>IFERROR(__xludf.DUMMYFUNCTION("""COMPUTED_VALUE"""),"0xd935a22742aea624ed3abec1f6a56aa0977324eb")</f>
        <v>0xd935a22742aea624ed3abec1f6a56aa0977324eb</v>
      </c>
      <c r="J2560" s="11">
        <v>13.3986141939694</v>
      </c>
      <c r="K2560" s="12">
        <v>29.77469820882089</v>
      </c>
      <c r="L2560" s="13">
        <v>2.977469820882089E19</v>
      </c>
      <c r="M2560" s="9">
        <v>2.9774698208820895E18</v>
      </c>
    </row>
    <row r="2561" ht="15.75" customHeight="1">
      <c r="A2561" s="8"/>
      <c r="B2561" s="8"/>
      <c r="C2561" s="8"/>
      <c r="D2561" s="8">
        <v>8.01893568080161</v>
      </c>
      <c r="E2561" s="9" t="s">
        <v>2570</v>
      </c>
      <c r="I2561" s="12" t="str">
        <f>IFERROR(__xludf.DUMMYFUNCTION("""COMPUTED_VALUE"""),"0xd9397aa8373e9d0bbe54e76c4b589c7448456eac")</f>
        <v>0xd9397aa8373e9d0bbe54e76c4b589c7448456eac</v>
      </c>
      <c r="J2561" s="11">
        <v>8.01893568080161</v>
      </c>
      <c r="K2561" s="12">
        <v>17.81985706844802</v>
      </c>
      <c r="L2561" s="13">
        <v>1.781985706844802E19</v>
      </c>
      <c r="M2561" s="9">
        <v>1.78198570684480205E18</v>
      </c>
    </row>
    <row r="2562" ht="15.75" customHeight="1">
      <c r="A2562" s="8"/>
      <c r="B2562" s="8"/>
      <c r="C2562" s="8"/>
      <c r="D2562" s="8">
        <v>25.0230716226642</v>
      </c>
      <c r="E2562" s="9" t="s">
        <v>2571</v>
      </c>
      <c r="I2562" s="12" t="str">
        <f>IFERROR(__xludf.DUMMYFUNCTION("""COMPUTED_VALUE"""),"0xd93cac570ebf525b4f1f725606dc8bc4d81aba63")</f>
        <v>0xd93cac570ebf525b4f1f725606dc8bc4d81aba63</v>
      </c>
      <c r="J2562" s="11">
        <v>29.49017679434938</v>
      </c>
      <c r="K2562" s="12">
        <v>65.53372620966529</v>
      </c>
      <c r="L2562" s="13">
        <v>6.553372620966529E19</v>
      </c>
      <c r="M2562" s="9">
        <v>6.553372620966529E18</v>
      </c>
    </row>
    <row r="2563" ht="15.75" customHeight="1">
      <c r="A2563" s="8"/>
      <c r="B2563" s="8"/>
      <c r="C2563" s="8"/>
      <c r="D2563" s="8">
        <v>26.5174638168485</v>
      </c>
      <c r="E2563" s="9" t="s">
        <v>2572</v>
      </c>
      <c r="I2563" s="12" t="str">
        <f>IFERROR(__xludf.DUMMYFUNCTION("""COMPUTED_VALUE"""),"0xd94016e0b99581ae7d1520a72938577d802379fc")</f>
        <v>0xd94016e0b99581ae7d1520a72938577d802379fc</v>
      </c>
      <c r="J2563" s="11">
        <v>26.5174638168485</v>
      </c>
      <c r="K2563" s="12">
        <v>58.927697370774446</v>
      </c>
      <c r="L2563" s="13">
        <v>5.892769737077445E19</v>
      </c>
      <c r="M2563" s="9">
        <v>5.8927697370774446E18</v>
      </c>
    </row>
    <row r="2564" ht="15.75" customHeight="1">
      <c r="A2564" s="8"/>
      <c r="B2564" s="8"/>
      <c r="C2564" s="8"/>
      <c r="D2564" s="8">
        <v>27.9026907562088</v>
      </c>
      <c r="E2564" s="9" t="s">
        <v>2573</v>
      </c>
      <c r="I2564" s="12" t="str">
        <f>IFERROR(__xludf.DUMMYFUNCTION("""COMPUTED_VALUE"""),"0xd94cc4d44647bd271509d776352d3d91b8f9c428")</f>
        <v>0xd94cc4d44647bd271509d776352d3d91b8f9c428</v>
      </c>
      <c r="J2564" s="11">
        <v>27.9026907562088</v>
      </c>
      <c r="K2564" s="12">
        <v>62.005979458241775</v>
      </c>
      <c r="L2564" s="13">
        <v>6.200597945824177E19</v>
      </c>
      <c r="M2564" s="9">
        <v>6.2005979458241782E18</v>
      </c>
    </row>
    <row r="2565" ht="15.75" customHeight="1">
      <c r="A2565" s="8"/>
      <c r="B2565" s="8"/>
      <c r="C2565" s="8"/>
      <c r="D2565" s="8">
        <v>24.7160344948287</v>
      </c>
      <c r="E2565" s="9" t="s">
        <v>2574</v>
      </c>
      <c r="I2565" s="12" t="str">
        <f>IFERROR(__xludf.DUMMYFUNCTION("""COMPUTED_VALUE"""),"0xd965750199713b5eee311f3f76df00bdb3d0a458")</f>
        <v>0xd965750199713b5eee311f3f76df00bdb3d0a458</v>
      </c>
      <c r="J2565" s="11">
        <v>24.7160344948287</v>
      </c>
      <c r="K2565" s="12">
        <v>54.924521099619334</v>
      </c>
      <c r="L2565" s="13">
        <v>5.492452109961934E19</v>
      </c>
      <c r="M2565" s="9">
        <v>5.4924521099619338E18</v>
      </c>
    </row>
    <row r="2566" ht="15.75" customHeight="1">
      <c r="A2566" s="8"/>
      <c r="B2566" s="8"/>
      <c r="C2566" s="8"/>
      <c r="D2566" s="8">
        <v>12.7256733263172</v>
      </c>
      <c r="E2566" s="9" t="s">
        <v>2575</v>
      </c>
      <c r="I2566" s="12" t="str">
        <f>IFERROR(__xludf.DUMMYFUNCTION("""COMPUTED_VALUE"""),"0xd9863eedee6c6a17d662af9bf3905a7ccbbef23a")</f>
        <v>0xd9863eedee6c6a17d662af9bf3905a7ccbbef23a</v>
      </c>
      <c r="J2566" s="11">
        <v>75.94298087325319</v>
      </c>
      <c r="K2566" s="12">
        <v>168.76217971834043</v>
      </c>
      <c r="L2566" s="13">
        <v>1.6876217971834044E20</v>
      </c>
      <c r="M2566" s="9">
        <v>1.6876217971834044E19</v>
      </c>
    </row>
    <row r="2567" ht="15.75" customHeight="1">
      <c r="A2567" s="8"/>
      <c r="B2567" s="8"/>
      <c r="C2567" s="8"/>
      <c r="D2567" s="8">
        <v>25.3744471618208</v>
      </c>
      <c r="E2567" s="9" t="s">
        <v>2576</v>
      </c>
      <c r="I2567" s="12" t="str">
        <f>IFERROR(__xludf.DUMMYFUNCTION("""COMPUTED_VALUE"""),"0xd992bc135430f1b3e72ee7feb716b364e28d4649")</f>
        <v>0xd992bc135430f1b3e72ee7feb716b364e28d4649</v>
      </c>
      <c r="J2567" s="11">
        <v>25.3744471618208</v>
      </c>
      <c r="K2567" s="12">
        <v>56.387660359601774</v>
      </c>
      <c r="L2567" s="13">
        <v>5.6387660359601775E19</v>
      </c>
      <c r="M2567" s="9">
        <v>5.6387660359601777E18</v>
      </c>
    </row>
    <row r="2568" ht="15.75" customHeight="1">
      <c r="A2568" s="8"/>
      <c r="B2568" s="8"/>
      <c r="C2568" s="8"/>
      <c r="D2568" s="8">
        <v>26.905784750106</v>
      </c>
      <c r="E2568" s="9" t="s">
        <v>2577</v>
      </c>
      <c r="I2568" s="12" t="str">
        <f>IFERROR(__xludf.DUMMYFUNCTION("""COMPUTED_VALUE"""),"0xd9a339e8813d5d9df54470f7d5d46cc17d4f0a42")</f>
        <v>0xd9a339e8813d5d9df54470f7d5d46cc17d4f0a42</v>
      </c>
      <c r="J2568" s="11">
        <v>26.905784750106</v>
      </c>
      <c r="K2568" s="12">
        <v>59.79063277801333</v>
      </c>
      <c r="L2568" s="13">
        <v>5.9790632778013336E19</v>
      </c>
      <c r="M2568" s="9">
        <v>5.9790632778013338E18</v>
      </c>
    </row>
    <row r="2569" ht="15.75" customHeight="1">
      <c r="A2569" s="8"/>
      <c r="B2569" s="8"/>
      <c r="C2569" s="8"/>
      <c r="D2569" s="8">
        <v>23.5829378698605</v>
      </c>
      <c r="E2569" s="9" t="s">
        <v>2578</v>
      </c>
      <c r="I2569" s="12" t="str">
        <f>IFERROR(__xludf.DUMMYFUNCTION("""COMPUTED_VALUE"""),"0xda0d59f44de2e1356f5e96c82272242b9d4fa68a")</f>
        <v>0xda0d59f44de2e1356f5e96c82272242b9d4fa68a</v>
      </c>
      <c r="J2569" s="11">
        <v>23.5829378698605</v>
      </c>
      <c r="K2569" s="12">
        <v>52.40652859969</v>
      </c>
      <c r="L2569" s="13">
        <v>5.240652859969E19</v>
      </c>
      <c r="M2569" s="9">
        <v>5.2406528599690004E18</v>
      </c>
    </row>
    <row r="2570" ht="15.75" customHeight="1">
      <c r="A2570" s="8"/>
      <c r="B2570" s="8"/>
      <c r="C2570" s="8"/>
      <c r="D2570" s="8">
        <v>27.4693181402501</v>
      </c>
      <c r="E2570" s="9" t="s">
        <v>2579</v>
      </c>
      <c r="I2570" s="12" t="str">
        <f>IFERROR(__xludf.DUMMYFUNCTION("""COMPUTED_VALUE"""),"0xda14f9bb80852d552745dfa2d9c2b030b2f941d2")</f>
        <v>0xda14f9bb80852d552745dfa2d9c2b030b2f941d2</v>
      </c>
      <c r="J2570" s="11">
        <v>46.053736215728094</v>
      </c>
      <c r="K2570" s="12">
        <v>102.34163603495132</v>
      </c>
      <c r="L2570" s="13">
        <v>1.0234163603495132E20</v>
      </c>
      <c r="M2570" s="9">
        <v>1.0234163603495131E19</v>
      </c>
    </row>
    <row r="2571" ht="15.75" customHeight="1">
      <c r="A2571" s="8"/>
      <c r="B2571" s="8"/>
      <c r="C2571" s="8"/>
      <c r="D2571" s="8">
        <v>27.4455741453095</v>
      </c>
      <c r="E2571" s="9" t="s">
        <v>2580</v>
      </c>
      <c r="I2571" s="12" t="str">
        <f>IFERROR(__xludf.DUMMYFUNCTION("""COMPUTED_VALUE"""),"0xda181fbc2515af8c13fd5a3d0c4932615f3bdc6f")</f>
        <v>0xda181fbc2515af8c13fd5a3d0c4932615f3bdc6f</v>
      </c>
      <c r="J2571" s="11">
        <v>27.4455741453095</v>
      </c>
      <c r="K2571" s="12">
        <v>60.99016476735444</v>
      </c>
      <c r="L2571" s="13">
        <v>6.0990164767354446E19</v>
      </c>
      <c r="M2571" s="9">
        <v>6.099016476735445E18</v>
      </c>
    </row>
    <row r="2572" ht="15.75" customHeight="1">
      <c r="A2572" s="8"/>
      <c r="B2572" s="8"/>
      <c r="C2572" s="8"/>
      <c r="D2572" s="8">
        <v>27.9026907562088</v>
      </c>
      <c r="E2572" s="9" t="s">
        <v>2581</v>
      </c>
      <c r="I2572" s="12" t="str">
        <f>IFERROR(__xludf.DUMMYFUNCTION("""COMPUTED_VALUE"""),"0xda1a2f5cb782f7fac50b906008cdefe8dd2d5229")</f>
        <v>0xda1a2f5cb782f7fac50b906008cdefe8dd2d5229</v>
      </c>
      <c r="J2572" s="11">
        <v>91.1199983031448</v>
      </c>
      <c r="K2572" s="12">
        <v>202.48888511809955</v>
      </c>
      <c r="L2572" s="13">
        <v>2.0248888511809955E20</v>
      </c>
      <c r="M2572" s="9">
        <v>2.0248888511809958E19</v>
      </c>
    </row>
    <row r="2573" ht="15.75" customHeight="1">
      <c r="A2573" s="8"/>
      <c r="B2573" s="8"/>
      <c r="C2573" s="8"/>
      <c r="D2573" s="8">
        <v>27.9026907562088</v>
      </c>
      <c r="E2573" s="9" t="s">
        <v>2582</v>
      </c>
      <c r="I2573" s="12" t="str">
        <f>IFERROR(__xludf.DUMMYFUNCTION("""COMPUTED_VALUE"""),"0xda4c2454a43a7795864d6ef7b8ea17ceea494cb3")</f>
        <v>0xda4c2454a43a7795864d6ef7b8ea17ceea494cb3</v>
      </c>
      <c r="J2573" s="11">
        <v>27.9026907562088</v>
      </c>
      <c r="K2573" s="12">
        <v>62.005979458241775</v>
      </c>
      <c r="L2573" s="13">
        <v>6.200597945824177E19</v>
      </c>
      <c r="M2573" s="9">
        <v>6.2005979458241782E18</v>
      </c>
    </row>
    <row r="2574" ht="15.75" customHeight="1">
      <c r="A2574" s="8"/>
      <c r="B2574" s="8"/>
      <c r="C2574" s="8"/>
      <c r="D2574" s="8">
        <v>25.8734699028711</v>
      </c>
      <c r="E2574" s="9" t="s">
        <v>2583</v>
      </c>
      <c r="I2574" s="12" t="str">
        <f>IFERROR(__xludf.DUMMYFUNCTION("""COMPUTED_VALUE"""),"0xda620adccb2dbdd0041175ed5e8b3e32f518a55c")</f>
        <v>0xda620adccb2dbdd0041175ed5e8b3e32f518a55c</v>
      </c>
      <c r="J2574" s="11">
        <v>25.8734699028711</v>
      </c>
      <c r="K2574" s="12">
        <v>57.496599784158</v>
      </c>
      <c r="L2574" s="13">
        <v>5.7496599784158E19</v>
      </c>
      <c r="M2574" s="9">
        <v>5.7496599784158003E18</v>
      </c>
    </row>
    <row r="2575" ht="15.75" customHeight="1">
      <c r="A2575" s="8"/>
      <c r="B2575" s="8"/>
      <c r="C2575" s="8"/>
      <c r="D2575" s="8">
        <v>6.59886680169953</v>
      </c>
      <c r="E2575" s="9" t="s">
        <v>2584</v>
      </c>
      <c r="I2575" s="12" t="str">
        <f>IFERROR(__xludf.DUMMYFUNCTION("""COMPUTED_VALUE"""),"0xda7c6a6c88a02f71dd95a8bd39051aaeda8f2d15")</f>
        <v>0xda7c6a6c88a02f71dd95a8bd39051aaeda8f2d15</v>
      </c>
      <c r="J2575" s="11">
        <v>6.59886680169953</v>
      </c>
      <c r="K2575" s="12">
        <v>14.664148448221177</v>
      </c>
      <c r="L2575" s="13">
        <v>1.4664148448221176E19</v>
      </c>
      <c r="M2575" s="9">
        <v>1.46641484482211763E18</v>
      </c>
    </row>
    <row r="2576" ht="15.75" customHeight="1">
      <c r="A2576" s="8"/>
      <c r="B2576" s="8"/>
      <c r="C2576" s="8"/>
      <c r="D2576" s="8">
        <v>27.9026907562088</v>
      </c>
      <c r="E2576" s="9" t="s">
        <v>2585</v>
      </c>
      <c r="I2576" s="12" t="str">
        <f>IFERROR(__xludf.DUMMYFUNCTION("""COMPUTED_VALUE"""),"0xdab6adaccaf60960e9b9c0c32c3c8c564f2db890")</f>
        <v>0xdab6adaccaf60960e9b9c0c32c3c8c564f2db890</v>
      </c>
      <c r="J2576" s="11">
        <v>91.1199983031448</v>
      </c>
      <c r="K2576" s="12">
        <v>202.48888511809955</v>
      </c>
      <c r="L2576" s="13">
        <v>2.0248888511809955E20</v>
      </c>
      <c r="M2576" s="9">
        <v>2.0248888511809958E19</v>
      </c>
    </row>
    <row r="2577" ht="15.75" customHeight="1">
      <c r="A2577" s="8"/>
      <c r="B2577" s="8"/>
      <c r="C2577" s="8"/>
      <c r="D2577" s="8">
        <v>27.9026907562088</v>
      </c>
      <c r="E2577" s="9" t="s">
        <v>2586</v>
      </c>
      <c r="I2577" s="12" t="str">
        <f>IFERROR(__xludf.DUMMYFUNCTION("""COMPUTED_VALUE"""),"0xdac1e8499851a8adfdf35d6f464058f506159528")</f>
        <v>0xdac1e8499851a8adfdf35d6f464058f506159528</v>
      </c>
      <c r="J2577" s="11">
        <v>91.1199983031448</v>
      </c>
      <c r="K2577" s="12">
        <v>202.48888511809955</v>
      </c>
      <c r="L2577" s="13">
        <v>2.0248888511809955E20</v>
      </c>
      <c r="M2577" s="9">
        <v>2.0248888511809958E19</v>
      </c>
    </row>
    <row r="2578" ht="15.75" customHeight="1">
      <c r="A2578" s="8"/>
      <c r="B2578" s="8"/>
      <c r="C2578" s="8"/>
      <c r="D2578" s="8">
        <v>27.9026907562088</v>
      </c>
      <c r="E2578" s="9" t="s">
        <v>2587</v>
      </c>
      <c r="I2578" s="12" t="str">
        <f>IFERROR(__xludf.DUMMYFUNCTION("""COMPUTED_VALUE"""),"0xdb2f8accecc043cd101748e333927583de4d35fc")</f>
        <v>0xdb2f8accecc043cd101748e333927583de4d35fc</v>
      </c>
      <c r="J2578" s="11">
        <v>27.9026907562088</v>
      </c>
      <c r="K2578" s="12">
        <v>62.005979458241775</v>
      </c>
      <c r="L2578" s="13">
        <v>6.200597945824177E19</v>
      </c>
      <c r="M2578" s="9">
        <v>6.2005979458241782E18</v>
      </c>
    </row>
    <row r="2579" ht="15.75" customHeight="1">
      <c r="A2579" s="8"/>
      <c r="B2579" s="8"/>
      <c r="C2579" s="8"/>
      <c r="D2579" s="8">
        <v>27.9026907562088</v>
      </c>
      <c r="E2579" s="9" t="s">
        <v>2588</v>
      </c>
      <c r="I2579" s="12" t="str">
        <f>IFERROR(__xludf.DUMMYFUNCTION("""COMPUTED_VALUE"""),"0xdb71a18336e01ac76fd93b15ed89a720cb8c0734")</f>
        <v>0xdb71a18336e01ac76fd93b15ed89a720cb8c0734</v>
      </c>
      <c r="J2579" s="11">
        <v>354.8578620619978</v>
      </c>
      <c r="K2579" s="12">
        <v>788.5730268044396</v>
      </c>
      <c r="L2579" s="13">
        <v>7.885730268044396E20</v>
      </c>
      <c r="M2579" s="9">
        <v>7.885730268044396E19</v>
      </c>
    </row>
    <row r="2580" ht="15.75" customHeight="1">
      <c r="A2580" s="8"/>
      <c r="B2580" s="8"/>
      <c r="C2580" s="8"/>
      <c r="D2580" s="8">
        <v>24.5603547395438</v>
      </c>
      <c r="E2580" s="9" t="s">
        <v>2589</v>
      </c>
      <c r="I2580" s="12" t="str">
        <f>IFERROR(__xludf.DUMMYFUNCTION("""COMPUTED_VALUE"""),"0xdb763a0ee9dfd5085c7bfe593f9913ee229a23e8")</f>
        <v>0xdb763a0ee9dfd5085c7bfe593f9913ee229a23e8</v>
      </c>
      <c r="J2580" s="11">
        <v>24.5603547395438</v>
      </c>
      <c r="K2580" s="12">
        <v>54.57856608787511</v>
      </c>
      <c r="L2580" s="13">
        <v>5.457856608787511E19</v>
      </c>
      <c r="M2580" s="9">
        <v>5.4578566087875113E18</v>
      </c>
    </row>
    <row r="2581" ht="15.75" customHeight="1">
      <c r="A2581" s="8"/>
      <c r="B2581" s="8"/>
      <c r="C2581" s="8"/>
      <c r="D2581" s="8">
        <v>27.9026907562088</v>
      </c>
      <c r="E2581" s="9" t="s">
        <v>2590</v>
      </c>
      <c r="I2581" s="12" t="str">
        <f>IFERROR(__xludf.DUMMYFUNCTION("""COMPUTED_VALUE"""),"0xdb77cd44eb4bc58d389eeead592f0bd42bc8879e")</f>
        <v>0xdb77cd44eb4bc58d389eeead592f0bd42bc8879e</v>
      </c>
      <c r="J2581" s="11">
        <v>91.1199983031448</v>
      </c>
      <c r="K2581" s="12">
        <v>202.48888511809955</v>
      </c>
      <c r="L2581" s="13">
        <v>2.0248888511809955E20</v>
      </c>
      <c r="M2581" s="9">
        <v>2.0248888511809958E19</v>
      </c>
    </row>
    <row r="2582" ht="15.75" customHeight="1">
      <c r="A2582" s="8"/>
      <c r="B2582" s="8"/>
      <c r="C2582" s="8"/>
      <c r="D2582" s="8">
        <v>27.1280411271541</v>
      </c>
      <c r="E2582" s="9" t="s">
        <v>2591</v>
      </c>
      <c r="I2582" s="12" t="str">
        <f>IFERROR(__xludf.DUMMYFUNCTION("""COMPUTED_VALUE"""),"0xdb8c9f8b07f62d8e33c966196546d3cf0f5d9bd9")</f>
        <v>0xdb8c9f8b07f62d8e33c966196546d3cf0f5d9bd9</v>
      </c>
      <c r="J2582" s="11">
        <v>27.1280411271541</v>
      </c>
      <c r="K2582" s="12">
        <v>60.28453583812022</v>
      </c>
      <c r="L2582" s="13">
        <v>6.028453583812022E19</v>
      </c>
      <c r="M2582" s="9">
        <v>6.0284535838120223E18</v>
      </c>
    </row>
    <row r="2583" ht="15.75" customHeight="1">
      <c r="A2583" s="8"/>
      <c r="B2583" s="8"/>
      <c r="C2583" s="8"/>
      <c r="D2583" s="8">
        <v>26.5504246623454</v>
      </c>
      <c r="E2583" s="9" t="s">
        <v>2592</v>
      </c>
      <c r="I2583" s="12" t="str">
        <f>IFERROR(__xludf.DUMMYFUNCTION("""COMPUTED_VALUE"""),"0xdb967a2581c7effda75b9444b1d17418d77bcfb3")</f>
        <v>0xdb967a2581c7effda75b9444b1d17418d77bcfb3</v>
      </c>
      <c r="J2583" s="11">
        <v>26.5504246623454</v>
      </c>
      <c r="K2583" s="12">
        <v>59.00094369410088</v>
      </c>
      <c r="L2583" s="13">
        <v>5.900094369410088E19</v>
      </c>
      <c r="M2583" s="9">
        <v>5.900094369410089E18</v>
      </c>
    </row>
    <row r="2584" ht="15.75" customHeight="1">
      <c r="A2584" s="8"/>
      <c r="B2584" s="8"/>
      <c r="C2584" s="8"/>
      <c r="D2584" s="8">
        <v>27.9026907562088</v>
      </c>
      <c r="E2584" s="9" t="s">
        <v>2593</v>
      </c>
      <c r="I2584" s="12" t="str">
        <f>IFERROR(__xludf.DUMMYFUNCTION("""COMPUTED_VALUE"""),"0xdbb3f9853792da2aced3ea0777f8ba5e881f7a76")</f>
        <v>0xdbb3f9853792da2aced3ea0777f8ba5e881f7a76</v>
      </c>
      <c r="J2584" s="11">
        <v>27.9026907562088</v>
      </c>
      <c r="K2584" s="12">
        <v>62.005979458241775</v>
      </c>
      <c r="L2584" s="13">
        <v>6.200597945824177E19</v>
      </c>
      <c r="M2584" s="9">
        <v>6.2005979458241782E18</v>
      </c>
    </row>
    <row r="2585" ht="15.75" customHeight="1">
      <c r="A2585" s="8"/>
      <c r="B2585" s="8"/>
      <c r="C2585" s="8"/>
      <c r="D2585" s="8">
        <v>27.9026907562088</v>
      </c>
      <c r="E2585" s="9" t="s">
        <v>2594</v>
      </c>
      <c r="I2585" s="12" t="str">
        <f>IFERROR(__xludf.DUMMYFUNCTION("""COMPUTED_VALUE"""),"0xdbb95014773d2ceb48331f871c970aaac626bf52")</f>
        <v>0xdbb95014773d2ceb48331f871c970aaac626bf52</v>
      </c>
      <c r="J2585" s="11">
        <v>27.9026907562088</v>
      </c>
      <c r="K2585" s="12">
        <v>62.005979458241775</v>
      </c>
      <c r="L2585" s="13">
        <v>6.200597945824177E19</v>
      </c>
      <c r="M2585" s="9">
        <v>6.2005979458241782E18</v>
      </c>
    </row>
    <row r="2586" ht="15.75" customHeight="1">
      <c r="A2586" s="8"/>
      <c r="B2586" s="8"/>
      <c r="C2586" s="8"/>
      <c r="D2586" s="8">
        <v>22.1272561326369</v>
      </c>
      <c r="E2586" s="9" t="s">
        <v>2595</v>
      </c>
      <c r="I2586" s="12" t="str">
        <f>IFERROR(__xludf.DUMMYFUNCTION("""COMPUTED_VALUE"""),"0xdbbf371ebc60ad2449e739d872cf6a242142c6aa")</f>
        <v>0xdbbf371ebc60ad2449e739d872cf6a242142c6aa</v>
      </c>
      <c r="J2586" s="11">
        <v>22.1272561326369</v>
      </c>
      <c r="K2586" s="12">
        <v>49.17168029474867</v>
      </c>
      <c r="L2586" s="13">
        <v>4.917168029474867E19</v>
      </c>
      <c r="M2586" s="9">
        <v>4.9171680294748672E18</v>
      </c>
    </row>
    <row r="2587" ht="15.75" customHeight="1">
      <c r="A2587" s="8"/>
      <c r="B2587" s="8"/>
      <c r="C2587" s="8"/>
      <c r="D2587" s="8">
        <v>26.729418329847</v>
      </c>
      <c r="E2587" s="9" t="s">
        <v>2596</v>
      </c>
      <c r="I2587" s="12" t="str">
        <f>IFERROR(__xludf.DUMMYFUNCTION("""COMPUTED_VALUE"""),"0xdbd0154b966a2beb11905075bee245c9a2619a8e")</f>
        <v>0xdbd0154b966a2beb11905075bee245c9a2619a8e</v>
      </c>
      <c r="J2587" s="11">
        <v>26.729418329847</v>
      </c>
      <c r="K2587" s="12">
        <v>59.39870739966</v>
      </c>
      <c r="L2587" s="13">
        <v>5.9398707399659995E19</v>
      </c>
      <c r="M2587" s="9">
        <v>5.9398707399660001E18</v>
      </c>
    </row>
    <row r="2588" ht="15.75" customHeight="1">
      <c r="A2588" s="8"/>
      <c r="B2588" s="8"/>
      <c r="C2588" s="8"/>
      <c r="D2588" s="8">
        <v>27.9026907562088</v>
      </c>
      <c r="E2588" s="9" t="s">
        <v>2597</v>
      </c>
      <c r="I2588" s="12" t="str">
        <f>IFERROR(__xludf.DUMMYFUNCTION("""COMPUTED_VALUE"""),"0xdc1aa050d49671675736fa27238d0ad7dff3d830")</f>
        <v>0xdc1aa050d49671675736fa27238d0ad7dff3d830</v>
      </c>
      <c r="J2588" s="11">
        <v>27.9026907562088</v>
      </c>
      <c r="K2588" s="12">
        <v>62.005979458241775</v>
      </c>
      <c r="L2588" s="13">
        <v>6.200597945824177E19</v>
      </c>
      <c r="M2588" s="9">
        <v>6.2005979458241782E18</v>
      </c>
    </row>
    <row r="2589" ht="15.75" customHeight="1">
      <c r="A2589" s="8"/>
      <c r="B2589" s="8"/>
      <c r="C2589" s="8"/>
      <c r="D2589" s="8">
        <v>27.9026907562088</v>
      </c>
      <c r="E2589" s="9" t="s">
        <v>2598</v>
      </c>
      <c r="I2589" s="12" t="str">
        <f>IFERROR(__xludf.DUMMYFUNCTION("""COMPUTED_VALUE"""),"0xdc1f22f1c2f671fefa88afe4e4f28ca7acdb8f77")</f>
        <v>0xdc1f22f1c2f671fefa88afe4e4f28ca7acdb8f77</v>
      </c>
      <c r="J2589" s="11">
        <v>91.1199983031448</v>
      </c>
      <c r="K2589" s="12">
        <v>202.48888511809955</v>
      </c>
      <c r="L2589" s="13">
        <v>2.0248888511809955E20</v>
      </c>
      <c r="M2589" s="9">
        <v>2.0248888511809958E19</v>
      </c>
    </row>
    <row r="2590" ht="15.75" customHeight="1">
      <c r="A2590" s="8"/>
      <c r="B2590" s="8"/>
      <c r="C2590" s="8"/>
      <c r="D2590" s="8">
        <v>27.9026907562088</v>
      </c>
      <c r="E2590" s="9" t="s">
        <v>2599</v>
      </c>
      <c r="I2590" s="12" t="str">
        <f>IFERROR(__xludf.DUMMYFUNCTION("""COMPUTED_VALUE"""),"0xdc4502699007bb2c402b2922deb12e581dced10c")</f>
        <v>0xdc4502699007bb2c402b2922deb12e581dced10c</v>
      </c>
      <c r="J2590" s="11">
        <v>27.9026907562088</v>
      </c>
      <c r="K2590" s="12">
        <v>62.005979458241775</v>
      </c>
      <c r="L2590" s="13">
        <v>6.200597945824177E19</v>
      </c>
      <c r="M2590" s="9">
        <v>6.2005979458241782E18</v>
      </c>
    </row>
    <row r="2591" ht="15.75" customHeight="1">
      <c r="A2591" s="8"/>
      <c r="B2591" s="8"/>
      <c r="C2591" s="8"/>
      <c r="D2591" s="8">
        <v>27.9026907562088</v>
      </c>
      <c r="E2591" s="9" t="s">
        <v>2600</v>
      </c>
      <c r="I2591" s="12" t="str">
        <f>IFERROR(__xludf.DUMMYFUNCTION("""COMPUTED_VALUE"""),"0xdc4bd98959fce7914b9e4cd36eb422b9ad38456c")</f>
        <v>0xdc4bd98959fce7914b9e4cd36eb422b9ad38456c</v>
      </c>
      <c r="J2591" s="11">
        <v>27.9026907562088</v>
      </c>
      <c r="K2591" s="12">
        <v>62.005979458241775</v>
      </c>
      <c r="L2591" s="13">
        <v>6.200597945824177E19</v>
      </c>
      <c r="M2591" s="9">
        <v>6.2005979458241782E18</v>
      </c>
    </row>
    <row r="2592" ht="15.75" customHeight="1">
      <c r="A2592" s="8"/>
      <c r="B2592" s="8"/>
      <c r="C2592" s="8"/>
      <c r="D2592" s="8">
        <v>27.9026907562088</v>
      </c>
      <c r="E2592" s="9" t="s">
        <v>2601</v>
      </c>
      <c r="I2592" s="12" t="str">
        <f>IFERROR(__xludf.DUMMYFUNCTION("""COMPUTED_VALUE"""),"0xdc57a6a58bc4935ab137e538501a3e006a1aa719")</f>
        <v>0xdc57a6a58bc4935ab137e538501a3e006a1aa719</v>
      </c>
      <c r="J2592" s="11">
        <v>27.9026907562088</v>
      </c>
      <c r="K2592" s="12">
        <v>62.005979458241775</v>
      </c>
      <c r="L2592" s="13">
        <v>6.200597945824177E19</v>
      </c>
      <c r="M2592" s="9">
        <v>6.2005979458241782E18</v>
      </c>
    </row>
    <row r="2593" ht="15.75" customHeight="1">
      <c r="A2593" s="8"/>
      <c r="B2593" s="8"/>
      <c r="C2593" s="8"/>
      <c r="D2593" s="8">
        <v>27.9026907562088</v>
      </c>
      <c r="E2593" s="9" t="s">
        <v>2602</v>
      </c>
      <c r="I2593" s="12" t="str">
        <f>IFERROR(__xludf.DUMMYFUNCTION("""COMPUTED_VALUE"""),"0xdc7d0a9a95b5cc2cfe89ebedaa7bbc4426e53402")</f>
        <v>0xdc7d0a9a95b5cc2cfe89ebedaa7bbc4426e53402</v>
      </c>
      <c r="J2593" s="11">
        <v>27.9026907562088</v>
      </c>
      <c r="K2593" s="12">
        <v>62.005979458241775</v>
      </c>
      <c r="L2593" s="13">
        <v>6.200597945824177E19</v>
      </c>
      <c r="M2593" s="9">
        <v>6.2005979458241782E18</v>
      </c>
    </row>
    <row r="2594" ht="15.75" customHeight="1">
      <c r="A2594" s="8"/>
      <c r="B2594" s="8"/>
      <c r="C2594" s="8"/>
      <c r="D2594" s="8">
        <v>27.2547425656484</v>
      </c>
      <c r="E2594" s="9" t="s">
        <v>2603</v>
      </c>
      <c r="I2594" s="12" t="str">
        <f>IFERROR(__xludf.DUMMYFUNCTION("""COMPUTED_VALUE"""),"0xdca6b546af4f5ea38d2e9f7a9e6f2b1799ed8126")</f>
        <v>0xdca6b546af4f5ea38d2e9f7a9e6f2b1799ed8126</v>
      </c>
      <c r="J2594" s="11">
        <v>27.2547425656484</v>
      </c>
      <c r="K2594" s="12">
        <v>60.566094590329776</v>
      </c>
      <c r="L2594" s="13">
        <v>6.056609459032977E19</v>
      </c>
      <c r="M2594" s="9">
        <v>6.0566094590329774E18</v>
      </c>
    </row>
    <row r="2595" ht="15.75" customHeight="1">
      <c r="A2595" s="8"/>
      <c r="B2595" s="8"/>
      <c r="C2595" s="8"/>
      <c r="D2595" s="8">
        <v>27.9026907562088</v>
      </c>
      <c r="E2595" s="9" t="s">
        <v>2604</v>
      </c>
      <c r="I2595" s="12" t="str">
        <f>IFERROR(__xludf.DUMMYFUNCTION("""COMPUTED_VALUE"""),"0xdcb92e1edaf07fa90464514619599de2c9494643")</f>
        <v>0xdcb92e1edaf07fa90464514619599de2c9494643</v>
      </c>
      <c r="J2595" s="11">
        <v>91.1199983031448</v>
      </c>
      <c r="K2595" s="12">
        <v>202.48888511809955</v>
      </c>
      <c r="L2595" s="13">
        <v>2.0248888511809955E20</v>
      </c>
      <c r="M2595" s="9">
        <v>2.0248888511809958E19</v>
      </c>
    </row>
    <row r="2596" ht="15.75" customHeight="1">
      <c r="A2596" s="8"/>
      <c r="B2596" s="8"/>
      <c r="C2596" s="8"/>
      <c r="D2596" s="8">
        <v>0.0219713658120666</v>
      </c>
      <c r="E2596" s="9" t="s">
        <v>2605</v>
      </c>
      <c r="I2596" s="12" t="str">
        <f>IFERROR(__xludf.DUMMYFUNCTION("""COMPUTED_VALUE"""),"0xdccb138a311375217ae698007258cb8d5f505e15")</f>
        <v>0xdccb138a311375217ae698007258cb8d5f505e15</v>
      </c>
      <c r="J2596" s="11">
        <v>0.042447907275531604</v>
      </c>
      <c r="K2596" s="12">
        <v>0.09432868283451468</v>
      </c>
      <c r="L2596" s="13">
        <v>9.4328682834514672E16</v>
      </c>
      <c r="M2596" s="9">
        <v>9.432868283451468E15</v>
      </c>
    </row>
    <row r="2597" ht="15.75" customHeight="1">
      <c r="A2597" s="8"/>
      <c r="B2597" s="8"/>
      <c r="C2597" s="8"/>
      <c r="D2597" s="8">
        <v>27.9026907562088</v>
      </c>
      <c r="E2597" s="9" t="s">
        <v>2606</v>
      </c>
      <c r="I2597" s="12" t="str">
        <f>IFERROR(__xludf.DUMMYFUNCTION("""COMPUTED_VALUE"""),"0xdcd6db09ef1079c660c0f5eb2398daf9349c9190")</f>
        <v>0xdcd6db09ef1079c660c0f5eb2398daf9349c9190</v>
      </c>
      <c r="J2597" s="11">
        <v>27.9026907562088</v>
      </c>
      <c r="K2597" s="12">
        <v>62.005979458241775</v>
      </c>
      <c r="L2597" s="13">
        <v>6.200597945824177E19</v>
      </c>
      <c r="M2597" s="9">
        <v>6.2005979458241782E18</v>
      </c>
    </row>
    <row r="2598" ht="15.75" customHeight="1">
      <c r="A2598" s="8"/>
      <c r="B2598" s="8"/>
      <c r="C2598" s="8"/>
      <c r="D2598" s="8">
        <v>27.9026907562088</v>
      </c>
      <c r="E2598" s="9" t="s">
        <v>2607</v>
      </c>
      <c r="I2598" s="12" t="str">
        <f>IFERROR(__xludf.DUMMYFUNCTION("""COMPUTED_VALUE"""),"0xdce079cee4bc75d2b7e9ec21f55e9f3a4f19e8fe")</f>
        <v>0xdce079cee4bc75d2b7e9ec21f55e9f3a4f19e8fe</v>
      </c>
      <c r="J2598" s="11">
        <v>91.1199983031448</v>
      </c>
      <c r="K2598" s="12">
        <v>202.48888511809955</v>
      </c>
      <c r="L2598" s="13">
        <v>2.0248888511809955E20</v>
      </c>
      <c r="M2598" s="9">
        <v>2.0248888511809958E19</v>
      </c>
    </row>
    <row r="2599" ht="15.75" customHeight="1">
      <c r="A2599" s="8"/>
      <c r="B2599" s="8"/>
      <c r="C2599" s="8"/>
      <c r="D2599" s="8">
        <v>27.9026907562088</v>
      </c>
      <c r="E2599" s="9" t="s">
        <v>2608</v>
      </c>
      <c r="I2599" s="12" t="str">
        <f>IFERROR(__xludf.DUMMYFUNCTION("""COMPUTED_VALUE"""),"0xdcfbb6bdf6a0b435e01b89c707560280c0d9be36")</f>
        <v>0xdcfbb6bdf6a0b435e01b89c707560280c0d9be36</v>
      </c>
      <c r="J2599" s="11">
        <v>91.1199983031448</v>
      </c>
      <c r="K2599" s="12">
        <v>202.48888511809955</v>
      </c>
      <c r="L2599" s="13">
        <v>2.0248888511809955E20</v>
      </c>
      <c r="M2599" s="9">
        <v>2.0248888511809958E19</v>
      </c>
    </row>
    <row r="2600" ht="15.75" customHeight="1">
      <c r="A2600" s="8"/>
      <c r="B2600" s="8"/>
      <c r="C2600" s="8"/>
      <c r="D2600" s="8">
        <v>27.9026907562088</v>
      </c>
      <c r="E2600" s="9" t="s">
        <v>2609</v>
      </c>
      <c r="I2600" s="12" t="str">
        <f>IFERROR(__xludf.DUMMYFUNCTION("""COMPUTED_VALUE"""),"0xdd074f19c27f29334983d35963175837662ec47c")</f>
        <v>0xdd074f19c27f29334983d35963175837662ec47c</v>
      </c>
      <c r="J2600" s="11">
        <v>4976.878897493255</v>
      </c>
      <c r="K2600" s="12">
        <v>11059.730883318343</v>
      </c>
      <c r="L2600" s="13">
        <v>1.1059730883318343E22</v>
      </c>
      <c r="M2600" s="9">
        <v>1.1059730883318343E21</v>
      </c>
    </row>
    <row r="2601" ht="15.75" customHeight="1">
      <c r="A2601" s="8"/>
      <c r="B2601" s="8"/>
      <c r="C2601" s="8"/>
      <c r="D2601" s="8">
        <v>27.9026907562088</v>
      </c>
      <c r="E2601" s="9" t="s">
        <v>2610</v>
      </c>
      <c r="I2601" s="12" t="str">
        <f>IFERROR(__xludf.DUMMYFUNCTION("""COMPUTED_VALUE"""),"0xdd1f0eda559c267098d4c83eec017ec98e2a86ab")</f>
        <v>0xdd1f0eda559c267098d4c83eec017ec98e2a86ab</v>
      </c>
      <c r="J2601" s="11">
        <v>27.9026907562088</v>
      </c>
      <c r="K2601" s="12">
        <v>62.005979458241775</v>
      </c>
      <c r="L2601" s="13">
        <v>6.200597945824177E19</v>
      </c>
      <c r="M2601" s="9">
        <v>6.2005979458241782E18</v>
      </c>
    </row>
    <row r="2602" ht="15.75" customHeight="1">
      <c r="A2602" s="8"/>
      <c r="B2602" s="8"/>
      <c r="C2602" s="8"/>
      <c r="D2602" s="8">
        <v>25.1878228513827</v>
      </c>
      <c r="E2602" s="9" t="s">
        <v>2611</v>
      </c>
      <c r="I2602" s="12" t="str">
        <f>IFERROR(__xludf.DUMMYFUNCTION("""COMPUTED_VALUE"""),"0xdd4889c1a8053c54da1c31c2f37cecebf8eb6d25")</f>
        <v>0xdd4889c1a8053c54da1c31c2f37cecebf8eb6d25</v>
      </c>
      <c r="J2602" s="11">
        <v>25.1878228513827</v>
      </c>
      <c r="K2602" s="12">
        <v>55.972939669739326</v>
      </c>
      <c r="L2602" s="13">
        <v>5.597293966973932E19</v>
      </c>
      <c r="M2602" s="9">
        <v>5.5972939669739325E18</v>
      </c>
    </row>
    <row r="2603" ht="15.75" customHeight="1">
      <c r="A2603" s="8"/>
      <c r="B2603" s="8"/>
      <c r="C2603" s="8"/>
      <c r="D2603" s="8">
        <v>27.9026907562088</v>
      </c>
      <c r="E2603" s="9" t="s">
        <v>2612</v>
      </c>
      <c r="I2603" s="12" t="str">
        <f>IFERROR(__xludf.DUMMYFUNCTION("""COMPUTED_VALUE"""),"0xdd57ea4e1d618b9e09dbdb4a9e0b904b61b468c2")</f>
        <v>0xdd57ea4e1d618b9e09dbdb4a9e0b904b61b468c2</v>
      </c>
      <c r="J2603" s="11">
        <v>91.1199983031448</v>
      </c>
      <c r="K2603" s="12">
        <v>202.48888511809955</v>
      </c>
      <c r="L2603" s="13">
        <v>2.0248888511809955E20</v>
      </c>
      <c r="M2603" s="9">
        <v>2.0248888511809958E19</v>
      </c>
    </row>
    <row r="2604" ht="15.75" customHeight="1">
      <c r="A2604" s="8"/>
      <c r="B2604" s="8"/>
      <c r="C2604" s="8"/>
      <c r="D2604" s="8">
        <v>27.9026907562088</v>
      </c>
      <c r="E2604" s="9" t="s">
        <v>2613</v>
      </c>
      <c r="I2604" s="12" t="str">
        <f>IFERROR(__xludf.DUMMYFUNCTION("""COMPUTED_VALUE"""),"0xdd6b9eaf753e273ef9db3687a68bb11884043055")</f>
        <v>0xdd6b9eaf753e273ef9db3687a68bb11884043055</v>
      </c>
      <c r="J2604" s="11">
        <v>27.9026907562088</v>
      </c>
      <c r="K2604" s="12">
        <v>62.005979458241775</v>
      </c>
      <c r="L2604" s="13">
        <v>6.200597945824177E19</v>
      </c>
      <c r="M2604" s="9">
        <v>6.2005979458241782E18</v>
      </c>
    </row>
    <row r="2605" ht="15.75" customHeight="1">
      <c r="A2605" s="8"/>
      <c r="B2605" s="8"/>
      <c r="C2605" s="8"/>
      <c r="D2605" s="8">
        <v>0.67976555651549</v>
      </c>
      <c r="E2605" s="9" t="s">
        <v>2614</v>
      </c>
      <c r="I2605" s="12" t="str">
        <f>IFERROR(__xludf.DUMMYFUNCTION("""COMPUTED_VALUE"""),"0xdd9d04b5090e8c9b6ec41bef30e2830e72927db3")</f>
        <v>0xdd9d04b5090e8c9b6ec41bef30e2830e72927db3</v>
      </c>
      <c r="J2605" s="11">
        <v>0.7303321336482957</v>
      </c>
      <c r="K2605" s="12">
        <v>1.6229602969962127</v>
      </c>
      <c r="L2605" s="13">
        <v>1.62296029699621274E18</v>
      </c>
      <c r="M2605" s="9">
        <v>1.6229602969962128E17</v>
      </c>
    </row>
    <row r="2606" ht="15.75" customHeight="1">
      <c r="A2606" s="8"/>
      <c r="B2606" s="8"/>
      <c r="C2606" s="8"/>
      <c r="D2606" s="8">
        <v>26.2225957339721</v>
      </c>
      <c r="E2606" s="9" t="s">
        <v>2615</v>
      </c>
      <c r="I2606" s="12" t="str">
        <f>IFERROR(__xludf.DUMMYFUNCTION("""COMPUTED_VALUE"""),"0xddacee5887f6b691db6e5025ae4cc4f548c885cd")</f>
        <v>0xddacee5887f6b691db6e5025ae4cc4f548c885cd</v>
      </c>
      <c r="J2606" s="11">
        <v>1691.793959998343</v>
      </c>
      <c r="K2606" s="12">
        <v>3759.5421333296513</v>
      </c>
      <c r="L2606" s="13">
        <v>3.7595421333296513E21</v>
      </c>
      <c r="M2606" s="9">
        <v>3.759542133329651E20</v>
      </c>
    </row>
    <row r="2607" ht="15.75" customHeight="1">
      <c r="A2607" s="8"/>
      <c r="B2607" s="8"/>
      <c r="C2607" s="8"/>
      <c r="D2607" s="8">
        <v>26.1460025910648</v>
      </c>
      <c r="E2607" s="9" t="s">
        <v>2616</v>
      </c>
      <c r="I2607" s="12" t="str">
        <f>IFERROR(__xludf.DUMMYFUNCTION("""COMPUTED_VALUE"""),"0xddbba5742c04e11ce09fc3439b8ea3ceee71074d")</f>
        <v>0xddbba5742c04e11ce09fc3439b8ea3ceee71074d</v>
      </c>
      <c r="J2607" s="11">
        <v>26.1460025910648</v>
      </c>
      <c r="K2607" s="12">
        <v>58.102227980144</v>
      </c>
      <c r="L2607" s="13">
        <v>5.8102227980144E19</v>
      </c>
      <c r="M2607" s="9">
        <v>5.8102227980144005E18</v>
      </c>
    </row>
    <row r="2608" ht="15.75" customHeight="1">
      <c r="A2608" s="8"/>
      <c r="B2608" s="8"/>
      <c r="C2608" s="8"/>
      <c r="D2608" s="8">
        <v>27.9026907562088</v>
      </c>
      <c r="E2608" s="9" t="s">
        <v>2617</v>
      </c>
      <c r="I2608" s="12" t="str">
        <f>IFERROR(__xludf.DUMMYFUNCTION("""COMPUTED_VALUE"""),"0xddc5248626374f094fb0e2328020512f966d1f54")</f>
        <v>0xddc5248626374f094fb0e2328020512f966d1f54</v>
      </c>
      <c r="J2608" s="11">
        <v>27.9026907562088</v>
      </c>
      <c r="K2608" s="12">
        <v>62.005979458241775</v>
      </c>
      <c r="L2608" s="13">
        <v>6.200597945824177E19</v>
      </c>
      <c r="M2608" s="9">
        <v>6.2005979458241782E18</v>
      </c>
    </row>
    <row r="2609" ht="15.75" customHeight="1">
      <c r="A2609" s="8"/>
      <c r="B2609" s="8"/>
      <c r="C2609" s="8"/>
      <c r="D2609" s="8">
        <v>27.9026907562088</v>
      </c>
      <c r="E2609" s="9" t="s">
        <v>2618</v>
      </c>
      <c r="I2609" s="12" t="str">
        <f>IFERROR(__xludf.DUMMYFUNCTION("""COMPUTED_VALUE"""),"0xddd21391a99287558d1277da21822beb28919d32")</f>
        <v>0xddd21391a99287558d1277da21822beb28919d32</v>
      </c>
      <c r="J2609" s="11">
        <v>91.1199983031448</v>
      </c>
      <c r="K2609" s="12">
        <v>202.48888511809955</v>
      </c>
      <c r="L2609" s="13">
        <v>2.0248888511809955E20</v>
      </c>
      <c r="M2609" s="9">
        <v>2.0248888511809958E19</v>
      </c>
    </row>
    <row r="2610" ht="15.75" customHeight="1">
      <c r="A2610" s="8"/>
      <c r="B2610" s="8"/>
      <c r="C2610" s="8"/>
      <c r="D2610" s="8">
        <v>27.9026907562088</v>
      </c>
      <c r="E2610" s="9" t="s">
        <v>2619</v>
      </c>
      <c r="I2610" s="12" t="str">
        <f>IFERROR(__xludf.DUMMYFUNCTION("""COMPUTED_VALUE"""),"0xddd99beca9f7daa4bda89117259c9d3584f31e0a")</f>
        <v>0xddd99beca9f7daa4bda89117259c9d3584f31e0a</v>
      </c>
      <c r="J2610" s="11">
        <v>511.3203601596788</v>
      </c>
      <c r="K2610" s="12">
        <v>1136.2674670215083</v>
      </c>
      <c r="L2610" s="13">
        <v>1.1362674670215083E21</v>
      </c>
      <c r="M2610" s="9">
        <v>1.1362674670215083E20</v>
      </c>
    </row>
    <row r="2611" ht="15.75" customHeight="1">
      <c r="A2611" s="8"/>
      <c r="B2611" s="8"/>
      <c r="C2611" s="8"/>
      <c r="D2611" s="8">
        <v>27.9026907562088</v>
      </c>
      <c r="E2611" s="9" t="s">
        <v>2620</v>
      </c>
      <c r="I2611" s="12" t="str">
        <f>IFERROR(__xludf.DUMMYFUNCTION("""COMPUTED_VALUE"""),"0xde11b75525a09c4d444ea8ee57921a4d5fbf702e")</f>
        <v>0xde11b75525a09c4d444ea8ee57921a4d5fbf702e</v>
      </c>
      <c r="J2611" s="11">
        <v>78.47653679375759</v>
      </c>
      <c r="K2611" s="12">
        <v>174.39230398612798</v>
      </c>
      <c r="L2611" s="13">
        <v>1.74392303986128E20</v>
      </c>
      <c r="M2611" s="9">
        <v>1.74392303986128E19</v>
      </c>
    </row>
    <row r="2612" ht="15.75" customHeight="1">
      <c r="A2612" s="8"/>
      <c r="B2612" s="8"/>
      <c r="C2612" s="8"/>
      <c r="D2612" s="8">
        <v>27.9026907562088</v>
      </c>
      <c r="E2612" s="9" t="s">
        <v>2621</v>
      </c>
      <c r="I2612" s="12" t="str">
        <f>IFERROR(__xludf.DUMMYFUNCTION("""COMPUTED_VALUE"""),"0xde1307e0809a22e3f5814890f2e5b4952a53d524")</f>
        <v>0xde1307e0809a22e3f5814890f2e5b4952a53d524</v>
      </c>
      <c r="J2612" s="11">
        <v>27.9026907562088</v>
      </c>
      <c r="K2612" s="12">
        <v>62.005979458241775</v>
      </c>
      <c r="L2612" s="13">
        <v>6.200597945824177E19</v>
      </c>
      <c r="M2612" s="9">
        <v>6.2005979458241782E18</v>
      </c>
    </row>
    <row r="2613" ht="15.75" customHeight="1">
      <c r="A2613" s="8"/>
      <c r="B2613" s="8"/>
      <c r="C2613" s="8"/>
      <c r="D2613" s="8">
        <v>27.9026907562088</v>
      </c>
      <c r="E2613" s="9" t="s">
        <v>2622</v>
      </c>
      <c r="I2613" s="12" t="str">
        <f>IFERROR(__xludf.DUMMYFUNCTION("""COMPUTED_VALUE"""),"0xde2023d5c0583622b8e5bc140e6efa87fd456c09")</f>
        <v>0xde2023d5c0583622b8e5bc140e6efa87fd456c09</v>
      </c>
      <c r="J2613" s="11">
        <v>96.95736931651523</v>
      </c>
      <c r="K2613" s="12">
        <v>215.46082070336718</v>
      </c>
      <c r="L2613" s="13">
        <v>2.1546082070336717E20</v>
      </c>
      <c r="M2613" s="9">
        <v>2.1546082070336717E19</v>
      </c>
    </row>
    <row r="2614" ht="15.75" customHeight="1">
      <c r="A2614" s="8"/>
      <c r="B2614" s="8"/>
      <c r="C2614" s="8"/>
      <c r="D2614" s="8">
        <v>27.9026907562088</v>
      </c>
      <c r="E2614" s="9" t="s">
        <v>2623</v>
      </c>
      <c r="I2614" s="12" t="str">
        <f>IFERROR(__xludf.DUMMYFUNCTION("""COMPUTED_VALUE"""),"0xde205edfacc1fbfdaa1130a92bdf02bf02184714")</f>
        <v>0xde205edfacc1fbfdaa1130a92bdf02bf02184714</v>
      </c>
      <c r="J2614" s="11">
        <v>27.9026907562088</v>
      </c>
      <c r="K2614" s="12">
        <v>62.005979458241775</v>
      </c>
      <c r="L2614" s="13">
        <v>6.200597945824177E19</v>
      </c>
      <c r="M2614" s="9">
        <v>6.2005979458241782E18</v>
      </c>
    </row>
    <row r="2615" ht="15.75" customHeight="1">
      <c r="A2615" s="8"/>
      <c r="B2615" s="8"/>
      <c r="C2615" s="8"/>
      <c r="D2615" s="8">
        <v>27.9026907562088</v>
      </c>
      <c r="E2615" s="9" t="s">
        <v>2624</v>
      </c>
      <c r="I2615" s="12" t="str">
        <f>IFERROR(__xludf.DUMMYFUNCTION("""COMPUTED_VALUE"""),"0xde31f456effff1efcd29c0d4e65b2a0cdc43979b")</f>
        <v>0xde31f456effff1efcd29c0d4e65b2a0cdc43979b</v>
      </c>
      <c r="J2615" s="11">
        <v>27.9026907562088</v>
      </c>
      <c r="K2615" s="12">
        <v>62.005979458241775</v>
      </c>
      <c r="L2615" s="13">
        <v>6.200597945824177E19</v>
      </c>
      <c r="M2615" s="9">
        <v>6.2005979458241782E18</v>
      </c>
    </row>
    <row r="2616" ht="15.75" customHeight="1">
      <c r="A2616" s="8"/>
      <c r="B2616" s="8"/>
      <c r="C2616" s="8"/>
      <c r="D2616" s="8">
        <v>20.1557568693893</v>
      </c>
      <c r="E2616" s="9" t="s">
        <v>2625</v>
      </c>
      <c r="I2616" s="12" t="str">
        <f>IFERROR(__xludf.DUMMYFUNCTION("""COMPUTED_VALUE"""),"0xde3d9e3c49c32c52a70f3d1799db40a045b665a4")</f>
        <v>0xde3d9e3c49c32c52a70f3d1799db40a045b665a4</v>
      </c>
      <c r="J2616" s="11">
        <v>20.1557568693893</v>
      </c>
      <c r="K2616" s="12">
        <v>44.79057082086511</v>
      </c>
      <c r="L2616" s="13">
        <v>4.4790570820865114E19</v>
      </c>
      <c r="M2616" s="9">
        <v>4.4790570820865116E18</v>
      </c>
    </row>
    <row r="2617" ht="15.75" customHeight="1">
      <c r="A2617" s="8"/>
      <c r="B2617" s="8"/>
      <c r="C2617" s="8"/>
      <c r="D2617" s="8">
        <v>27.9026907562088</v>
      </c>
      <c r="E2617" s="9" t="s">
        <v>2626</v>
      </c>
      <c r="I2617" s="12" t="str">
        <f>IFERROR(__xludf.DUMMYFUNCTION("""COMPUTED_VALUE"""),"0xde52efa1cfb4fed895ada709aea5cc18ae046b0f")</f>
        <v>0xde52efa1cfb4fed895ada709aea5cc18ae046b0f</v>
      </c>
      <c r="J2617" s="11">
        <v>91.1199983031448</v>
      </c>
      <c r="K2617" s="12">
        <v>202.48888511809955</v>
      </c>
      <c r="L2617" s="13">
        <v>2.0248888511809955E20</v>
      </c>
      <c r="M2617" s="9">
        <v>2.0248888511809958E19</v>
      </c>
    </row>
    <row r="2618" ht="15.75" customHeight="1">
      <c r="A2618" s="8"/>
      <c r="B2618" s="8"/>
      <c r="C2618" s="8"/>
      <c r="D2618" s="8">
        <v>27.9026907562088</v>
      </c>
      <c r="E2618" s="9" t="s">
        <v>2627</v>
      </c>
      <c r="I2618" s="12" t="str">
        <f>IFERROR(__xludf.DUMMYFUNCTION("""COMPUTED_VALUE"""),"0xde5385a27d01eb5c5283a9b76d0d062bcb960e11")</f>
        <v>0xde5385a27d01eb5c5283a9b76d0d062bcb960e11</v>
      </c>
      <c r="J2618" s="11">
        <v>35.58748634751621</v>
      </c>
      <c r="K2618" s="12">
        <v>79.08330299448046</v>
      </c>
      <c r="L2618" s="13">
        <v>7.908330299448046E19</v>
      </c>
      <c r="M2618" s="9">
        <v>7.9083302994480466E18</v>
      </c>
    </row>
    <row r="2619" ht="15.75" customHeight="1">
      <c r="A2619" s="8"/>
      <c r="B2619" s="8"/>
      <c r="C2619" s="8"/>
      <c r="D2619" s="8">
        <v>26.4695829378746</v>
      </c>
      <c r="E2619" s="9" t="s">
        <v>2628</v>
      </c>
      <c r="I2619" s="12" t="str">
        <f>IFERROR(__xludf.DUMMYFUNCTION("""COMPUTED_VALUE"""),"0xde5e4d3e4b375c520330e73ff0c7061891ca2162")</f>
        <v>0xde5e4d3e4b375c520330e73ff0c7061891ca2162</v>
      </c>
      <c r="J2619" s="11">
        <v>26.4695829378746</v>
      </c>
      <c r="K2619" s="12">
        <v>58.82129541749911</v>
      </c>
      <c r="L2619" s="13">
        <v>5.882129541749911E19</v>
      </c>
      <c r="M2619" s="9">
        <v>5.8821295417499116E18</v>
      </c>
    </row>
    <row r="2620" ht="15.75" customHeight="1">
      <c r="A2620" s="8"/>
      <c r="B2620" s="8"/>
      <c r="C2620" s="8"/>
      <c r="D2620" s="8">
        <v>27.9026907562088</v>
      </c>
      <c r="E2620" s="9" t="s">
        <v>2629</v>
      </c>
      <c r="I2620" s="12" t="str">
        <f>IFERROR(__xludf.DUMMYFUNCTION("""COMPUTED_VALUE"""),"0xde6aa8334c308f351f51690caa324ca4c9f05986")</f>
        <v>0xde6aa8334c308f351f51690caa324ca4c9f05986</v>
      </c>
      <c r="J2620" s="11">
        <v>27.9026907562088</v>
      </c>
      <c r="K2620" s="12">
        <v>62.005979458241775</v>
      </c>
      <c r="L2620" s="13">
        <v>6.200597945824177E19</v>
      </c>
      <c r="M2620" s="9">
        <v>6.2005979458241782E18</v>
      </c>
    </row>
    <row r="2621" ht="15.75" customHeight="1">
      <c r="A2621" s="8"/>
      <c r="B2621" s="8"/>
      <c r="C2621" s="8"/>
      <c r="D2621" s="8">
        <v>27.9026907562088</v>
      </c>
      <c r="E2621" s="9" t="s">
        <v>2630</v>
      </c>
      <c r="I2621" s="12" t="str">
        <f>IFERROR(__xludf.DUMMYFUNCTION("""COMPUTED_VALUE"""),"0xde6b8d52b54ec08f56e02679149dfc240561d4f7")</f>
        <v>0xde6b8d52b54ec08f56e02679149dfc240561d4f7</v>
      </c>
      <c r="J2621" s="11">
        <v>1227.4615555725848</v>
      </c>
      <c r="K2621" s="12">
        <v>2727.692345716855</v>
      </c>
      <c r="L2621" s="13">
        <v>2.7276923457168553E21</v>
      </c>
      <c r="M2621" s="9">
        <v>2.7276923457168553E20</v>
      </c>
    </row>
    <row r="2622" ht="15.75" customHeight="1">
      <c r="A2622" s="8"/>
      <c r="B2622" s="8"/>
      <c r="C2622" s="8"/>
      <c r="D2622" s="8">
        <v>27.9026907562088</v>
      </c>
      <c r="E2622" s="9" t="s">
        <v>2631</v>
      </c>
      <c r="I2622" s="12" t="str">
        <f>IFERROR(__xludf.DUMMYFUNCTION("""COMPUTED_VALUE"""),"0xde90304b9ac961323cf83c19b467dc02ebf3fc9f")</f>
        <v>0xde90304b9ac961323cf83c19b467dc02ebf3fc9f</v>
      </c>
      <c r="J2622" s="11">
        <v>27.9026907562088</v>
      </c>
      <c r="K2622" s="12">
        <v>62.005979458241775</v>
      </c>
      <c r="L2622" s="13">
        <v>6.200597945824177E19</v>
      </c>
      <c r="M2622" s="9">
        <v>6.2005979458241782E18</v>
      </c>
    </row>
    <row r="2623" ht="15.75" customHeight="1">
      <c r="A2623" s="8"/>
      <c r="B2623" s="8"/>
      <c r="C2623" s="8"/>
      <c r="D2623" s="8">
        <v>27.9026907562088</v>
      </c>
      <c r="E2623" s="9" t="s">
        <v>2632</v>
      </c>
      <c r="I2623" s="12" t="str">
        <f>IFERROR(__xludf.DUMMYFUNCTION("""COMPUTED_VALUE"""),"0xde96065f90d10f5b8090a0d2feda27a1248c07f1")</f>
        <v>0xde96065f90d10f5b8090a0d2feda27a1248c07f1</v>
      </c>
      <c r="J2623" s="11">
        <v>27.9026907562088</v>
      </c>
      <c r="K2623" s="12">
        <v>62.005979458241775</v>
      </c>
      <c r="L2623" s="13">
        <v>6.200597945824177E19</v>
      </c>
      <c r="M2623" s="9">
        <v>6.2005979458241782E18</v>
      </c>
    </row>
    <row r="2624" ht="15.75" customHeight="1">
      <c r="A2624" s="8"/>
      <c r="B2624" s="8"/>
      <c r="C2624" s="8"/>
      <c r="D2624" s="8">
        <v>27.9026907562088</v>
      </c>
      <c r="E2624" s="9" t="s">
        <v>2633</v>
      </c>
      <c r="I2624" s="12" t="str">
        <f>IFERROR(__xludf.DUMMYFUNCTION("""COMPUTED_VALUE"""),"0xdeaa52c82060e646acc9e95f9b42dfac491df9cd")</f>
        <v>0xdeaa52c82060e646acc9e95f9b42dfac491df9cd</v>
      </c>
      <c r="J2624" s="11">
        <v>103.4640922060854</v>
      </c>
      <c r="K2624" s="12">
        <v>229.920204902412</v>
      </c>
      <c r="L2624" s="13">
        <v>2.29920204902412E20</v>
      </c>
      <c r="M2624" s="9">
        <v>2.29920204902412E19</v>
      </c>
    </row>
    <row r="2625" ht="15.75" customHeight="1">
      <c r="A2625" s="8"/>
      <c r="B2625" s="8"/>
      <c r="C2625" s="8"/>
      <c r="D2625" s="8">
        <v>27.9026907562088</v>
      </c>
      <c r="E2625" s="9" t="s">
        <v>2634</v>
      </c>
      <c r="I2625" s="12" t="str">
        <f>IFERROR(__xludf.DUMMYFUNCTION("""COMPUTED_VALUE"""),"0xdec0de42b846851c45fc971c1101932423a0c82f")</f>
        <v>0xdec0de42b846851c45fc971c1101932423a0c82f</v>
      </c>
      <c r="J2625" s="11">
        <v>91.1199983031448</v>
      </c>
      <c r="K2625" s="12">
        <v>202.48888511809955</v>
      </c>
      <c r="L2625" s="13">
        <v>2.0248888511809955E20</v>
      </c>
      <c r="M2625" s="9">
        <v>2.0248888511809958E19</v>
      </c>
    </row>
    <row r="2626" ht="15.75" customHeight="1">
      <c r="A2626" s="8"/>
      <c r="B2626" s="8"/>
      <c r="C2626" s="8"/>
      <c r="D2626" s="8">
        <v>8.39860442804795</v>
      </c>
      <c r="E2626" s="9" t="s">
        <v>2635</v>
      </c>
      <c r="I2626" s="12" t="str">
        <f>IFERROR(__xludf.DUMMYFUNCTION("""COMPUTED_VALUE"""),"0xdec7b7b6b323abc2f27c409f6578767e57312780")</f>
        <v>0xdec7b7b6b323abc2f27c409f6578767e57312780</v>
      </c>
      <c r="J2626" s="11">
        <v>8.39860442804795</v>
      </c>
      <c r="K2626" s="12">
        <v>18.66356539566211</v>
      </c>
      <c r="L2626" s="13">
        <v>1.866356539566211E19</v>
      </c>
      <c r="M2626" s="9">
        <v>1.86635653956621107E18</v>
      </c>
    </row>
    <row r="2627" ht="15.75" customHeight="1">
      <c r="A2627" s="8"/>
      <c r="B2627" s="8"/>
      <c r="C2627" s="8"/>
      <c r="D2627" s="8">
        <v>27.7038944653256</v>
      </c>
      <c r="E2627" s="9" t="s">
        <v>2636</v>
      </c>
      <c r="I2627" s="12" t="str">
        <f>IFERROR(__xludf.DUMMYFUNCTION("""COMPUTED_VALUE"""),"0xded0c31a69e6d05259d4dd7c34f5a44a9e4ae5b8")</f>
        <v>0xded0c31a69e6d05259d4dd7c34f5a44a9e4ae5b8</v>
      </c>
      <c r="J2627" s="11">
        <v>27.7038944653256</v>
      </c>
      <c r="K2627" s="12">
        <v>61.56420992294578</v>
      </c>
      <c r="L2627" s="13">
        <v>6.156420992294578E19</v>
      </c>
      <c r="M2627" s="9">
        <v>6.1564209922945782E18</v>
      </c>
    </row>
    <row r="2628" ht="15.75" customHeight="1">
      <c r="A2628" s="8"/>
      <c r="B2628" s="8"/>
      <c r="C2628" s="8"/>
      <c r="D2628" s="8">
        <v>27.9026907562088</v>
      </c>
      <c r="E2628" s="9" t="s">
        <v>2637</v>
      </c>
      <c r="I2628" s="12" t="str">
        <f>IFERROR(__xludf.DUMMYFUNCTION("""COMPUTED_VALUE"""),"0xdee8ecfd1b19abef66cd2c57e9b26a18e2ddf8f8")</f>
        <v>0xdee8ecfd1b19abef66cd2c57e9b26a18e2ddf8f8</v>
      </c>
      <c r="J2628" s="11">
        <v>102.7947403298856</v>
      </c>
      <c r="K2628" s="12">
        <v>228.43275628863466</v>
      </c>
      <c r="L2628" s="13">
        <v>2.2843275628863465E20</v>
      </c>
      <c r="M2628" s="9">
        <v>2.2843275628863468E19</v>
      </c>
    </row>
    <row r="2629" ht="15.75" customHeight="1">
      <c r="A2629" s="8"/>
      <c r="B2629" s="8"/>
      <c r="C2629" s="8"/>
      <c r="D2629" s="8">
        <v>27.9026907562088</v>
      </c>
      <c r="E2629" s="9" t="s">
        <v>2638</v>
      </c>
      <c r="I2629" s="12" t="str">
        <f>IFERROR(__xludf.DUMMYFUNCTION("""COMPUTED_VALUE"""),"0xdefd1b60c0291af750dc00222aaabed4118e510b")</f>
        <v>0xdefd1b60c0291af750dc00222aaabed4118e510b</v>
      </c>
      <c r="J2629" s="11">
        <v>91.1199983031448</v>
      </c>
      <c r="K2629" s="12">
        <v>202.48888511809955</v>
      </c>
      <c r="L2629" s="13">
        <v>2.0248888511809955E20</v>
      </c>
      <c r="M2629" s="9">
        <v>2.0248888511809958E19</v>
      </c>
    </row>
    <row r="2630" ht="15.75" customHeight="1">
      <c r="A2630" s="8"/>
      <c r="B2630" s="8"/>
      <c r="C2630" s="8"/>
      <c r="D2630" s="8">
        <v>25.4673319058822</v>
      </c>
      <c r="E2630" s="9" t="s">
        <v>2639</v>
      </c>
      <c r="I2630" s="12" t="str">
        <f>IFERROR(__xludf.DUMMYFUNCTION("""COMPUTED_VALUE"""),"0xdf09da8a0c335c469acf5b4b1a8028001a4292c2")</f>
        <v>0xdf09da8a0c335c469acf5b4b1a8028001a4292c2</v>
      </c>
      <c r="J2630" s="11">
        <v>25.4673319058822</v>
      </c>
      <c r="K2630" s="12">
        <v>56.59407090196044</v>
      </c>
      <c r="L2630" s="13">
        <v>5.659407090196044E19</v>
      </c>
      <c r="M2630" s="9">
        <v>5.6594070901960448E18</v>
      </c>
    </row>
    <row r="2631" ht="15.75" customHeight="1">
      <c r="A2631" s="8"/>
      <c r="B2631" s="8"/>
      <c r="C2631" s="8"/>
      <c r="D2631" s="8">
        <v>27.9026907562088</v>
      </c>
      <c r="E2631" s="9" t="s">
        <v>2640</v>
      </c>
      <c r="I2631" s="12" t="str">
        <f>IFERROR(__xludf.DUMMYFUNCTION("""COMPUTED_VALUE"""),"0xdf145e07ebd067d97cdd4ecd646b2d6e6c1827a8")</f>
        <v>0xdf145e07ebd067d97cdd4ecd646b2d6e6c1827a8</v>
      </c>
      <c r="J2631" s="11">
        <v>27.9026907562088</v>
      </c>
      <c r="K2631" s="12">
        <v>62.005979458241775</v>
      </c>
      <c r="L2631" s="13">
        <v>6.200597945824177E19</v>
      </c>
      <c r="M2631" s="9">
        <v>6.2005979458241782E18</v>
      </c>
    </row>
    <row r="2632" ht="15.75" customHeight="1">
      <c r="A2632" s="8"/>
      <c r="B2632" s="8"/>
      <c r="C2632" s="8"/>
      <c r="D2632" s="8">
        <v>27.9026907562088</v>
      </c>
      <c r="E2632" s="9" t="s">
        <v>2641</v>
      </c>
      <c r="I2632" s="12" t="str">
        <f>IFERROR(__xludf.DUMMYFUNCTION("""COMPUTED_VALUE"""),"0xdf190a6ca83cf482ec1f334484f627b993386896")</f>
        <v>0xdf190a6ca83cf482ec1f334484f627b993386896</v>
      </c>
      <c r="J2632" s="11">
        <v>67.3502906654969</v>
      </c>
      <c r="K2632" s="12">
        <v>149.66731258999312</v>
      </c>
      <c r="L2632" s="13">
        <v>1.496673125899931E20</v>
      </c>
      <c r="M2632" s="9">
        <v>1.4966731258999312E19</v>
      </c>
    </row>
    <row r="2633" ht="15.75" customHeight="1">
      <c r="A2633" s="8"/>
      <c r="B2633" s="8"/>
      <c r="C2633" s="8"/>
      <c r="D2633" s="8">
        <v>27.9026907562088</v>
      </c>
      <c r="E2633" s="9" t="s">
        <v>2642</v>
      </c>
      <c r="I2633" s="12" t="str">
        <f>IFERROR(__xludf.DUMMYFUNCTION("""COMPUTED_VALUE"""),"0xdf2378c611eec0e2ae04bc5940a37acc39131e41")</f>
        <v>0xdf2378c611eec0e2ae04bc5940a37acc39131e41</v>
      </c>
      <c r="J2633" s="11">
        <v>27.9026907562088</v>
      </c>
      <c r="K2633" s="12">
        <v>62.005979458241775</v>
      </c>
      <c r="L2633" s="13">
        <v>6.200597945824177E19</v>
      </c>
      <c r="M2633" s="9">
        <v>6.2005979458241782E18</v>
      </c>
    </row>
    <row r="2634" ht="15.75" customHeight="1">
      <c r="A2634" s="8"/>
      <c r="B2634" s="8"/>
      <c r="C2634" s="8"/>
      <c r="D2634" s="8">
        <v>27.9026907562088</v>
      </c>
      <c r="E2634" s="9" t="s">
        <v>2643</v>
      </c>
      <c r="I2634" s="12" t="str">
        <f>IFERROR(__xludf.DUMMYFUNCTION("""COMPUTED_VALUE"""),"0xdf2f10b9a7b8f8788f5aeb594145d630a5a95dd0")</f>
        <v>0xdf2f10b9a7b8f8788f5aeb594145d630a5a95dd0</v>
      </c>
      <c r="J2634" s="11">
        <v>27.9026907562088</v>
      </c>
      <c r="K2634" s="12">
        <v>62.005979458241775</v>
      </c>
      <c r="L2634" s="13">
        <v>6.200597945824177E19</v>
      </c>
      <c r="M2634" s="9">
        <v>6.2005979458241782E18</v>
      </c>
    </row>
    <row r="2635" ht="15.75" customHeight="1">
      <c r="A2635" s="8"/>
      <c r="B2635" s="8"/>
      <c r="C2635" s="8"/>
      <c r="D2635" s="8">
        <v>27.9026907562088</v>
      </c>
      <c r="E2635" s="9" t="s">
        <v>2644</v>
      </c>
      <c r="I2635" s="12" t="str">
        <f>IFERROR(__xludf.DUMMYFUNCTION("""COMPUTED_VALUE"""),"0xdf40c2bb38ba40d679d4e6bf3702fdcb2eed5e9d")</f>
        <v>0xdf40c2bb38ba40d679d4e6bf3702fdcb2eed5e9d</v>
      </c>
      <c r="J2635" s="11">
        <v>27.9026907562088</v>
      </c>
      <c r="K2635" s="12">
        <v>62.005979458241775</v>
      </c>
      <c r="L2635" s="13">
        <v>6.200597945824177E19</v>
      </c>
      <c r="M2635" s="9">
        <v>6.2005979458241782E18</v>
      </c>
    </row>
    <row r="2636" ht="15.75" customHeight="1">
      <c r="A2636" s="8"/>
      <c r="B2636" s="8"/>
      <c r="C2636" s="8"/>
      <c r="D2636" s="8">
        <v>7.4762057232503</v>
      </c>
      <c r="E2636" s="9" t="s">
        <v>2645</v>
      </c>
      <c r="I2636" s="12" t="str">
        <f>IFERROR(__xludf.DUMMYFUNCTION("""COMPUTED_VALUE"""),"0xdf51b66cd3090509cdb865b25a87a7629605383c")</f>
        <v>0xdf51b66cd3090509cdb865b25a87a7629605383c</v>
      </c>
      <c r="J2636" s="11">
        <v>7.4762057232503</v>
      </c>
      <c r="K2636" s="12">
        <v>16.613790496111775</v>
      </c>
      <c r="L2636" s="13">
        <v>1.6613790496111776E19</v>
      </c>
      <c r="M2636" s="9">
        <v>1.66137904961117773E18</v>
      </c>
    </row>
    <row r="2637" ht="15.75" customHeight="1">
      <c r="A2637" s="8"/>
      <c r="B2637" s="8"/>
      <c r="C2637" s="8"/>
      <c r="D2637" s="8">
        <v>27.9026907562088</v>
      </c>
      <c r="E2637" s="9" t="s">
        <v>2646</v>
      </c>
      <c r="I2637" s="12" t="str">
        <f>IFERROR(__xludf.DUMMYFUNCTION("""COMPUTED_VALUE"""),"0xdf5358b13da22670afcd3fbe261976a910446ccf")</f>
        <v>0xdf5358b13da22670afcd3fbe261976a910446ccf</v>
      </c>
      <c r="J2637" s="11">
        <v>41.1665666417562</v>
      </c>
      <c r="K2637" s="12">
        <v>91.48125920390267</v>
      </c>
      <c r="L2637" s="13">
        <v>9.148125920390267E19</v>
      </c>
      <c r="M2637" s="9">
        <v>9.1481259203902669E18</v>
      </c>
    </row>
    <row r="2638" ht="15.75" customHeight="1">
      <c r="A2638" s="8"/>
      <c r="B2638" s="8"/>
      <c r="C2638" s="8"/>
      <c r="D2638" s="8">
        <v>27.9026907562088</v>
      </c>
      <c r="E2638" s="9" t="s">
        <v>2647</v>
      </c>
      <c r="I2638" s="12" t="str">
        <f>IFERROR(__xludf.DUMMYFUNCTION("""COMPUTED_VALUE"""),"0xdf546af01429798255ee768f7eb440882372304f")</f>
        <v>0xdf546af01429798255ee768f7eb440882372304f</v>
      </c>
      <c r="J2638" s="11">
        <v>27.9026907562088</v>
      </c>
      <c r="K2638" s="12">
        <v>62.005979458241775</v>
      </c>
      <c r="L2638" s="13">
        <v>6.200597945824177E19</v>
      </c>
      <c r="M2638" s="9">
        <v>6.2005979458241782E18</v>
      </c>
    </row>
    <row r="2639" ht="15.75" customHeight="1">
      <c r="A2639" s="8"/>
      <c r="B2639" s="8"/>
      <c r="C2639" s="8"/>
      <c r="D2639" s="8">
        <v>25.8645675736852</v>
      </c>
      <c r="E2639" s="9" t="s">
        <v>2648</v>
      </c>
      <c r="I2639" s="12" t="str">
        <f>IFERROR(__xludf.DUMMYFUNCTION("""COMPUTED_VALUE"""),"0xdf658b092ffd46602a8273e6fb555b3883b8c898")</f>
        <v>0xdf658b092ffd46602a8273e6fb555b3883b8c898</v>
      </c>
      <c r="J2639" s="11">
        <v>25.8645675736852</v>
      </c>
      <c r="K2639" s="12">
        <v>57.47681683041155</v>
      </c>
      <c r="L2639" s="13">
        <v>5.747681683041155E19</v>
      </c>
      <c r="M2639" s="9">
        <v>5.7476816830411551E18</v>
      </c>
    </row>
    <row r="2640" ht="15.75" customHeight="1">
      <c r="A2640" s="8"/>
      <c r="B2640" s="8"/>
      <c r="C2640" s="8"/>
      <c r="D2640" s="8">
        <v>27.9026907562088</v>
      </c>
      <c r="E2640" s="9" t="s">
        <v>2649</v>
      </c>
      <c r="I2640" s="12" t="str">
        <f>IFERROR(__xludf.DUMMYFUNCTION("""COMPUTED_VALUE"""),"0xdf8c7f8ab67aa0822a0d545c9b899348e5d1bfe2")</f>
        <v>0xdf8c7f8ab67aa0822a0d545c9b899348e5d1bfe2</v>
      </c>
      <c r="J2640" s="11">
        <v>91.1199983031448</v>
      </c>
      <c r="K2640" s="12">
        <v>202.48888511809955</v>
      </c>
      <c r="L2640" s="13">
        <v>2.0248888511809955E20</v>
      </c>
      <c r="M2640" s="9">
        <v>2.0248888511809958E19</v>
      </c>
    </row>
    <row r="2641" ht="15.75" customHeight="1">
      <c r="A2641" s="8"/>
      <c r="B2641" s="8"/>
      <c r="C2641" s="8"/>
      <c r="D2641" s="8">
        <v>24.9610152903415</v>
      </c>
      <c r="E2641" s="9" t="s">
        <v>2650</v>
      </c>
      <c r="I2641" s="12" t="str">
        <f>IFERROR(__xludf.DUMMYFUNCTION("""COMPUTED_VALUE"""),"0xdf9902ceb5403094bacbb5d1e5fe56b7e10dc298")</f>
        <v>0xdf9902ceb5403094bacbb5d1e5fe56b7e10dc298</v>
      </c>
      <c r="J2641" s="11">
        <v>24.9610152903415</v>
      </c>
      <c r="K2641" s="12">
        <v>55.468922867425555</v>
      </c>
      <c r="L2641" s="13">
        <v>5.546892286742556E19</v>
      </c>
      <c r="M2641" s="9">
        <v>5.5468922867425567E18</v>
      </c>
    </row>
    <row r="2642" ht="15.75" customHeight="1">
      <c r="A2642" s="8"/>
      <c r="B2642" s="8"/>
      <c r="C2642" s="8"/>
      <c r="D2642" s="8">
        <v>24.3362089785474</v>
      </c>
      <c r="E2642" s="9" t="s">
        <v>2651</v>
      </c>
      <c r="I2642" s="12" t="str">
        <f>IFERROR(__xludf.DUMMYFUNCTION("""COMPUTED_VALUE"""),"0xdfa0e3eccb68b70e791a13a12f1f6aa0b0014f83")</f>
        <v>0xdfa0e3eccb68b70e791a13a12f1f6aa0b0014f83</v>
      </c>
      <c r="J2642" s="11">
        <v>24.3362089785474</v>
      </c>
      <c r="K2642" s="12">
        <v>54.080464396772</v>
      </c>
      <c r="L2642" s="13">
        <v>5.4080464396772E19</v>
      </c>
      <c r="M2642" s="9">
        <v>5.4080464396772004E18</v>
      </c>
    </row>
    <row r="2643" ht="15.75" customHeight="1">
      <c r="A2643" s="8"/>
      <c r="B2643" s="8"/>
      <c r="C2643" s="8"/>
      <c r="D2643" s="8">
        <v>27.9026907562088</v>
      </c>
      <c r="E2643" s="9" t="s">
        <v>2652</v>
      </c>
      <c r="I2643" s="12" t="str">
        <f>IFERROR(__xludf.DUMMYFUNCTION("""COMPUTED_VALUE"""),"0xdfe0388d35f2a772327c7b989d2c9b0dc4fa53bc")</f>
        <v>0xdfe0388d35f2a772327c7b989d2c9b0dc4fa53bc</v>
      </c>
      <c r="J2643" s="11">
        <v>27.9026907562088</v>
      </c>
      <c r="K2643" s="12">
        <v>62.005979458241775</v>
      </c>
      <c r="L2643" s="13">
        <v>6.200597945824177E19</v>
      </c>
      <c r="M2643" s="9">
        <v>6.2005979458241782E18</v>
      </c>
    </row>
    <row r="2644" ht="15.75" customHeight="1">
      <c r="A2644" s="8"/>
      <c r="B2644" s="8"/>
      <c r="C2644" s="8"/>
      <c r="D2644" s="8">
        <v>27.9026907562088</v>
      </c>
      <c r="E2644" s="9" t="s">
        <v>2653</v>
      </c>
      <c r="I2644" s="12" t="str">
        <f>IFERROR(__xludf.DUMMYFUNCTION("""COMPUTED_VALUE"""),"0xe00861177fd56182ea5ad1216dc3f77907429850")</f>
        <v>0xe00861177fd56182ea5ad1216dc3f77907429850</v>
      </c>
      <c r="J2644" s="11">
        <v>91.1199983031448</v>
      </c>
      <c r="K2644" s="12">
        <v>202.48888511809955</v>
      </c>
      <c r="L2644" s="13">
        <v>2.0248888511809955E20</v>
      </c>
      <c r="M2644" s="9">
        <v>2.0248888511809958E19</v>
      </c>
    </row>
    <row r="2645" ht="15.75" customHeight="1">
      <c r="A2645" s="8"/>
      <c r="B2645" s="8"/>
      <c r="C2645" s="8"/>
      <c r="D2645" s="8">
        <v>27.9026907562088</v>
      </c>
      <c r="E2645" s="9" t="s">
        <v>2654</v>
      </c>
      <c r="I2645" s="12" t="str">
        <f>IFERROR(__xludf.DUMMYFUNCTION("""COMPUTED_VALUE"""),"0xe033a3228e1d90b014874efe5b2a7fcc2dff0b2d")</f>
        <v>0xe033a3228e1d90b014874efe5b2a7fcc2dff0b2d</v>
      </c>
      <c r="J2645" s="11">
        <v>27.9026907562088</v>
      </c>
      <c r="K2645" s="12">
        <v>62.005979458241775</v>
      </c>
      <c r="L2645" s="13">
        <v>6.200597945824177E19</v>
      </c>
      <c r="M2645" s="9">
        <v>6.2005979458241782E18</v>
      </c>
    </row>
    <row r="2646" ht="15.75" customHeight="1">
      <c r="A2646" s="8"/>
      <c r="B2646" s="8"/>
      <c r="C2646" s="8"/>
      <c r="D2646" s="8">
        <v>23.5537481331854</v>
      </c>
      <c r="E2646" s="9" t="s">
        <v>2655</v>
      </c>
      <c r="I2646" s="12" t="str">
        <f>IFERROR(__xludf.DUMMYFUNCTION("""COMPUTED_VALUE"""),"0xe04c625dde8418531024e5357b3d718177b39449")</f>
        <v>0xe04c625dde8418531024e5357b3d718177b39449</v>
      </c>
      <c r="J2646" s="11">
        <v>23.5537481331854</v>
      </c>
      <c r="K2646" s="12">
        <v>52.34166251818978</v>
      </c>
      <c r="L2646" s="13">
        <v>5.234166251818978E19</v>
      </c>
      <c r="M2646" s="9">
        <v>5.2341662518189783E18</v>
      </c>
    </row>
    <row r="2647" ht="15.75" customHeight="1">
      <c r="A2647" s="8"/>
      <c r="B2647" s="8"/>
      <c r="C2647" s="8"/>
      <c r="D2647" s="8">
        <v>24.3997157174629</v>
      </c>
      <c r="E2647" s="9" t="s">
        <v>2656</v>
      </c>
      <c r="I2647" s="12" t="str">
        <f>IFERROR(__xludf.DUMMYFUNCTION("""COMPUTED_VALUE"""),"0xe05b02a527d8e16c7b2992d200faac2a37a63fc9")</f>
        <v>0xe05b02a527d8e16c7b2992d200faac2a37a63fc9</v>
      </c>
      <c r="J2647" s="11">
        <v>24.3997157174629</v>
      </c>
      <c r="K2647" s="12">
        <v>54.221590483250885</v>
      </c>
      <c r="L2647" s="13">
        <v>5.422159048325089E19</v>
      </c>
      <c r="M2647" s="9">
        <v>5.4221590483250893E18</v>
      </c>
    </row>
    <row r="2648" ht="15.75" customHeight="1">
      <c r="A2648" s="8"/>
      <c r="B2648" s="8"/>
      <c r="C2648" s="8"/>
      <c r="D2648" s="8">
        <v>27.9026907562088</v>
      </c>
      <c r="E2648" s="9" t="s">
        <v>2657</v>
      </c>
      <c r="I2648" s="12" t="str">
        <f>IFERROR(__xludf.DUMMYFUNCTION("""COMPUTED_VALUE"""),"0xe05e0f2740534df2d269ed8eba15bb29bfccb158")</f>
        <v>0xe05e0f2740534df2d269ed8eba15bb29bfccb158</v>
      </c>
      <c r="J2648" s="11">
        <v>41.0518907259715</v>
      </c>
      <c r="K2648" s="12">
        <v>91.22642383549221</v>
      </c>
      <c r="L2648" s="13">
        <v>9.122642383549222E19</v>
      </c>
      <c r="M2648" s="9">
        <v>9.1226423835492229E18</v>
      </c>
    </row>
    <row r="2649" ht="15.75" customHeight="1">
      <c r="A2649" s="8"/>
      <c r="B2649" s="8"/>
      <c r="C2649" s="8"/>
      <c r="D2649" s="8">
        <v>27.9026907562088</v>
      </c>
      <c r="E2649" s="9" t="s">
        <v>2658</v>
      </c>
      <c r="I2649" s="12" t="str">
        <f>IFERROR(__xludf.DUMMYFUNCTION("""COMPUTED_VALUE"""),"0xe064390fb7ae3e61130cb98f38f3c221f8e3ee0f")</f>
        <v>0xe064390fb7ae3e61130cb98f38f3c221f8e3ee0f</v>
      </c>
      <c r="J2649" s="11">
        <v>27.9026907562088</v>
      </c>
      <c r="K2649" s="12">
        <v>62.005979458241775</v>
      </c>
      <c r="L2649" s="13">
        <v>6.200597945824177E19</v>
      </c>
      <c r="M2649" s="9">
        <v>6.2005979458241782E18</v>
      </c>
    </row>
    <row r="2650" ht="15.75" customHeight="1">
      <c r="A2650" s="8"/>
      <c r="B2650" s="8"/>
      <c r="C2650" s="8"/>
      <c r="D2650" s="8">
        <v>14.8481823702022</v>
      </c>
      <c r="E2650" s="9" t="s">
        <v>2659</v>
      </c>
      <c r="I2650" s="12" t="str">
        <f>IFERROR(__xludf.DUMMYFUNCTION("""COMPUTED_VALUE"""),"0xe06c1a71230126b56b63ea73e40d4eb7fe86e711")</f>
        <v>0xe06c1a71230126b56b63ea73e40d4eb7fe86e711</v>
      </c>
      <c r="J2650" s="11">
        <v>14.8481823702022</v>
      </c>
      <c r="K2650" s="12">
        <v>32.995960822671556</v>
      </c>
      <c r="L2650" s="13">
        <v>3.2995960822671557E19</v>
      </c>
      <c r="M2650" s="9">
        <v>3.299596082267156E18</v>
      </c>
    </row>
    <row r="2651" ht="15.75" customHeight="1">
      <c r="A2651" s="8"/>
      <c r="B2651" s="8"/>
      <c r="C2651" s="8"/>
      <c r="D2651" s="8">
        <v>27.9026907562088</v>
      </c>
      <c r="E2651" s="9" t="s">
        <v>2660</v>
      </c>
      <c r="I2651" s="12" t="str">
        <f>IFERROR(__xludf.DUMMYFUNCTION("""COMPUTED_VALUE"""),"0xe06f092683cd77f1c7625dcdd955b49280a2d314")</f>
        <v>0xe06f092683cd77f1c7625dcdd955b49280a2d314</v>
      </c>
      <c r="J2651" s="11">
        <v>27.9026907562088</v>
      </c>
      <c r="K2651" s="12">
        <v>62.005979458241775</v>
      </c>
      <c r="L2651" s="13">
        <v>6.200597945824177E19</v>
      </c>
      <c r="M2651" s="9">
        <v>6.2005979458241782E18</v>
      </c>
    </row>
    <row r="2652" ht="15.75" customHeight="1">
      <c r="A2652" s="8"/>
      <c r="B2652" s="8"/>
      <c r="C2652" s="8"/>
      <c r="D2652" s="8">
        <v>27.9026907562088</v>
      </c>
      <c r="E2652" s="9" t="s">
        <v>2661</v>
      </c>
      <c r="I2652" s="12" t="str">
        <f>IFERROR(__xludf.DUMMYFUNCTION("""COMPUTED_VALUE"""),"0xe07615ae0ffa8a4476bede4dd0580d96caac779d")</f>
        <v>0xe07615ae0ffa8a4476bede4dd0580d96caac779d</v>
      </c>
      <c r="J2652" s="11">
        <v>27.9026907562088</v>
      </c>
      <c r="K2652" s="12">
        <v>62.005979458241775</v>
      </c>
      <c r="L2652" s="13">
        <v>6.200597945824177E19</v>
      </c>
      <c r="M2652" s="9">
        <v>6.2005979458241782E18</v>
      </c>
    </row>
    <row r="2653" ht="15.75" customHeight="1">
      <c r="A2653" s="8"/>
      <c r="B2653" s="8"/>
      <c r="C2653" s="8"/>
      <c r="D2653" s="8">
        <v>20.9361035591973</v>
      </c>
      <c r="E2653" s="9" t="s">
        <v>2662</v>
      </c>
      <c r="I2653" s="12" t="str">
        <f>IFERROR(__xludf.DUMMYFUNCTION("""COMPUTED_VALUE"""),"0xe07cf675b1cdceb86eac1fb3dd772eab53dbcf76")</f>
        <v>0xe07cf675b1cdceb86eac1fb3dd772eab53dbcf76</v>
      </c>
      <c r="J2653" s="11">
        <v>20.9361035591973</v>
      </c>
      <c r="K2653" s="12">
        <v>46.524674575994</v>
      </c>
      <c r="L2653" s="13">
        <v>4.6524674575993995E19</v>
      </c>
      <c r="M2653" s="9">
        <v>4.6524674575993999E18</v>
      </c>
    </row>
    <row r="2654" ht="15.75" customHeight="1">
      <c r="A2654" s="8"/>
      <c r="B2654" s="8"/>
      <c r="C2654" s="8"/>
      <c r="D2654" s="8">
        <v>27.9026907562088</v>
      </c>
      <c r="E2654" s="9" t="s">
        <v>2663</v>
      </c>
      <c r="I2654" s="12" t="str">
        <f>IFERROR(__xludf.DUMMYFUNCTION("""COMPUTED_VALUE"""),"0xe07fb87c05a679a05adee71907e31b0a0ac4d66f")</f>
        <v>0xe07fb87c05a679a05adee71907e31b0a0ac4d66f</v>
      </c>
      <c r="J2654" s="11">
        <v>91.1199983031448</v>
      </c>
      <c r="K2654" s="12">
        <v>202.48888511809955</v>
      </c>
      <c r="L2654" s="13">
        <v>2.0248888511809955E20</v>
      </c>
      <c r="M2654" s="9">
        <v>2.0248888511809958E19</v>
      </c>
    </row>
    <row r="2655" ht="15.75" customHeight="1">
      <c r="A2655" s="8"/>
      <c r="B2655" s="8"/>
      <c r="C2655" s="8"/>
      <c r="D2655" s="8">
        <v>27.9026907562088</v>
      </c>
      <c r="E2655" s="9" t="s">
        <v>2664</v>
      </c>
      <c r="I2655" s="12" t="str">
        <f>IFERROR(__xludf.DUMMYFUNCTION("""COMPUTED_VALUE"""),"0xe0904703d6892f4cb50ad4dfab79692f3ef96ea0")</f>
        <v>0xe0904703d6892f4cb50ad4dfab79692f3ef96ea0</v>
      </c>
      <c r="J2655" s="11">
        <v>91.1199983031448</v>
      </c>
      <c r="K2655" s="12">
        <v>202.48888511809955</v>
      </c>
      <c r="L2655" s="13">
        <v>2.0248888511809955E20</v>
      </c>
      <c r="M2655" s="9">
        <v>2.0248888511809958E19</v>
      </c>
    </row>
    <row r="2656" ht="15.75" customHeight="1">
      <c r="A2656" s="8"/>
      <c r="B2656" s="8"/>
      <c r="C2656" s="8"/>
      <c r="D2656" s="8">
        <v>18.3983389642263</v>
      </c>
      <c r="E2656" s="9" t="s">
        <v>2665</v>
      </c>
      <c r="I2656" s="12" t="str">
        <f>IFERROR(__xludf.DUMMYFUNCTION("""COMPUTED_VALUE"""),"0xe09d407440ffa24eaa5ae9017dcdf607dd4d7b2c")</f>
        <v>0xe09d407440ffa24eaa5ae9017dcdf607dd4d7b2c</v>
      </c>
      <c r="J2656" s="11">
        <v>18.3983389642263</v>
      </c>
      <c r="K2656" s="12">
        <v>40.88519769828067</v>
      </c>
      <c r="L2656" s="13">
        <v>4.088519769828067E19</v>
      </c>
      <c r="M2656" s="9">
        <v>4.0885197698280673E18</v>
      </c>
    </row>
    <row r="2657" ht="15.75" customHeight="1">
      <c r="A2657" s="8"/>
      <c r="B2657" s="8"/>
      <c r="C2657" s="8"/>
      <c r="D2657" s="8">
        <v>27.9026907562088</v>
      </c>
      <c r="E2657" s="9" t="s">
        <v>2666</v>
      </c>
      <c r="I2657" s="12" t="str">
        <f>IFERROR(__xludf.DUMMYFUNCTION("""COMPUTED_VALUE"""),"0xe0cd5bc5e6ff573ebabc60a4c19f933c7328e15c")</f>
        <v>0xe0cd5bc5e6ff573ebabc60a4c19f933c7328e15c</v>
      </c>
      <c r="J2657" s="11">
        <v>27.9026907562088</v>
      </c>
      <c r="K2657" s="12">
        <v>62.005979458241775</v>
      </c>
      <c r="L2657" s="13">
        <v>6.200597945824177E19</v>
      </c>
      <c r="M2657" s="9">
        <v>6.2005979458241782E18</v>
      </c>
    </row>
    <row r="2658" ht="15.75" customHeight="1">
      <c r="A2658" s="8"/>
      <c r="B2658" s="8"/>
      <c r="C2658" s="8"/>
      <c r="D2658" s="8">
        <v>27.9026907562088</v>
      </c>
      <c r="E2658" s="9" t="s">
        <v>2667</v>
      </c>
      <c r="I2658" s="12" t="str">
        <f>IFERROR(__xludf.DUMMYFUNCTION("""COMPUTED_VALUE"""),"0xe0d97a302aa615f2f3431191d91e8c649313f7a7")</f>
        <v>0xe0d97a302aa615f2f3431191d91e8c649313f7a7</v>
      </c>
      <c r="J2658" s="11">
        <v>65.83307528437041</v>
      </c>
      <c r="K2658" s="12">
        <v>146.29572285415645</v>
      </c>
      <c r="L2658" s="13">
        <v>1.4629572285415645E20</v>
      </c>
      <c r="M2658" s="9">
        <v>1.4629572285415645E19</v>
      </c>
    </row>
    <row r="2659" ht="15.75" customHeight="1">
      <c r="A2659" s="8"/>
      <c r="B2659" s="8"/>
      <c r="C2659" s="8"/>
      <c r="D2659" s="8">
        <v>14.0740459440408</v>
      </c>
      <c r="E2659" s="9" t="s">
        <v>2668</v>
      </c>
      <c r="I2659" s="12" t="str">
        <f>IFERROR(__xludf.DUMMYFUNCTION("""COMPUTED_VALUE"""),"0xe1066fea9370c2b51591b3e3a153a044425c56ec")</f>
        <v>0xe1066fea9370c2b51591b3e3a153a044425c56ec</v>
      </c>
      <c r="J2659" s="11">
        <v>45.8341348955539</v>
      </c>
      <c r="K2659" s="12">
        <v>101.85363310123088</v>
      </c>
      <c r="L2659" s="13">
        <v>1.0185363310123088E20</v>
      </c>
      <c r="M2659" s="9">
        <v>1.0185363310123088E19</v>
      </c>
    </row>
    <row r="2660" ht="15.75" customHeight="1">
      <c r="A2660" s="8"/>
      <c r="B2660" s="8"/>
      <c r="C2660" s="8"/>
      <c r="D2660" s="8">
        <v>21.2506326509832</v>
      </c>
      <c r="E2660" s="9" t="s">
        <v>2669</v>
      </c>
      <c r="I2660" s="12" t="str">
        <f>IFERROR(__xludf.DUMMYFUNCTION("""COMPUTED_VALUE"""),"0xe10debd5b82722753e4d2b15a502e4da47b3bf6c")</f>
        <v>0xe10debd5b82722753e4d2b15a502e4da47b3bf6c</v>
      </c>
      <c r="J2660" s="11">
        <v>21.2506326509832</v>
      </c>
      <c r="K2660" s="12">
        <v>47.223628113295995</v>
      </c>
      <c r="L2660" s="13">
        <v>4.722362811329599E19</v>
      </c>
      <c r="M2660" s="9">
        <v>4.7223628113295995E18</v>
      </c>
    </row>
    <row r="2661" ht="15.75" customHeight="1">
      <c r="A2661" s="8"/>
      <c r="B2661" s="8"/>
      <c r="C2661" s="8"/>
      <c r="D2661" s="8">
        <v>22.587469545763</v>
      </c>
      <c r="E2661" s="9" t="s">
        <v>2670</v>
      </c>
      <c r="I2661" s="12" t="str">
        <f>IFERROR(__xludf.DUMMYFUNCTION("""COMPUTED_VALUE"""),"0xe112f70fe326eea7dfeae94ec475d308e6c03dde")</f>
        <v>0xe112f70fe326eea7dfeae94ec475d308e6c03dde</v>
      </c>
      <c r="J2661" s="11">
        <v>22.587469545763</v>
      </c>
      <c r="K2661" s="12">
        <v>50.19437676836222</v>
      </c>
      <c r="L2661" s="13">
        <v>5.019437676836222E19</v>
      </c>
      <c r="M2661" s="9">
        <v>5.019437676836222E18</v>
      </c>
    </row>
    <row r="2662" ht="15.75" customHeight="1">
      <c r="A2662" s="8"/>
      <c r="B2662" s="8"/>
      <c r="C2662" s="8"/>
      <c r="D2662" s="8">
        <v>27.9026907562088</v>
      </c>
      <c r="E2662" s="9" t="s">
        <v>2671</v>
      </c>
      <c r="I2662" s="12" t="str">
        <f>IFERROR(__xludf.DUMMYFUNCTION("""COMPUTED_VALUE"""),"0xe13e24dd776de67570f7238ca9c0a6ff4a460db4")</f>
        <v>0xe13e24dd776de67570f7238ca9c0a6ff4a460db4</v>
      </c>
      <c r="J2662" s="11">
        <v>27.9026907562088</v>
      </c>
      <c r="K2662" s="12">
        <v>62.005979458241775</v>
      </c>
      <c r="L2662" s="13">
        <v>6.200597945824177E19</v>
      </c>
      <c r="M2662" s="9">
        <v>6.2005979458241782E18</v>
      </c>
    </row>
    <row r="2663" ht="15.75" customHeight="1">
      <c r="A2663" s="8"/>
      <c r="B2663" s="8"/>
      <c r="C2663" s="8"/>
      <c r="D2663" s="8">
        <v>27.9026907562088</v>
      </c>
      <c r="E2663" s="9" t="s">
        <v>2672</v>
      </c>
      <c r="I2663" s="12" t="str">
        <f>IFERROR(__xludf.DUMMYFUNCTION("""COMPUTED_VALUE"""),"0xe158aa3e8520c9ecb258501d4604d3233c889a98")</f>
        <v>0xe158aa3e8520c9ecb258501d4604d3233c889a98</v>
      </c>
      <c r="J2663" s="11">
        <v>93.06578864093494</v>
      </c>
      <c r="K2663" s="12">
        <v>206.8128636465221</v>
      </c>
      <c r="L2663" s="13">
        <v>2.0681286364652208E20</v>
      </c>
      <c r="M2663" s="9">
        <v>2.068128636465221E19</v>
      </c>
    </row>
    <row r="2664" ht="15.75" customHeight="1">
      <c r="A2664" s="8"/>
      <c r="B2664" s="8"/>
      <c r="C2664" s="8"/>
      <c r="D2664" s="8">
        <v>27.8387265788106</v>
      </c>
      <c r="E2664" s="9" t="s">
        <v>2673</v>
      </c>
      <c r="I2664" s="12" t="str">
        <f>IFERROR(__xludf.DUMMYFUNCTION("""COMPUTED_VALUE"""),"0xe169f0d2f3b522676628b59fa8b0881502714dab")</f>
        <v>0xe169f0d2f3b522676628b59fa8b0881502714dab</v>
      </c>
      <c r="J2664" s="11">
        <v>27.8387265788106</v>
      </c>
      <c r="K2664" s="12">
        <v>61.86383684180133</v>
      </c>
      <c r="L2664" s="13">
        <v>6.186383684180133E19</v>
      </c>
      <c r="M2664" s="9">
        <v>6.1863836841801329E18</v>
      </c>
    </row>
    <row r="2665" ht="15.75" customHeight="1">
      <c r="A2665" s="8"/>
      <c r="B2665" s="8"/>
      <c r="C2665" s="8"/>
      <c r="D2665" s="8">
        <v>27.9026907562088</v>
      </c>
      <c r="E2665" s="9" t="s">
        <v>2674</v>
      </c>
      <c r="I2665" s="12" t="str">
        <f>IFERROR(__xludf.DUMMYFUNCTION("""COMPUTED_VALUE"""),"0xe17be666ac7370031e0039e62c675dcdf4d195be")</f>
        <v>0xe17be666ac7370031e0039e62c675dcdf4d195be</v>
      </c>
      <c r="J2665" s="11">
        <v>306.44504866367777</v>
      </c>
      <c r="K2665" s="12">
        <v>680.988997030395</v>
      </c>
      <c r="L2665" s="13">
        <v>6.80988997030395E20</v>
      </c>
      <c r="M2665" s="9">
        <v>6.80988997030395E19</v>
      </c>
    </row>
    <row r="2666" ht="15.75" customHeight="1">
      <c r="A2666" s="8"/>
      <c r="B2666" s="8"/>
      <c r="C2666" s="8"/>
      <c r="D2666" s="8">
        <v>27.9026907562088</v>
      </c>
      <c r="E2666" s="9" t="s">
        <v>2675</v>
      </c>
      <c r="I2666" s="12" t="str">
        <f>IFERROR(__xludf.DUMMYFUNCTION("""COMPUTED_VALUE"""),"0xe1954a517d42c43dd7fdb56f85027a1e62505d2e")</f>
        <v>0xe1954a517d42c43dd7fdb56f85027a1e62505d2e</v>
      </c>
      <c r="J2666" s="11">
        <v>27.9026907562088</v>
      </c>
      <c r="K2666" s="12">
        <v>62.005979458241775</v>
      </c>
      <c r="L2666" s="13">
        <v>6.200597945824177E19</v>
      </c>
      <c r="M2666" s="9">
        <v>6.2005979458241782E18</v>
      </c>
    </row>
    <row r="2667" ht="15.75" customHeight="1">
      <c r="A2667" s="8"/>
      <c r="B2667" s="8"/>
      <c r="C2667" s="8"/>
      <c r="D2667" s="8">
        <v>27.9026907562088</v>
      </c>
      <c r="E2667" s="9" t="s">
        <v>2676</v>
      </c>
      <c r="I2667" s="12" t="str">
        <f>IFERROR(__xludf.DUMMYFUNCTION("""COMPUTED_VALUE"""),"0xe1a56487d37c3e4e16e9dd101abe1ca357447b24")</f>
        <v>0xe1a56487d37c3e4e16e9dd101abe1ca357447b24</v>
      </c>
      <c r="J2667" s="11">
        <v>91.1199983031448</v>
      </c>
      <c r="K2667" s="12">
        <v>202.48888511809955</v>
      </c>
      <c r="L2667" s="13">
        <v>2.0248888511809955E20</v>
      </c>
      <c r="M2667" s="9">
        <v>2.0248888511809958E19</v>
      </c>
    </row>
    <row r="2668" ht="15.75" customHeight="1">
      <c r="A2668" s="8"/>
      <c r="B2668" s="8"/>
      <c r="C2668" s="8"/>
      <c r="D2668" s="8">
        <v>27.9026907562088</v>
      </c>
      <c r="E2668" s="9" t="s">
        <v>2677</v>
      </c>
      <c r="I2668" s="12" t="str">
        <f>IFERROR(__xludf.DUMMYFUNCTION("""COMPUTED_VALUE"""),"0xe1ded22ca713eb479bbd50c055714abcca8ca57e")</f>
        <v>0xe1ded22ca713eb479bbd50c055714abcca8ca57e</v>
      </c>
      <c r="J2668" s="11">
        <v>91.41051495624038</v>
      </c>
      <c r="K2668" s="12">
        <v>203.13447768053416</v>
      </c>
      <c r="L2668" s="13">
        <v>2.0313447768053416E20</v>
      </c>
      <c r="M2668" s="9">
        <v>2.0313447768053416E19</v>
      </c>
    </row>
    <row r="2669" ht="15.75" customHeight="1">
      <c r="A2669" s="8"/>
      <c r="B2669" s="8"/>
      <c r="C2669" s="8"/>
      <c r="D2669" s="8">
        <v>27.9026907562088</v>
      </c>
      <c r="E2669" s="9" t="s">
        <v>2678</v>
      </c>
      <c r="I2669" s="12" t="str">
        <f>IFERROR(__xludf.DUMMYFUNCTION("""COMPUTED_VALUE"""),"0xe20193b98487c9922c8059f2270682c0bac9c561")</f>
        <v>0xe20193b98487c9922c8059f2270682c0bac9c561</v>
      </c>
      <c r="J2669" s="11">
        <v>27.9026907562088</v>
      </c>
      <c r="K2669" s="12">
        <v>62.005979458241775</v>
      </c>
      <c r="L2669" s="13">
        <v>6.200597945824177E19</v>
      </c>
      <c r="M2669" s="9">
        <v>6.2005979458241782E18</v>
      </c>
    </row>
    <row r="2670" ht="15.75" customHeight="1">
      <c r="A2670" s="8"/>
      <c r="B2670" s="8"/>
      <c r="C2670" s="8"/>
      <c r="D2670" s="8">
        <v>27.9026907562088</v>
      </c>
      <c r="E2670" s="9" t="s">
        <v>2679</v>
      </c>
      <c r="I2670" s="12" t="str">
        <f>IFERROR(__xludf.DUMMYFUNCTION("""COMPUTED_VALUE"""),"0xe203474b93f39eb316ff33944144b179ff2c125c")</f>
        <v>0xe203474b93f39eb316ff33944144b179ff2c125c</v>
      </c>
      <c r="J2670" s="11">
        <v>27.9026907562088</v>
      </c>
      <c r="K2670" s="12">
        <v>62.005979458241775</v>
      </c>
      <c r="L2670" s="13">
        <v>6.200597945824177E19</v>
      </c>
      <c r="M2670" s="9">
        <v>6.2005979458241782E18</v>
      </c>
    </row>
    <row r="2671" ht="15.75" customHeight="1">
      <c r="A2671" s="8"/>
      <c r="B2671" s="8"/>
      <c r="C2671" s="8"/>
      <c r="D2671" s="8">
        <v>27.9026907562088</v>
      </c>
      <c r="E2671" s="9" t="s">
        <v>2680</v>
      </c>
      <c r="I2671" s="12" t="str">
        <f>IFERROR(__xludf.DUMMYFUNCTION("""COMPUTED_VALUE"""),"0xe25626efd3edfe8ec898cf392da77b282f244232")</f>
        <v>0xe25626efd3edfe8ec898cf392da77b282f244232</v>
      </c>
      <c r="J2671" s="11">
        <v>27.9026907562088</v>
      </c>
      <c r="K2671" s="12">
        <v>62.005979458241775</v>
      </c>
      <c r="L2671" s="13">
        <v>6.200597945824177E19</v>
      </c>
      <c r="M2671" s="9">
        <v>6.2005979458241782E18</v>
      </c>
    </row>
    <row r="2672" ht="15.75" customHeight="1">
      <c r="A2672" s="8"/>
      <c r="B2672" s="8"/>
      <c r="C2672" s="8"/>
      <c r="D2672" s="8">
        <v>27.9026907562088</v>
      </c>
      <c r="E2672" s="9" t="s">
        <v>2681</v>
      </c>
      <c r="I2672" s="12" t="str">
        <f>IFERROR(__xludf.DUMMYFUNCTION("""COMPUTED_VALUE"""),"0xe280eade00567ee89465f9302fb4620bac7905ed")</f>
        <v>0xe280eade00567ee89465f9302fb4620bac7905ed</v>
      </c>
      <c r="J2672" s="11">
        <v>27.9026907562088</v>
      </c>
      <c r="K2672" s="12">
        <v>62.005979458241775</v>
      </c>
      <c r="L2672" s="13">
        <v>6.200597945824177E19</v>
      </c>
      <c r="M2672" s="9">
        <v>6.2005979458241782E18</v>
      </c>
    </row>
    <row r="2673" ht="15.75" customHeight="1">
      <c r="A2673" s="8"/>
      <c r="B2673" s="8"/>
      <c r="C2673" s="8"/>
      <c r="D2673" s="8">
        <v>7.4745482776443</v>
      </c>
      <c r="E2673" s="9" t="s">
        <v>2682</v>
      </c>
      <c r="I2673" s="12" t="str">
        <f>IFERROR(__xludf.DUMMYFUNCTION("""COMPUTED_VALUE"""),"0xe288b5fb1ec2f720b3295df3af435f023469d824")</f>
        <v>0xe288b5fb1ec2f720b3295df3af435f023469d824</v>
      </c>
      <c r="J2673" s="11">
        <v>8.47925186664801</v>
      </c>
      <c r="K2673" s="12">
        <v>18.842781925884466</v>
      </c>
      <c r="L2673" s="13">
        <v>1.8842781925884465E19</v>
      </c>
      <c r="M2673" s="9">
        <v>1.88427819258844672E18</v>
      </c>
    </row>
    <row r="2674" ht="15.75" customHeight="1">
      <c r="A2674" s="8"/>
      <c r="B2674" s="8"/>
      <c r="C2674" s="8"/>
      <c r="D2674" s="8">
        <v>27.9026907562088</v>
      </c>
      <c r="E2674" s="9" t="s">
        <v>2683</v>
      </c>
      <c r="I2674" s="12" t="str">
        <f>IFERROR(__xludf.DUMMYFUNCTION("""COMPUTED_VALUE"""),"0xe293d3cbccdfdb55632415dd21a87da305a1f7f0")</f>
        <v>0xe293d3cbccdfdb55632415dd21a87da305a1f7f0</v>
      </c>
      <c r="J2674" s="11">
        <v>102.7947403298856</v>
      </c>
      <c r="K2674" s="12">
        <v>228.43275628863466</v>
      </c>
      <c r="L2674" s="13">
        <v>2.2843275628863465E20</v>
      </c>
      <c r="M2674" s="9">
        <v>2.2843275628863468E19</v>
      </c>
    </row>
    <row r="2675" ht="15.75" customHeight="1">
      <c r="A2675" s="8"/>
      <c r="B2675" s="8"/>
      <c r="C2675" s="8"/>
      <c r="D2675" s="8">
        <v>25.4808530623713</v>
      </c>
      <c r="E2675" s="9" t="s">
        <v>2684</v>
      </c>
      <c r="I2675" s="12" t="str">
        <f>IFERROR(__xludf.DUMMYFUNCTION("""COMPUTED_VALUE"""),"0xe29c610f9bb39bd7f48e51c7d69ea54e04897e02")</f>
        <v>0xe29c610f9bb39bd7f48e51c7d69ea54e04897e02</v>
      </c>
      <c r="J2675" s="11">
        <v>25.4808530623713</v>
      </c>
      <c r="K2675" s="12">
        <v>56.62411791638066</v>
      </c>
      <c r="L2675" s="13">
        <v>5.662411791638066E19</v>
      </c>
      <c r="M2675" s="9">
        <v>5.6624117916380662E18</v>
      </c>
    </row>
    <row r="2676" ht="15.75" customHeight="1">
      <c r="A2676" s="8"/>
      <c r="B2676" s="8"/>
      <c r="C2676" s="8"/>
      <c r="D2676" s="8">
        <v>12.1675714757463</v>
      </c>
      <c r="E2676" s="9" t="s">
        <v>2685</v>
      </c>
      <c r="I2676" s="12" t="str">
        <f>IFERROR(__xludf.DUMMYFUNCTION("""COMPUTED_VALUE"""),"0xe2af37a0de40ca566a26f3c3bdeb03ee11a16e84")</f>
        <v>0xe2af37a0de40ca566a26f3c3bdeb03ee11a16e84</v>
      </c>
      <c r="J2676" s="11">
        <v>12.1675714757463</v>
      </c>
      <c r="K2676" s="12">
        <v>27.039047723880664</v>
      </c>
      <c r="L2676" s="13">
        <v>2.7039047723880665E19</v>
      </c>
      <c r="M2676" s="9">
        <v>2.7039047723880668E18</v>
      </c>
    </row>
    <row r="2677" ht="15.75" customHeight="1">
      <c r="A2677" s="8"/>
      <c r="B2677" s="8"/>
      <c r="C2677" s="8"/>
      <c r="D2677" s="8">
        <v>27.9026907562088</v>
      </c>
      <c r="E2677" s="9" t="s">
        <v>2686</v>
      </c>
      <c r="I2677" s="12" t="str">
        <f>IFERROR(__xludf.DUMMYFUNCTION("""COMPUTED_VALUE"""),"0xe30af4b01e08defeabbc695eb8afb9b44d0a1235")</f>
        <v>0xe30af4b01e08defeabbc695eb8afb9b44d0a1235</v>
      </c>
      <c r="J2677" s="11">
        <v>91.1199983031448</v>
      </c>
      <c r="K2677" s="12">
        <v>202.48888511809955</v>
      </c>
      <c r="L2677" s="13">
        <v>2.0248888511809955E20</v>
      </c>
      <c r="M2677" s="9">
        <v>2.0248888511809958E19</v>
      </c>
    </row>
    <row r="2678" ht="15.75" customHeight="1">
      <c r="A2678" s="8"/>
      <c r="B2678" s="8"/>
      <c r="C2678" s="8"/>
      <c r="D2678" s="8">
        <v>11.6583239099176</v>
      </c>
      <c r="E2678" s="9" t="s">
        <v>2687</v>
      </c>
      <c r="I2678" s="12" t="str">
        <f>IFERROR(__xludf.DUMMYFUNCTION("""COMPUTED_VALUE"""),"0xe3120f4510f05666592d5864b0cd9b2a1a139b0c")</f>
        <v>0xe3120f4510f05666592d5864b0cd9b2a1a139b0c</v>
      </c>
      <c r="J2678" s="11">
        <v>38.651711920953</v>
      </c>
      <c r="K2678" s="12">
        <v>85.89269315767332</v>
      </c>
      <c r="L2678" s="13">
        <v>8.589269315767332E19</v>
      </c>
      <c r="M2678" s="9">
        <v>8.5892693157673329E18</v>
      </c>
    </row>
    <row r="2679" ht="15.75" customHeight="1">
      <c r="A2679" s="8"/>
      <c r="B2679" s="8"/>
      <c r="C2679" s="8"/>
      <c r="D2679" s="8">
        <v>27.9026907562088</v>
      </c>
      <c r="E2679" s="9" t="s">
        <v>2688</v>
      </c>
      <c r="I2679" s="12" t="str">
        <f>IFERROR(__xludf.DUMMYFUNCTION("""COMPUTED_VALUE"""),"0xe31a3e7c014b180e0eaa4bc083cd8ab6a5a9623e")</f>
        <v>0xe31a3e7c014b180e0eaa4bc083cd8ab6a5a9623e</v>
      </c>
      <c r="J2679" s="11">
        <v>27.9026907562088</v>
      </c>
      <c r="K2679" s="12">
        <v>62.005979458241775</v>
      </c>
      <c r="L2679" s="13">
        <v>6.200597945824177E19</v>
      </c>
      <c r="M2679" s="9">
        <v>6.2005979458241782E18</v>
      </c>
    </row>
    <row r="2680" ht="15.75" customHeight="1">
      <c r="A2680" s="8"/>
      <c r="B2680" s="8"/>
      <c r="C2680" s="8"/>
      <c r="D2680" s="8">
        <v>27.8800233131935</v>
      </c>
      <c r="E2680" s="9" t="s">
        <v>2689</v>
      </c>
      <c r="I2680" s="12" t="str">
        <f>IFERROR(__xludf.DUMMYFUNCTION("""COMPUTED_VALUE"""),"0xe320eaa73808a704974414f99e9a6e3a0115d63e")</f>
        <v>0xe320eaa73808a704974414f99e9a6e3a0115d63e</v>
      </c>
      <c r="J2680" s="11">
        <v>27.8800233131935</v>
      </c>
      <c r="K2680" s="12">
        <v>61.95560736265222</v>
      </c>
      <c r="L2680" s="13">
        <v>6.1955607362652226E19</v>
      </c>
      <c r="M2680" s="9">
        <v>6.1955607362652232E18</v>
      </c>
    </row>
    <row r="2681" ht="15.75" customHeight="1">
      <c r="A2681" s="8"/>
      <c r="B2681" s="8"/>
      <c r="C2681" s="8"/>
      <c r="D2681" s="8">
        <v>27.9026907562088</v>
      </c>
      <c r="E2681" s="9" t="s">
        <v>2690</v>
      </c>
      <c r="I2681" s="12" t="str">
        <f>IFERROR(__xludf.DUMMYFUNCTION("""COMPUTED_VALUE"""),"0xe32bbc04c188083a19295a484fe61ca2428ce99a")</f>
        <v>0xe32bbc04c188083a19295a484fe61ca2428ce99a</v>
      </c>
      <c r="J2681" s="11">
        <v>27.9026907562088</v>
      </c>
      <c r="K2681" s="12">
        <v>62.005979458241775</v>
      </c>
      <c r="L2681" s="13">
        <v>6.200597945824177E19</v>
      </c>
      <c r="M2681" s="9">
        <v>6.2005979458241782E18</v>
      </c>
    </row>
    <row r="2682" ht="15.75" customHeight="1">
      <c r="A2682" s="8"/>
      <c r="B2682" s="8"/>
      <c r="C2682" s="8"/>
      <c r="D2682" s="8">
        <v>27.9026907562088</v>
      </c>
      <c r="E2682" s="9" t="s">
        <v>2691</v>
      </c>
      <c r="I2682" s="12" t="str">
        <f>IFERROR(__xludf.DUMMYFUNCTION("""COMPUTED_VALUE"""),"0xe356fe28b7b6b015a3b2bb4419dbdf2777d7420b")</f>
        <v>0xe356fe28b7b6b015a3b2bb4419dbdf2777d7420b</v>
      </c>
      <c r="J2682" s="11">
        <v>8405.280108106135</v>
      </c>
      <c r="K2682" s="12">
        <v>18678.400240235856</v>
      </c>
      <c r="L2682" s="13">
        <v>1.8678400240235856E22</v>
      </c>
      <c r="M2682" s="9">
        <v>1.8678400240235858E21</v>
      </c>
    </row>
    <row r="2683" ht="15.75" customHeight="1">
      <c r="A2683" s="8"/>
      <c r="B2683" s="8"/>
      <c r="C2683" s="8"/>
      <c r="D2683" s="8">
        <v>27.9026907562088</v>
      </c>
      <c r="E2683" s="9" t="s">
        <v>2692</v>
      </c>
      <c r="I2683" s="12" t="str">
        <f>IFERROR(__xludf.DUMMYFUNCTION("""COMPUTED_VALUE"""),"0xe372b3ac2870c4a971d927bb7ef230b6141a6fa0")</f>
        <v>0xe372b3ac2870c4a971d927bb7ef230b6141a6fa0</v>
      </c>
      <c r="J2683" s="11">
        <v>91.1199983031448</v>
      </c>
      <c r="K2683" s="12">
        <v>202.48888511809955</v>
      </c>
      <c r="L2683" s="13">
        <v>2.0248888511809955E20</v>
      </c>
      <c r="M2683" s="9">
        <v>2.0248888511809958E19</v>
      </c>
    </row>
    <row r="2684" ht="15.75" customHeight="1">
      <c r="A2684" s="8"/>
      <c r="B2684" s="8"/>
      <c r="C2684" s="8"/>
      <c r="D2684" s="8">
        <v>27.9026907562088</v>
      </c>
      <c r="E2684" s="9" t="s">
        <v>2693</v>
      </c>
      <c r="I2684" s="12" t="str">
        <f>IFERROR(__xludf.DUMMYFUNCTION("""COMPUTED_VALUE"""),"0xe37e0281e591675fb4ad3d030e6d13c86428ea9f")</f>
        <v>0xe37e0281e591675fb4ad3d030e6d13c86428ea9f</v>
      </c>
      <c r="J2684" s="11">
        <v>27.9026907562088</v>
      </c>
      <c r="K2684" s="12">
        <v>62.005979458241775</v>
      </c>
      <c r="L2684" s="13">
        <v>6.200597945824177E19</v>
      </c>
      <c r="M2684" s="9">
        <v>6.2005979458241782E18</v>
      </c>
    </row>
    <row r="2685" ht="15.75" customHeight="1">
      <c r="A2685" s="8"/>
      <c r="B2685" s="8"/>
      <c r="C2685" s="8"/>
      <c r="D2685" s="8">
        <v>27.9026907562088</v>
      </c>
      <c r="E2685" s="9" t="s">
        <v>2694</v>
      </c>
      <c r="I2685" s="12" t="str">
        <f>IFERROR(__xludf.DUMMYFUNCTION("""COMPUTED_VALUE"""),"0xe389911416c82f53210f3d3cfcc0596dc7d9b4dd")</f>
        <v>0xe389911416c82f53210f3d3cfcc0596dc7d9b4dd</v>
      </c>
      <c r="J2685" s="11">
        <v>29.848481093998938</v>
      </c>
      <c r="K2685" s="12">
        <v>66.32995798666431</v>
      </c>
      <c r="L2685" s="13">
        <v>6.632995798666431E19</v>
      </c>
      <c r="M2685" s="9">
        <v>6.6329957986664315E18</v>
      </c>
    </row>
    <row r="2686" ht="15.75" customHeight="1">
      <c r="A2686" s="8"/>
      <c r="B2686" s="8"/>
      <c r="C2686" s="8"/>
      <c r="D2686" s="8">
        <v>27.9026907562088</v>
      </c>
      <c r="E2686" s="9" t="s">
        <v>2695</v>
      </c>
      <c r="I2686" s="12" t="str">
        <f>IFERROR(__xludf.DUMMYFUNCTION("""COMPUTED_VALUE"""),"0xe38c101875e034bc5ff90d8d77c81e646aa207ba")</f>
        <v>0xe38c101875e034bc5ff90d8d77c81e646aa207ba</v>
      </c>
      <c r="J2686" s="11">
        <v>46.6318718961667</v>
      </c>
      <c r="K2686" s="12">
        <v>103.62638199148155</v>
      </c>
      <c r="L2686" s="13">
        <v>1.0362638199148156E20</v>
      </c>
      <c r="M2686" s="9">
        <v>1.0362638199148157E19</v>
      </c>
    </row>
    <row r="2687" ht="15.75" customHeight="1">
      <c r="A2687" s="8"/>
      <c r="B2687" s="8"/>
      <c r="C2687" s="8"/>
      <c r="D2687" s="8">
        <v>27.9026907562088</v>
      </c>
      <c r="E2687" s="9" t="s">
        <v>2696</v>
      </c>
      <c r="I2687" s="12" t="str">
        <f>IFERROR(__xludf.DUMMYFUNCTION("""COMPUTED_VALUE"""),"0xe38c5fa37006b4cc9ff0f7054d902922307488d3")</f>
        <v>0xe38c5fa37006b4cc9ff0f7054d902922307488d3</v>
      </c>
      <c r="J2687" s="11">
        <v>93.06578864093494</v>
      </c>
      <c r="K2687" s="12">
        <v>206.8128636465221</v>
      </c>
      <c r="L2687" s="13">
        <v>2.0681286364652208E20</v>
      </c>
      <c r="M2687" s="9">
        <v>2.068128636465221E19</v>
      </c>
    </row>
    <row r="2688" ht="15.75" customHeight="1">
      <c r="A2688" s="8"/>
      <c r="B2688" s="8"/>
      <c r="C2688" s="8"/>
      <c r="D2688" s="8">
        <v>27.9026907562088</v>
      </c>
      <c r="E2688" s="9" t="s">
        <v>2697</v>
      </c>
      <c r="I2688" s="12" t="str">
        <f>IFERROR(__xludf.DUMMYFUNCTION("""COMPUTED_VALUE"""),"0xe3b53b8ce7d109a147bf34ffeb817a04a3f365e2")</f>
        <v>0xe3b53b8ce7d109a147bf34ffeb817a04a3f365e2</v>
      </c>
      <c r="J2688" s="11">
        <v>27.9026907562088</v>
      </c>
      <c r="K2688" s="12">
        <v>62.005979458241775</v>
      </c>
      <c r="L2688" s="13">
        <v>6.200597945824177E19</v>
      </c>
      <c r="M2688" s="9">
        <v>6.2005979458241782E18</v>
      </c>
    </row>
    <row r="2689" ht="15.75" customHeight="1">
      <c r="A2689" s="8"/>
      <c r="B2689" s="8"/>
      <c r="C2689" s="8"/>
      <c r="D2689" s="8">
        <v>27.9026907562088</v>
      </c>
      <c r="E2689" s="9" t="s">
        <v>2698</v>
      </c>
      <c r="I2689" s="12" t="str">
        <f>IFERROR(__xludf.DUMMYFUNCTION("""COMPUTED_VALUE"""),"0xe40e8566742196e2b284e0a7e53dfa70ad646008")</f>
        <v>0xe40e8566742196e2b284e0a7e53dfa70ad646008</v>
      </c>
      <c r="J2689" s="11">
        <v>27.9026907562088</v>
      </c>
      <c r="K2689" s="12">
        <v>62.005979458241775</v>
      </c>
      <c r="L2689" s="13">
        <v>6.200597945824177E19</v>
      </c>
      <c r="M2689" s="9">
        <v>6.2005979458241782E18</v>
      </c>
    </row>
    <row r="2690" ht="15.75" customHeight="1">
      <c r="A2690" s="8"/>
      <c r="B2690" s="8"/>
      <c r="C2690" s="8"/>
      <c r="D2690" s="8">
        <v>27.9026907562088</v>
      </c>
      <c r="E2690" s="9" t="s">
        <v>2699</v>
      </c>
      <c r="I2690" s="12" t="str">
        <f>IFERROR(__xludf.DUMMYFUNCTION("""COMPUTED_VALUE"""),"0xe418acd494c30639ff0b8861194f041115065bbf")</f>
        <v>0xe418acd494c30639ff0b8861194f041115065bbf</v>
      </c>
      <c r="J2690" s="11">
        <v>27.9026907562088</v>
      </c>
      <c r="K2690" s="12">
        <v>62.005979458241775</v>
      </c>
      <c r="L2690" s="13">
        <v>6.200597945824177E19</v>
      </c>
      <c r="M2690" s="9">
        <v>6.2005979458241782E18</v>
      </c>
    </row>
    <row r="2691" ht="15.75" customHeight="1">
      <c r="A2691" s="8"/>
      <c r="B2691" s="8"/>
      <c r="C2691" s="8"/>
      <c r="D2691" s="8">
        <v>27.9026907562088</v>
      </c>
      <c r="E2691" s="9" t="s">
        <v>2700</v>
      </c>
      <c r="I2691" s="12" t="str">
        <f>IFERROR(__xludf.DUMMYFUNCTION("""COMPUTED_VALUE"""),"0xe41b7b0f557dc845585802e73ffc0e5f66ed7f70")</f>
        <v>0xe41b7b0f557dc845585802e73ffc0e5f66ed7f70</v>
      </c>
      <c r="J2691" s="11">
        <v>27.9026907562088</v>
      </c>
      <c r="K2691" s="12">
        <v>62.005979458241775</v>
      </c>
      <c r="L2691" s="13">
        <v>6.200597945824177E19</v>
      </c>
      <c r="M2691" s="9">
        <v>6.2005979458241782E18</v>
      </c>
    </row>
    <row r="2692" ht="15.75" customHeight="1">
      <c r="A2692" s="8"/>
      <c r="B2692" s="8"/>
      <c r="C2692" s="8"/>
      <c r="D2692" s="8">
        <v>26.5638443395581</v>
      </c>
      <c r="E2692" s="9" t="s">
        <v>2701</v>
      </c>
      <c r="I2692" s="12" t="str">
        <f>IFERROR(__xludf.DUMMYFUNCTION("""COMPUTED_VALUE"""),"0xe41d7f167d254437610d82a3833c3a1e0ba3a780")</f>
        <v>0xe41d7f167d254437610d82a3833c3a1e0ba3a780</v>
      </c>
      <c r="J2692" s="11">
        <v>82.3846516006713</v>
      </c>
      <c r="K2692" s="12">
        <v>183.07700355704733</v>
      </c>
      <c r="L2692" s="13">
        <v>1.8307700355704734E20</v>
      </c>
      <c r="M2692" s="9">
        <v>1.8307700355704734E19</v>
      </c>
    </row>
    <row r="2693" ht="15.75" customHeight="1">
      <c r="A2693" s="8"/>
      <c r="B2693" s="8"/>
      <c r="C2693" s="8"/>
      <c r="D2693" s="8">
        <v>27.9026907562088</v>
      </c>
      <c r="E2693" s="9" t="s">
        <v>2702</v>
      </c>
      <c r="I2693" s="12" t="str">
        <f>IFERROR(__xludf.DUMMYFUNCTION("""COMPUTED_VALUE"""),"0xe42527e010c89681c7e8073fcbab592b109dd693")</f>
        <v>0xe42527e010c89681c7e8073fcbab592b109dd693</v>
      </c>
      <c r="J2693" s="11">
        <v>27.9026907562088</v>
      </c>
      <c r="K2693" s="12">
        <v>62.005979458241775</v>
      </c>
      <c r="L2693" s="13">
        <v>6.200597945824177E19</v>
      </c>
      <c r="M2693" s="9">
        <v>6.2005979458241782E18</v>
      </c>
    </row>
    <row r="2694" ht="15.75" customHeight="1">
      <c r="A2694" s="8"/>
      <c r="B2694" s="8"/>
      <c r="C2694" s="8"/>
      <c r="D2694" s="8">
        <v>27.9026907562088</v>
      </c>
      <c r="E2694" s="9" t="s">
        <v>2703</v>
      </c>
      <c r="I2694" s="12" t="str">
        <f>IFERROR(__xludf.DUMMYFUNCTION("""COMPUTED_VALUE"""),"0xe431f7736784d033f7c981efa591e13affdb0408")</f>
        <v>0xe431f7736784d033f7c981efa591e13affdb0408</v>
      </c>
      <c r="J2694" s="11">
        <v>91.48316059871658</v>
      </c>
      <c r="K2694" s="12">
        <v>203.2959124415924</v>
      </c>
      <c r="L2694" s="13">
        <v>2.032959124415924E20</v>
      </c>
      <c r="M2694" s="9">
        <v>2.0329591244159242E19</v>
      </c>
    </row>
    <row r="2695" ht="15.75" customHeight="1">
      <c r="A2695" s="8"/>
      <c r="B2695" s="8"/>
      <c r="C2695" s="8"/>
      <c r="D2695" s="8">
        <v>27.9026907562088</v>
      </c>
      <c r="E2695" s="9" t="s">
        <v>2704</v>
      </c>
      <c r="I2695" s="12" t="str">
        <f>IFERROR(__xludf.DUMMYFUNCTION("""COMPUTED_VALUE"""),"0xe434bd49e491819366fc5a679e83df459e67302f")</f>
        <v>0xe434bd49e491819366fc5a679e83df459e67302f</v>
      </c>
      <c r="J2695" s="11">
        <v>27.9026907562088</v>
      </c>
      <c r="K2695" s="12">
        <v>62.005979458241775</v>
      </c>
      <c r="L2695" s="13">
        <v>6.200597945824177E19</v>
      </c>
      <c r="M2695" s="9">
        <v>6.2005979458241782E18</v>
      </c>
    </row>
    <row r="2696" ht="15.75" customHeight="1">
      <c r="A2696" s="8"/>
      <c r="B2696" s="8"/>
      <c r="C2696" s="8"/>
      <c r="D2696" s="8">
        <v>27.9026907562088</v>
      </c>
      <c r="E2696" s="9" t="s">
        <v>2705</v>
      </c>
      <c r="I2696" s="12" t="str">
        <f>IFERROR(__xludf.DUMMYFUNCTION("""COMPUTED_VALUE"""),"0xe44673d44c46dc2e8c336778bcff18ff56510a21")</f>
        <v>0xe44673d44c46dc2e8c336778bcff18ff56510a21</v>
      </c>
      <c r="J2696" s="11">
        <v>53.1896137749832</v>
      </c>
      <c r="K2696" s="12">
        <v>118.19914172218489</v>
      </c>
      <c r="L2696" s="13">
        <v>1.181991417221849E20</v>
      </c>
      <c r="M2696" s="9">
        <v>1.181991417221849E19</v>
      </c>
    </row>
    <row r="2697" ht="15.75" customHeight="1">
      <c r="A2697" s="8"/>
      <c r="B2697" s="8"/>
      <c r="C2697" s="8"/>
      <c r="D2697" s="8">
        <v>27.9026907562088</v>
      </c>
      <c r="E2697" s="9" t="s">
        <v>2706</v>
      </c>
      <c r="I2697" s="12" t="str">
        <f>IFERROR(__xludf.DUMMYFUNCTION("""COMPUTED_VALUE"""),"0xe462a0089e60d498b937ff75a19254f3e9d922d6")</f>
        <v>0xe462a0089e60d498b937ff75a19254f3e9d922d6</v>
      </c>
      <c r="J2697" s="11">
        <v>91.1199983031448</v>
      </c>
      <c r="K2697" s="12">
        <v>202.48888511809955</v>
      </c>
      <c r="L2697" s="13">
        <v>2.0248888511809955E20</v>
      </c>
      <c r="M2697" s="9">
        <v>2.0248888511809958E19</v>
      </c>
    </row>
    <row r="2698" ht="15.75" customHeight="1">
      <c r="A2698" s="8"/>
      <c r="B2698" s="8"/>
      <c r="C2698" s="8"/>
      <c r="D2698" s="8">
        <v>19.3829287910861</v>
      </c>
      <c r="E2698" s="9" t="s">
        <v>2707</v>
      </c>
      <c r="I2698" s="12" t="str">
        <f>IFERROR(__xludf.DUMMYFUNCTION("""COMPUTED_VALUE"""),"0xe47a14edd56510a77f8fc753cdf1353302d75211")</f>
        <v>0xe47a14edd56510a77f8fc753cdf1353302d75211</v>
      </c>
      <c r="J2698" s="11">
        <v>213.9118540553143</v>
      </c>
      <c r="K2698" s="12">
        <v>475.3596756784762</v>
      </c>
      <c r="L2698" s="13">
        <v>4.753596756784762E20</v>
      </c>
      <c r="M2698" s="9">
        <v>4.753596756784762E19</v>
      </c>
    </row>
    <row r="2699" ht="15.75" customHeight="1">
      <c r="A2699" s="8"/>
      <c r="B2699" s="8"/>
      <c r="C2699" s="8"/>
      <c r="D2699" s="8">
        <v>27.9026907562088</v>
      </c>
      <c r="E2699" s="9" t="s">
        <v>2708</v>
      </c>
      <c r="I2699" s="12" t="str">
        <f>IFERROR(__xludf.DUMMYFUNCTION("""COMPUTED_VALUE"""),"0xe47d435bff9b3a36a9eda730951bb4e30f1d5469")</f>
        <v>0xe47d435bff9b3a36a9eda730951bb4e30f1d5469</v>
      </c>
      <c r="J2699" s="11">
        <v>99.2019531706321</v>
      </c>
      <c r="K2699" s="12">
        <v>220.44878482362688</v>
      </c>
      <c r="L2699" s="13">
        <v>2.204487848236269E20</v>
      </c>
      <c r="M2699" s="9">
        <v>2.204487848236269E19</v>
      </c>
    </row>
    <row r="2700" ht="15.75" customHeight="1">
      <c r="A2700" s="8"/>
      <c r="B2700" s="8"/>
      <c r="C2700" s="8"/>
      <c r="D2700" s="8">
        <v>26.3784696013273</v>
      </c>
      <c r="E2700" s="9" t="s">
        <v>2709</v>
      </c>
      <c r="I2700" s="12" t="str">
        <f>IFERROR(__xludf.DUMMYFUNCTION("""COMPUTED_VALUE"""),"0xe48a51930bb68a81f53d1f22fded4ec3a10d76c9")</f>
        <v>0xe48a51930bb68a81f53d1f22fded4ec3a10d76c9</v>
      </c>
      <c r="J2700" s="11">
        <v>26.3784696013273</v>
      </c>
      <c r="K2700" s="12">
        <v>58.618821336282885</v>
      </c>
      <c r="L2700" s="13">
        <v>5.861882133628288E19</v>
      </c>
      <c r="M2700" s="9">
        <v>5.861882133628289E18</v>
      </c>
    </row>
    <row r="2701" ht="15.75" customHeight="1">
      <c r="A2701" s="8"/>
      <c r="B2701" s="8"/>
      <c r="C2701" s="8"/>
      <c r="D2701" s="8">
        <v>21.5658314108128</v>
      </c>
      <c r="E2701" s="9" t="s">
        <v>2710</v>
      </c>
      <c r="I2701" s="12" t="str">
        <f>IFERROR(__xludf.DUMMYFUNCTION("""COMPUTED_VALUE"""),"0xe4a17c5cf1c8b5e9b24a53c48788ffdc93b3a370")</f>
        <v>0xe4a17c5cf1c8b5e9b24a53c48788ffdc93b3a370</v>
      </c>
      <c r="J2701" s="11">
        <v>82.9218393131075</v>
      </c>
      <c r="K2701" s="12">
        <v>184.27075402912777</v>
      </c>
      <c r="L2701" s="13">
        <v>1.8427075402912776E20</v>
      </c>
      <c r="M2701" s="9">
        <v>1.8427075402912776E19</v>
      </c>
    </row>
    <row r="2702" ht="15.75" customHeight="1">
      <c r="A2702" s="8"/>
      <c r="B2702" s="8"/>
      <c r="C2702" s="8"/>
      <c r="D2702" s="8">
        <v>27.849073740423</v>
      </c>
      <c r="E2702" s="9" t="s">
        <v>2711</v>
      </c>
      <c r="I2702" s="12" t="str">
        <f>IFERROR(__xludf.DUMMYFUNCTION("""COMPUTED_VALUE"""),"0xe4b558e550b3688b8a476da5b43aea66da528110")</f>
        <v>0xe4b558e550b3688b8a476da5b43aea66da528110</v>
      </c>
      <c r="J2702" s="11">
        <v>27.849073740423</v>
      </c>
      <c r="K2702" s="12">
        <v>61.88683053427334</v>
      </c>
      <c r="L2702" s="13">
        <v>6.1886830534273335E19</v>
      </c>
      <c r="M2702" s="9">
        <v>6.1886830534273341E18</v>
      </c>
    </row>
    <row r="2703" ht="15.75" customHeight="1">
      <c r="A2703" s="8"/>
      <c r="B2703" s="8"/>
      <c r="C2703" s="8"/>
      <c r="D2703" s="8">
        <v>27.9026907562088</v>
      </c>
      <c r="E2703" s="9" t="s">
        <v>2712</v>
      </c>
      <c r="I2703" s="12" t="str">
        <f>IFERROR(__xludf.DUMMYFUNCTION("""COMPUTED_VALUE"""),"0xe4c2d35030a5a0f1242f070c69b9dc358748abf4")</f>
        <v>0xe4c2d35030a5a0f1242f070c69b9dc358748abf4</v>
      </c>
      <c r="J2703" s="11">
        <v>27.9026907562088</v>
      </c>
      <c r="K2703" s="12">
        <v>62.005979458241775</v>
      </c>
      <c r="L2703" s="13">
        <v>6.200597945824177E19</v>
      </c>
      <c r="M2703" s="9">
        <v>6.2005979458241782E18</v>
      </c>
    </row>
    <row r="2704" ht="15.75" customHeight="1">
      <c r="A2704" s="8"/>
      <c r="B2704" s="8"/>
      <c r="C2704" s="8"/>
      <c r="D2704" s="8">
        <v>27.9026907562088</v>
      </c>
      <c r="E2704" s="9" t="s">
        <v>2713</v>
      </c>
      <c r="I2704" s="12" t="str">
        <f>IFERROR(__xludf.DUMMYFUNCTION("""COMPUTED_VALUE"""),"0xe4e001a3bce89eeb53e5e7e8361a59c28731b807")</f>
        <v>0xe4e001a3bce89eeb53e5e7e8361a59c28731b807</v>
      </c>
      <c r="J2704" s="11">
        <v>91.1199983031448</v>
      </c>
      <c r="K2704" s="12">
        <v>202.48888511809955</v>
      </c>
      <c r="L2704" s="13">
        <v>2.0248888511809955E20</v>
      </c>
      <c r="M2704" s="9">
        <v>2.0248888511809958E19</v>
      </c>
    </row>
    <row r="2705" ht="15.75" customHeight="1">
      <c r="A2705" s="8"/>
      <c r="B2705" s="8"/>
      <c r="C2705" s="8"/>
      <c r="D2705" s="8">
        <v>9.48691485711102</v>
      </c>
      <c r="E2705" s="9" t="s">
        <v>2714</v>
      </c>
      <c r="I2705" s="12" t="str">
        <f>IFERROR(__xludf.DUMMYFUNCTION("""COMPUTED_VALUE"""),"0xe50c59853ae867ff0d3da6ec872269d8f1b9669c")</f>
        <v>0xe50c59853ae867ff0d3da6ec872269d8f1b9669c</v>
      </c>
      <c r="J2705" s="11">
        <v>9.48691485711102</v>
      </c>
      <c r="K2705" s="12">
        <v>21.082033015802264</v>
      </c>
      <c r="L2705" s="13">
        <v>2.108203301580226E19</v>
      </c>
      <c r="M2705" s="9">
        <v>2.1082033015802263E18</v>
      </c>
    </row>
    <row r="2706" ht="15.75" customHeight="1">
      <c r="A2706" s="8"/>
      <c r="B2706" s="8"/>
      <c r="C2706" s="8"/>
      <c r="D2706" s="8">
        <v>27.9026907562088</v>
      </c>
      <c r="E2706" s="9" t="s">
        <v>2715</v>
      </c>
      <c r="I2706" s="12" t="str">
        <f>IFERROR(__xludf.DUMMYFUNCTION("""COMPUTED_VALUE"""),"0xe5348acca3061a742af08be6b6d102879e06b8c9")</f>
        <v>0xe5348acca3061a742af08be6b6d102879e06b8c9</v>
      </c>
      <c r="J2706" s="11">
        <v>132.5965979147556</v>
      </c>
      <c r="K2706" s="12">
        <v>294.6591064772346</v>
      </c>
      <c r="L2706" s="13">
        <v>2.9465910647723462E20</v>
      </c>
      <c r="M2706" s="9">
        <v>2.9465910647723463E19</v>
      </c>
    </row>
    <row r="2707" ht="15.75" customHeight="1">
      <c r="A2707" s="8"/>
      <c r="B2707" s="8"/>
      <c r="C2707" s="8"/>
      <c r="D2707" s="8">
        <v>27.9026907562088</v>
      </c>
      <c r="E2707" s="9" t="s">
        <v>2716</v>
      </c>
      <c r="I2707" s="12" t="str">
        <f>IFERROR(__xludf.DUMMYFUNCTION("""COMPUTED_VALUE"""),"0xe53959fa51f8136e31382263c5ca73504fc25708")</f>
        <v>0xe53959fa51f8136e31382263c5ca73504fc25708</v>
      </c>
      <c r="J2707" s="11">
        <v>91.1199983031448</v>
      </c>
      <c r="K2707" s="12">
        <v>202.48888511809955</v>
      </c>
      <c r="L2707" s="13">
        <v>2.0248888511809955E20</v>
      </c>
      <c r="M2707" s="9">
        <v>2.0248888511809958E19</v>
      </c>
    </row>
    <row r="2708" ht="15.75" customHeight="1">
      <c r="A2708" s="8"/>
      <c r="B2708" s="8"/>
      <c r="C2708" s="8"/>
      <c r="D2708" s="8">
        <v>27.9026907562088</v>
      </c>
      <c r="E2708" s="9" t="s">
        <v>2717</v>
      </c>
      <c r="I2708" s="12" t="str">
        <f>IFERROR(__xludf.DUMMYFUNCTION("""COMPUTED_VALUE"""),"0xe540c45c504b348ad4d6eb9344e6cfa07c959be6")</f>
        <v>0xe540c45c504b348ad4d6eb9344e6cfa07c959be6</v>
      </c>
      <c r="J2708" s="11">
        <v>91.1199983031448</v>
      </c>
      <c r="K2708" s="12">
        <v>202.48888511809955</v>
      </c>
      <c r="L2708" s="13">
        <v>2.0248888511809955E20</v>
      </c>
      <c r="M2708" s="9">
        <v>2.0248888511809958E19</v>
      </c>
    </row>
    <row r="2709" ht="15.75" customHeight="1">
      <c r="A2709" s="8"/>
      <c r="B2709" s="8"/>
      <c r="C2709" s="8"/>
      <c r="D2709" s="8">
        <v>26.4379527303001</v>
      </c>
      <c r="E2709" s="9" t="s">
        <v>2718</v>
      </c>
      <c r="I2709" s="12" t="str">
        <f>IFERROR(__xludf.DUMMYFUNCTION("""COMPUTED_VALUE"""),"0xe56e90cea02c9ec4c5332ce0a0063f01aa215c67")</f>
        <v>0xe56e90cea02c9ec4c5332ce0a0063f01aa215c67</v>
      </c>
      <c r="J2709" s="11">
        <v>26.4379527303001</v>
      </c>
      <c r="K2709" s="12">
        <v>58.751006067333556</v>
      </c>
      <c r="L2709" s="13">
        <v>5.8751006067333554E19</v>
      </c>
      <c r="M2709" s="9">
        <v>5.875100606733356E18</v>
      </c>
    </row>
    <row r="2710" ht="15.75" customHeight="1">
      <c r="A2710" s="8"/>
      <c r="B2710" s="8"/>
      <c r="C2710" s="8"/>
      <c r="D2710" s="8">
        <v>27.9026907562088</v>
      </c>
      <c r="E2710" s="9" t="s">
        <v>2719</v>
      </c>
      <c r="I2710" s="12" t="str">
        <f>IFERROR(__xludf.DUMMYFUNCTION("""COMPUTED_VALUE"""),"0xe57d640ab3d55f6037b60ae5424e5b2d306783c3")</f>
        <v>0xe57d640ab3d55f6037b60ae5424e5b2d306783c3</v>
      </c>
      <c r="J2710" s="11">
        <v>91.1199983031448</v>
      </c>
      <c r="K2710" s="12">
        <v>202.48888511809955</v>
      </c>
      <c r="L2710" s="13">
        <v>2.0248888511809955E20</v>
      </c>
      <c r="M2710" s="9">
        <v>2.0248888511809958E19</v>
      </c>
    </row>
    <row r="2711" ht="15.75" customHeight="1">
      <c r="A2711" s="8"/>
      <c r="B2711" s="8"/>
      <c r="C2711" s="8"/>
      <c r="D2711" s="8">
        <v>27.9026907562088</v>
      </c>
      <c r="E2711" s="9" t="s">
        <v>2720</v>
      </c>
      <c r="I2711" s="12" t="str">
        <f>IFERROR(__xludf.DUMMYFUNCTION("""COMPUTED_VALUE"""),"0xe5848f5dd7db342a109b065beb4e901a1b277197")</f>
        <v>0xe5848f5dd7db342a109b065beb4e901a1b277197</v>
      </c>
      <c r="J2711" s="11">
        <v>91.1199983031448</v>
      </c>
      <c r="K2711" s="12">
        <v>202.48888511809955</v>
      </c>
      <c r="L2711" s="13">
        <v>2.0248888511809955E20</v>
      </c>
      <c r="M2711" s="9">
        <v>2.0248888511809958E19</v>
      </c>
    </row>
    <row r="2712" ht="15.75" customHeight="1">
      <c r="A2712" s="8"/>
      <c r="B2712" s="8"/>
      <c r="C2712" s="8"/>
      <c r="D2712" s="8">
        <v>27.9026907562088</v>
      </c>
      <c r="E2712" s="9" t="s">
        <v>2721</v>
      </c>
      <c r="I2712" s="12" t="str">
        <f>IFERROR(__xludf.DUMMYFUNCTION("""COMPUTED_VALUE"""),"0xe584bd248cc1830c1bb6f1b2cbd7f8a61480d4e3")</f>
        <v>0xe584bd248cc1830c1bb6f1b2cbd7f8a61480d4e3</v>
      </c>
      <c r="J2712" s="11">
        <v>27.9026907562088</v>
      </c>
      <c r="K2712" s="12">
        <v>62.005979458241775</v>
      </c>
      <c r="L2712" s="13">
        <v>6.200597945824177E19</v>
      </c>
      <c r="M2712" s="9">
        <v>6.2005979458241782E18</v>
      </c>
    </row>
    <row r="2713" ht="15.75" customHeight="1">
      <c r="A2713" s="8"/>
      <c r="B2713" s="8"/>
      <c r="C2713" s="8"/>
      <c r="D2713" s="8">
        <v>8.70732444832268</v>
      </c>
      <c r="E2713" s="9" t="s">
        <v>2722</v>
      </c>
      <c r="I2713" s="12" t="str">
        <f>IFERROR(__xludf.DUMMYFUNCTION("""COMPUTED_VALUE"""),"0xe58dc737ebb63e5ac50e7dd48383b73570de9fe5")</f>
        <v>0xe58dc737ebb63e5ac50e7dd48383b73570de9fe5</v>
      </c>
      <c r="J2713" s="11">
        <v>8.70732444832268</v>
      </c>
      <c r="K2713" s="12">
        <v>19.34960988516151</v>
      </c>
      <c r="L2713" s="13">
        <v>1.934960988516151E19</v>
      </c>
      <c r="M2713" s="9">
        <v>1.93496098851615104E18</v>
      </c>
    </row>
    <row r="2714" ht="15.75" customHeight="1">
      <c r="A2714" s="8"/>
      <c r="B2714" s="8"/>
      <c r="C2714" s="8"/>
      <c r="D2714" s="8">
        <v>25.8821292786669</v>
      </c>
      <c r="E2714" s="9" t="s">
        <v>2723</v>
      </c>
      <c r="I2714" s="12" t="str">
        <f>IFERROR(__xludf.DUMMYFUNCTION("""COMPUTED_VALUE"""),"0xe5a56e30e03c67b6e7e526b29067b9151c814894")</f>
        <v>0xe5a56e30e03c67b6e7e526b29067b9151c814894</v>
      </c>
      <c r="J2714" s="11">
        <v>42.646960015202</v>
      </c>
      <c r="K2714" s="12">
        <v>94.77102225600444</v>
      </c>
      <c r="L2714" s="13">
        <v>9.477102225600445E19</v>
      </c>
      <c r="M2714" s="9">
        <v>9.477102225600444E18</v>
      </c>
    </row>
    <row r="2715" ht="15.75" customHeight="1">
      <c r="A2715" s="8"/>
      <c r="B2715" s="8"/>
      <c r="C2715" s="8"/>
      <c r="D2715" s="8">
        <v>19.447016613481</v>
      </c>
      <c r="E2715" s="9" t="s">
        <v>2724</v>
      </c>
      <c r="I2715" s="12" t="str">
        <f>IFERROR(__xludf.DUMMYFUNCTION("""COMPUTED_VALUE"""),"0xe5b4875fd75447563aad0557c355fb49df1a75e7")</f>
        <v>0xe5b4875fd75447563aad0557c355fb49df1a75e7</v>
      </c>
      <c r="J2715" s="11">
        <v>19.447016613481</v>
      </c>
      <c r="K2715" s="12">
        <v>43.21559247440222</v>
      </c>
      <c r="L2715" s="13">
        <v>4.321559247440222E19</v>
      </c>
      <c r="M2715" s="9">
        <v>4.3215592474402222E18</v>
      </c>
    </row>
    <row r="2716" ht="15.75" customHeight="1">
      <c r="A2716" s="8"/>
      <c r="B2716" s="8"/>
      <c r="C2716" s="8"/>
      <c r="D2716" s="8">
        <v>27.9026907562088</v>
      </c>
      <c r="E2716" s="9" t="s">
        <v>2725</v>
      </c>
      <c r="I2716" s="12" t="str">
        <f>IFERROR(__xludf.DUMMYFUNCTION("""COMPUTED_VALUE"""),"0xe5b7c3396ca0b154a80019ccf3fe08f162495e66")</f>
        <v>0xe5b7c3396ca0b154a80019ccf3fe08f162495e66</v>
      </c>
      <c r="J2716" s="11">
        <v>106.5283553313128</v>
      </c>
      <c r="K2716" s="12">
        <v>236.72967851402842</v>
      </c>
      <c r="L2716" s="13">
        <v>2.367296785140284E20</v>
      </c>
      <c r="M2716" s="9">
        <v>2.3672967851402842E19</v>
      </c>
    </row>
    <row r="2717" ht="15.75" customHeight="1">
      <c r="A2717" s="8"/>
      <c r="B2717" s="8"/>
      <c r="C2717" s="8"/>
      <c r="D2717" s="8">
        <v>27.9026907562088</v>
      </c>
      <c r="E2717" s="9" t="s">
        <v>2726</v>
      </c>
      <c r="I2717" s="12" t="str">
        <f>IFERROR(__xludf.DUMMYFUNCTION("""COMPUTED_VALUE"""),"0xe5d60f94365b43e6c3b08035369906be9a545faa")</f>
        <v>0xe5d60f94365b43e6c3b08035369906be9a545faa</v>
      </c>
      <c r="J2717" s="11">
        <v>27.9026907562088</v>
      </c>
      <c r="K2717" s="12">
        <v>62.005979458241775</v>
      </c>
      <c r="L2717" s="13">
        <v>6.200597945824177E19</v>
      </c>
      <c r="M2717" s="9">
        <v>6.2005979458241782E18</v>
      </c>
    </row>
    <row r="2718" ht="15.75" customHeight="1">
      <c r="A2718" s="8"/>
      <c r="B2718" s="8"/>
      <c r="C2718" s="8"/>
      <c r="D2718" s="8">
        <v>27.9026907562088</v>
      </c>
      <c r="E2718" s="9" t="s">
        <v>2727</v>
      </c>
      <c r="I2718" s="12" t="str">
        <f>IFERROR(__xludf.DUMMYFUNCTION("""COMPUTED_VALUE"""),"0xe5de6a8b4ee083d15c0da6b92ec9fc873199fef1")</f>
        <v>0xe5de6a8b4ee083d15c0da6b92ec9fc873199fef1</v>
      </c>
      <c r="J2718" s="11">
        <v>27.9026907562088</v>
      </c>
      <c r="K2718" s="12">
        <v>62.005979458241775</v>
      </c>
      <c r="L2718" s="13">
        <v>6.200597945824177E19</v>
      </c>
      <c r="M2718" s="9">
        <v>6.2005979458241782E18</v>
      </c>
    </row>
    <row r="2719" ht="15.75" customHeight="1">
      <c r="A2719" s="8"/>
      <c r="B2719" s="8"/>
      <c r="C2719" s="8"/>
      <c r="D2719" s="8">
        <v>14.2260344368093</v>
      </c>
      <c r="E2719" s="9" t="s">
        <v>2728</v>
      </c>
      <c r="I2719" s="12" t="str">
        <f>IFERROR(__xludf.DUMMYFUNCTION("""COMPUTED_VALUE"""),"0xe5df55992addfab97b730ec96719112fc9b3a83a")</f>
        <v>0xe5df55992addfab97b730ec96719112fc9b3a83a</v>
      </c>
      <c r="J2719" s="11">
        <v>14.2260344368093</v>
      </c>
      <c r="K2719" s="12">
        <v>31.613409859576223</v>
      </c>
      <c r="L2719" s="13">
        <v>3.161340985957622E19</v>
      </c>
      <c r="M2719" s="9">
        <v>3.1613409859576223E18</v>
      </c>
    </row>
    <row r="2720" ht="15.75" customHeight="1">
      <c r="A2720" s="8"/>
      <c r="B2720" s="8"/>
      <c r="C2720" s="8"/>
      <c r="D2720" s="8">
        <v>27.5225817986201</v>
      </c>
      <c r="E2720" s="9" t="s">
        <v>2729</v>
      </c>
      <c r="I2720" s="12" t="str">
        <f>IFERROR(__xludf.DUMMYFUNCTION("""COMPUTED_VALUE"""),"0xe5ed4bd829ad3fdcead7e35603fdf363fd76569b")</f>
        <v>0xe5ed4bd829ad3fdcead7e35603fdf363fd76569b</v>
      </c>
      <c r="J2720" s="11">
        <v>27.5225817986201</v>
      </c>
      <c r="K2720" s="12">
        <v>61.16129288582244</v>
      </c>
      <c r="L2720" s="13">
        <v>6.116129288582244E19</v>
      </c>
      <c r="M2720" s="9">
        <v>6.1161292885822444E18</v>
      </c>
    </row>
    <row r="2721" ht="15.75" customHeight="1">
      <c r="A2721" s="8"/>
      <c r="B2721" s="8"/>
      <c r="C2721" s="8"/>
      <c r="D2721" s="8">
        <v>27.9026907562088</v>
      </c>
      <c r="E2721" s="9" t="s">
        <v>2730</v>
      </c>
      <c r="I2721" s="12" t="str">
        <f>IFERROR(__xludf.DUMMYFUNCTION("""COMPUTED_VALUE"""),"0xe601b042bd730d42d472a44a36d842e796086e22")</f>
        <v>0xe601b042bd730d42d472a44a36d842e796086e22</v>
      </c>
      <c r="J2721" s="11">
        <v>27.9026907562088</v>
      </c>
      <c r="K2721" s="12">
        <v>62.005979458241775</v>
      </c>
      <c r="L2721" s="13">
        <v>6.200597945824177E19</v>
      </c>
      <c r="M2721" s="9">
        <v>6.2005979458241782E18</v>
      </c>
    </row>
    <row r="2722" ht="15.75" customHeight="1">
      <c r="A2722" s="8"/>
      <c r="B2722" s="8"/>
      <c r="C2722" s="8"/>
      <c r="D2722" s="8">
        <v>25.6201302431671</v>
      </c>
      <c r="E2722" s="9" t="s">
        <v>2731</v>
      </c>
      <c r="I2722" s="12" t="str">
        <f>IFERROR(__xludf.DUMMYFUNCTION("""COMPUTED_VALUE"""),"0xe603b5097e98bb82431c08cb9927625690d8a297")</f>
        <v>0xe603b5097e98bb82431c08cb9927625690d8a297</v>
      </c>
      <c r="J2722" s="11">
        <v>25.6201302431671</v>
      </c>
      <c r="K2722" s="12">
        <v>56.93362276259356</v>
      </c>
      <c r="L2722" s="13">
        <v>5.693362276259356E19</v>
      </c>
      <c r="M2722" s="9">
        <v>5.6933622762593567E18</v>
      </c>
    </row>
    <row r="2723" ht="15.75" customHeight="1">
      <c r="A2723" s="8"/>
      <c r="B2723" s="8"/>
      <c r="C2723" s="8"/>
      <c r="D2723" s="8">
        <v>27.9026907562088</v>
      </c>
      <c r="E2723" s="9" t="s">
        <v>2732</v>
      </c>
      <c r="I2723" s="12" t="str">
        <f>IFERROR(__xludf.DUMMYFUNCTION("""COMPUTED_VALUE"""),"0xe63e3b16b1a76649e208edf23c8c4f9030e38d09")</f>
        <v>0xe63e3b16b1a76649e208edf23c8c4f9030e38d09</v>
      </c>
      <c r="J2723" s="11">
        <v>91.1199983031448</v>
      </c>
      <c r="K2723" s="12">
        <v>202.48888511809955</v>
      </c>
      <c r="L2723" s="13">
        <v>2.0248888511809955E20</v>
      </c>
      <c r="M2723" s="9">
        <v>2.0248888511809958E19</v>
      </c>
    </row>
    <row r="2724" ht="15.75" customHeight="1">
      <c r="A2724" s="8"/>
      <c r="B2724" s="8"/>
      <c r="C2724" s="8"/>
      <c r="D2724" s="8">
        <v>27.9026907562088</v>
      </c>
      <c r="E2724" s="9" t="s">
        <v>2733</v>
      </c>
      <c r="I2724" s="12" t="str">
        <f>IFERROR(__xludf.DUMMYFUNCTION("""COMPUTED_VALUE"""),"0xe63e7c1055aef17d89c11e4317d5bc602d71f33f")</f>
        <v>0xe63e7c1055aef17d89c11e4317d5bc602d71f33f</v>
      </c>
      <c r="J2724" s="11">
        <v>91.1199983031448</v>
      </c>
      <c r="K2724" s="12">
        <v>202.48888511809955</v>
      </c>
      <c r="L2724" s="13">
        <v>2.0248888511809955E20</v>
      </c>
      <c r="M2724" s="9">
        <v>2.0248888511809958E19</v>
      </c>
    </row>
    <row r="2725" ht="15.75" customHeight="1">
      <c r="A2725" s="8"/>
      <c r="B2725" s="8"/>
      <c r="C2725" s="8"/>
      <c r="D2725" s="8">
        <v>27.9026907562088</v>
      </c>
      <c r="E2725" s="9" t="s">
        <v>2734</v>
      </c>
      <c r="I2725" s="12" t="str">
        <f>IFERROR(__xludf.DUMMYFUNCTION("""COMPUTED_VALUE"""),"0xe648521c9eec4c03784521c8f00cf35ec5b1be04")</f>
        <v>0xe648521c9eec4c03784521c8f00cf35ec5b1be04</v>
      </c>
      <c r="J2725" s="11">
        <v>27.9026907562088</v>
      </c>
      <c r="K2725" s="12">
        <v>62.005979458241775</v>
      </c>
      <c r="L2725" s="13">
        <v>6.200597945824177E19</v>
      </c>
      <c r="M2725" s="9">
        <v>6.2005979458241782E18</v>
      </c>
    </row>
    <row r="2726" ht="15.75" customHeight="1">
      <c r="A2726" s="8"/>
      <c r="B2726" s="8"/>
      <c r="C2726" s="8"/>
      <c r="D2726" s="8">
        <v>23.2122884513692</v>
      </c>
      <c r="E2726" s="9" t="s">
        <v>2735</v>
      </c>
      <c r="I2726" s="12" t="str">
        <f>IFERROR(__xludf.DUMMYFUNCTION("""COMPUTED_VALUE"""),"0xe67252f26c9158c21d486d07ecf27aca0196b7ca")</f>
        <v>0xe67252f26c9158c21d486d07ecf27aca0196b7ca</v>
      </c>
      <c r="J2726" s="11">
        <v>23.2122884513692</v>
      </c>
      <c r="K2726" s="12">
        <v>51.58286322526489</v>
      </c>
      <c r="L2726" s="13">
        <v>5.158286322526489E19</v>
      </c>
      <c r="M2726" s="9">
        <v>5.1582863225264896E18</v>
      </c>
    </row>
    <row r="2727" ht="15.75" customHeight="1">
      <c r="A2727" s="8"/>
      <c r="B2727" s="8"/>
      <c r="C2727" s="8"/>
      <c r="D2727" s="8">
        <v>27.9026907562088</v>
      </c>
      <c r="E2727" s="9" t="s">
        <v>2736</v>
      </c>
      <c r="I2727" s="12" t="str">
        <f>IFERROR(__xludf.DUMMYFUNCTION("""COMPUTED_VALUE"""),"0xe67f24c61540b646c77a5bd64756f24c764709ee")</f>
        <v>0xe67f24c61540b646c77a5bd64756f24c764709ee</v>
      </c>
      <c r="J2727" s="11">
        <v>27.9026907562088</v>
      </c>
      <c r="K2727" s="12">
        <v>62.005979458241775</v>
      </c>
      <c r="L2727" s="13">
        <v>6.200597945824177E19</v>
      </c>
      <c r="M2727" s="9">
        <v>6.2005979458241782E18</v>
      </c>
    </row>
    <row r="2728" ht="15.75" customHeight="1">
      <c r="A2728" s="8"/>
      <c r="B2728" s="8"/>
      <c r="C2728" s="8"/>
      <c r="D2728" s="8">
        <v>24.4463007247681</v>
      </c>
      <c r="E2728" s="9" t="s">
        <v>2737</v>
      </c>
      <c r="I2728" s="12" t="str">
        <f>IFERROR(__xludf.DUMMYFUNCTION("""COMPUTED_VALUE"""),"0xe6c271dba955283ae59c2cb1ca096fd4f555919b")</f>
        <v>0xe6c271dba955283ae59c2cb1ca096fd4f555919b</v>
      </c>
      <c r="J2728" s="11">
        <v>24.4463007247681</v>
      </c>
      <c r="K2728" s="12">
        <v>54.32511272170689</v>
      </c>
      <c r="L2728" s="13">
        <v>5.4325112721706885E19</v>
      </c>
      <c r="M2728" s="9">
        <v>5.4325112721706885E18</v>
      </c>
    </row>
    <row r="2729" ht="15.75" customHeight="1">
      <c r="A2729" s="8"/>
      <c r="B2729" s="8"/>
      <c r="C2729" s="8"/>
      <c r="D2729" s="8">
        <v>27.9026907562088</v>
      </c>
      <c r="E2729" s="9" t="s">
        <v>2738</v>
      </c>
      <c r="I2729" s="12" t="str">
        <f>IFERROR(__xludf.DUMMYFUNCTION("""COMPUTED_VALUE"""),"0xe6d9e05167897e56fbb5ce1022a1312c9e14a9df")</f>
        <v>0xe6d9e05167897e56fbb5ce1022a1312c9e14a9df</v>
      </c>
      <c r="J2729" s="11">
        <v>27.9026907562088</v>
      </c>
      <c r="K2729" s="12">
        <v>62.005979458241775</v>
      </c>
      <c r="L2729" s="13">
        <v>6.200597945824177E19</v>
      </c>
      <c r="M2729" s="9">
        <v>6.2005979458241782E18</v>
      </c>
    </row>
    <row r="2730" ht="15.75" customHeight="1">
      <c r="A2730" s="8"/>
      <c r="B2730" s="8"/>
      <c r="C2730" s="8"/>
      <c r="D2730" s="8">
        <v>27.9026907562088</v>
      </c>
      <c r="E2730" s="9" t="s">
        <v>2739</v>
      </c>
      <c r="I2730" s="12" t="str">
        <f>IFERROR(__xludf.DUMMYFUNCTION("""COMPUTED_VALUE"""),"0xe73131dd07242fcab756a5f65397900629b682d0")</f>
        <v>0xe73131dd07242fcab756a5f65397900629b682d0</v>
      </c>
      <c r="J2730" s="11">
        <v>27.9026907562088</v>
      </c>
      <c r="K2730" s="12">
        <v>62.005979458241775</v>
      </c>
      <c r="L2730" s="13">
        <v>6.200597945824177E19</v>
      </c>
      <c r="M2730" s="9">
        <v>6.2005979458241782E18</v>
      </c>
    </row>
    <row r="2731" ht="15.75" customHeight="1">
      <c r="A2731" s="8"/>
      <c r="B2731" s="8"/>
      <c r="C2731" s="8"/>
      <c r="D2731" s="8">
        <v>27.9026907562088</v>
      </c>
      <c r="E2731" s="9" t="s">
        <v>2740</v>
      </c>
      <c r="I2731" s="12" t="str">
        <f>IFERROR(__xludf.DUMMYFUNCTION("""COMPUTED_VALUE"""),"0xe73a1d0f64222e161a410a82484eeee4a4094d07")</f>
        <v>0xe73a1d0f64222e161a410a82484eeee4a4094d07</v>
      </c>
      <c r="J2731" s="11">
        <v>91.1199983031448</v>
      </c>
      <c r="K2731" s="12">
        <v>202.48888511809955</v>
      </c>
      <c r="L2731" s="13">
        <v>2.0248888511809955E20</v>
      </c>
      <c r="M2731" s="9">
        <v>2.0248888511809958E19</v>
      </c>
    </row>
    <row r="2732" ht="15.75" customHeight="1">
      <c r="A2732" s="8"/>
      <c r="B2732" s="8"/>
      <c r="C2732" s="8"/>
      <c r="D2732" s="8">
        <v>27.9026907562088</v>
      </c>
      <c r="E2732" s="9" t="s">
        <v>2741</v>
      </c>
      <c r="I2732" s="12" t="str">
        <f>IFERROR(__xludf.DUMMYFUNCTION("""COMPUTED_VALUE"""),"0xe73d489d04dbf7da09b74fbfe03013a0ad4332f9")</f>
        <v>0xe73d489d04dbf7da09b74fbfe03013a0ad4332f9</v>
      </c>
      <c r="J2732" s="11">
        <v>137.8189664101082</v>
      </c>
      <c r="K2732" s="12">
        <v>306.26436980024044</v>
      </c>
      <c r="L2732" s="13">
        <v>3.062643698002404E20</v>
      </c>
      <c r="M2732" s="9">
        <v>3.0626436980024046E19</v>
      </c>
    </row>
    <row r="2733" ht="15.75" customHeight="1">
      <c r="A2733" s="8"/>
      <c r="B2733" s="8"/>
      <c r="C2733" s="8"/>
      <c r="D2733" s="8">
        <v>27.9026907562088</v>
      </c>
      <c r="E2733" s="9" t="s">
        <v>2742</v>
      </c>
      <c r="I2733" s="12" t="str">
        <f>IFERROR(__xludf.DUMMYFUNCTION("""COMPUTED_VALUE"""),"0xe7422d525a6f70a0e051c60a32e741fda464c926")</f>
        <v>0xe7422d525a6f70a0e051c60a32e741fda464c926</v>
      </c>
      <c r="J2733" s="11">
        <v>27.9026907562088</v>
      </c>
      <c r="K2733" s="12">
        <v>62.005979458241775</v>
      </c>
      <c r="L2733" s="13">
        <v>6.200597945824177E19</v>
      </c>
      <c r="M2733" s="9">
        <v>6.2005979458241782E18</v>
      </c>
    </row>
    <row r="2734" ht="15.75" customHeight="1">
      <c r="A2734" s="8"/>
      <c r="B2734" s="8"/>
      <c r="C2734" s="8"/>
      <c r="D2734" s="8">
        <v>26.1160232313829</v>
      </c>
      <c r="E2734" s="9" t="s">
        <v>2743</v>
      </c>
      <c r="I2734" s="12" t="str">
        <f>IFERROR(__xludf.DUMMYFUNCTION("""COMPUTED_VALUE"""),"0xe752f7e6bb6543f1125a36f0a43ee3896a7cbd0a")</f>
        <v>0xe752f7e6bb6543f1125a36f0a43ee3896a7cbd0a</v>
      </c>
      <c r="J2734" s="11">
        <v>89.3333307783189</v>
      </c>
      <c r="K2734" s="12">
        <v>198.51851284070864</v>
      </c>
      <c r="L2734" s="13">
        <v>1.9851851284070865E20</v>
      </c>
      <c r="M2734" s="9">
        <v>1.9851851284070867E19</v>
      </c>
    </row>
    <row r="2735" ht="15.75" customHeight="1">
      <c r="A2735" s="8"/>
      <c r="B2735" s="8"/>
      <c r="C2735" s="8"/>
      <c r="D2735" s="8">
        <v>27.9026907562088</v>
      </c>
      <c r="E2735" s="9" t="s">
        <v>2744</v>
      </c>
      <c r="I2735" s="12" t="str">
        <f>IFERROR(__xludf.DUMMYFUNCTION("""COMPUTED_VALUE"""),"0xe7597d5c02df9e36022e84c82dbdd2b8378beec8")</f>
        <v>0xe7597d5c02df9e36022e84c82dbdd2b8378beec8</v>
      </c>
      <c r="J2735" s="11">
        <v>91.1199983031448</v>
      </c>
      <c r="K2735" s="12">
        <v>202.48888511809955</v>
      </c>
      <c r="L2735" s="13">
        <v>2.0248888511809955E20</v>
      </c>
      <c r="M2735" s="9">
        <v>2.0248888511809958E19</v>
      </c>
    </row>
    <row r="2736" ht="15.75" customHeight="1">
      <c r="A2736" s="8"/>
      <c r="B2736" s="8"/>
      <c r="C2736" s="8"/>
      <c r="D2736" s="8">
        <v>14.6999996528883</v>
      </c>
      <c r="E2736" s="9" t="s">
        <v>2745</v>
      </c>
      <c r="I2736" s="12" t="str">
        <f>IFERROR(__xludf.DUMMYFUNCTION("""COMPUTED_VALUE"""),"0xe76de975500c11eb9709f02748bdcf12f3d75d4b")</f>
        <v>0xe76de975500c11eb9709f02748bdcf12f3d75d4b</v>
      </c>
      <c r="J2736" s="11">
        <v>48.6634519830271</v>
      </c>
      <c r="K2736" s="12">
        <v>108.14100440672689</v>
      </c>
      <c r="L2736" s="13">
        <v>1.0814100440672689E20</v>
      </c>
      <c r="M2736" s="9">
        <v>1.0814100440672688E19</v>
      </c>
    </row>
    <row r="2737" ht="15.75" customHeight="1">
      <c r="A2737" s="8"/>
      <c r="B2737" s="8"/>
      <c r="C2737" s="8"/>
      <c r="D2737" s="8">
        <v>26.6699508951042</v>
      </c>
      <c r="E2737" s="9" t="s">
        <v>2746</v>
      </c>
      <c r="I2737" s="12" t="str">
        <f>IFERROR(__xludf.DUMMYFUNCTION("""COMPUTED_VALUE"""),"0xe7ccfb2a2771b2ecc628fb066ed73f0b53d65201")</f>
        <v>0xe7ccfb2a2771b2ecc628fb066ed73f0b53d65201</v>
      </c>
      <c r="J2737" s="11">
        <v>26.6699508951042</v>
      </c>
      <c r="K2737" s="12">
        <v>59.266557544676</v>
      </c>
      <c r="L2737" s="13">
        <v>5.9266557544676E19</v>
      </c>
      <c r="M2737" s="9">
        <v>5.9266557544676004E18</v>
      </c>
    </row>
    <row r="2738" ht="15.75" customHeight="1">
      <c r="A2738" s="8"/>
      <c r="B2738" s="8"/>
      <c r="C2738" s="8"/>
      <c r="D2738" s="8">
        <v>27.9026907562088</v>
      </c>
      <c r="E2738" s="9" t="s">
        <v>2747</v>
      </c>
      <c r="I2738" s="12" t="str">
        <f>IFERROR(__xludf.DUMMYFUNCTION("""COMPUTED_VALUE"""),"0xe7fa148712ce99ae50f1dc90a3a6dbe0bd887b84")</f>
        <v>0xe7fa148712ce99ae50f1dc90a3a6dbe0bd887b84</v>
      </c>
      <c r="J2738" s="11">
        <v>27.9026907562088</v>
      </c>
      <c r="K2738" s="12">
        <v>62.005979458241775</v>
      </c>
      <c r="L2738" s="13">
        <v>6.200597945824177E19</v>
      </c>
      <c r="M2738" s="9">
        <v>6.2005979458241782E18</v>
      </c>
    </row>
    <row r="2739" ht="15.75" customHeight="1">
      <c r="A2739" s="8"/>
      <c r="B2739" s="8"/>
      <c r="C2739" s="8"/>
      <c r="D2739" s="8">
        <v>27.9026907562088</v>
      </c>
      <c r="E2739" s="9" t="s">
        <v>2748</v>
      </c>
      <c r="I2739" s="12" t="str">
        <f>IFERROR(__xludf.DUMMYFUNCTION("""COMPUTED_VALUE"""),"0xe816b51528849c54b20bd7d69f62d24d564390cf")</f>
        <v>0xe816b51528849c54b20bd7d69f62d24d564390cf</v>
      </c>
      <c r="J2739" s="11">
        <v>91.1199983031448</v>
      </c>
      <c r="K2739" s="12">
        <v>202.48888511809955</v>
      </c>
      <c r="L2739" s="13">
        <v>2.0248888511809955E20</v>
      </c>
      <c r="M2739" s="9">
        <v>2.0248888511809958E19</v>
      </c>
    </row>
    <row r="2740" ht="15.75" customHeight="1">
      <c r="A2740" s="8"/>
      <c r="B2740" s="8"/>
      <c r="C2740" s="8"/>
      <c r="D2740" s="8">
        <v>19.9126999156472</v>
      </c>
      <c r="E2740" s="9" t="s">
        <v>2749</v>
      </c>
      <c r="I2740" s="12" t="str">
        <f>IFERROR(__xludf.DUMMYFUNCTION("""COMPUTED_VALUE"""),"0xe8223dccd60ac6ce630489eb8a5f6e0d3562e350")</f>
        <v>0xe8223dccd60ac6ce630489eb8a5f6e0d3562e350</v>
      </c>
      <c r="J2740" s="11">
        <v>19.9126999156472</v>
      </c>
      <c r="K2740" s="12">
        <v>44.250444256993774</v>
      </c>
      <c r="L2740" s="13">
        <v>4.425044425699377E19</v>
      </c>
      <c r="M2740" s="9">
        <v>4.4250444256993772E18</v>
      </c>
    </row>
    <row r="2741" ht="15.75" customHeight="1">
      <c r="A2741" s="8"/>
      <c r="B2741" s="8"/>
      <c r="C2741" s="8"/>
      <c r="D2741" s="8">
        <v>7.57366445621457</v>
      </c>
      <c r="E2741" s="9" t="s">
        <v>2750</v>
      </c>
      <c r="I2741" s="12" t="str">
        <f>IFERROR(__xludf.DUMMYFUNCTION("""COMPUTED_VALUE"""),"0xe8309c410cc6d441878b65ec758590a0c3b37a4d")</f>
        <v>0xe8309c410cc6d441878b65ec758590a0c3b37a4d</v>
      </c>
      <c r="J2741" s="11">
        <v>7.57366445621457</v>
      </c>
      <c r="K2741" s="12">
        <v>16.8303654582546</v>
      </c>
      <c r="L2741" s="13">
        <v>1.68303654582546E19</v>
      </c>
      <c r="M2741" s="9">
        <v>1.68303654582546022E18</v>
      </c>
    </row>
    <row r="2742" ht="15.75" customHeight="1">
      <c r="A2742" s="8"/>
      <c r="B2742" s="8"/>
      <c r="C2742" s="8"/>
      <c r="D2742" s="8">
        <v>27.9026907562088</v>
      </c>
      <c r="E2742" s="9" t="s">
        <v>2751</v>
      </c>
      <c r="I2742" s="12" t="str">
        <f>IFERROR(__xludf.DUMMYFUNCTION("""COMPUTED_VALUE"""),"0xe83ded34adbe4b52b1611dca0ea4fcf23f3ee01f")</f>
        <v>0xe83ded34adbe4b52b1611dca0ea4fcf23f3ee01f</v>
      </c>
      <c r="J2742" s="11">
        <v>29.848481093998938</v>
      </c>
      <c r="K2742" s="12">
        <v>66.32995798666431</v>
      </c>
      <c r="L2742" s="13">
        <v>6.632995798666431E19</v>
      </c>
      <c r="M2742" s="9">
        <v>6.6329957986664315E18</v>
      </c>
    </row>
    <row r="2743" ht="15.75" customHeight="1">
      <c r="A2743" s="8"/>
      <c r="B2743" s="8"/>
      <c r="C2743" s="8"/>
      <c r="D2743" s="8">
        <v>20.8199802658836</v>
      </c>
      <c r="E2743" s="9" t="s">
        <v>2752</v>
      </c>
      <c r="I2743" s="12" t="str">
        <f>IFERROR(__xludf.DUMMYFUNCTION("""COMPUTED_VALUE"""),"0xe85934f643a79a70cc19b99425e91adaa82f4a41")</f>
        <v>0xe85934f643a79a70cc19b99425e91adaa82f4a41</v>
      </c>
      <c r="J2743" s="11">
        <v>20.8199802658836</v>
      </c>
      <c r="K2743" s="12">
        <v>46.26662281307467</v>
      </c>
      <c r="L2743" s="13">
        <v>4.626662281307467E19</v>
      </c>
      <c r="M2743" s="9">
        <v>4.6266622813074668E18</v>
      </c>
    </row>
    <row r="2744" ht="15.75" customHeight="1">
      <c r="A2744" s="8"/>
      <c r="B2744" s="8"/>
      <c r="C2744" s="8"/>
      <c r="D2744" s="8">
        <v>19.9939650073158</v>
      </c>
      <c r="E2744" s="9" t="s">
        <v>2753</v>
      </c>
      <c r="I2744" s="12" t="str">
        <f>IFERROR(__xludf.DUMMYFUNCTION("""COMPUTED_VALUE"""),"0xe85d08f07c381dbdcc0d126b7a3922f2c14a45a3")</f>
        <v>0xe85d08f07c381dbdcc0d126b7a3922f2c14a45a3</v>
      </c>
      <c r="J2744" s="11">
        <v>65.9809644203537</v>
      </c>
      <c r="K2744" s="12">
        <v>146.62436537856377</v>
      </c>
      <c r="L2744" s="13">
        <v>1.4662436537856377E20</v>
      </c>
      <c r="M2744" s="9">
        <v>1.4662436537856377E19</v>
      </c>
    </row>
    <row r="2745" ht="15.75" customHeight="1">
      <c r="A2745" s="8"/>
      <c r="B2745" s="8"/>
      <c r="C2745" s="8"/>
      <c r="D2745" s="8">
        <v>27.9026907562088</v>
      </c>
      <c r="E2745" s="9" t="s">
        <v>2754</v>
      </c>
      <c r="I2745" s="12" t="str">
        <f>IFERROR(__xludf.DUMMYFUNCTION("""COMPUTED_VALUE"""),"0xe85f4fa538cf3d574debe5e3336fe0928e7b556a")</f>
        <v>0xe85f4fa538cf3d574debe5e3336fe0928e7b556a</v>
      </c>
      <c r="J2745" s="11">
        <v>29.950159113337858</v>
      </c>
      <c r="K2745" s="12">
        <v>66.5559091407508</v>
      </c>
      <c r="L2745" s="13">
        <v>6.65559091407508E19</v>
      </c>
      <c r="M2745" s="9">
        <v>6.6555909140750807E18</v>
      </c>
    </row>
    <row r="2746" ht="15.75" customHeight="1">
      <c r="A2746" s="8"/>
      <c r="B2746" s="8"/>
      <c r="C2746" s="8"/>
      <c r="D2746" s="8">
        <v>27.9026907562088</v>
      </c>
      <c r="E2746" s="9" t="s">
        <v>2755</v>
      </c>
      <c r="I2746" s="12" t="str">
        <f>IFERROR(__xludf.DUMMYFUNCTION("""COMPUTED_VALUE"""),"0xe86267b62cdaa596f850837254fe742f38f9b680")</f>
        <v>0xe86267b62cdaa596f850837254fe742f38f9b680</v>
      </c>
      <c r="J2746" s="11">
        <v>27.9026907562088</v>
      </c>
      <c r="K2746" s="12">
        <v>62.005979458241775</v>
      </c>
      <c r="L2746" s="13">
        <v>6.200597945824177E19</v>
      </c>
      <c r="M2746" s="9">
        <v>6.2005979458241782E18</v>
      </c>
    </row>
    <row r="2747" ht="15.75" customHeight="1">
      <c r="A2747" s="8"/>
      <c r="B2747" s="8"/>
      <c r="C2747" s="8"/>
      <c r="D2747" s="8">
        <v>21.1726655474887</v>
      </c>
      <c r="E2747" s="9" t="s">
        <v>2756</v>
      </c>
      <c r="I2747" s="12" t="str">
        <f>IFERROR(__xludf.DUMMYFUNCTION("""COMPUTED_VALUE"""),"0xe8703bca0d8a5048568882c3401863044f7eefad")</f>
        <v>0xe8703bca0d8a5048568882c3401863044f7eefad</v>
      </c>
      <c r="J2747" s="11">
        <v>21.1726655474887</v>
      </c>
      <c r="K2747" s="12">
        <v>47.050367883308226</v>
      </c>
      <c r="L2747" s="13">
        <v>4.705036788330823E19</v>
      </c>
      <c r="M2747" s="9">
        <v>4.7050367883308227E18</v>
      </c>
    </row>
    <row r="2748" ht="15.75" customHeight="1">
      <c r="A2748" s="8"/>
      <c r="B2748" s="8"/>
      <c r="C2748" s="8"/>
      <c r="D2748" s="8">
        <v>27.9026907562088</v>
      </c>
      <c r="E2748" s="9" t="s">
        <v>2757</v>
      </c>
      <c r="I2748" s="12" t="str">
        <f>IFERROR(__xludf.DUMMYFUNCTION("""COMPUTED_VALUE"""),"0xe89546063d995dfc96d719e4ff533e82a02dbb88")</f>
        <v>0xe89546063d995dfc96d719e4ff533e82a02dbb88</v>
      </c>
      <c r="J2748" s="11">
        <v>91.1199983031448</v>
      </c>
      <c r="K2748" s="12">
        <v>202.48888511809955</v>
      </c>
      <c r="L2748" s="13">
        <v>2.0248888511809955E20</v>
      </c>
      <c r="M2748" s="9">
        <v>2.0248888511809958E19</v>
      </c>
    </row>
    <row r="2749" ht="15.75" customHeight="1">
      <c r="A2749" s="8"/>
      <c r="B2749" s="8"/>
      <c r="C2749" s="8"/>
      <c r="D2749" s="8">
        <v>27.9026907562088</v>
      </c>
      <c r="E2749" s="9" t="s">
        <v>2758</v>
      </c>
      <c r="I2749" s="12" t="str">
        <f>IFERROR(__xludf.DUMMYFUNCTION("""COMPUTED_VALUE"""),"0xe8a81a1f9767657b11116474130acbfccb2d7f51")</f>
        <v>0xe8a81a1f9767657b11116474130acbfccb2d7f51</v>
      </c>
      <c r="J2749" s="11">
        <v>69.8436742326586</v>
      </c>
      <c r="K2749" s="12">
        <v>155.20816496146355</v>
      </c>
      <c r="L2749" s="13">
        <v>1.5520816496146357E20</v>
      </c>
      <c r="M2749" s="9">
        <v>1.5520816496146358E19</v>
      </c>
    </row>
    <row r="2750" ht="15.75" customHeight="1">
      <c r="A2750" s="8"/>
      <c r="B2750" s="8"/>
      <c r="C2750" s="8"/>
      <c r="D2750" s="8">
        <v>27.9026907562088</v>
      </c>
      <c r="E2750" s="9" t="s">
        <v>2759</v>
      </c>
      <c r="I2750" s="12" t="str">
        <f>IFERROR(__xludf.DUMMYFUNCTION("""COMPUTED_VALUE"""),"0xe8bb7407a2a675f2a5a40e39b09c872360f3e571")</f>
        <v>0xe8bb7407a2a675f2a5a40e39b09c872360f3e571</v>
      </c>
      <c r="J2750" s="11">
        <v>293.7826488413908</v>
      </c>
      <c r="K2750" s="12">
        <v>652.8503307586462</v>
      </c>
      <c r="L2750" s="13">
        <v>6.528503307586462E20</v>
      </c>
      <c r="M2750" s="9">
        <v>6.5285033075864625E19</v>
      </c>
    </row>
    <row r="2751" ht="15.75" customHeight="1">
      <c r="A2751" s="8"/>
      <c r="B2751" s="8"/>
      <c r="C2751" s="8"/>
      <c r="D2751" s="8">
        <v>27.9026907562088</v>
      </c>
      <c r="E2751" s="9" t="s">
        <v>2760</v>
      </c>
      <c r="I2751" s="12" t="str">
        <f>IFERROR(__xludf.DUMMYFUNCTION("""COMPUTED_VALUE"""),"0xe8c7b194b5b4c64ce1f693d15526dc4388b2a389")</f>
        <v>0xe8c7b194b5b4c64ce1f693d15526dc4388b2a389</v>
      </c>
      <c r="J2751" s="11">
        <v>91.1199983031448</v>
      </c>
      <c r="K2751" s="12">
        <v>202.48888511809955</v>
      </c>
      <c r="L2751" s="13">
        <v>2.0248888511809955E20</v>
      </c>
      <c r="M2751" s="9">
        <v>2.0248888511809958E19</v>
      </c>
    </row>
    <row r="2752" ht="15.75" customHeight="1">
      <c r="A2752" s="8"/>
      <c r="B2752" s="8"/>
      <c r="C2752" s="8"/>
      <c r="D2752" s="8">
        <v>27.9026907562088</v>
      </c>
      <c r="E2752" s="9" t="s">
        <v>2761</v>
      </c>
      <c r="I2752" s="12" t="str">
        <f>IFERROR(__xludf.DUMMYFUNCTION("""COMPUTED_VALUE"""),"0xe8e624851ee202340ee15d7d192d24c424543abf")</f>
        <v>0xe8e624851ee202340ee15d7d192d24c424543abf</v>
      </c>
      <c r="J2752" s="11">
        <v>27.9026907562088</v>
      </c>
      <c r="K2752" s="12">
        <v>62.005979458241775</v>
      </c>
      <c r="L2752" s="13">
        <v>6.200597945824177E19</v>
      </c>
      <c r="M2752" s="9">
        <v>6.2005979458241782E18</v>
      </c>
    </row>
    <row r="2753" ht="15.75" customHeight="1">
      <c r="A2753" s="8"/>
      <c r="B2753" s="8"/>
      <c r="C2753" s="8"/>
      <c r="D2753" s="8">
        <v>27.9026907562088</v>
      </c>
      <c r="E2753" s="9" t="s">
        <v>2762</v>
      </c>
      <c r="I2753" s="12" t="str">
        <f>IFERROR(__xludf.DUMMYFUNCTION("""COMPUTED_VALUE"""),"0xe905406798d5d02a2244da614611438d4919fed7")</f>
        <v>0xe905406798d5d02a2244da614611438d4919fed7</v>
      </c>
      <c r="J2753" s="11">
        <v>27.9026907562088</v>
      </c>
      <c r="K2753" s="12">
        <v>62.005979458241775</v>
      </c>
      <c r="L2753" s="13">
        <v>6.200597945824177E19</v>
      </c>
      <c r="M2753" s="9">
        <v>6.2005979458241782E18</v>
      </c>
    </row>
    <row r="2754" ht="15.75" customHeight="1">
      <c r="A2754" s="8"/>
      <c r="B2754" s="8"/>
      <c r="C2754" s="8"/>
      <c r="D2754" s="8">
        <v>27.9026907562088</v>
      </c>
      <c r="E2754" s="9" t="s">
        <v>2763</v>
      </c>
      <c r="I2754" s="12" t="str">
        <f>IFERROR(__xludf.DUMMYFUNCTION("""COMPUTED_VALUE"""),"0xe926ec993150b7513efbb9ba8103665805912877")</f>
        <v>0xe926ec993150b7513efbb9ba8103665805912877</v>
      </c>
      <c r="J2754" s="11">
        <v>147.8981603598612</v>
      </c>
      <c r="K2754" s="12">
        <v>328.66257857746933</v>
      </c>
      <c r="L2754" s="13">
        <v>3.2866257857746934E20</v>
      </c>
      <c r="M2754" s="9">
        <v>3.2866257857746936E19</v>
      </c>
    </row>
    <row r="2755" ht="15.75" customHeight="1">
      <c r="A2755" s="8"/>
      <c r="B2755" s="8"/>
      <c r="C2755" s="8"/>
      <c r="D2755" s="8">
        <v>27.9026907562088</v>
      </c>
      <c r="E2755" s="9" t="s">
        <v>2764</v>
      </c>
      <c r="I2755" s="12" t="str">
        <f>IFERROR(__xludf.DUMMYFUNCTION("""COMPUTED_VALUE"""),"0xe93a5f4ca51d7c157af00643c107d1d9af42b1cd")</f>
        <v>0xe93a5f4ca51d7c157af00643c107d1d9af42b1cd</v>
      </c>
      <c r="J2755" s="11">
        <v>679.2380399479698</v>
      </c>
      <c r="K2755" s="12">
        <v>1509.417866551044</v>
      </c>
      <c r="L2755" s="13">
        <v>1.509417866551044E21</v>
      </c>
      <c r="M2755" s="9">
        <v>1.509417866551044E20</v>
      </c>
    </row>
    <row r="2756" ht="15.75" customHeight="1">
      <c r="A2756" s="8"/>
      <c r="B2756" s="8"/>
      <c r="C2756" s="8"/>
      <c r="D2756" s="8">
        <v>27.9026907562088</v>
      </c>
      <c r="E2756" s="9" t="s">
        <v>2765</v>
      </c>
      <c r="I2756" s="12" t="str">
        <f>IFERROR(__xludf.DUMMYFUNCTION("""COMPUTED_VALUE"""),"0xe94d9f8b452219a688d8db0afec7b47c06c25aa0")</f>
        <v>0xe94d9f8b452219a688d8db0afec7b47c06c25aa0</v>
      </c>
      <c r="J2756" s="11">
        <v>43.6564437969052</v>
      </c>
      <c r="K2756" s="12">
        <v>97.01431954867822</v>
      </c>
      <c r="L2756" s="13">
        <v>9.701431954867821E19</v>
      </c>
      <c r="M2756" s="9">
        <v>9.70143195486782E18</v>
      </c>
    </row>
    <row r="2757" ht="15.75" customHeight="1">
      <c r="A2757" s="8"/>
      <c r="B2757" s="8"/>
      <c r="C2757" s="8"/>
      <c r="D2757" s="8">
        <v>27.9026907562088</v>
      </c>
      <c r="E2757" s="9" t="s">
        <v>2766</v>
      </c>
      <c r="I2757" s="12" t="str">
        <f>IFERROR(__xludf.DUMMYFUNCTION("""COMPUTED_VALUE"""),"0xe955735a489ce1ad8408c6d0b42cde262017b8a6")</f>
        <v>0xe955735a489ce1ad8408c6d0b42cde262017b8a6</v>
      </c>
      <c r="J2757" s="11">
        <v>27.9026907562088</v>
      </c>
      <c r="K2757" s="12">
        <v>62.005979458241775</v>
      </c>
      <c r="L2757" s="13">
        <v>6.200597945824177E19</v>
      </c>
      <c r="M2757" s="9">
        <v>6.2005979458241782E18</v>
      </c>
    </row>
    <row r="2758" ht="15.75" customHeight="1">
      <c r="A2758" s="8"/>
      <c r="B2758" s="8"/>
      <c r="C2758" s="8"/>
      <c r="D2758" s="8">
        <v>27.9026907562088</v>
      </c>
      <c r="E2758" s="9" t="s">
        <v>2767</v>
      </c>
      <c r="I2758" s="12" t="str">
        <f>IFERROR(__xludf.DUMMYFUNCTION("""COMPUTED_VALUE"""),"0xe955e195616f1ce066da97ebf12e028e3e61782a")</f>
        <v>0xe955e195616f1ce066da97ebf12e028e3e61782a</v>
      </c>
      <c r="J2758" s="11">
        <v>99.00345303709818</v>
      </c>
      <c r="K2758" s="12">
        <v>220.00767341577372</v>
      </c>
      <c r="L2758" s="13">
        <v>2.2000767341577372E20</v>
      </c>
      <c r="M2758" s="9">
        <v>2.200076734157737E19</v>
      </c>
    </row>
    <row r="2759" ht="15.75" customHeight="1">
      <c r="A2759" s="8"/>
      <c r="B2759" s="8"/>
      <c r="C2759" s="8"/>
      <c r="D2759" s="8">
        <v>27.9026907562088</v>
      </c>
      <c r="E2759" s="9" t="s">
        <v>2768</v>
      </c>
      <c r="I2759" s="12" t="str">
        <f>IFERROR(__xludf.DUMMYFUNCTION("""COMPUTED_VALUE"""),"0xe95ceee05a10a2a91af0d29818da73d849d37863")</f>
        <v>0xe95ceee05a10a2a91af0d29818da73d849d37863</v>
      </c>
      <c r="J2759" s="11">
        <v>91.1199983031448</v>
      </c>
      <c r="K2759" s="12">
        <v>202.48888511809955</v>
      </c>
      <c r="L2759" s="13">
        <v>2.0248888511809955E20</v>
      </c>
      <c r="M2759" s="9">
        <v>2.0248888511809958E19</v>
      </c>
    </row>
    <row r="2760" ht="15.75" customHeight="1">
      <c r="A2760" s="8"/>
      <c r="B2760" s="8"/>
      <c r="C2760" s="8"/>
      <c r="D2760" s="8">
        <v>25.5159304448586</v>
      </c>
      <c r="E2760" s="9" t="s">
        <v>2769</v>
      </c>
      <c r="I2760" s="12" t="str">
        <f>IFERROR(__xludf.DUMMYFUNCTION("""COMPUTED_VALUE"""),"0xe9686237455fd803f1fafecd58b194569462dc3e")</f>
        <v>0xe9686237455fd803f1fafecd58b194569462dc3e</v>
      </c>
      <c r="J2760" s="11">
        <v>25.5159304448586</v>
      </c>
      <c r="K2760" s="12">
        <v>56.702067655241336</v>
      </c>
      <c r="L2760" s="13">
        <v>5.6702067655241335E19</v>
      </c>
      <c r="M2760" s="9">
        <v>5.6702067655241339E18</v>
      </c>
    </row>
    <row r="2761" ht="15.75" customHeight="1">
      <c r="A2761" s="8"/>
      <c r="B2761" s="8"/>
      <c r="C2761" s="8"/>
      <c r="D2761" s="8">
        <v>27.9026907562088</v>
      </c>
      <c r="E2761" s="9" t="s">
        <v>2770</v>
      </c>
      <c r="I2761" s="12" t="str">
        <f>IFERROR(__xludf.DUMMYFUNCTION("""COMPUTED_VALUE"""),"0xe98b5e19049a7a0672cba377d1940cede2fecc25")</f>
        <v>0xe98b5e19049a7a0672cba377d1940cede2fecc25</v>
      </c>
      <c r="J2761" s="11">
        <v>91.1199983031448</v>
      </c>
      <c r="K2761" s="12">
        <v>202.48888511809955</v>
      </c>
      <c r="L2761" s="13">
        <v>2.0248888511809955E20</v>
      </c>
      <c r="M2761" s="9">
        <v>2.0248888511809958E19</v>
      </c>
    </row>
    <row r="2762" ht="15.75" customHeight="1">
      <c r="A2762" s="8"/>
      <c r="B2762" s="8"/>
      <c r="C2762" s="8"/>
      <c r="D2762" s="8">
        <v>27.9026907562088</v>
      </c>
      <c r="E2762" s="9" t="s">
        <v>2771</v>
      </c>
      <c r="I2762" s="12" t="str">
        <f>IFERROR(__xludf.DUMMYFUNCTION("""COMPUTED_VALUE"""),"0xe98c8628edf90a0d1889185e8933091bfcd5b8e4")</f>
        <v>0xe98c8628edf90a0d1889185e8933091bfcd5b8e4</v>
      </c>
      <c r="J2762" s="11">
        <v>91.1199983031448</v>
      </c>
      <c r="K2762" s="12">
        <v>202.48888511809955</v>
      </c>
      <c r="L2762" s="13">
        <v>2.0248888511809955E20</v>
      </c>
      <c r="M2762" s="9">
        <v>2.0248888511809958E19</v>
      </c>
    </row>
    <row r="2763" ht="15.75" customHeight="1">
      <c r="A2763" s="8"/>
      <c r="B2763" s="8"/>
      <c r="C2763" s="8"/>
      <c r="D2763" s="8">
        <v>26.0761193112078</v>
      </c>
      <c r="E2763" s="9" t="s">
        <v>2772</v>
      </c>
      <c r="I2763" s="12" t="str">
        <f>IFERROR(__xludf.DUMMYFUNCTION("""COMPUTED_VALUE"""),"0xe9a30aa19c7342c02741742ccf20fe1823ee53b7")</f>
        <v>0xe9a30aa19c7342c02741742ccf20fe1823ee53b7</v>
      </c>
      <c r="J2763" s="11">
        <v>26.0761193112078</v>
      </c>
      <c r="K2763" s="12">
        <v>57.946931802684</v>
      </c>
      <c r="L2763" s="13">
        <v>5.7946931802684E19</v>
      </c>
      <c r="M2763" s="9">
        <v>5.7946931802684006E18</v>
      </c>
    </row>
    <row r="2764" ht="15.75" customHeight="1">
      <c r="A2764" s="8"/>
      <c r="B2764" s="8"/>
      <c r="C2764" s="8"/>
      <c r="D2764" s="8">
        <v>27.9026907562088</v>
      </c>
      <c r="E2764" s="9" t="s">
        <v>2773</v>
      </c>
      <c r="I2764" s="12" t="str">
        <f>IFERROR(__xludf.DUMMYFUNCTION("""COMPUTED_VALUE"""),"0xe9c1bd74bc09706835989618376b181ccf494451")</f>
        <v>0xe9c1bd74bc09706835989618376b181ccf494451</v>
      </c>
      <c r="J2764" s="11">
        <v>27.9026907562088</v>
      </c>
      <c r="K2764" s="12">
        <v>62.005979458241775</v>
      </c>
      <c r="L2764" s="13">
        <v>6.200597945824177E19</v>
      </c>
      <c r="M2764" s="9">
        <v>6.2005979458241782E18</v>
      </c>
    </row>
    <row r="2765" ht="15.75" customHeight="1">
      <c r="A2765" s="8"/>
      <c r="B2765" s="8"/>
      <c r="C2765" s="8"/>
      <c r="D2765" s="8">
        <v>27.9026907562088</v>
      </c>
      <c r="E2765" s="9" t="s">
        <v>2774</v>
      </c>
      <c r="I2765" s="12" t="str">
        <f>IFERROR(__xludf.DUMMYFUNCTION("""COMPUTED_VALUE"""),"0xe9c208e0887b94b8c81cbd7f3e5e10cf862d5360")</f>
        <v>0xe9c208e0887b94b8c81cbd7f3e5e10cf862d5360</v>
      </c>
      <c r="J2765" s="11">
        <v>27.9026907562088</v>
      </c>
      <c r="K2765" s="12">
        <v>62.005979458241775</v>
      </c>
      <c r="L2765" s="13">
        <v>6.200597945824177E19</v>
      </c>
      <c r="M2765" s="9">
        <v>6.2005979458241782E18</v>
      </c>
    </row>
    <row r="2766" ht="15.75" customHeight="1">
      <c r="A2766" s="8"/>
      <c r="B2766" s="8"/>
      <c r="C2766" s="8"/>
      <c r="D2766" s="8">
        <v>27.9026907562088</v>
      </c>
      <c r="E2766" s="9" t="s">
        <v>2775</v>
      </c>
      <c r="I2766" s="12" t="str">
        <f>IFERROR(__xludf.DUMMYFUNCTION("""COMPUTED_VALUE"""),"0xe9d53feae5c0e405a8a736d1967d03da81403615")</f>
        <v>0xe9d53feae5c0e405a8a736d1967d03da81403615</v>
      </c>
      <c r="J2766" s="11">
        <v>39.810023999216796</v>
      </c>
      <c r="K2766" s="12">
        <v>88.46671999825955</v>
      </c>
      <c r="L2766" s="13">
        <v>8.846671999825954E19</v>
      </c>
      <c r="M2766" s="9">
        <v>8.8466719998259548E18</v>
      </c>
    </row>
    <row r="2767" ht="15.75" customHeight="1">
      <c r="A2767" s="8"/>
      <c r="B2767" s="8"/>
      <c r="C2767" s="8"/>
      <c r="D2767" s="8">
        <v>27.9026907562088</v>
      </c>
      <c r="E2767" s="9" t="s">
        <v>2776</v>
      </c>
      <c r="I2767" s="12" t="str">
        <f>IFERROR(__xludf.DUMMYFUNCTION("""COMPUTED_VALUE"""),"0xe9f7e9be43abed733dbafb663f96e3e8c48d152f")</f>
        <v>0xe9f7e9be43abed733dbafb663f96e3e8c48d152f</v>
      </c>
      <c r="J2767" s="11">
        <v>27.9026907562088</v>
      </c>
      <c r="K2767" s="12">
        <v>62.005979458241775</v>
      </c>
      <c r="L2767" s="13">
        <v>6.200597945824177E19</v>
      </c>
      <c r="M2767" s="9">
        <v>6.2005979458241782E18</v>
      </c>
    </row>
    <row r="2768" ht="15.75" customHeight="1">
      <c r="A2768" s="8"/>
      <c r="B2768" s="8"/>
      <c r="C2768" s="8"/>
      <c r="D2768" s="8">
        <v>27.9026907562088</v>
      </c>
      <c r="E2768" s="9" t="s">
        <v>2777</v>
      </c>
      <c r="I2768" s="12" t="str">
        <f>IFERROR(__xludf.DUMMYFUNCTION("""COMPUTED_VALUE"""),"0xe9fa5dd7c1f2041801d0706483c2006443896fd1")</f>
        <v>0xe9fa5dd7c1f2041801d0706483c2006443896fd1</v>
      </c>
      <c r="J2768" s="11">
        <v>27.9026907562088</v>
      </c>
      <c r="K2768" s="12">
        <v>62.005979458241775</v>
      </c>
      <c r="L2768" s="13">
        <v>6.200597945824177E19</v>
      </c>
      <c r="M2768" s="9">
        <v>6.2005979458241782E18</v>
      </c>
    </row>
    <row r="2769" ht="15.75" customHeight="1">
      <c r="A2769" s="8"/>
      <c r="B2769" s="8"/>
      <c r="C2769" s="8"/>
      <c r="D2769" s="8">
        <v>27.9026907562088</v>
      </c>
      <c r="E2769" s="9" t="s">
        <v>2778</v>
      </c>
      <c r="I2769" s="12" t="str">
        <f>IFERROR(__xludf.DUMMYFUNCTION("""COMPUTED_VALUE"""),"0xea0ac0c6eb360739a0f9b27dae2e4e05d11462ff")</f>
        <v>0xea0ac0c6eb360739a0f9b27dae2e4e05d11462ff</v>
      </c>
      <c r="J2769" s="11">
        <v>27.9026907562088</v>
      </c>
      <c r="K2769" s="12">
        <v>62.005979458241775</v>
      </c>
      <c r="L2769" s="13">
        <v>6.200597945824177E19</v>
      </c>
      <c r="M2769" s="9">
        <v>6.2005979458241782E18</v>
      </c>
    </row>
    <row r="2770" ht="15.75" customHeight="1">
      <c r="A2770" s="8"/>
      <c r="B2770" s="8"/>
      <c r="C2770" s="8"/>
      <c r="D2770" s="8">
        <v>4.57487117519448</v>
      </c>
      <c r="E2770" s="9" t="s">
        <v>2779</v>
      </c>
      <c r="I2770" s="12" t="str">
        <f>IFERROR(__xludf.DUMMYFUNCTION("""COMPUTED_VALUE"""),"0xea321b8ebbf72102a304e5f553a0bbe9c9b75d06")</f>
        <v>0xea321b8ebbf72102a304e5f553a0bbe9c9b75d06</v>
      </c>
      <c r="J2770" s="11">
        <v>4.57487117519448</v>
      </c>
      <c r="K2770" s="12">
        <v>10.166380389321066</v>
      </c>
      <c r="L2770" s="13">
        <v>1.0166380389321066E19</v>
      </c>
      <c r="M2770" s="9">
        <v>1.01663803893210675E18</v>
      </c>
    </row>
    <row r="2771" ht="15.75" customHeight="1">
      <c r="A2771" s="8"/>
      <c r="B2771" s="8"/>
      <c r="C2771" s="8"/>
      <c r="D2771" s="8">
        <v>27.9026907562088</v>
      </c>
      <c r="E2771" s="9" t="s">
        <v>2780</v>
      </c>
      <c r="I2771" s="12" t="str">
        <f>IFERROR(__xludf.DUMMYFUNCTION("""COMPUTED_VALUE"""),"0xea392d5deee981ae21d829fbf83b90a908f8ced2")</f>
        <v>0xea392d5deee981ae21d829fbf83b90a908f8ced2</v>
      </c>
      <c r="J2771" s="11">
        <v>277.91587073099777</v>
      </c>
      <c r="K2771" s="12">
        <v>617.5908238466617</v>
      </c>
      <c r="L2771" s="13">
        <v>6.175908238466617E20</v>
      </c>
      <c r="M2771" s="9">
        <v>6.175908238466617E19</v>
      </c>
    </row>
    <row r="2772" ht="15.75" customHeight="1">
      <c r="A2772" s="8"/>
      <c r="B2772" s="8"/>
      <c r="C2772" s="8"/>
      <c r="D2772" s="8">
        <v>22.4956987201943</v>
      </c>
      <c r="E2772" s="9" t="s">
        <v>2781</v>
      </c>
      <c r="I2772" s="12" t="str">
        <f>IFERROR(__xludf.DUMMYFUNCTION("""COMPUTED_VALUE"""),"0xea731d40092104f4e0d7de1db6f0714a9d9db410")</f>
        <v>0xea731d40092104f4e0d7de1db6f0714a9d9db410</v>
      </c>
      <c r="J2772" s="11">
        <v>45.4685439018571</v>
      </c>
      <c r="K2772" s="12">
        <v>101.04120867079357</v>
      </c>
      <c r="L2772" s="13">
        <v>1.0104120867079356E20</v>
      </c>
      <c r="M2772" s="9">
        <v>1.0104120867079356E19</v>
      </c>
    </row>
    <row r="2773" ht="15.75" customHeight="1">
      <c r="A2773" s="8"/>
      <c r="B2773" s="8"/>
      <c r="C2773" s="8"/>
      <c r="D2773" s="8">
        <v>25.6001828409405</v>
      </c>
      <c r="E2773" s="9" t="s">
        <v>2782</v>
      </c>
      <c r="I2773" s="12" t="str">
        <f>IFERROR(__xludf.DUMMYFUNCTION("""COMPUTED_VALUE"""),"0xea82768ad9e9a72f1b7fe59095b5dbab696e9df9")</f>
        <v>0xea82768ad9e9a72f1b7fe59095b5dbab696e9df9</v>
      </c>
      <c r="J2773" s="11">
        <v>25.6001828409405</v>
      </c>
      <c r="K2773" s="12">
        <v>56.889295202090004</v>
      </c>
      <c r="L2773" s="13">
        <v>5.688929520209E19</v>
      </c>
      <c r="M2773" s="9">
        <v>5.6889295202090004E18</v>
      </c>
    </row>
    <row r="2774" ht="15.75" customHeight="1">
      <c r="A2774" s="8"/>
      <c r="B2774" s="8"/>
      <c r="C2774" s="8"/>
      <c r="D2774" s="8">
        <v>27.9026907562088</v>
      </c>
      <c r="E2774" s="9" t="s">
        <v>2783</v>
      </c>
      <c r="I2774" s="12" t="str">
        <f>IFERROR(__xludf.DUMMYFUNCTION("""COMPUTED_VALUE"""),"0xea83f64d34fa7c051d10a89e4870880a03929031")</f>
        <v>0xea83f64d34fa7c051d10a89e4870880a03929031</v>
      </c>
      <c r="J2774" s="11">
        <v>27.9026907562088</v>
      </c>
      <c r="K2774" s="12">
        <v>62.005979458241775</v>
      </c>
      <c r="L2774" s="13">
        <v>6.200597945824177E19</v>
      </c>
      <c r="M2774" s="9">
        <v>6.2005979458241782E18</v>
      </c>
    </row>
    <row r="2775" ht="15.75" customHeight="1">
      <c r="A2775" s="8"/>
      <c r="B2775" s="8"/>
      <c r="C2775" s="8"/>
      <c r="D2775" s="8">
        <v>27.9026907562088</v>
      </c>
      <c r="E2775" s="9" t="s">
        <v>2784</v>
      </c>
      <c r="I2775" s="12" t="str">
        <f>IFERROR(__xludf.DUMMYFUNCTION("""COMPUTED_VALUE"""),"0xeaaea0b12fda61c7b610f77c43c84dfbc308171a")</f>
        <v>0xeaaea0b12fda61c7b610f77c43c84dfbc308171a</v>
      </c>
      <c r="J2775" s="11">
        <v>27.9026907562088</v>
      </c>
      <c r="K2775" s="12">
        <v>62.005979458241775</v>
      </c>
      <c r="L2775" s="13">
        <v>6.200597945824177E19</v>
      </c>
      <c r="M2775" s="9">
        <v>6.2005979458241782E18</v>
      </c>
    </row>
    <row r="2776" ht="15.75" customHeight="1">
      <c r="A2776" s="8"/>
      <c r="B2776" s="8"/>
      <c r="C2776" s="8"/>
      <c r="D2776" s="8">
        <v>7.28731434415418</v>
      </c>
      <c r="E2776" s="9" t="s">
        <v>2785</v>
      </c>
      <c r="I2776" s="12" t="str">
        <f>IFERROR(__xludf.DUMMYFUNCTION("""COMPUTED_VALUE"""),"0xeab716034f99f3deccfcdf6d43f271aafefd9312")</f>
        <v>0xeab716034f99f3deccfcdf6d43f271aafefd9312</v>
      </c>
      <c r="J2776" s="11">
        <v>7.28731434415418</v>
      </c>
      <c r="K2776" s="12">
        <v>16.194031875898176</v>
      </c>
      <c r="L2776" s="13">
        <v>1.6194031875898175E19</v>
      </c>
      <c r="M2776" s="9">
        <v>1.6194031875898176E18</v>
      </c>
    </row>
    <row r="2777" ht="15.75" customHeight="1">
      <c r="A2777" s="8"/>
      <c r="B2777" s="8"/>
      <c r="C2777" s="8"/>
      <c r="D2777" s="8">
        <v>27.6340345890463</v>
      </c>
      <c r="E2777" s="9" t="s">
        <v>2786</v>
      </c>
      <c r="I2777" s="12" t="str">
        <f>IFERROR(__xludf.DUMMYFUNCTION("""COMPUTED_VALUE"""),"0xeaeecea3535052d3fe965542c05256ec78fdc465")</f>
        <v>0xeaeecea3535052d3fe965542c05256ec78fdc465</v>
      </c>
      <c r="J2777" s="11">
        <v>27.6340345890463</v>
      </c>
      <c r="K2777" s="12">
        <v>61.40896575343622</v>
      </c>
      <c r="L2777" s="13">
        <v>6.140896575343622E19</v>
      </c>
      <c r="M2777" s="9">
        <v>6.1408965753436221E18</v>
      </c>
    </row>
    <row r="2778" ht="15.75" customHeight="1">
      <c r="A2778" s="8"/>
      <c r="B2778" s="8"/>
      <c r="C2778" s="8"/>
      <c r="D2778" s="8">
        <v>16.4791417117522</v>
      </c>
      <c r="E2778" s="9" t="s">
        <v>2787</v>
      </c>
      <c r="I2778" s="12" t="str">
        <f>IFERROR(__xludf.DUMMYFUNCTION("""COMPUTED_VALUE"""),"0xeb002be073cf0ece79ffd9154a95023e15d011c3")</f>
        <v>0xeb002be073cf0ece79ffd9154a95023e15d011c3</v>
      </c>
      <c r="J2778" s="11">
        <v>54.487309162710396</v>
      </c>
      <c r="K2778" s="12">
        <v>121.08290925046754</v>
      </c>
      <c r="L2778" s="13">
        <v>1.2108290925046755E20</v>
      </c>
      <c r="M2778" s="9">
        <v>1.2108290925046755E19</v>
      </c>
    </row>
    <row r="2779" ht="15.75" customHeight="1">
      <c r="A2779" s="8"/>
      <c r="B2779" s="8"/>
      <c r="C2779" s="8"/>
      <c r="D2779" s="8">
        <v>27.9026907562088</v>
      </c>
      <c r="E2779" s="9" t="s">
        <v>2788</v>
      </c>
      <c r="I2779" s="12" t="str">
        <f>IFERROR(__xludf.DUMMYFUNCTION("""COMPUTED_VALUE"""),"0xeb23f83946b3068a488b7d12fb16450c35e81217")</f>
        <v>0xeb23f83946b3068a488b7d12fb16450c35e81217</v>
      </c>
      <c r="J2779" s="11">
        <v>27.9026907562088</v>
      </c>
      <c r="K2779" s="12">
        <v>62.005979458241775</v>
      </c>
      <c r="L2779" s="13">
        <v>6.200597945824177E19</v>
      </c>
      <c r="M2779" s="9">
        <v>6.2005979458241782E18</v>
      </c>
    </row>
    <row r="2780" ht="15.75" customHeight="1">
      <c r="A2780" s="8"/>
      <c r="B2780" s="8"/>
      <c r="C2780" s="8"/>
      <c r="D2780" s="8">
        <v>25.4432327504667</v>
      </c>
      <c r="E2780" s="9" t="s">
        <v>2789</v>
      </c>
      <c r="I2780" s="12" t="str">
        <f>IFERROR(__xludf.DUMMYFUNCTION("""COMPUTED_VALUE"""),"0xeb32b80af90321eb155855e09ac59cb81d3424de")</f>
        <v>0xeb32b80af90321eb155855e09ac59cb81d3424de</v>
      </c>
      <c r="J2780" s="11">
        <v>25.4432327504667</v>
      </c>
      <c r="K2780" s="12">
        <v>56.54051722325933</v>
      </c>
      <c r="L2780" s="13">
        <v>5.654051722325933E19</v>
      </c>
      <c r="M2780" s="9">
        <v>5.6540517223259341E18</v>
      </c>
    </row>
    <row r="2781" ht="15.75" customHeight="1">
      <c r="A2781" s="8"/>
      <c r="B2781" s="8"/>
      <c r="C2781" s="8"/>
      <c r="D2781" s="8">
        <v>27.9026907562088</v>
      </c>
      <c r="E2781" s="9" t="s">
        <v>2790</v>
      </c>
      <c r="I2781" s="12" t="str">
        <f>IFERROR(__xludf.DUMMYFUNCTION("""COMPUTED_VALUE"""),"0xeb387c396e490279602193c44dc01b7654604de3")</f>
        <v>0xeb387c396e490279602193c44dc01b7654604de3</v>
      </c>
      <c r="J2781" s="11">
        <v>91.1199983031448</v>
      </c>
      <c r="K2781" s="12">
        <v>202.48888511809955</v>
      </c>
      <c r="L2781" s="13">
        <v>2.0248888511809955E20</v>
      </c>
      <c r="M2781" s="9">
        <v>2.0248888511809958E19</v>
      </c>
    </row>
    <row r="2782" ht="15.75" customHeight="1">
      <c r="A2782" s="8"/>
      <c r="B2782" s="8"/>
      <c r="C2782" s="8"/>
      <c r="D2782" s="8">
        <v>1.08488354509498</v>
      </c>
      <c r="E2782" s="9" t="s">
        <v>2791</v>
      </c>
      <c r="I2782" s="12" t="str">
        <f>IFERROR(__xludf.DUMMYFUNCTION("""COMPUTED_VALUE"""),"0xeb45d078682b71af93f54842182b1ee055161e10")</f>
        <v>0xeb45d078682b71af93f54842182b1ee055161e10</v>
      </c>
      <c r="J2782" s="11">
        <v>1.08488354509498</v>
      </c>
      <c r="K2782" s="12">
        <v>2.410852322433289</v>
      </c>
      <c r="L2782" s="13">
        <v>2.4108523224332892E18</v>
      </c>
      <c r="M2782" s="9">
        <v>2.41085232243328928E17</v>
      </c>
    </row>
    <row r="2783" ht="15.75" customHeight="1">
      <c r="A2783" s="8"/>
      <c r="B2783" s="8"/>
      <c r="C2783" s="8"/>
      <c r="D2783" s="8">
        <v>27.9026907562088</v>
      </c>
      <c r="E2783" s="9" t="s">
        <v>2792</v>
      </c>
      <c r="I2783" s="12" t="str">
        <f>IFERROR(__xludf.DUMMYFUNCTION("""COMPUTED_VALUE"""),"0xeb45e0c3405edb96db6f951bfe65c475ac843740")</f>
        <v>0xeb45e0c3405edb96db6f951bfe65c475ac843740</v>
      </c>
      <c r="J2783" s="11">
        <v>91.1199983031448</v>
      </c>
      <c r="K2783" s="12">
        <v>202.48888511809955</v>
      </c>
      <c r="L2783" s="13">
        <v>2.0248888511809955E20</v>
      </c>
      <c r="M2783" s="9">
        <v>2.0248888511809958E19</v>
      </c>
    </row>
    <row r="2784" ht="15.75" customHeight="1">
      <c r="A2784" s="8"/>
      <c r="B2784" s="8"/>
      <c r="C2784" s="8"/>
      <c r="D2784" s="8">
        <v>27.9026907562088</v>
      </c>
      <c r="E2784" s="9" t="s">
        <v>2793</v>
      </c>
      <c r="I2784" s="12" t="str">
        <f>IFERROR(__xludf.DUMMYFUNCTION("""COMPUTED_VALUE"""),"0xeb54a50d0a72b57713b227f25d0bdd318c497787")</f>
        <v>0xeb54a50d0a72b57713b227f25d0bdd318c497787</v>
      </c>
      <c r="J2784" s="11">
        <v>27.9026907562088</v>
      </c>
      <c r="K2784" s="12">
        <v>62.005979458241775</v>
      </c>
      <c r="L2784" s="13">
        <v>6.200597945824177E19</v>
      </c>
      <c r="M2784" s="9">
        <v>6.2005979458241782E18</v>
      </c>
    </row>
    <row r="2785" ht="15.75" customHeight="1">
      <c r="A2785" s="8"/>
      <c r="B2785" s="8"/>
      <c r="C2785" s="8"/>
      <c r="D2785" s="8">
        <v>27.9026907562088</v>
      </c>
      <c r="E2785" s="9" t="s">
        <v>2794</v>
      </c>
      <c r="I2785" s="12" t="str">
        <f>IFERROR(__xludf.DUMMYFUNCTION("""COMPUTED_VALUE"""),"0xeb66660cdd981cbc2cf063373dd230a2e4573ac5")</f>
        <v>0xeb66660cdd981cbc2cf063373dd230a2e4573ac5</v>
      </c>
      <c r="J2785" s="11">
        <v>40.546152265596</v>
      </c>
      <c r="K2785" s="12">
        <v>90.10256059021333</v>
      </c>
      <c r="L2785" s="13">
        <v>9.010256059021333E19</v>
      </c>
      <c r="M2785" s="9">
        <v>9.0102560590213335E18</v>
      </c>
    </row>
    <row r="2786" ht="15.75" customHeight="1">
      <c r="A2786" s="8"/>
      <c r="B2786" s="8"/>
      <c r="C2786" s="8"/>
      <c r="D2786" s="8">
        <v>27.9026907562088</v>
      </c>
      <c r="E2786" s="9" t="s">
        <v>2795</v>
      </c>
      <c r="I2786" s="12" t="str">
        <f>IFERROR(__xludf.DUMMYFUNCTION("""COMPUTED_VALUE"""),"0xeb788df2e2caecbde38d4c2d81a6730a353464a2")</f>
        <v>0xeb788df2e2caecbde38d4c2d81a6730a353464a2</v>
      </c>
      <c r="J2786" s="11">
        <v>27.9026907562088</v>
      </c>
      <c r="K2786" s="12">
        <v>62.005979458241775</v>
      </c>
      <c r="L2786" s="13">
        <v>6.200597945824177E19</v>
      </c>
      <c r="M2786" s="9">
        <v>6.2005979458241782E18</v>
      </c>
    </row>
    <row r="2787" ht="15.75" customHeight="1">
      <c r="A2787" s="8"/>
      <c r="B2787" s="8"/>
      <c r="C2787" s="8"/>
      <c r="D2787" s="8">
        <v>1.58576424096514</v>
      </c>
      <c r="E2787" s="9" t="s">
        <v>2796</v>
      </c>
      <c r="I2787" s="12" t="str">
        <f>IFERROR(__xludf.DUMMYFUNCTION("""COMPUTED_VALUE"""),"0xeb820db1b55d426837a15a2d4a29d2ca0ce7e10f")</f>
        <v>0xeb820db1b55d426837a15a2d4a29d2ca0ce7e10f</v>
      </c>
      <c r="J2787" s="11">
        <v>1.58576424096514</v>
      </c>
      <c r="K2787" s="12">
        <v>3.523920535478089</v>
      </c>
      <c r="L2787" s="13">
        <v>3.5239205354780887E18</v>
      </c>
      <c r="M2787" s="9">
        <v>3.523920535478089E17</v>
      </c>
    </row>
    <row r="2788" ht="15.75" customHeight="1">
      <c r="A2788" s="8"/>
      <c r="B2788" s="8"/>
      <c r="C2788" s="8"/>
      <c r="D2788" s="8">
        <v>27.5320579617923</v>
      </c>
      <c r="E2788" s="9" t="s">
        <v>2797</v>
      </c>
      <c r="I2788" s="12" t="str">
        <f>IFERROR(__xludf.DUMMYFUNCTION("""COMPUTED_VALUE"""),"0xeb8f2365dedb057255ecdb57ca772708ef071f0b")</f>
        <v>0xeb8f2365dedb057255ecdb57ca772708ef071f0b</v>
      </c>
      <c r="J2788" s="11">
        <v>27.5320579617923</v>
      </c>
      <c r="K2788" s="12">
        <v>61.18235102620511</v>
      </c>
      <c r="L2788" s="13">
        <v>6.1182351026205114E19</v>
      </c>
      <c r="M2788" s="9">
        <v>6.1182351026205123E18</v>
      </c>
    </row>
    <row r="2789" ht="15.75" customHeight="1">
      <c r="A2789" s="8"/>
      <c r="B2789" s="8"/>
      <c r="C2789" s="8"/>
      <c r="D2789" s="8">
        <v>27.9026907562088</v>
      </c>
      <c r="E2789" s="9" t="s">
        <v>2798</v>
      </c>
      <c r="I2789" s="12" t="str">
        <f>IFERROR(__xludf.DUMMYFUNCTION("""COMPUTED_VALUE"""),"0xeba9c9c45e375d3527dc144f8432c4f89b45d24d")</f>
        <v>0xeba9c9c45e375d3527dc144f8432c4f89b45d24d</v>
      </c>
      <c r="J2789" s="11">
        <v>91.1199983031448</v>
      </c>
      <c r="K2789" s="12">
        <v>202.48888511809955</v>
      </c>
      <c r="L2789" s="13">
        <v>2.0248888511809955E20</v>
      </c>
      <c r="M2789" s="9">
        <v>2.0248888511809958E19</v>
      </c>
    </row>
    <row r="2790" ht="15.75" customHeight="1">
      <c r="A2790" s="8"/>
      <c r="B2790" s="8"/>
      <c r="C2790" s="8"/>
      <c r="D2790" s="8">
        <v>27.9026907562088</v>
      </c>
      <c r="E2790" s="9" t="s">
        <v>2799</v>
      </c>
      <c r="I2790" s="12" t="str">
        <f>IFERROR(__xludf.DUMMYFUNCTION("""COMPUTED_VALUE"""),"0xebb166e1e8c3b4e9c51e4463cbf5c59a5899dab8")</f>
        <v>0xebb166e1e8c3b4e9c51e4463cbf5c59a5899dab8</v>
      </c>
      <c r="J2790" s="11">
        <v>27.9026907562088</v>
      </c>
      <c r="K2790" s="12">
        <v>62.005979458241775</v>
      </c>
      <c r="L2790" s="13">
        <v>6.200597945824177E19</v>
      </c>
      <c r="M2790" s="9">
        <v>6.2005979458241782E18</v>
      </c>
    </row>
    <row r="2791" ht="15.75" customHeight="1">
      <c r="A2791" s="8"/>
      <c r="B2791" s="8"/>
      <c r="C2791" s="8"/>
      <c r="D2791" s="8">
        <v>27.9026907562088</v>
      </c>
      <c r="E2791" s="9" t="s">
        <v>2800</v>
      </c>
      <c r="I2791" s="12" t="str">
        <f>IFERROR(__xludf.DUMMYFUNCTION("""COMPUTED_VALUE"""),"0xebb8be69ac9e0fc0c9e3c6841d0dc0d1a5927c18")</f>
        <v>0xebb8be69ac9e0fc0c9e3c6841d0dc0d1a5927c18</v>
      </c>
      <c r="J2791" s="11">
        <v>118.0659350729687</v>
      </c>
      <c r="K2791" s="12">
        <v>262.3687446065971</v>
      </c>
      <c r="L2791" s="13">
        <v>2.623687446065971E20</v>
      </c>
      <c r="M2791" s="9">
        <v>2.623687446065971E19</v>
      </c>
    </row>
    <row r="2792" ht="15.75" customHeight="1">
      <c r="A2792" s="8"/>
      <c r="B2792" s="8"/>
      <c r="C2792" s="8"/>
      <c r="D2792" s="8">
        <v>20.7861045676933</v>
      </c>
      <c r="E2792" s="9" t="s">
        <v>2801</v>
      </c>
      <c r="I2792" s="12" t="str">
        <f>IFERROR(__xludf.DUMMYFUNCTION("""COMPUTED_VALUE"""),"0xebc3d73ea3faf385a13fdb773e793f0780b9893e")</f>
        <v>0xebc3d73ea3faf385a13fdb773e793f0780b9893e</v>
      </c>
      <c r="J2792" s="11">
        <v>20.7861045676933</v>
      </c>
      <c r="K2792" s="12">
        <v>46.191343483762886</v>
      </c>
      <c r="L2792" s="13">
        <v>4.6191343483762885E19</v>
      </c>
      <c r="M2792" s="9">
        <v>4.6191343483762883E18</v>
      </c>
    </row>
    <row r="2793" ht="15.75" customHeight="1">
      <c r="A2793" s="8"/>
      <c r="B2793" s="8"/>
      <c r="C2793" s="8"/>
      <c r="D2793" s="8">
        <v>27.9026907562088</v>
      </c>
      <c r="E2793" s="9" t="s">
        <v>2802</v>
      </c>
      <c r="I2793" s="12" t="str">
        <f>IFERROR(__xludf.DUMMYFUNCTION("""COMPUTED_VALUE"""),"0xebc93e5bd55487cf76343e1efb9a1f846a10f8c2")</f>
        <v>0xebc93e5bd55487cf76343e1efb9a1f846a10f8c2</v>
      </c>
      <c r="J2793" s="11">
        <v>106.1725460398235</v>
      </c>
      <c r="K2793" s="12">
        <v>235.93899119960778</v>
      </c>
      <c r="L2793" s="13">
        <v>2.3593899119960778E20</v>
      </c>
      <c r="M2793" s="9">
        <v>2.359389911996078E19</v>
      </c>
    </row>
    <row r="2794" ht="15.75" customHeight="1">
      <c r="A2794" s="8"/>
      <c r="B2794" s="8"/>
      <c r="C2794" s="8"/>
      <c r="D2794" s="8">
        <v>27.8710008739742</v>
      </c>
      <c r="E2794" s="9" t="s">
        <v>2803</v>
      </c>
      <c r="I2794" s="12" t="str">
        <f>IFERROR(__xludf.DUMMYFUNCTION("""COMPUTED_VALUE"""),"0xebdca36ea7be9c96b75240355ec1dd5e88dd8e74")</f>
        <v>0xebdca36ea7be9c96b75240355ec1dd5e88dd8e74</v>
      </c>
      <c r="J2794" s="11">
        <v>27.8710008739742</v>
      </c>
      <c r="K2794" s="12">
        <v>61.935557497720445</v>
      </c>
      <c r="L2794" s="13">
        <v>6.193555749772045E19</v>
      </c>
      <c r="M2794" s="9">
        <v>6.1935557497720453E18</v>
      </c>
    </row>
    <row r="2795" ht="15.75" customHeight="1">
      <c r="A2795" s="8"/>
      <c r="B2795" s="8"/>
      <c r="C2795" s="8"/>
      <c r="D2795" s="8">
        <v>27.9026907562088</v>
      </c>
      <c r="E2795" s="9" t="s">
        <v>2804</v>
      </c>
      <c r="I2795" s="12" t="str">
        <f>IFERROR(__xludf.DUMMYFUNCTION("""COMPUTED_VALUE"""),"0xebe5217c8803b0297abb71ae990e52f2dc2ae0a3")</f>
        <v>0xebe5217c8803b0297abb71ae990e52f2dc2ae0a3</v>
      </c>
      <c r="J2795" s="11">
        <v>27.9026907562088</v>
      </c>
      <c r="K2795" s="12">
        <v>62.005979458241775</v>
      </c>
      <c r="L2795" s="13">
        <v>6.200597945824177E19</v>
      </c>
      <c r="M2795" s="9">
        <v>6.2005979458241782E18</v>
      </c>
    </row>
    <row r="2796" ht="15.75" customHeight="1">
      <c r="A2796" s="8"/>
      <c r="B2796" s="8"/>
      <c r="C2796" s="8"/>
      <c r="D2796" s="8">
        <v>14.0742529473127</v>
      </c>
      <c r="E2796" s="9" t="s">
        <v>2805</v>
      </c>
      <c r="I2796" s="12" t="str">
        <f>IFERROR(__xludf.DUMMYFUNCTION("""COMPUTED_VALUE"""),"0xebeffdaa1750d48f09b0facf633829dbaa8db350")</f>
        <v>0xebeffdaa1750d48f09b0facf633829dbaa8db350</v>
      </c>
      <c r="J2796" s="11">
        <v>14.0742529473127</v>
      </c>
      <c r="K2796" s="12">
        <v>31.27611766069489</v>
      </c>
      <c r="L2796" s="13">
        <v>3.127611766069489E19</v>
      </c>
      <c r="M2796" s="9">
        <v>3.1276117660694892E18</v>
      </c>
    </row>
    <row r="2797" ht="15.75" customHeight="1">
      <c r="A2797" s="8"/>
      <c r="B2797" s="8"/>
      <c r="C2797" s="8"/>
      <c r="D2797" s="8">
        <v>27.9026907562088</v>
      </c>
      <c r="E2797" s="9" t="s">
        <v>2806</v>
      </c>
      <c r="I2797" s="12" t="str">
        <f>IFERROR(__xludf.DUMMYFUNCTION("""COMPUTED_VALUE"""),"0xebf2de846225fb36d2d7e66ea575233d17c980ba")</f>
        <v>0xebf2de846225fb36d2d7e66ea575233d17c980ba</v>
      </c>
      <c r="J2797" s="11">
        <v>27.9026907562088</v>
      </c>
      <c r="K2797" s="12">
        <v>62.005979458241775</v>
      </c>
      <c r="L2797" s="13">
        <v>6.200597945824177E19</v>
      </c>
      <c r="M2797" s="9">
        <v>6.2005979458241782E18</v>
      </c>
    </row>
    <row r="2798" ht="15.75" customHeight="1">
      <c r="A2798" s="8"/>
      <c r="B2798" s="8"/>
      <c r="C2798" s="8"/>
      <c r="D2798" s="8">
        <v>27.9026907562088</v>
      </c>
      <c r="E2798" s="9" t="s">
        <v>2807</v>
      </c>
      <c r="I2798" s="12" t="str">
        <f>IFERROR(__xludf.DUMMYFUNCTION("""COMPUTED_VALUE"""),"0xebf6a15700f3bd67d1fd2fdf83abe5bc6987a8fe")</f>
        <v>0xebf6a15700f3bd67d1fd2fdf83abe5bc6987a8fe</v>
      </c>
      <c r="J2798" s="11">
        <v>27.9026907562088</v>
      </c>
      <c r="K2798" s="12">
        <v>62.005979458241775</v>
      </c>
      <c r="L2798" s="13">
        <v>6.200597945824177E19</v>
      </c>
      <c r="M2798" s="9">
        <v>6.2005979458241782E18</v>
      </c>
    </row>
    <row r="2799" ht="15.75" customHeight="1">
      <c r="A2799" s="8"/>
      <c r="B2799" s="8"/>
      <c r="C2799" s="8"/>
      <c r="D2799" s="8">
        <v>25.3252426972353</v>
      </c>
      <c r="E2799" s="9" t="s">
        <v>2808</v>
      </c>
      <c r="I2799" s="12" t="str">
        <f>IFERROR(__xludf.DUMMYFUNCTION("""COMPUTED_VALUE"""),"0xebf7f9c6e5928423f6a5edc3af2be84d5bb78322")</f>
        <v>0xebf7f9c6e5928423f6a5edc3af2be84d5bb78322</v>
      </c>
      <c r="J2799" s="11">
        <v>83.02359970335159</v>
      </c>
      <c r="K2799" s="12">
        <v>184.4968882296702</v>
      </c>
      <c r="L2799" s="13">
        <v>1.844968882296702E20</v>
      </c>
      <c r="M2799" s="9">
        <v>1.844968882296702E19</v>
      </c>
    </row>
    <row r="2800" ht="15.75" customHeight="1">
      <c r="A2800" s="8"/>
      <c r="B2800" s="8"/>
      <c r="C2800" s="8"/>
      <c r="D2800" s="8">
        <v>27.9026907562088</v>
      </c>
      <c r="E2800" s="9" t="s">
        <v>2809</v>
      </c>
      <c r="I2800" s="12" t="str">
        <f>IFERROR(__xludf.DUMMYFUNCTION("""COMPUTED_VALUE"""),"0xebfe3683599703f6e78e0164a5effd277f9d22ca")</f>
        <v>0xebfe3683599703f6e78e0164a5effd277f9d22ca</v>
      </c>
      <c r="J2800" s="11">
        <v>27.9026907562088</v>
      </c>
      <c r="K2800" s="12">
        <v>62.005979458241775</v>
      </c>
      <c r="L2800" s="13">
        <v>6.200597945824177E19</v>
      </c>
      <c r="M2800" s="9">
        <v>6.2005979458241782E18</v>
      </c>
    </row>
    <row r="2801" ht="15.75" customHeight="1">
      <c r="A2801" s="8"/>
      <c r="B2801" s="8"/>
      <c r="C2801" s="8"/>
      <c r="D2801" s="8">
        <v>27.9026907562088</v>
      </c>
      <c r="E2801" s="9" t="s">
        <v>2810</v>
      </c>
      <c r="I2801" s="12" t="str">
        <f>IFERROR(__xludf.DUMMYFUNCTION("""COMPUTED_VALUE"""),"0xec3d68dc25be091b812a67b075f4668e4e4183c3")</f>
        <v>0xec3d68dc25be091b812a67b075f4668e4e4183c3</v>
      </c>
      <c r="J2801" s="11">
        <v>27.9026907562088</v>
      </c>
      <c r="K2801" s="12">
        <v>62.005979458241775</v>
      </c>
      <c r="L2801" s="13">
        <v>6.200597945824177E19</v>
      </c>
      <c r="M2801" s="9">
        <v>6.2005979458241782E18</v>
      </c>
    </row>
    <row r="2802" ht="15.75" customHeight="1">
      <c r="A2802" s="8"/>
      <c r="B2802" s="8"/>
      <c r="C2802" s="8"/>
      <c r="D2802" s="8">
        <v>14.5598969058828</v>
      </c>
      <c r="E2802" s="9" t="s">
        <v>2811</v>
      </c>
      <c r="I2802" s="12" t="str">
        <f>IFERROR(__xludf.DUMMYFUNCTION("""COMPUTED_VALUE"""),"0xec4671ac2e9e9db3f4f0436cc3a2a4e10be8a96f")</f>
        <v>0xec4671ac2e9e9db3f4f0436cc3a2a4e10be8a96f</v>
      </c>
      <c r="J2802" s="11">
        <v>49.633876952066124</v>
      </c>
      <c r="K2802" s="12">
        <v>110.29750433792472</v>
      </c>
      <c r="L2802" s="13">
        <v>1.1029750433792472E20</v>
      </c>
      <c r="M2802" s="9">
        <v>1.1029750433792473E19</v>
      </c>
    </row>
    <row r="2803" ht="15.75" customHeight="1">
      <c r="A2803" s="8"/>
      <c r="B2803" s="8"/>
      <c r="C2803" s="8"/>
      <c r="D2803" s="8">
        <v>27.5692809163172</v>
      </c>
      <c r="E2803" s="9" t="s">
        <v>2812</v>
      </c>
      <c r="I2803" s="12" t="str">
        <f>IFERROR(__xludf.DUMMYFUNCTION("""COMPUTED_VALUE"""),"0xec5ed0c3902cbb2dd7adea6d99b42052d60e837c")</f>
        <v>0xec5ed0c3902cbb2dd7adea6d99b42052d60e837c</v>
      </c>
      <c r="J2803" s="11">
        <v>153.6822743962769</v>
      </c>
      <c r="K2803" s="12">
        <v>341.5161653250598</v>
      </c>
      <c r="L2803" s="13">
        <v>3.415161653250598E20</v>
      </c>
      <c r="M2803" s="9">
        <v>3.415161653250598E19</v>
      </c>
    </row>
    <row r="2804" ht="15.75" customHeight="1">
      <c r="A2804" s="8"/>
      <c r="B2804" s="8"/>
      <c r="C2804" s="8"/>
      <c r="D2804" s="8">
        <v>18.5176534890372</v>
      </c>
      <c r="E2804" s="9" t="s">
        <v>2813</v>
      </c>
      <c r="I2804" s="12" t="str">
        <f>IFERROR(__xludf.DUMMYFUNCTION("""COMPUTED_VALUE"""),"0xec7a239e1f55d366f79707a13713cb0a8cc1e859")</f>
        <v>0xec7a239e1f55d366f79707a13713cb0a8cc1e859</v>
      </c>
      <c r="J2804" s="11">
        <v>18.5176534890372</v>
      </c>
      <c r="K2804" s="12">
        <v>41.150341086749336</v>
      </c>
      <c r="L2804" s="13">
        <v>4.1150341086749336E19</v>
      </c>
      <c r="M2804" s="9">
        <v>4.1150341086749338E18</v>
      </c>
    </row>
    <row r="2805" ht="15.75" customHeight="1">
      <c r="A2805" s="8"/>
      <c r="B2805" s="8"/>
      <c r="C2805" s="8"/>
      <c r="D2805" s="8">
        <v>27.9026907562088</v>
      </c>
      <c r="E2805" s="9" t="s">
        <v>2814</v>
      </c>
      <c r="I2805" s="12" t="str">
        <f>IFERROR(__xludf.DUMMYFUNCTION("""COMPUTED_VALUE"""),"0xec86038da0e23a6812c1d147edd3992209821023")</f>
        <v>0xec86038da0e23a6812c1d147edd3992209821023</v>
      </c>
      <c r="J2805" s="11">
        <v>91.1199983031448</v>
      </c>
      <c r="K2805" s="12">
        <v>202.48888511809955</v>
      </c>
      <c r="L2805" s="13">
        <v>2.0248888511809955E20</v>
      </c>
      <c r="M2805" s="9">
        <v>2.0248888511809958E19</v>
      </c>
    </row>
    <row r="2806" ht="15.75" customHeight="1">
      <c r="A2806" s="8"/>
      <c r="B2806" s="8"/>
      <c r="C2806" s="8"/>
      <c r="D2806" s="8">
        <v>27.9026907562088</v>
      </c>
      <c r="E2806" s="9" t="s">
        <v>2815</v>
      </c>
      <c r="I2806" s="12" t="str">
        <f>IFERROR(__xludf.DUMMYFUNCTION("""COMPUTED_VALUE"""),"0xec861ad3b8f77211bab55bea31bd7e722e520c59")</f>
        <v>0xec861ad3b8f77211bab55bea31bd7e722e520c59</v>
      </c>
      <c r="J2806" s="11">
        <v>91.1199983031448</v>
      </c>
      <c r="K2806" s="12">
        <v>202.48888511809955</v>
      </c>
      <c r="L2806" s="13">
        <v>2.0248888511809955E20</v>
      </c>
      <c r="M2806" s="9">
        <v>2.0248888511809958E19</v>
      </c>
    </row>
    <row r="2807" ht="15.75" customHeight="1">
      <c r="A2807" s="8"/>
      <c r="B2807" s="8"/>
      <c r="C2807" s="8"/>
      <c r="D2807" s="8">
        <v>24.4573829401638</v>
      </c>
      <c r="E2807" s="9" t="s">
        <v>2816</v>
      </c>
      <c r="I2807" s="12" t="str">
        <f>IFERROR(__xludf.DUMMYFUNCTION("""COMPUTED_VALUE"""),"0xec936c2f7d19a21e5d9e913d63ddad663d93b16a")</f>
        <v>0xec936c2f7d19a21e5d9e913d63ddad663d93b16a</v>
      </c>
      <c r="J2807" s="11">
        <v>33.5576338057957</v>
      </c>
      <c r="K2807" s="12">
        <v>74.5725195684349</v>
      </c>
      <c r="L2807" s="13">
        <v>7.45725195684349E19</v>
      </c>
      <c r="M2807" s="9">
        <v>7.4572519568434913E18</v>
      </c>
    </row>
    <row r="2808" ht="15.75" customHeight="1">
      <c r="A2808" s="8"/>
      <c r="B2808" s="8"/>
      <c r="C2808" s="8"/>
      <c r="D2808" s="8">
        <v>21.2389556697083</v>
      </c>
      <c r="E2808" s="9" t="s">
        <v>2817</v>
      </c>
      <c r="I2808" s="12" t="str">
        <f>IFERROR(__xludf.DUMMYFUNCTION("""COMPUTED_VALUE"""),"0xecadc5eec9aadb7e6b193dd863235c8074314ffc")</f>
        <v>0xecadc5eec9aadb7e6b193dd863235c8074314ffc</v>
      </c>
      <c r="J2808" s="11">
        <v>21.2389556697083</v>
      </c>
      <c r="K2808" s="12">
        <v>47.19767926601845</v>
      </c>
      <c r="L2808" s="13">
        <v>4.719767926601844E19</v>
      </c>
      <c r="M2808" s="9">
        <v>4.7197679266018447E18</v>
      </c>
    </row>
    <row r="2809" ht="15.75" customHeight="1">
      <c r="A2809" s="8"/>
      <c r="B2809" s="8"/>
      <c r="C2809" s="8"/>
      <c r="D2809" s="8">
        <v>27.9026907562088</v>
      </c>
      <c r="E2809" s="9" t="s">
        <v>2818</v>
      </c>
      <c r="I2809" s="12" t="str">
        <f>IFERROR(__xludf.DUMMYFUNCTION("""COMPUTED_VALUE"""),"0xecdf1d39919b1b59c1db5cf60347e24722f7552c")</f>
        <v>0xecdf1d39919b1b59c1db5cf60347e24722f7552c</v>
      </c>
      <c r="J2809" s="11">
        <v>27.9026907562088</v>
      </c>
      <c r="K2809" s="12">
        <v>62.005979458241775</v>
      </c>
      <c r="L2809" s="13">
        <v>6.200597945824177E19</v>
      </c>
      <c r="M2809" s="9">
        <v>6.2005979458241782E18</v>
      </c>
    </row>
    <row r="2810" ht="15.75" customHeight="1">
      <c r="A2810" s="8"/>
      <c r="B2810" s="8"/>
      <c r="C2810" s="8"/>
      <c r="D2810" s="8">
        <v>27.9026907562088</v>
      </c>
      <c r="E2810" s="9" t="s">
        <v>2819</v>
      </c>
      <c r="I2810" s="12" t="str">
        <f>IFERROR(__xludf.DUMMYFUNCTION("""COMPUTED_VALUE"""),"0xece0d384cc6ff97cfa62ac3e3590af9ce7b6b8d5")</f>
        <v>0xece0d384cc6ff97cfa62ac3e3590af9ce7b6b8d5</v>
      </c>
      <c r="J2810" s="11">
        <v>91.1199983031448</v>
      </c>
      <c r="K2810" s="12">
        <v>202.48888511809955</v>
      </c>
      <c r="L2810" s="13">
        <v>2.0248888511809955E20</v>
      </c>
      <c r="M2810" s="9">
        <v>2.0248888511809958E19</v>
      </c>
    </row>
    <row r="2811" ht="15.75" customHeight="1">
      <c r="A2811" s="8"/>
      <c r="B2811" s="8"/>
      <c r="C2811" s="8"/>
      <c r="D2811" s="8">
        <v>27.9026907562088</v>
      </c>
      <c r="E2811" s="9" t="s">
        <v>2820</v>
      </c>
      <c r="I2811" s="12" t="str">
        <f>IFERROR(__xludf.DUMMYFUNCTION("""COMPUTED_VALUE"""),"0xed277fefcd72c738d185bf404fc5cfdd6b0da70f")</f>
        <v>0xed277fefcd72c738d185bf404fc5cfdd6b0da70f</v>
      </c>
      <c r="J2811" s="11">
        <v>91.1199983031448</v>
      </c>
      <c r="K2811" s="12">
        <v>202.48888511809955</v>
      </c>
      <c r="L2811" s="13">
        <v>2.0248888511809955E20</v>
      </c>
      <c r="M2811" s="9">
        <v>2.0248888511809958E19</v>
      </c>
    </row>
    <row r="2812" ht="15.75" customHeight="1">
      <c r="A2812" s="8"/>
      <c r="B2812" s="8"/>
      <c r="C2812" s="8"/>
      <c r="D2812" s="8">
        <v>22.158518134854</v>
      </c>
      <c r="E2812" s="9" t="s">
        <v>2821</v>
      </c>
      <c r="I2812" s="12" t="str">
        <f>IFERROR(__xludf.DUMMYFUNCTION("""COMPUTED_VALUE"""),"0xed33129e63d4a00e1391cf66febaf4edbded851d")</f>
        <v>0xed33129e63d4a00e1391cf66febaf4edbded851d</v>
      </c>
      <c r="J2812" s="11">
        <v>22.158518134854</v>
      </c>
      <c r="K2812" s="12">
        <v>49.241151410786664</v>
      </c>
      <c r="L2812" s="13">
        <v>4.9241151410786664E19</v>
      </c>
      <c r="M2812" s="9">
        <v>4.9241151410786662E18</v>
      </c>
    </row>
    <row r="2813" ht="15.75" customHeight="1">
      <c r="A2813" s="8"/>
      <c r="B2813" s="8"/>
      <c r="C2813" s="8"/>
      <c r="D2813" s="8">
        <v>27.9026907562088</v>
      </c>
      <c r="E2813" s="9" t="s">
        <v>2822</v>
      </c>
      <c r="I2813" s="12" t="str">
        <f>IFERROR(__xludf.DUMMYFUNCTION("""COMPUTED_VALUE"""),"0xed51f66ba4e958235aa0992dd8cf1d2abcd783bd")</f>
        <v>0xed51f66ba4e958235aa0992dd8cf1d2abcd783bd</v>
      </c>
      <c r="J2813" s="11">
        <v>50.1563345579635</v>
      </c>
      <c r="K2813" s="12">
        <v>111.45852123991888</v>
      </c>
      <c r="L2813" s="13">
        <v>1.1145852123991889E20</v>
      </c>
      <c r="M2813" s="9">
        <v>1.114585212399189E19</v>
      </c>
    </row>
    <row r="2814" ht="15.75" customHeight="1">
      <c r="A2814" s="8"/>
      <c r="B2814" s="8"/>
      <c r="C2814" s="8"/>
      <c r="D2814" s="8">
        <v>20.524985415917</v>
      </c>
      <c r="E2814" s="9" t="s">
        <v>2823</v>
      </c>
      <c r="I2814" s="12" t="str">
        <f>IFERROR(__xludf.DUMMYFUNCTION("""COMPUTED_VALUE"""),"0xed677617f092c78d845bd017f4fd47a0669f394a")</f>
        <v>0xed677617f092c78d845bd017f4fd47a0669f394a</v>
      </c>
      <c r="J2814" s="11">
        <v>20.524985415917</v>
      </c>
      <c r="K2814" s="12">
        <v>45.61107870203778</v>
      </c>
      <c r="L2814" s="13">
        <v>4.561107870203778E19</v>
      </c>
      <c r="M2814" s="9">
        <v>4.561107870203778E18</v>
      </c>
    </row>
    <row r="2815" ht="15.75" customHeight="1">
      <c r="A2815" s="8"/>
      <c r="B2815" s="8"/>
      <c r="C2815" s="8"/>
      <c r="D2815" s="8">
        <v>27.9026907562088</v>
      </c>
      <c r="E2815" s="9" t="s">
        <v>2824</v>
      </c>
      <c r="I2815" s="12" t="str">
        <f>IFERROR(__xludf.DUMMYFUNCTION("""COMPUTED_VALUE"""),"0xed87ed81a8d45a868be703820c2b60052dd31441")</f>
        <v>0xed87ed81a8d45a868be703820c2b60052dd31441</v>
      </c>
      <c r="J2815" s="11">
        <v>27.9026907562088</v>
      </c>
      <c r="K2815" s="12">
        <v>62.005979458241775</v>
      </c>
      <c r="L2815" s="13">
        <v>6.200597945824177E19</v>
      </c>
      <c r="M2815" s="9">
        <v>6.2005979458241782E18</v>
      </c>
    </row>
    <row r="2816" ht="15.75" customHeight="1">
      <c r="A2816" s="8"/>
      <c r="B2816" s="8"/>
      <c r="C2816" s="8"/>
      <c r="D2816" s="8">
        <v>27.9026907562088</v>
      </c>
      <c r="E2816" s="9" t="s">
        <v>2825</v>
      </c>
      <c r="I2816" s="12" t="str">
        <f>IFERROR(__xludf.DUMMYFUNCTION("""COMPUTED_VALUE"""),"0xed985a9943b3010d5d4dab238b9f30f9d9cff9bf")</f>
        <v>0xed985a9943b3010d5d4dab238b9f30f9d9cff9bf</v>
      </c>
      <c r="J2816" s="11">
        <v>37.38112656246608</v>
      </c>
      <c r="K2816" s="12">
        <v>83.0691701388135</v>
      </c>
      <c r="L2816" s="13">
        <v>8.30691701388135E19</v>
      </c>
      <c r="M2816" s="9">
        <v>8.3069170138813501E18</v>
      </c>
    </row>
    <row r="2817" ht="15.75" customHeight="1">
      <c r="A2817" s="8"/>
      <c r="B2817" s="8"/>
      <c r="C2817" s="8"/>
      <c r="D2817" s="8">
        <v>27.9026907562088</v>
      </c>
      <c r="E2817" s="9" t="s">
        <v>2826</v>
      </c>
      <c r="I2817" s="12" t="str">
        <f>IFERROR(__xludf.DUMMYFUNCTION("""COMPUTED_VALUE"""),"0xedb321e9300683b48d3173fd7b90d780a76eaf4d")</f>
        <v>0xedb321e9300683b48d3173fd7b90d780a76eaf4d</v>
      </c>
      <c r="J2817" s="11">
        <v>27.9026907562088</v>
      </c>
      <c r="K2817" s="12">
        <v>62.005979458241775</v>
      </c>
      <c r="L2817" s="13">
        <v>6.200597945824177E19</v>
      </c>
      <c r="M2817" s="9">
        <v>6.2005979458241782E18</v>
      </c>
    </row>
    <row r="2818" ht="15.75" customHeight="1">
      <c r="A2818" s="8"/>
      <c r="B2818" s="8"/>
      <c r="C2818" s="8"/>
      <c r="D2818" s="8">
        <v>27.9026907562088</v>
      </c>
      <c r="E2818" s="9" t="s">
        <v>2827</v>
      </c>
      <c r="I2818" s="12" t="str">
        <f>IFERROR(__xludf.DUMMYFUNCTION("""COMPUTED_VALUE"""),"0xedb4ef528fb4518d5f8eec4175002b4765e35a97")</f>
        <v>0xedb4ef528fb4518d5f8eec4175002b4765e35a97</v>
      </c>
      <c r="J2818" s="11">
        <v>27.9026907562088</v>
      </c>
      <c r="K2818" s="12">
        <v>62.005979458241775</v>
      </c>
      <c r="L2818" s="13">
        <v>6.200597945824177E19</v>
      </c>
      <c r="M2818" s="9">
        <v>6.2005979458241782E18</v>
      </c>
    </row>
    <row r="2819" ht="15.75" customHeight="1">
      <c r="A2819" s="8"/>
      <c r="B2819" s="8"/>
      <c r="C2819" s="8"/>
      <c r="D2819" s="8">
        <v>24.1830176726819</v>
      </c>
      <c r="E2819" s="9" t="s">
        <v>2828</v>
      </c>
      <c r="I2819" s="12" t="str">
        <f>IFERROR(__xludf.DUMMYFUNCTION("""COMPUTED_VALUE"""),"0xedbfec4023eaa6b2c6b673063faba1a571853254")</f>
        <v>0xedbfec4023eaa6b2c6b673063faba1a571853254</v>
      </c>
      <c r="J2819" s="11">
        <v>24.1830176726819</v>
      </c>
      <c r="K2819" s="12">
        <v>53.74003927262644</v>
      </c>
      <c r="L2819" s="13">
        <v>5.374003927262644E19</v>
      </c>
      <c r="M2819" s="9">
        <v>5.3740039272626442E18</v>
      </c>
    </row>
    <row r="2820" ht="15.75" customHeight="1">
      <c r="A2820" s="8"/>
      <c r="B2820" s="8"/>
      <c r="C2820" s="8"/>
      <c r="D2820" s="8">
        <v>27.9026907562088</v>
      </c>
      <c r="E2820" s="9" t="s">
        <v>2829</v>
      </c>
      <c r="I2820" s="12" t="str">
        <f>IFERROR(__xludf.DUMMYFUNCTION("""COMPUTED_VALUE"""),"0xee64a3e1088f9804c35346d3de477c3133dfebff")</f>
        <v>0xee64a3e1088f9804c35346d3de477c3133dfebff</v>
      </c>
      <c r="J2820" s="11">
        <v>98.97884203918417</v>
      </c>
      <c r="K2820" s="12">
        <v>219.95298230929816</v>
      </c>
      <c r="L2820" s="13">
        <v>2.1995298230929818E20</v>
      </c>
      <c r="M2820" s="9">
        <v>2.1995298230929818E19</v>
      </c>
    </row>
    <row r="2821" ht="15.75" customHeight="1">
      <c r="A2821" s="8"/>
      <c r="B2821" s="8"/>
      <c r="C2821" s="8"/>
      <c r="D2821" s="8">
        <v>27.9026907562088</v>
      </c>
      <c r="E2821" s="9" t="s">
        <v>2830</v>
      </c>
      <c r="I2821" s="12" t="str">
        <f>IFERROR(__xludf.DUMMYFUNCTION("""COMPUTED_VALUE"""),"0xee75287d6d928a0e4b7744050ee7d1bdf437e199")</f>
        <v>0xee75287d6d928a0e4b7744050ee7d1bdf437e199</v>
      </c>
      <c r="J2821" s="11">
        <v>116.8725794058433</v>
      </c>
      <c r="K2821" s="12">
        <v>259.7168431240962</v>
      </c>
      <c r="L2821" s="13">
        <v>2.597168431240962E20</v>
      </c>
      <c r="M2821" s="9">
        <v>2.597168431240962E19</v>
      </c>
    </row>
    <row r="2822" ht="15.75" customHeight="1">
      <c r="A2822" s="8"/>
      <c r="B2822" s="8"/>
      <c r="C2822" s="8"/>
      <c r="D2822" s="8">
        <v>18.3955790650035</v>
      </c>
      <c r="E2822" s="9" t="s">
        <v>2831</v>
      </c>
      <c r="I2822" s="12" t="str">
        <f>IFERROR(__xludf.DUMMYFUNCTION("""COMPUTED_VALUE"""),"0xee8f6b880c4e2d51cd025d925e0f5d2395af539b")</f>
        <v>0xee8f6b880c4e2d51cd025d925e0f5d2395af539b</v>
      </c>
      <c r="J2822" s="11">
        <v>18.3955790650035</v>
      </c>
      <c r="K2822" s="12">
        <v>40.87906458889666</v>
      </c>
      <c r="L2822" s="13">
        <v>4.087906458889666E19</v>
      </c>
      <c r="M2822" s="9">
        <v>4.087906458889666E18</v>
      </c>
    </row>
    <row r="2823" ht="15.75" customHeight="1">
      <c r="A2823" s="8"/>
      <c r="B2823" s="8"/>
      <c r="C2823" s="8"/>
      <c r="D2823" s="8">
        <v>27.9026907562088</v>
      </c>
      <c r="E2823" s="9" t="s">
        <v>2832</v>
      </c>
      <c r="I2823" s="12" t="str">
        <f>IFERROR(__xludf.DUMMYFUNCTION("""COMPUTED_VALUE"""),"0xeed06efd1d1c7d185e1008ffcdf7fb6e75b5f1c1")</f>
        <v>0xeed06efd1d1c7d185e1008ffcdf7fb6e75b5f1c1</v>
      </c>
      <c r="J2823" s="11">
        <v>27.9026907562088</v>
      </c>
      <c r="K2823" s="12">
        <v>62.005979458241775</v>
      </c>
      <c r="L2823" s="13">
        <v>6.200597945824177E19</v>
      </c>
      <c r="M2823" s="9">
        <v>6.2005979458241782E18</v>
      </c>
    </row>
    <row r="2824" ht="15.75" customHeight="1">
      <c r="A2824" s="8"/>
      <c r="B2824" s="8"/>
      <c r="C2824" s="8"/>
      <c r="D2824" s="8">
        <v>27.9026907562088</v>
      </c>
      <c r="E2824" s="9" t="s">
        <v>2833</v>
      </c>
      <c r="I2824" s="12" t="str">
        <f>IFERROR(__xludf.DUMMYFUNCTION("""COMPUTED_VALUE"""),"0xeedc6a1aca00429ed139c749bd4222072b768eab")</f>
        <v>0xeedc6a1aca00429ed139c749bd4222072b768eab</v>
      </c>
      <c r="J2824" s="11">
        <v>27.9026907562088</v>
      </c>
      <c r="K2824" s="12">
        <v>62.005979458241775</v>
      </c>
      <c r="L2824" s="13">
        <v>6.200597945824177E19</v>
      </c>
      <c r="M2824" s="9">
        <v>6.2005979458241782E18</v>
      </c>
    </row>
    <row r="2825" ht="15.75" customHeight="1">
      <c r="A2825" s="8"/>
      <c r="B2825" s="8"/>
      <c r="C2825" s="8"/>
      <c r="D2825" s="8">
        <v>18.0543965273063</v>
      </c>
      <c r="E2825" s="9" t="s">
        <v>2834</v>
      </c>
      <c r="I2825" s="12" t="str">
        <f>IFERROR(__xludf.DUMMYFUNCTION("""COMPUTED_VALUE"""),"0xeedf0f9a8d0f884097a691b822a37447f0b30c38")</f>
        <v>0xeedf0f9a8d0f884097a691b822a37447f0b30c38</v>
      </c>
      <c r="J2825" s="11">
        <v>70.0128280156091</v>
      </c>
      <c r="K2825" s="12">
        <v>155.5840622569091</v>
      </c>
      <c r="L2825" s="13">
        <v>1.555840622569091E20</v>
      </c>
      <c r="M2825" s="9">
        <v>1.555840622569091E19</v>
      </c>
    </row>
    <row r="2826" ht="15.75" customHeight="1">
      <c r="A2826" s="8"/>
      <c r="B2826" s="8"/>
      <c r="C2826" s="8"/>
      <c r="D2826" s="8">
        <v>27.0459013593609</v>
      </c>
      <c r="E2826" s="9" t="s">
        <v>2835</v>
      </c>
      <c r="I2826" s="12" t="str">
        <f>IFERROR(__xludf.DUMMYFUNCTION("""COMPUTED_VALUE"""),"0xeedf4c1868d194f29197f4e6a4fcccb99edb7363")</f>
        <v>0xeedf4c1868d194f29197f4e6a4fcccb99edb7363</v>
      </c>
      <c r="J2826" s="11">
        <v>27.0459013593609</v>
      </c>
      <c r="K2826" s="12">
        <v>60.102003020802</v>
      </c>
      <c r="L2826" s="13">
        <v>6.0102003020802E19</v>
      </c>
      <c r="M2826" s="9">
        <v>6.0102003020802007E18</v>
      </c>
    </row>
    <row r="2827" ht="15.75" customHeight="1">
      <c r="A2827" s="8"/>
      <c r="B2827" s="8"/>
      <c r="C2827" s="8"/>
      <c r="D2827" s="8">
        <v>27.9026907562088</v>
      </c>
      <c r="E2827" s="9" t="s">
        <v>2836</v>
      </c>
      <c r="I2827" s="12" t="str">
        <f>IFERROR(__xludf.DUMMYFUNCTION("""COMPUTED_VALUE"""),"0xeee9d4923ad30f3ee2a14eed45f39d5e27c67187")</f>
        <v>0xeee9d4923ad30f3ee2a14eed45f39d5e27c67187</v>
      </c>
      <c r="J2827" s="11">
        <v>91.1199983031448</v>
      </c>
      <c r="K2827" s="12">
        <v>202.48888511809955</v>
      </c>
      <c r="L2827" s="13">
        <v>2.0248888511809955E20</v>
      </c>
      <c r="M2827" s="9">
        <v>2.0248888511809958E19</v>
      </c>
    </row>
    <row r="2828" ht="15.75" customHeight="1">
      <c r="A2828" s="8"/>
      <c r="B2828" s="8"/>
      <c r="C2828" s="8"/>
      <c r="D2828" s="8">
        <v>24.8301771186136</v>
      </c>
      <c r="E2828" s="9" t="s">
        <v>2837</v>
      </c>
      <c r="I2828" s="12" t="str">
        <f>IFERROR(__xludf.DUMMYFUNCTION("""COMPUTED_VALUE"""),"0xeeeba9ab3668c2c8e3bdebf618a7eb985c6add76")</f>
        <v>0xeeeba9ab3668c2c8e3bdebf618a7eb985c6add76</v>
      </c>
      <c r="J2828" s="11">
        <v>26.575776330890903</v>
      </c>
      <c r="K2828" s="12">
        <v>59.057280735313114</v>
      </c>
      <c r="L2828" s="13">
        <v>5.905728073531312E19</v>
      </c>
      <c r="M2828" s="9">
        <v>5.9057280735313121E18</v>
      </c>
    </row>
    <row r="2829" ht="15.75" customHeight="1">
      <c r="A2829" s="8"/>
      <c r="B2829" s="8"/>
      <c r="C2829" s="8"/>
      <c r="D2829" s="8">
        <v>27.9026907562088</v>
      </c>
      <c r="E2829" s="9" t="s">
        <v>2838</v>
      </c>
      <c r="I2829" s="12" t="str">
        <f>IFERROR(__xludf.DUMMYFUNCTION("""COMPUTED_VALUE"""),"0xef111e79d96abe4634ff22947d0902f43cdbec6c")</f>
        <v>0xef111e79d96abe4634ff22947d0902f43cdbec6c</v>
      </c>
      <c r="J2829" s="11">
        <v>87.41842146714905</v>
      </c>
      <c r="K2829" s="12">
        <v>194.26315881588675</v>
      </c>
      <c r="L2829" s="13">
        <v>1.9426315881588677E20</v>
      </c>
      <c r="M2829" s="9">
        <v>1.942631588158868E19</v>
      </c>
    </row>
    <row r="2830" ht="15.75" customHeight="1">
      <c r="A2830" s="8"/>
      <c r="B2830" s="8"/>
      <c r="C2830" s="8"/>
      <c r="D2830" s="8">
        <v>25.2948159447033</v>
      </c>
      <c r="E2830" s="9" t="s">
        <v>2839</v>
      </c>
      <c r="I2830" s="12" t="str">
        <f>IFERROR(__xludf.DUMMYFUNCTION("""COMPUTED_VALUE"""),"0xef152f83d73671838791fa3d174ac70ad3a27056")</f>
        <v>0xef152f83d73671838791fa3d174ac70ad3a27056</v>
      </c>
      <c r="J2830" s="11">
        <v>25.2948159447033</v>
      </c>
      <c r="K2830" s="12">
        <v>56.210702099340665</v>
      </c>
      <c r="L2830" s="13">
        <v>5.6210702099340665E19</v>
      </c>
      <c r="M2830" s="9">
        <v>5.6210702099340667E18</v>
      </c>
    </row>
    <row r="2831" ht="15.75" customHeight="1">
      <c r="A2831" s="8"/>
      <c r="B2831" s="8"/>
      <c r="C2831" s="8"/>
      <c r="D2831" s="8">
        <v>27.9026907562088</v>
      </c>
      <c r="E2831" s="9" t="s">
        <v>2840</v>
      </c>
      <c r="I2831" s="12" t="str">
        <f>IFERROR(__xludf.DUMMYFUNCTION("""COMPUTED_VALUE"""),"0xef30d0e83d67aa4f61afdb80081ede9e69d751b9")</f>
        <v>0xef30d0e83d67aa4f61afdb80081ede9e69d751b9</v>
      </c>
      <c r="J2831" s="11">
        <v>27.9026907562088</v>
      </c>
      <c r="K2831" s="12">
        <v>62.005979458241775</v>
      </c>
      <c r="L2831" s="13">
        <v>6.200597945824177E19</v>
      </c>
      <c r="M2831" s="9">
        <v>6.2005979458241782E18</v>
      </c>
    </row>
    <row r="2832" ht="15.75" customHeight="1">
      <c r="A2832" s="8"/>
      <c r="B2832" s="8"/>
      <c r="C2832" s="8"/>
      <c r="D2832" s="8">
        <v>27.9026907562088</v>
      </c>
      <c r="E2832" s="9" t="s">
        <v>2841</v>
      </c>
      <c r="I2832" s="12" t="str">
        <f>IFERROR(__xludf.DUMMYFUNCTION("""COMPUTED_VALUE"""),"0xef4ee8640376d8cf687cf8892139fbe0852c19b4")</f>
        <v>0xef4ee8640376d8cf687cf8892139fbe0852c19b4</v>
      </c>
      <c r="J2832" s="11">
        <v>91.1199983031448</v>
      </c>
      <c r="K2832" s="12">
        <v>202.48888511809955</v>
      </c>
      <c r="L2832" s="13">
        <v>2.0248888511809955E20</v>
      </c>
      <c r="M2832" s="9">
        <v>2.0248888511809958E19</v>
      </c>
    </row>
    <row r="2833" ht="15.75" customHeight="1">
      <c r="A2833" s="8"/>
      <c r="B2833" s="8"/>
      <c r="C2833" s="8"/>
      <c r="D2833" s="8">
        <v>27.9026907562088</v>
      </c>
      <c r="E2833" s="9" t="s">
        <v>2842</v>
      </c>
      <c r="I2833" s="12" t="str">
        <f>IFERROR(__xludf.DUMMYFUNCTION("""COMPUTED_VALUE"""),"0xef678b98cb6cc2e8f5619fdbf5ca58e76f530155")</f>
        <v>0xef678b98cb6cc2e8f5619fdbf5ca58e76f530155</v>
      </c>
      <c r="J2833" s="11">
        <v>27.9026907562088</v>
      </c>
      <c r="K2833" s="12">
        <v>62.005979458241775</v>
      </c>
      <c r="L2833" s="13">
        <v>6.200597945824177E19</v>
      </c>
      <c r="M2833" s="9">
        <v>6.2005979458241782E18</v>
      </c>
    </row>
    <row r="2834" ht="15.75" customHeight="1">
      <c r="A2834" s="8"/>
      <c r="B2834" s="8"/>
      <c r="C2834" s="8"/>
      <c r="D2834" s="8">
        <v>27.9026907562088</v>
      </c>
      <c r="E2834" s="9" t="s">
        <v>2843</v>
      </c>
      <c r="I2834" s="12" t="str">
        <f>IFERROR(__xludf.DUMMYFUNCTION("""COMPUTED_VALUE"""),"0xef696ceabc541f43cb2ff06bb876963412c9f786")</f>
        <v>0xef696ceabc541f43cb2ff06bb876963412c9f786</v>
      </c>
      <c r="J2834" s="11">
        <v>27.9026907562088</v>
      </c>
      <c r="K2834" s="12">
        <v>62.005979458241775</v>
      </c>
      <c r="L2834" s="13">
        <v>6.200597945824177E19</v>
      </c>
      <c r="M2834" s="9">
        <v>6.2005979458241782E18</v>
      </c>
    </row>
    <row r="2835" ht="15.75" customHeight="1">
      <c r="A2835" s="8"/>
      <c r="B2835" s="8"/>
      <c r="C2835" s="8"/>
      <c r="D2835" s="8">
        <v>22.5582910301783</v>
      </c>
      <c r="E2835" s="9" t="s">
        <v>2844</v>
      </c>
      <c r="I2835" s="12" t="str">
        <f>IFERROR(__xludf.DUMMYFUNCTION("""COMPUTED_VALUE"""),"0xef879dd342fdbc2f1dbc64ef2369fd0168b16669")</f>
        <v>0xef879dd342fdbc2f1dbc64ef2369fd0168b16669</v>
      </c>
      <c r="J2835" s="11">
        <v>73.3775926672037</v>
      </c>
      <c r="K2835" s="12">
        <v>163.06131703823044</v>
      </c>
      <c r="L2835" s="13">
        <v>1.6306131703823044E20</v>
      </c>
      <c r="M2835" s="9">
        <v>1.6306131703823045E19</v>
      </c>
    </row>
    <row r="2836" ht="15.75" customHeight="1">
      <c r="A2836" s="8"/>
      <c r="B2836" s="8"/>
      <c r="C2836" s="8"/>
      <c r="D2836" s="8">
        <v>27.9026907562088</v>
      </c>
      <c r="E2836" s="9" t="s">
        <v>2845</v>
      </c>
      <c r="I2836" s="12" t="str">
        <f>IFERROR(__xludf.DUMMYFUNCTION("""COMPUTED_VALUE"""),"0xef8a3991bc37517f6426b996df42e25fa4eeeecb")</f>
        <v>0xef8a3991bc37517f6426b996df42e25fa4eeeecb</v>
      </c>
      <c r="J2836" s="11">
        <v>91.1199983031448</v>
      </c>
      <c r="K2836" s="12">
        <v>202.48888511809955</v>
      </c>
      <c r="L2836" s="13">
        <v>2.0248888511809955E20</v>
      </c>
      <c r="M2836" s="9">
        <v>2.0248888511809958E19</v>
      </c>
    </row>
    <row r="2837" ht="15.75" customHeight="1">
      <c r="A2837" s="8"/>
      <c r="B2837" s="8"/>
      <c r="C2837" s="8"/>
      <c r="D2837" s="8">
        <v>27.9026907562088</v>
      </c>
      <c r="E2837" s="9" t="s">
        <v>2846</v>
      </c>
      <c r="I2837" s="12" t="str">
        <f>IFERROR(__xludf.DUMMYFUNCTION("""COMPUTED_VALUE"""),"0xefc935e0d4ef626d4156b3b7ca7c81a4a0501f80")</f>
        <v>0xefc935e0d4ef626d4156b3b7ca7c81a4a0501f80</v>
      </c>
      <c r="J2837" s="11">
        <v>78.5705991150369</v>
      </c>
      <c r="K2837" s="12">
        <v>174.60133136674867</v>
      </c>
      <c r="L2837" s="13">
        <v>1.7460133136674865E20</v>
      </c>
      <c r="M2837" s="9">
        <v>1.7460133136674865E19</v>
      </c>
    </row>
    <row r="2838" ht="15.75" customHeight="1">
      <c r="A2838" s="8"/>
      <c r="B2838" s="8"/>
      <c r="C2838" s="8"/>
      <c r="D2838" s="8">
        <v>27.9026907562088</v>
      </c>
      <c r="E2838" s="9" t="s">
        <v>2847</v>
      </c>
      <c r="I2838" s="12" t="str">
        <f>IFERROR(__xludf.DUMMYFUNCTION("""COMPUTED_VALUE"""),"0xefd51a1492e845b591d398969f204721c14b957b")</f>
        <v>0xefd51a1492e845b591d398969f204721c14b957b</v>
      </c>
      <c r="J2838" s="11">
        <v>27.9026907562088</v>
      </c>
      <c r="K2838" s="12">
        <v>62.005979458241775</v>
      </c>
      <c r="L2838" s="13">
        <v>6.200597945824177E19</v>
      </c>
      <c r="M2838" s="9">
        <v>6.2005979458241782E18</v>
      </c>
    </row>
    <row r="2839" ht="15.75" customHeight="1">
      <c r="A2839" s="8"/>
      <c r="B2839" s="8"/>
      <c r="C2839" s="8"/>
      <c r="D2839" s="8">
        <v>2.70445903013357</v>
      </c>
      <c r="E2839" s="9" t="s">
        <v>2848</v>
      </c>
      <c r="I2839" s="12" t="str">
        <f>IFERROR(__xludf.DUMMYFUNCTION("""COMPUTED_VALUE"""),"0xf018b0d04ac98be55f6f9287077f16619f3ef5a3")</f>
        <v>0xf018b0d04ac98be55f6f9287077f16619f3ef5a3</v>
      </c>
      <c r="J2839" s="11">
        <v>2.70445903013357</v>
      </c>
      <c r="K2839" s="12">
        <v>6.009908955852377</v>
      </c>
      <c r="L2839" s="13">
        <v>6.0099089558523771E18</v>
      </c>
      <c r="M2839" s="9">
        <v>6.0099089558523776E17</v>
      </c>
    </row>
    <row r="2840" ht="15.75" customHeight="1">
      <c r="A2840" s="8"/>
      <c r="B2840" s="8"/>
      <c r="C2840" s="8"/>
      <c r="D2840" s="8">
        <v>27.9026907562088</v>
      </c>
      <c r="E2840" s="9" t="s">
        <v>2849</v>
      </c>
      <c r="I2840" s="12" t="str">
        <f>IFERROR(__xludf.DUMMYFUNCTION("""COMPUTED_VALUE"""),"0xf026e6cfef67775667d5942e419c4fc956deb162")</f>
        <v>0xf026e6cfef67775667d5942e419c4fc956deb162</v>
      </c>
      <c r="J2840" s="11">
        <v>91.1199983031448</v>
      </c>
      <c r="K2840" s="12">
        <v>202.48888511809955</v>
      </c>
      <c r="L2840" s="13">
        <v>2.0248888511809955E20</v>
      </c>
      <c r="M2840" s="9">
        <v>2.0248888511809958E19</v>
      </c>
    </row>
    <row r="2841" ht="15.75" customHeight="1">
      <c r="A2841" s="8"/>
      <c r="B2841" s="8"/>
      <c r="C2841" s="8"/>
      <c r="D2841" s="8">
        <v>27.8268218109292</v>
      </c>
      <c r="E2841" s="9" t="s">
        <v>2850</v>
      </c>
      <c r="I2841" s="12" t="str">
        <f>IFERROR(__xludf.DUMMYFUNCTION("""COMPUTED_VALUE"""),"0xf02b03534f6f72e3f33f4c5f0254f6d4f1c8009d")</f>
        <v>0xf02b03534f6f72e3f33f4c5f0254f6d4f1c8009d</v>
      </c>
      <c r="J2841" s="11">
        <v>27.8268218109292</v>
      </c>
      <c r="K2841" s="12">
        <v>61.83738180206489</v>
      </c>
      <c r="L2841" s="13">
        <v>6.183738180206489E19</v>
      </c>
      <c r="M2841" s="9">
        <v>6.1837381802064896E18</v>
      </c>
    </row>
    <row r="2842" ht="15.75" customHeight="1">
      <c r="A2842" s="8"/>
      <c r="B2842" s="8"/>
      <c r="C2842" s="8"/>
      <c r="D2842" s="8">
        <v>27.8990450983694</v>
      </c>
      <c r="E2842" s="9" t="s">
        <v>2851</v>
      </c>
      <c r="I2842" s="12" t="str">
        <f>IFERROR(__xludf.DUMMYFUNCTION("""COMPUTED_VALUE"""),"0xf03e207e1a813d3e84e5cd7f5155686619a2512d")</f>
        <v>0xf03e207e1a813d3e84e5cd7f5155686619a2512d</v>
      </c>
      <c r="J2842" s="11">
        <v>27.8990450983694</v>
      </c>
      <c r="K2842" s="12">
        <v>61.99787799637644</v>
      </c>
      <c r="L2842" s="13">
        <v>6.199787799637644E19</v>
      </c>
      <c r="M2842" s="9">
        <v>6.1997877996376443E18</v>
      </c>
    </row>
    <row r="2843" ht="15.75" customHeight="1">
      <c r="A2843" s="8"/>
      <c r="B2843" s="8"/>
      <c r="C2843" s="8"/>
      <c r="D2843" s="8">
        <v>27.9026907562088</v>
      </c>
      <c r="E2843" s="9" t="s">
        <v>2852</v>
      </c>
      <c r="I2843" s="12" t="str">
        <f>IFERROR(__xludf.DUMMYFUNCTION("""COMPUTED_VALUE"""),"0xf0757d8dc3a1f0e79fdb19854a22ddfe556412dc")</f>
        <v>0xf0757d8dc3a1f0e79fdb19854a22ddfe556412dc</v>
      </c>
      <c r="J2843" s="11">
        <v>27.9026907562088</v>
      </c>
      <c r="K2843" s="12">
        <v>62.005979458241775</v>
      </c>
      <c r="L2843" s="13">
        <v>6.200597945824177E19</v>
      </c>
      <c r="M2843" s="9">
        <v>6.2005979458241782E18</v>
      </c>
    </row>
    <row r="2844" ht="15.75" customHeight="1">
      <c r="A2844" s="8"/>
      <c r="B2844" s="8"/>
      <c r="C2844" s="8"/>
      <c r="D2844" s="8">
        <v>27.9026907562088</v>
      </c>
      <c r="E2844" s="9" t="s">
        <v>2853</v>
      </c>
      <c r="I2844" s="12" t="str">
        <f>IFERROR(__xludf.DUMMYFUNCTION("""COMPUTED_VALUE"""),"0xf07b6c62acfbc7f65e04719f8c8c85aa278b62b4")</f>
        <v>0xf07b6c62acfbc7f65e04719f8c8c85aa278b62b4</v>
      </c>
      <c r="J2844" s="11">
        <v>27.9026907562088</v>
      </c>
      <c r="K2844" s="12">
        <v>62.005979458241775</v>
      </c>
      <c r="L2844" s="13">
        <v>6.200597945824177E19</v>
      </c>
      <c r="M2844" s="9">
        <v>6.2005979458241782E18</v>
      </c>
    </row>
    <row r="2845" ht="15.75" customHeight="1">
      <c r="A2845" s="8"/>
      <c r="B2845" s="8"/>
      <c r="C2845" s="8"/>
      <c r="D2845" s="8">
        <v>27.9026907562088</v>
      </c>
      <c r="E2845" s="9" t="s">
        <v>2854</v>
      </c>
      <c r="I2845" s="12" t="str">
        <f>IFERROR(__xludf.DUMMYFUNCTION("""COMPUTED_VALUE"""),"0xf0930c7c7f496b1fc97113fd974ccffb79381674")</f>
        <v>0xf0930c7c7f496b1fc97113fd974ccffb79381674</v>
      </c>
      <c r="J2845" s="11">
        <v>27.9026907562088</v>
      </c>
      <c r="K2845" s="12">
        <v>62.005979458241775</v>
      </c>
      <c r="L2845" s="13">
        <v>6.200597945824177E19</v>
      </c>
      <c r="M2845" s="9">
        <v>6.2005979458241782E18</v>
      </c>
    </row>
    <row r="2846" ht="15.75" customHeight="1">
      <c r="A2846" s="8"/>
      <c r="B2846" s="8"/>
      <c r="C2846" s="8"/>
      <c r="D2846" s="8">
        <v>25.5547364016829</v>
      </c>
      <c r="E2846" s="9" t="s">
        <v>2855</v>
      </c>
      <c r="I2846" s="12" t="str">
        <f>IFERROR(__xludf.DUMMYFUNCTION("""COMPUTED_VALUE"""),"0xf0d6bf946d1f39bb1eae146b1166bde12cd4cbf8")</f>
        <v>0xf0d6bf946d1f39bb1eae146b1166bde12cd4cbf8</v>
      </c>
      <c r="J2846" s="11">
        <v>25.5547364016829</v>
      </c>
      <c r="K2846" s="12">
        <v>56.78830311485088</v>
      </c>
      <c r="L2846" s="13">
        <v>5.6788303114850886E19</v>
      </c>
      <c r="M2846" s="9">
        <v>5.6788303114850888E18</v>
      </c>
    </row>
    <row r="2847" ht="15.75" customHeight="1">
      <c r="A2847" s="8"/>
      <c r="B2847" s="8"/>
      <c r="C2847" s="8"/>
      <c r="D2847" s="8">
        <v>27.9026907562088</v>
      </c>
      <c r="E2847" s="9" t="s">
        <v>2856</v>
      </c>
      <c r="I2847" s="12" t="str">
        <f>IFERROR(__xludf.DUMMYFUNCTION("""COMPUTED_VALUE"""),"0xf0e984088576cf99819ed2c23e9914526b4b475e")</f>
        <v>0xf0e984088576cf99819ed2c23e9914526b4b475e</v>
      </c>
      <c r="J2847" s="11">
        <v>91.1199983031448</v>
      </c>
      <c r="K2847" s="12">
        <v>202.48888511809955</v>
      </c>
      <c r="L2847" s="13">
        <v>2.0248888511809955E20</v>
      </c>
      <c r="M2847" s="9">
        <v>2.0248888511809958E19</v>
      </c>
    </row>
    <row r="2848" ht="15.75" customHeight="1">
      <c r="A2848" s="8"/>
      <c r="B2848" s="8"/>
      <c r="C2848" s="8"/>
      <c r="D2848" s="8">
        <v>27.9026907562088</v>
      </c>
      <c r="E2848" s="9" t="s">
        <v>2857</v>
      </c>
      <c r="I2848" s="12" t="str">
        <f>IFERROR(__xludf.DUMMYFUNCTION("""COMPUTED_VALUE"""),"0xf0ea58b65c82c48ce69f0abd68d178e7764c4ba2")</f>
        <v>0xf0ea58b65c82c48ce69f0abd68d178e7764c4ba2</v>
      </c>
      <c r="J2848" s="11">
        <v>176.7347731659111</v>
      </c>
      <c r="K2848" s="12">
        <v>392.7439403686913</v>
      </c>
      <c r="L2848" s="13">
        <v>3.927439403686913E20</v>
      </c>
      <c r="M2848" s="9">
        <v>3.927439403686913E19</v>
      </c>
    </row>
    <row r="2849" ht="15.75" customHeight="1">
      <c r="A2849" s="8"/>
      <c r="B2849" s="8"/>
      <c r="C2849" s="8"/>
      <c r="D2849" s="8">
        <v>27.7885475279129</v>
      </c>
      <c r="E2849" s="9" t="s">
        <v>2858</v>
      </c>
      <c r="I2849" s="12" t="str">
        <f>IFERROR(__xludf.DUMMYFUNCTION("""COMPUTED_VALUE"""),"0xf0ec9ebcc991188a835732d76f5405888b0024c4")</f>
        <v>0xf0ec9ebcc991188a835732d76f5405888b0024c4</v>
      </c>
      <c r="J2849" s="11">
        <v>27.7885475279129</v>
      </c>
      <c r="K2849" s="12">
        <v>61.75232783980644</v>
      </c>
      <c r="L2849" s="13">
        <v>6.175232783980644E19</v>
      </c>
      <c r="M2849" s="9">
        <v>6.1752327839806444E18</v>
      </c>
    </row>
    <row r="2850" ht="15.75" customHeight="1">
      <c r="A2850" s="8"/>
      <c r="B2850" s="8"/>
      <c r="C2850" s="8"/>
      <c r="D2850" s="8">
        <v>27.9026907562088</v>
      </c>
      <c r="E2850" s="9" t="s">
        <v>2859</v>
      </c>
      <c r="I2850" s="12" t="str">
        <f>IFERROR(__xludf.DUMMYFUNCTION("""COMPUTED_VALUE"""),"0xf10b4845ad2b68e0e4e2951b72f0a0cbfcfb9933")</f>
        <v>0xf10b4845ad2b68e0e4e2951b72f0a0cbfcfb9933</v>
      </c>
      <c r="J2850" s="11">
        <v>27.9026907562088</v>
      </c>
      <c r="K2850" s="12">
        <v>62.005979458241775</v>
      </c>
      <c r="L2850" s="13">
        <v>6.200597945824177E19</v>
      </c>
      <c r="M2850" s="9">
        <v>6.2005979458241782E18</v>
      </c>
    </row>
    <row r="2851" ht="15.75" customHeight="1">
      <c r="A2851" s="8"/>
      <c r="B2851" s="8"/>
      <c r="C2851" s="8"/>
      <c r="D2851" s="8">
        <v>27.9026907562088</v>
      </c>
      <c r="E2851" s="9" t="s">
        <v>2860</v>
      </c>
      <c r="I2851" s="12" t="str">
        <f>IFERROR(__xludf.DUMMYFUNCTION("""COMPUTED_VALUE"""),"0xf113158825aace4a1ba94d76dd6145e2450fae11")</f>
        <v>0xf113158825aace4a1ba94d76dd6145e2450fae11</v>
      </c>
      <c r="J2851" s="11">
        <v>27.9026907562088</v>
      </c>
      <c r="K2851" s="12">
        <v>62.005979458241775</v>
      </c>
      <c r="L2851" s="13">
        <v>6.200597945824177E19</v>
      </c>
      <c r="M2851" s="9">
        <v>6.2005979458241782E18</v>
      </c>
    </row>
    <row r="2852" ht="15.75" customHeight="1">
      <c r="A2852" s="8"/>
      <c r="B2852" s="8"/>
      <c r="C2852" s="8"/>
      <c r="D2852" s="8">
        <v>27.9026907562088</v>
      </c>
      <c r="E2852" s="9" t="s">
        <v>2861</v>
      </c>
      <c r="I2852" s="12" t="str">
        <f>IFERROR(__xludf.DUMMYFUNCTION("""COMPUTED_VALUE"""),"0xf11d632d9e3fc469adb3230e6cfa4a90354d2f11")</f>
        <v>0xf11d632d9e3fc469adb3230e6cfa4a90354d2f11</v>
      </c>
      <c r="J2852" s="11">
        <v>99.30488752744553</v>
      </c>
      <c r="K2852" s="12">
        <v>220.67752783876784</v>
      </c>
      <c r="L2852" s="13">
        <v>2.2067752783876784E20</v>
      </c>
      <c r="M2852" s="9">
        <v>2.2067752783876784E19</v>
      </c>
    </row>
    <row r="2853" ht="15.75" customHeight="1">
      <c r="A2853" s="8"/>
      <c r="B2853" s="8"/>
      <c r="C2853" s="8"/>
      <c r="D2853" s="8">
        <v>27.9026907562088</v>
      </c>
      <c r="E2853" s="9" t="s">
        <v>2862</v>
      </c>
      <c r="I2853" s="12" t="str">
        <f>IFERROR(__xludf.DUMMYFUNCTION("""COMPUTED_VALUE"""),"0xf126399aa81218518e10748ceae7e630e0e4ddfc")</f>
        <v>0xf126399aa81218518e10748ceae7e630e0e4ddfc</v>
      </c>
      <c r="J2853" s="11">
        <v>27.9026907562088</v>
      </c>
      <c r="K2853" s="12">
        <v>62.005979458241775</v>
      </c>
      <c r="L2853" s="13">
        <v>6.200597945824177E19</v>
      </c>
      <c r="M2853" s="9">
        <v>6.2005979458241782E18</v>
      </c>
    </row>
    <row r="2854" ht="15.75" customHeight="1">
      <c r="A2854" s="8"/>
      <c r="B2854" s="8"/>
      <c r="C2854" s="8"/>
      <c r="D2854" s="8">
        <v>27.9026907562088</v>
      </c>
      <c r="E2854" s="9" t="s">
        <v>2863</v>
      </c>
      <c r="I2854" s="12" t="str">
        <f>IFERROR(__xludf.DUMMYFUNCTION("""COMPUTED_VALUE"""),"0xf13593cf30c53afb1cf77c8c743c47fac3d46f20")</f>
        <v>0xf13593cf30c53afb1cf77c8c743c47fac3d46f20</v>
      </c>
      <c r="J2854" s="11">
        <v>27.9026907562088</v>
      </c>
      <c r="K2854" s="12">
        <v>62.005979458241775</v>
      </c>
      <c r="L2854" s="13">
        <v>6.200597945824177E19</v>
      </c>
      <c r="M2854" s="9">
        <v>6.2005979458241782E18</v>
      </c>
    </row>
    <row r="2855" ht="15.75" customHeight="1">
      <c r="A2855" s="8"/>
      <c r="B2855" s="8"/>
      <c r="C2855" s="8"/>
      <c r="D2855" s="8">
        <v>27.9026907562088</v>
      </c>
      <c r="E2855" s="9" t="s">
        <v>2864</v>
      </c>
      <c r="I2855" s="12" t="str">
        <f>IFERROR(__xludf.DUMMYFUNCTION("""COMPUTED_VALUE"""),"0xf148ac13f1778f30acc8986a9c1879be36c1fde1")</f>
        <v>0xf148ac13f1778f30acc8986a9c1879be36c1fde1</v>
      </c>
      <c r="J2855" s="11">
        <v>27.9026907562088</v>
      </c>
      <c r="K2855" s="12">
        <v>62.005979458241775</v>
      </c>
      <c r="L2855" s="13">
        <v>6.200597945824177E19</v>
      </c>
      <c r="M2855" s="9">
        <v>6.2005979458241782E18</v>
      </c>
    </row>
    <row r="2856" ht="15.75" customHeight="1">
      <c r="A2856" s="8"/>
      <c r="B2856" s="8"/>
      <c r="C2856" s="8"/>
      <c r="D2856" s="8">
        <v>27.9026907562088</v>
      </c>
      <c r="E2856" s="9" t="s">
        <v>2865</v>
      </c>
      <c r="I2856" s="12" t="str">
        <f>IFERROR(__xludf.DUMMYFUNCTION("""COMPUTED_VALUE"""),"0xf1541dc2f93d961635e9c4b148ef671f21c30b8d")</f>
        <v>0xf1541dc2f93d961635e9c4b148ef671f21c30b8d</v>
      </c>
      <c r="J2856" s="11">
        <v>29.86110926807648</v>
      </c>
      <c r="K2856" s="12">
        <v>66.3580205957255</v>
      </c>
      <c r="L2856" s="13">
        <v>6.635802059572551E19</v>
      </c>
      <c r="M2856" s="9">
        <v>6.6358020595725517E18</v>
      </c>
    </row>
    <row r="2857" ht="15.75" customHeight="1">
      <c r="A2857" s="8"/>
      <c r="B2857" s="8"/>
      <c r="C2857" s="8"/>
      <c r="D2857" s="8">
        <v>27.9026907562088</v>
      </c>
      <c r="E2857" s="9" t="s">
        <v>2866</v>
      </c>
      <c r="I2857" s="12" t="str">
        <f>IFERROR(__xludf.DUMMYFUNCTION("""COMPUTED_VALUE"""),"0xf1546a5e3b2a659b6a68077a0c6ed9bceba281cd")</f>
        <v>0xf1546a5e3b2a659b6a68077a0c6ed9bceba281cd</v>
      </c>
      <c r="J2857" s="11">
        <v>27.9026907562088</v>
      </c>
      <c r="K2857" s="12">
        <v>62.005979458241775</v>
      </c>
      <c r="L2857" s="13">
        <v>6.200597945824177E19</v>
      </c>
      <c r="M2857" s="9">
        <v>6.2005979458241782E18</v>
      </c>
    </row>
    <row r="2858" ht="15.75" customHeight="1">
      <c r="A2858" s="8"/>
      <c r="B2858" s="8"/>
      <c r="C2858" s="8"/>
      <c r="D2858" s="8">
        <v>27.9026907562088</v>
      </c>
      <c r="E2858" s="9" t="s">
        <v>2867</v>
      </c>
      <c r="I2858" s="12" t="str">
        <f>IFERROR(__xludf.DUMMYFUNCTION("""COMPUTED_VALUE"""),"0xf15b9dc4075e7e0f37e13c1c1870c4d2b107bef9")</f>
        <v>0xf15b9dc4075e7e0f37e13c1c1870c4d2b107bef9</v>
      </c>
      <c r="J2858" s="11">
        <v>91.1199983031448</v>
      </c>
      <c r="K2858" s="12">
        <v>202.48888511809955</v>
      </c>
      <c r="L2858" s="13">
        <v>2.0248888511809955E20</v>
      </c>
      <c r="M2858" s="9">
        <v>2.0248888511809958E19</v>
      </c>
    </row>
    <row r="2859" ht="15.75" customHeight="1">
      <c r="A2859" s="8"/>
      <c r="B2859" s="8"/>
      <c r="C2859" s="8"/>
      <c r="D2859" s="8">
        <v>27.9026907562088</v>
      </c>
      <c r="E2859" s="9" t="s">
        <v>2868</v>
      </c>
      <c r="I2859" s="12" t="str">
        <f>IFERROR(__xludf.DUMMYFUNCTION("""COMPUTED_VALUE"""),"0xf16df00243be7fbcb9c02129c19cda9a8bef99a9")</f>
        <v>0xf16df00243be7fbcb9c02129c19cda9a8bef99a9</v>
      </c>
      <c r="J2859" s="11">
        <v>27.9026907562088</v>
      </c>
      <c r="K2859" s="12">
        <v>62.005979458241775</v>
      </c>
      <c r="L2859" s="13">
        <v>6.200597945824177E19</v>
      </c>
      <c r="M2859" s="9">
        <v>6.2005979458241782E18</v>
      </c>
    </row>
    <row r="2860" ht="15.75" customHeight="1">
      <c r="A2860" s="8"/>
      <c r="B2860" s="8"/>
      <c r="C2860" s="8"/>
      <c r="D2860" s="8">
        <v>27.9026907562088</v>
      </c>
      <c r="E2860" s="9" t="s">
        <v>2869</v>
      </c>
      <c r="I2860" s="12" t="str">
        <f>IFERROR(__xludf.DUMMYFUNCTION("""COMPUTED_VALUE"""),"0xf1812dad1d614c255628ebf22f39adefa7b97d9e")</f>
        <v>0xf1812dad1d614c255628ebf22f39adefa7b97d9e</v>
      </c>
      <c r="J2860" s="11">
        <v>27.9026907562088</v>
      </c>
      <c r="K2860" s="12">
        <v>62.005979458241775</v>
      </c>
      <c r="L2860" s="13">
        <v>6.200597945824177E19</v>
      </c>
      <c r="M2860" s="9">
        <v>6.2005979458241782E18</v>
      </c>
    </row>
    <row r="2861" ht="15.75" customHeight="1">
      <c r="A2861" s="8"/>
      <c r="B2861" s="8"/>
      <c r="C2861" s="8"/>
      <c r="D2861" s="8">
        <v>27.9026907562088</v>
      </c>
      <c r="E2861" s="9" t="s">
        <v>2870</v>
      </c>
      <c r="I2861" s="12" t="str">
        <f>IFERROR(__xludf.DUMMYFUNCTION("""COMPUTED_VALUE"""),"0xf1962689241ff02ee269ed22889c7c022bac42e5")</f>
        <v>0xf1962689241ff02ee269ed22889c7c022bac42e5</v>
      </c>
      <c r="J2861" s="11">
        <v>27.9026907562088</v>
      </c>
      <c r="K2861" s="12">
        <v>62.005979458241775</v>
      </c>
      <c r="L2861" s="13">
        <v>6.200597945824177E19</v>
      </c>
      <c r="M2861" s="9">
        <v>6.2005979458241782E18</v>
      </c>
    </row>
    <row r="2862" ht="15.75" customHeight="1">
      <c r="A2862" s="8"/>
      <c r="B2862" s="8"/>
      <c r="C2862" s="8"/>
      <c r="D2862" s="8">
        <v>27.9026907562088</v>
      </c>
      <c r="E2862" s="9" t="s">
        <v>2871</v>
      </c>
      <c r="I2862" s="12" t="str">
        <f>IFERROR(__xludf.DUMMYFUNCTION("""COMPUTED_VALUE"""),"0xf1a0fbe9821cefdc080e77887b1b1858e79786dc")</f>
        <v>0xf1a0fbe9821cefdc080e77887b1b1858e79786dc</v>
      </c>
      <c r="J2862" s="11">
        <v>27.9026907562088</v>
      </c>
      <c r="K2862" s="12">
        <v>62.005979458241775</v>
      </c>
      <c r="L2862" s="13">
        <v>6.200597945824177E19</v>
      </c>
      <c r="M2862" s="9">
        <v>6.2005979458241782E18</v>
      </c>
    </row>
    <row r="2863" ht="15.75" customHeight="1">
      <c r="A2863" s="8"/>
      <c r="B2863" s="8"/>
      <c r="C2863" s="8"/>
      <c r="D2863" s="8">
        <v>27.9026907562088</v>
      </c>
      <c r="E2863" s="9" t="s">
        <v>2872</v>
      </c>
      <c r="I2863" s="12" t="str">
        <f>IFERROR(__xludf.DUMMYFUNCTION("""COMPUTED_VALUE"""),"0xf1b45f0d09f7c32ab374ffd4474db54d65358469")</f>
        <v>0xf1b45f0d09f7c32ab374ffd4474db54d65358469</v>
      </c>
      <c r="J2863" s="11">
        <v>27.9026907562088</v>
      </c>
      <c r="K2863" s="12">
        <v>62.005979458241775</v>
      </c>
      <c r="L2863" s="13">
        <v>6.200597945824177E19</v>
      </c>
      <c r="M2863" s="9">
        <v>6.2005979458241782E18</v>
      </c>
    </row>
    <row r="2864" ht="15.75" customHeight="1">
      <c r="A2864" s="8"/>
      <c r="B2864" s="8"/>
      <c r="C2864" s="8"/>
      <c r="D2864" s="8">
        <v>27.9026907562088</v>
      </c>
      <c r="E2864" s="9" t="s">
        <v>2873</v>
      </c>
      <c r="I2864" s="12" t="str">
        <f>IFERROR(__xludf.DUMMYFUNCTION("""COMPUTED_VALUE"""),"0xf1c8fb1e1b023d981bad4cc3075f274fb6d0564a")</f>
        <v>0xf1c8fb1e1b023d981bad4cc3075f274fb6d0564a</v>
      </c>
      <c r="J2864" s="11">
        <v>27.9026907562088</v>
      </c>
      <c r="K2864" s="12">
        <v>62.005979458241775</v>
      </c>
      <c r="L2864" s="13">
        <v>6.200597945824177E19</v>
      </c>
      <c r="M2864" s="9">
        <v>6.2005979458241782E18</v>
      </c>
    </row>
    <row r="2865" ht="15.75" customHeight="1">
      <c r="A2865" s="8"/>
      <c r="B2865" s="8"/>
      <c r="C2865" s="8"/>
      <c r="D2865" s="8">
        <v>27.9026907562088</v>
      </c>
      <c r="E2865" s="9" t="s">
        <v>2874</v>
      </c>
      <c r="I2865" s="12" t="str">
        <f>IFERROR(__xludf.DUMMYFUNCTION("""COMPUTED_VALUE"""),"0xf1e434538f25b689712bd64b5d43a4ff133c53d2")</f>
        <v>0xf1e434538f25b689712bd64b5d43a4ff133c53d2</v>
      </c>
      <c r="J2865" s="11">
        <v>115.5824824092424</v>
      </c>
      <c r="K2865" s="12">
        <v>256.8499609094276</v>
      </c>
      <c r="L2865" s="13">
        <v>2.5684996090942757E20</v>
      </c>
      <c r="M2865" s="9">
        <v>2.568499609094276E19</v>
      </c>
    </row>
    <row r="2866" ht="15.75" customHeight="1">
      <c r="A2866" s="8"/>
      <c r="B2866" s="8"/>
      <c r="C2866" s="8"/>
      <c r="D2866" s="8">
        <v>27.9026907562088</v>
      </c>
      <c r="E2866" s="9" t="s">
        <v>2875</v>
      </c>
      <c r="I2866" s="12" t="str">
        <f>IFERROR(__xludf.DUMMYFUNCTION("""COMPUTED_VALUE"""),"0xf1f45f26cbac3cde9e5e69e6a92190a954428044")</f>
        <v>0xf1f45f26cbac3cde9e5e69e6a92190a954428044</v>
      </c>
      <c r="J2866" s="11">
        <v>91.1199983031448</v>
      </c>
      <c r="K2866" s="12">
        <v>202.48888511809955</v>
      </c>
      <c r="L2866" s="13">
        <v>2.0248888511809955E20</v>
      </c>
      <c r="M2866" s="9">
        <v>2.0248888511809958E19</v>
      </c>
    </row>
    <row r="2867" ht="15.75" customHeight="1">
      <c r="A2867" s="8"/>
      <c r="B2867" s="8"/>
      <c r="C2867" s="8"/>
      <c r="D2867" s="8">
        <v>25.1059862688209</v>
      </c>
      <c r="E2867" s="9" t="s">
        <v>2876</v>
      </c>
      <c r="I2867" s="12" t="str">
        <f>IFERROR(__xludf.DUMMYFUNCTION("""COMPUTED_VALUE"""),"0xf1fc1579e285ced99a8cdb7546d6b6829f9f197e")</f>
        <v>0xf1fc1579e285ced99a8cdb7546d6b6829f9f197e</v>
      </c>
      <c r="J2867" s="11">
        <v>26.86805125205519</v>
      </c>
      <c r="K2867" s="12">
        <v>59.70678056012264</v>
      </c>
      <c r="L2867" s="13">
        <v>5.9706780560122634E19</v>
      </c>
      <c r="M2867" s="9">
        <v>5.9706780560122634E18</v>
      </c>
    </row>
    <row r="2868" ht="15.75" customHeight="1">
      <c r="A2868" s="8"/>
      <c r="B2868" s="8"/>
      <c r="C2868" s="8"/>
      <c r="D2868" s="8">
        <v>21.7865792663221</v>
      </c>
      <c r="E2868" s="9" t="s">
        <v>2877</v>
      </c>
      <c r="I2868" s="12" t="str">
        <f>IFERROR(__xludf.DUMMYFUNCTION("""COMPUTED_VALUE"""),"0xf20ea2034c62d2a9f0d7e40e0b48bf477bc206a2")</f>
        <v>0xf20ea2034c62d2a9f0d7e40e0b48bf477bc206a2</v>
      </c>
      <c r="J2868" s="11">
        <v>21.7865792663221</v>
      </c>
      <c r="K2868" s="12">
        <v>48.41462059182689</v>
      </c>
      <c r="L2868" s="13">
        <v>4.841462059182689E19</v>
      </c>
      <c r="M2868" s="9">
        <v>4.8414620591826893E18</v>
      </c>
    </row>
    <row r="2869" ht="15.75" customHeight="1">
      <c r="A2869" s="8"/>
      <c r="B2869" s="8"/>
      <c r="C2869" s="8"/>
      <c r="D2869" s="8">
        <v>18.2719537576941</v>
      </c>
      <c r="E2869" s="9" t="s">
        <v>2878</v>
      </c>
      <c r="I2869" s="12" t="str">
        <f>IFERROR(__xludf.DUMMYFUNCTION("""COMPUTED_VALUE"""),"0xf216e7b48a415ff51a9992aa0b09a2ad7722a877")</f>
        <v>0xf216e7b48a415ff51a9992aa0b09a2ad7722a877</v>
      </c>
      <c r="J2869" s="11">
        <v>18.2719537576941</v>
      </c>
      <c r="K2869" s="12">
        <v>40.604341683764666</v>
      </c>
      <c r="L2869" s="13">
        <v>4.060434168376467E19</v>
      </c>
      <c r="M2869" s="9">
        <v>4.0604341683764669E18</v>
      </c>
    </row>
    <row r="2870" ht="15.75" customHeight="1">
      <c r="A2870" s="8"/>
      <c r="B2870" s="8"/>
      <c r="C2870" s="8"/>
      <c r="D2870" s="8">
        <v>27.9026907562088</v>
      </c>
      <c r="E2870" s="9" t="s">
        <v>2879</v>
      </c>
      <c r="I2870" s="12" t="str">
        <f>IFERROR(__xludf.DUMMYFUNCTION("""COMPUTED_VALUE"""),"0xf227ca8260cc205b9bb2a2ffada45cc4bf3e5b7b")</f>
        <v>0xf227ca8260cc205b9bb2a2ffada45cc4bf3e5b7b</v>
      </c>
      <c r="J2870" s="11">
        <v>27.9026907562088</v>
      </c>
      <c r="K2870" s="12">
        <v>62.005979458241775</v>
      </c>
      <c r="L2870" s="13">
        <v>6.200597945824177E19</v>
      </c>
      <c r="M2870" s="9">
        <v>6.2005979458241782E18</v>
      </c>
    </row>
    <row r="2871" ht="15.75" customHeight="1">
      <c r="A2871" s="8"/>
      <c r="B2871" s="8"/>
      <c r="C2871" s="8"/>
      <c r="D2871" s="8">
        <v>27.9026907562088</v>
      </c>
      <c r="E2871" s="9" t="s">
        <v>2880</v>
      </c>
      <c r="I2871" s="12" t="str">
        <f>IFERROR(__xludf.DUMMYFUNCTION("""COMPUTED_VALUE"""),"0xf22f9e9fea9f8548c9f86ab0ec349b62635a9c87")</f>
        <v>0xf22f9e9fea9f8548c9f86ab0ec349b62635a9c87</v>
      </c>
      <c r="J2871" s="11">
        <v>91.1199983031448</v>
      </c>
      <c r="K2871" s="12">
        <v>202.48888511809955</v>
      </c>
      <c r="L2871" s="13">
        <v>2.0248888511809955E20</v>
      </c>
      <c r="M2871" s="9">
        <v>2.0248888511809958E19</v>
      </c>
    </row>
    <row r="2872" ht="15.75" customHeight="1">
      <c r="A2872" s="8"/>
      <c r="B2872" s="8"/>
      <c r="C2872" s="8"/>
      <c r="D2872" s="8">
        <v>27.9026907562088</v>
      </c>
      <c r="E2872" s="9" t="s">
        <v>2881</v>
      </c>
      <c r="I2872" s="12" t="str">
        <f>IFERROR(__xludf.DUMMYFUNCTION("""COMPUTED_VALUE"""),"0xf244890367011c40bfe31ae2c4260382a9ac6b1a")</f>
        <v>0xf244890367011c40bfe31ae2c4260382a9ac6b1a</v>
      </c>
      <c r="J2872" s="11">
        <v>27.9026907562088</v>
      </c>
      <c r="K2872" s="12">
        <v>62.005979458241775</v>
      </c>
      <c r="L2872" s="13">
        <v>6.200597945824177E19</v>
      </c>
      <c r="M2872" s="9">
        <v>6.2005979458241782E18</v>
      </c>
    </row>
    <row r="2873" ht="15.75" customHeight="1">
      <c r="A2873" s="8"/>
      <c r="B2873" s="8"/>
      <c r="C2873" s="8"/>
      <c r="D2873" s="8">
        <v>26.8634948424553</v>
      </c>
      <c r="E2873" s="9" t="s">
        <v>2882</v>
      </c>
      <c r="I2873" s="12" t="str">
        <f>IFERROR(__xludf.DUMMYFUNCTION("""COMPUTED_VALUE"""),"0xf247e25f9921c25491573283b2a436f8e666ae76")</f>
        <v>0xf247e25f9921c25491573283b2a436f8e666ae76</v>
      </c>
      <c r="J2873" s="11">
        <v>35.15513569243436</v>
      </c>
      <c r="K2873" s="12">
        <v>78.12252376096524</v>
      </c>
      <c r="L2873" s="13">
        <v>7.812252376096524E19</v>
      </c>
      <c r="M2873" s="9">
        <v>7.8122523760965243E18</v>
      </c>
    </row>
    <row r="2874" ht="15.75" customHeight="1">
      <c r="A2874" s="8"/>
      <c r="B2874" s="8"/>
      <c r="C2874" s="8"/>
      <c r="D2874" s="8">
        <v>24.9440489722302</v>
      </c>
      <c r="E2874" s="9" t="s">
        <v>2883</v>
      </c>
      <c r="I2874" s="12" t="str">
        <f>IFERROR(__xludf.DUMMYFUNCTION("""COMPUTED_VALUE"""),"0xf2576a1e79c8aa0002118bc36e1f3bbeb42725eb")</f>
        <v>0xf2576a1e79c8aa0002118bc36e1f3bbeb42725eb</v>
      </c>
      <c r="J2874" s="11">
        <v>24.9440489722302</v>
      </c>
      <c r="K2874" s="12">
        <v>55.43121993828933</v>
      </c>
      <c r="L2874" s="13">
        <v>5.543121993828933E19</v>
      </c>
      <c r="M2874" s="9">
        <v>5.5431219938289336E18</v>
      </c>
    </row>
    <row r="2875" ht="15.75" customHeight="1">
      <c r="A2875" s="8"/>
      <c r="B2875" s="8"/>
      <c r="C2875" s="8"/>
      <c r="D2875" s="8">
        <v>27.9026907562088</v>
      </c>
      <c r="E2875" s="9" t="s">
        <v>2884</v>
      </c>
      <c r="I2875" s="12" t="str">
        <f>IFERROR(__xludf.DUMMYFUNCTION("""COMPUTED_VALUE"""),"0xf26947425b309dcc7cca44c5af4dec0e9c94ef7b")</f>
        <v>0xf26947425b309dcc7cca44c5af4dec0e9c94ef7b</v>
      </c>
      <c r="J2875" s="11">
        <v>91.1199983031448</v>
      </c>
      <c r="K2875" s="12">
        <v>202.48888511809955</v>
      </c>
      <c r="L2875" s="13">
        <v>2.0248888511809955E20</v>
      </c>
      <c r="M2875" s="9">
        <v>2.0248888511809958E19</v>
      </c>
    </row>
    <row r="2876" ht="15.75" customHeight="1">
      <c r="A2876" s="8"/>
      <c r="B2876" s="8"/>
      <c r="C2876" s="8"/>
      <c r="D2876" s="8">
        <v>27.9026907562088</v>
      </c>
      <c r="E2876" s="9" t="s">
        <v>2885</v>
      </c>
      <c r="I2876" s="12" t="str">
        <f>IFERROR(__xludf.DUMMYFUNCTION("""COMPUTED_VALUE"""),"0xf26ee4b5689b9bb31a6cb5356029db553b401d30")</f>
        <v>0xf26ee4b5689b9bb31a6cb5356029db553b401d30</v>
      </c>
      <c r="J2876" s="11">
        <v>59.5113445296768</v>
      </c>
      <c r="K2876" s="12">
        <v>132.24743228817067</v>
      </c>
      <c r="L2876" s="13">
        <v>1.3224743228817067E20</v>
      </c>
      <c r="M2876" s="9">
        <v>1.3224743228817068E19</v>
      </c>
    </row>
    <row r="2877" ht="15.75" customHeight="1">
      <c r="A2877" s="8"/>
      <c r="B2877" s="8"/>
      <c r="C2877" s="8"/>
      <c r="D2877" s="8">
        <v>27.9026907562088</v>
      </c>
      <c r="E2877" s="9" t="s">
        <v>2886</v>
      </c>
      <c r="I2877" s="12" t="str">
        <f>IFERROR(__xludf.DUMMYFUNCTION("""COMPUTED_VALUE"""),"0xf27078bf9bdc462fe72bc06e3273dde7c5a41bb5")</f>
        <v>0xf27078bf9bdc462fe72bc06e3273dde7c5a41bb5</v>
      </c>
      <c r="J2877" s="11">
        <v>91.1199983031448</v>
      </c>
      <c r="K2877" s="12">
        <v>202.48888511809955</v>
      </c>
      <c r="L2877" s="13">
        <v>2.0248888511809955E20</v>
      </c>
      <c r="M2877" s="9">
        <v>2.0248888511809958E19</v>
      </c>
    </row>
    <row r="2878" ht="15.75" customHeight="1">
      <c r="A2878" s="8"/>
      <c r="B2878" s="8"/>
      <c r="C2878" s="8"/>
      <c r="D2878" s="8">
        <v>27.9026907562088</v>
      </c>
      <c r="E2878" s="9" t="s">
        <v>2887</v>
      </c>
      <c r="I2878" s="12" t="str">
        <f>IFERROR(__xludf.DUMMYFUNCTION("""COMPUTED_VALUE"""),"0xf279ebf88d44094f8820c049bd7b926539b07761")</f>
        <v>0xf279ebf88d44094f8820c049bd7b926539b07761</v>
      </c>
      <c r="J2878" s="11">
        <v>27.9026907562088</v>
      </c>
      <c r="K2878" s="12">
        <v>62.005979458241775</v>
      </c>
      <c r="L2878" s="13">
        <v>6.200597945824177E19</v>
      </c>
      <c r="M2878" s="9">
        <v>6.2005979458241782E18</v>
      </c>
    </row>
    <row r="2879" ht="15.75" customHeight="1">
      <c r="A2879" s="8"/>
      <c r="B2879" s="8"/>
      <c r="C2879" s="8"/>
      <c r="D2879" s="8">
        <v>27.9026907562088</v>
      </c>
      <c r="E2879" s="9" t="s">
        <v>2888</v>
      </c>
      <c r="I2879" s="12" t="str">
        <f>IFERROR(__xludf.DUMMYFUNCTION("""COMPUTED_VALUE"""),"0xf2df9228ca83af7ea0a694226e6babe5151c6cff")</f>
        <v>0xf2df9228ca83af7ea0a694226e6babe5151c6cff</v>
      </c>
      <c r="J2879" s="11">
        <v>101.3806901648308</v>
      </c>
      <c r="K2879" s="12">
        <v>225.29042258851288</v>
      </c>
      <c r="L2879" s="13">
        <v>2.252904225885129E20</v>
      </c>
      <c r="M2879" s="9">
        <v>2.252904225885129E19</v>
      </c>
    </row>
    <row r="2880" ht="15.75" customHeight="1">
      <c r="A2880" s="8"/>
      <c r="B2880" s="8"/>
      <c r="C2880" s="8"/>
      <c r="D2880" s="8">
        <v>26.9478595412921</v>
      </c>
      <c r="E2880" s="9" t="s">
        <v>2889</v>
      </c>
      <c r="I2880" s="12" t="str">
        <f>IFERROR(__xludf.DUMMYFUNCTION("""COMPUTED_VALUE"""),"0xf2eae206f22afe2b9b1c71a274a85bd0d4cdeac0")</f>
        <v>0xf2eae206f22afe2b9b1c71a274a85bd0d4cdeac0</v>
      </c>
      <c r="J2880" s="11">
        <v>88.1865566446713</v>
      </c>
      <c r="K2880" s="12">
        <v>195.97012587704734</v>
      </c>
      <c r="L2880" s="13">
        <v>1.9597012587704733E20</v>
      </c>
      <c r="M2880" s="9">
        <v>1.9597012587704734E19</v>
      </c>
    </row>
    <row r="2881" ht="15.75" customHeight="1">
      <c r="A2881" s="8"/>
      <c r="B2881" s="8"/>
      <c r="C2881" s="8"/>
      <c r="D2881" s="8">
        <v>13.9513453781044</v>
      </c>
      <c r="E2881" s="9" t="s">
        <v>2890</v>
      </c>
      <c r="I2881" s="12" t="str">
        <f>IFERROR(__xludf.DUMMYFUNCTION("""COMPUTED_VALUE"""),"0xf3062895ec49433671b7bc196c7f61d54713ff0a")</f>
        <v>0xf3062895ec49433671b7bc196c7f61d54713ff0a</v>
      </c>
      <c r="J2881" s="11">
        <v>20.70614473339349</v>
      </c>
      <c r="K2881" s="12">
        <v>46.01365496309664</v>
      </c>
      <c r="L2881" s="13">
        <v>4.601365496309664E19</v>
      </c>
      <c r="M2881" s="9">
        <v>4.6013654963096643E18</v>
      </c>
    </row>
    <row r="2882" ht="15.75" customHeight="1">
      <c r="A2882" s="8"/>
      <c r="B2882" s="8"/>
      <c r="C2882" s="8"/>
      <c r="D2882" s="8">
        <v>27.9026907562088</v>
      </c>
      <c r="E2882" s="9" t="s">
        <v>2891</v>
      </c>
      <c r="I2882" s="12" t="str">
        <f>IFERROR(__xludf.DUMMYFUNCTION("""COMPUTED_VALUE"""),"0xf318e8bf7940571e95274b69ad8769f6aea3ba9a")</f>
        <v>0xf318e8bf7940571e95274b69ad8769f6aea3ba9a</v>
      </c>
      <c r="J2882" s="11">
        <v>29.848481093998938</v>
      </c>
      <c r="K2882" s="12">
        <v>66.32995798666431</v>
      </c>
      <c r="L2882" s="13">
        <v>6.632995798666431E19</v>
      </c>
      <c r="M2882" s="9">
        <v>6.6329957986664315E18</v>
      </c>
    </row>
    <row r="2883" ht="15.75" customHeight="1">
      <c r="A2883" s="8"/>
      <c r="B2883" s="8"/>
      <c r="C2883" s="8"/>
      <c r="D2883" s="8">
        <v>27.9026907562088</v>
      </c>
      <c r="E2883" s="9" t="s">
        <v>2892</v>
      </c>
      <c r="I2883" s="12" t="str">
        <f>IFERROR(__xludf.DUMMYFUNCTION("""COMPUTED_VALUE"""),"0xf321716db6d2e5318a1cdbc15af80df25f2f8244")</f>
        <v>0xf321716db6d2e5318a1cdbc15af80df25f2f8244</v>
      </c>
      <c r="J2883" s="11">
        <v>91.1199983031448</v>
      </c>
      <c r="K2883" s="12">
        <v>202.48888511809955</v>
      </c>
      <c r="L2883" s="13">
        <v>2.0248888511809955E20</v>
      </c>
      <c r="M2883" s="9">
        <v>2.0248888511809958E19</v>
      </c>
    </row>
    <row r="2884" ht="15.75" customHeight="1">
      <c r="A2884" s="8"/>
      <c r="B2884" s="8"/>
      <c r="C2884" s="8"/>
      <c r="D2884" s="8">
        <v>27.9026907562088</v>
      </c>
      <c r="E2884" s="9" t="s">
        <v>2893</v>
      </c>
      <c r="I2884" s="12" t="str">
        <f>IFERROR(__xludf.DUMMYFUNCTION("""COMPUTED_VALUE"""),"0xf32370e856c4acc87634f9afebc2d7e0ad9ffa9c")</f>
        <v>0xf32370e856c4acc87634f9afebc2d7e0ad9ffa9c</v>
      </c>
      <c r="J2884" s="11">
        <v>27.9026907562088</v>
      </c>
      <c r="K2884" s="12">
        <v>62.005979458241775</v>
      </c>
      <c r="L2884" s="13">
        <v>6.200597945824177E19</v>
      </c>
      <c r="M2884" s="9">
        <v>6.2005979458241782E18</v>
      </c>
    </row>
    <row r="2885" ht="15.75" customHeight="1">
      <c r="A2885" s="8"/>
      <c r="B2885" s="8"/>
      <c r="C2885" s="8"/>
      <c r="D2885" s="8">
        <v>27.5856213227191</v>
      </c>
      <c r="E2885" s="9" t="s">
        <v>2894</v>
      </c>
      <c r="I2885" s="12" t="str">
        <f>IFERROR(__xludf.DUMMYFUNCTION("""COMPUTED_VALUE"""),"0xf354f5686f49e560ad1dd3bca451a9b7911d9c55")</f>
        <v>0xf354f5686f49e560ad1dd3bca451a9b7911d9c55</v>
      </c>
      <c r="J2885" s="11">
        <v>27.5856213227191</v>
      </c>
      <c r="K2885" s="12">
        <v>61.30138071715355</v>
      </c>
      <c r="L2885" s="13">
        <v>6.130138071715355E19</v>
      </c>
      <c r="M2885" s="9">
        <v>6.1301380717153556E18</v>
      </c>
    </row>
    <row r="2886" ht="15.75" customHeight="1">
      <c r="A2886" s="8"/>
      <c r="B2886" s="8"/>
      <c r="C2886" s="8"/>
      <c r="D2886" s="8">
        <v>24.3366684645402</v>
      </c>
      <c r="E2886" s="9" t="s">
        <v>2895</v>
      </c>
      <c r="I2886" s="12" t="str">
        <f>IFERROR(__xludf.DUMMYFUNCTION("""COMPUTED_VALUE"""),"0xf3631bfa02767dc55ca8da94c174afa5d2d68cdf")</f>
        <v>0xf3631bfa02767dc55ca8da94c174afa5d2d68cdf</v>
      </c>
      <c r="J2886" s="11">
        <v>96.87016004514061</v>
      </c>
      <c r="K2886" s="12">
        <v>215.26702232253467</v>
      </c>
      <c r="L2886" s="13">
        <v>2.1526702232253468E20</v>
      </c>
      <c r="M2886" s="9">
        <v>2.152670223225347E19</v>
      </c>
    </row>
    <row r="2887" ht="15.75" customHeight="1">
      <c r="A2887" s="8"/>
      <c r="B2887" s="8"/>
      <c r="C2887" s="8"/>
      <c r="D2887" s="8">
        <v>20.8992770421487</v>
      </c>
      <c r="E2887" s="9" t="s">
        <v>2896</v>
      </c>
      <c r="I2887" s="12" t="str">
        <f>IFERROR(__xludf.DUMMYFUNCTION("""COMPUTED_VALUE"""),"0xf3648dc9e234657cb246f020a0db8722cf42a096")</f>
        <v>0xf3648dc9e234657cb246f020a0db8722cf42a096</v>
      </c>
      <c r="J2887" s="11">
        <v>20.8992770421487</v>
      </c>
      <c r="K2887" s="12">
        <v>46.442837871441554</v>
      </c>
      <c r="L2887" s="13">
        <v>4.644283787144155E19</v>
      </c>
      <c r="M2887" s="9">
        <v>4.6442837871441551E18</v>
      </c>
    </row>
    <row r="2888" ht="15.75" customHeight="1">
      <c r="A2888" s="8"/>
      <c r="B2888" s="8"/>
      <c r="C2888" s="8"/>
      <c r="D2888" s="8">
        <v>27.9026907562088</v>
      </c>
      <c r="E2888" s="9" t="s">
        <v>2897</v>
      </c>
      <c r="I2888" s="12" t="str">
        <f>IFERROR(__xludf.DUMMYFUNCTION("""COMPUTED_VALUE"""),"0xf3732a7e688fd414f8a9ef821145f39b408b8498")</f>
        <v>0xf3732a7e688fd414f8a9ef821145f39b408b8498</v>
      </c>
      <c r="J2888" s="11">
        <v>27.9026907562088</v>
      </c>
      <c r="K2888" s="12">
        <v>62.005979458241775</v>
      </c>
      <c r="L2888" s="13">
        <v>6.200597945824177E19</v>
      </c>
      <c r="M2888" s="9">
        <v>6.2005979458241782E18</v>
      </c>
    </row>
    <row r="2889" ht="15.75" customHeight="1">
      <c r="A2889" s="8"/>
      <c r="B2889" s="8"/>
      <c r="C2889" s="8"/>
      <c r="D2889" s="8">
        <v>27.9026907562088</v>
      </c>
      <c r="E2889" s="9" t="s">
        <v>2898</v>
      </c>
      <c r="I2889" s="12" t="str">
        <f>IFERROR(__xludf.DUMMYFUNCTION("""COMPUTED_VALUE"""),"0xf37955134dda37eac7380f5eb42bce10796bd224")</f>
        <v>0xf37955134dda37eac7380f5eb42bce10796bd224</v>
      </c>
      <c r="J2889" s="11">
        <v>27.9026907562088</v>
      </c>
      <c r="K2889" s="12">
        <v>62.005979458241775</v>
      </c>
      <c r="L2889" s="13">
        <v>6.200597945824177E19</v>
      </c>
      <c r="M2889" s="9">
        <v>6.2005979458241782E18</v>
      </c>
    </row>
    <row r="2890" ht="15.75" customHeight="1">
      <c r="A2890" s="8"/>
      <c r="B2890" s="8"/>
      <c r="C2890" s="8"/>
      <c r="D2890" s="8">
        <v>26.5154087558175</v>
      </c>
      <c r="E2890" s="9" t="s">
        <v>2899</v>
      </c>
      <c r="I2890" s="12" t="str">
        <f>IFERROR(__xludf.DUMMYFUNCTION("""COMPUTED_VALUE"""),"0xf37ef7e2f369633e3ea19049a68db30dddb399d3")</f>
        <v>0xf37ef7e2f369633e3ea19049a68db30dddb399d3</v>
      </c>
      <c r="J2890" s="11">
        <v>26.5154087558175</v>
      </c>
      <c r="K2890" s="12">
        <v>58.92313056848333</v>
      </c>
      <c r="L2890" s="13">
        <v>5.892313056848333E19</v>
      </c>
      <c r="M2890" s="9">
        <v>5.8923130568483338E18</v>
      </c>
    </row>
    <row r="2891" ht="15.75" customHeight="1">
      <c r="A2891" s="8"/>
      <c r="B2891" s="8"/>
      <c r="C2891" s="8"/>
      <c r="D2891" s="8">
        <v>26.3865822500063</v>
      </c>
      <c r="E2891" s="9" t="s">
        <v>2900</v>
      </c>
      <c r="I2891" s="12" t="str">
        <f>IFERROR(__xludf.DUMMYFUNCTION("""COMPUTED_VALUE"""),"0xf39bb57db4cf1e34993bd45f69161349b9d79376")</f>
        <v>0xf39bb57db4cf1e34993bd45f69161349b9d79376</v>
      </c>
      <c r="J2891" s="11">
        <v>86.53183237497569</v>
      </c>
      <c r="K2891" s="12">
        <v>192.29296083327932</v>
      </c>
      <c r="L2891" s="13">
        <v>1.9229296083327933E20</v>
      </c>
      <c r="M2891" s="9">
        <v>1.9229296083327934E19</v>
      </c>
    </row>
    <row r="2892" ht="15.75" customHeight="1">
      <c r="A2892" s="8"/>
      <c r="B2892" s="8"/>
      <c r="C2892" s="8"/>
      <c r="D2892" s="8">
        <v>27.9026907562088</v>
      </c>
      <c r="E2892" s="9" t="s">
        <v>2901</v>
      </c>
      <c r="I2892" s="12" t="str">
        <f>IFERROR(__xludf.DUMMYFUNCTION("""COMPUTED_VALUE"""),"0xf3a259fee91176a8a9bde99d1db6df073f081c68")</f>
        <v>0xf3a259fee91176a8a9bde99d1db6df073f081c68</v>
      </c>
      <c r="J2892" s="11">
        <v>122.91585073455329</v>
      </c>
      <c r="K2892" s="12">
        <v>273.146334965674</v>
      </c>
      <c r="L2892" s="13">
        <v>2.73146334965674E20</v>
      </c>
      <c r="M2892" s="9">
        <v>2.73146334965674E19</v>
      </c>
    </row>
    <row r="2893" ht="15.75" customHeight="1">
      <c r="A2893" s="8"/>
      <c r="B2893" s="8"/>
      <c r="C2893" s="8"/>
      <c r="D2893" s="8">
        <v>25.7986233637671</v>
      </c>
      <c r="E2893" s="9" t="s">
        <v>2902</v>
      </c>
      <c r="I2893" s="12" t="str">
        <f>IFERROR(__xludf.DUMMYFUNCTION("""COMPUTED_VALUE"""),"0xf3be4d54d77e79da3f0d2d4826a74327788491e3")</f>
        <v>0xf3be4d54d77e79da3f0d2d4826a74327788491e3</v>
      </c>
      <c r="J2893" s="11">
        <v>25.7986233637671</v>
      </c>
      <c r="K2893" s="12">
        <v>57.33027414170466</v>
      </c>
      <c r="L2893" s="13">
        <v>5.733027414170467E19</v>
      </c>
      <c r="M2893" s="9">
        <v>5.7330274141704673E18</v>
      </c>
    </row>
    <row r="2894" ht="15.75" customHeight="1">
      <c r="A2894" s="8"/>
      <c r="B2894" s="8"/>
      <c r="C2894" s="8"/>
      <c r="D2894" s="8">
        <v>27.9026907562088</v>
      </c>
      <c r="E2894" s="9" t="s">
        <v>2903</v>
      </c>
      <c r="I2894" s="12" t="str">
        <f>IFERROR(__xludf.DUMMYFUNCTION("""COMPUTED_VALUE"""),"0xf3c3baacdda6b57f7e45cef18886db8a226e7837")</f>
        <v>0xf3c3baacdda6b57f7e45cef18886db8a226e7837</v>
      </c>
      <c r="J2894" s="11">
        <v>91.1199983031448</v>
      </c>
      <c r="K2894" s="12">
        <v>202.48888511809955</v>
      </c>
      <c r="L2894" s="13">
        <v>2.0248888511809955E20</v>
      </c>
      <c r="M2894" s="9">
        <v>2.0248888511809958E19</v>
      </c>
    </row>
    <row r="2895" ht="15.75" customHeight="1">
      <c r="A2895" s="8"/>
      <c r="B2895" s="8"/>
      <c r="C2895" s="8"/>
      <c r="D2895" s="8">
        <v>27.4552833051953</v>
      </c>
      <c r="E2895" s="9" t="s">
        <v>2904</v>
      </c>
      <c r="I2895" s="12" t="str">
        <f>IFERROR(__xludf.DUMMYFUNCTION("""COMPUTED_VALUE"""),"0xf3f3769102d8e110cb5fa25a14a2d2e6b0bcc07c")</f>
        <v>0xf3f3769102d8e110cb5fa25a14a2d2e6b0bcc07c</v>
      </c>
      <c r="J2895" s="11">
        <v>27.4552833051953</v>
      </c>
      <c r="K2895" s="12">
        <v>61.01174067821178</v>
      </c>
      <c r="L2895" s="13">
        <v>6.101174067821178E19</v>
      </c>
      <c r="M2895" s="9">
        <v>6.1011740678211789E18</v>
      </c>
    </row>
    <row r="2896" ht="15.75" customHeight="1">
      <c r="A2896" s="8"/>
      <c r="B2896" s="8"/>
      <c r="C2896" s="8"/>
      <c r="D2896" s="8">
        <v>25.0438697907954</v>
      </c>
      <c r="E2896" s="9" t="s">
        <v>2905</v>
      </c>
      <c r="I2896" s="12" t="str">
        <f>IFERROR(__xludf.DUMMYFUNCTION("""COMPUTED_VALUE"""),"0xf40648108ea62c5f81451ddc7b282b4375b76290")</f>
        <v>0xf40648108ea62c5f81451ddc7b282b4375b76290</v>
      </c>
      <c r="J2896" s="11">
        <v>25.0438697907954</v>
      </c>
      <c r="K2896" s="12">
        <v>55.65304397954534</v>
      </c>
      <c r="L2896" s="13">
        <v>5.565304397954534E19</v>
      </c>
      <c r="M2896" s="9">
        <v>5.5653043979545344E18</v>
      </c>
    </row>
    <row r="2897" ht="15.75" customHeight="1">
      <c r="A2897" s="8"/>
      <c r="B2897" s="8"/>
      <c r="C2897" s="8"/>
      <c r="D2897" s="8">
        <v>27.9026907562088</v>
      </c>
      <c r="E2897" s="9" t="s">
        <v>2906</v>
      </c>
      <c r="I2897" s="12" t="str">
        <f>IFERROR(__xludf.DUMMYFUNCTION("""COMPUTED_VALUE"""),"0xf40b28274e17b6c189ef601210051678996a5f01")</f>
        <v>0xf40b28274e17b6c189ef601210051678996a5f01</v>
      </c>
      <c r="J2897" s="11">
        <v>27.9026907562088</v>
      </c>
      <c r="K2897" s="12">
        <v>62.005979458241775</v>
      </c>
      <c r="L2897" s="13">
        <v>6.200597945824177E19</v>
      </c>
      <c r="M2897" s="9">
        <v>6.2005979458241782E18</v>
      </c>
    </row>
    <row r="2898" ht="15.75" customHeight="1">
      <c r="A2898" s="8"/>
      <c r="B2898" s="8"/>
      <c r="C2898" s="8"/>
      <c r="D2898" s="8">
        <v>26.8627075091256</v>
      </c>
      <c r="E2898" s="9" t="s">
        <v>2907</v>
      </c>
      <c r="I2898" s="12" t="str">
        <f>IFERROR(__xludf.DUMMYFUNCTION("""COMPUTED_VALUE"""),"0xf42be5f8fac4df0a93cf138944d79228370f226b")</f>
        <v>0xf42be5f8fac4df0a93cf138944d79228370f226b</v>
      </c>
      <c r="J2898" s="11">
        <v>26.8627075091256</v>
      </c>
      <c r="K2898" s="12">
        <v>59.69490557583466</v>
      </c>
      <c r="L2898" s="13">
        <v>5.969490557583466E19</v>
      </c>
      <c r="M2898" s="9">
        <v>5.9694905575834665E18</v>
      </c>
    </row>
    <row r="2899" ht="15.75" customHeight="1">
      <c r="A2899" s="8"/>
      <c r="B2899" s="8"/>
      <c r="C2899" s="8"/>
      <c r="D2899" s="8">
        <v>3.45718830854258</v>
      </c>
      <c r="E2899" s="9" t="s">
        <v>2908</v>
      </c>
      <c r="I2899" s="12" t="str">
        <f>IFERROR(__xludf.DUMMYFUNCTION("""COMPUTED_VALUE"""),"0xf43257df6b2066c866ceee61218ee1ee50d3be6f")</f>
        <v>0xf43257df6b2066c866ceee61218ee1ee50d3be6f</v>
      </c>
      <c r="J2899" s="11">
        <v>22.55795830342975</v>
      </c>
      <c r="K2899" s="12">
        <v>50.128796229843886</v>
      </c>
      <c r="L2899" s="13">
        <v>5.012879622984389E19</v>
      </c>
      <c r="M2899" s="9">
        <v>5.0128796229843886E18</v>
      </c>
    </row>
    <row r="2900" ht="15.75" customHeight="1">
      <c r="A2900" s="8"/>
      <c r="B2900" s="8"/>
      <c r="C2900" s="8"/>
      <c r="D2900" s="8">
        <v>25.6478771918202</v>
      </c>
      <c r="E2900" s="9" t="s">
        <v>2909</v>
      </c>
      <c r="I2900" s="12" t="str">
        <f>IFERROR(__xludf.DUMMYFUNCTION("""COMPUTED_VALUE"""),"0xf433b2a75a169240e776bd7b395d8f6b1cd3ff51")</f>
        <v>0xf433b2a75a169240e776bd7b395d8f6b1cd3ff51</v>
      </c>
      <c r="J2900" s="11">
        <v>25.6478771918202</v>
      </c>
      <c r="K2900" s="12">
        <v>56.99528264848933</v>
      </c>
      <c r="L2900" s="13">
        <v>5.699528264848933E19</v>
      </c>
      <c r="M2900" s="9">
        <v>5.6995282648489329E18</v>
      </c>
    </row>
    <row r="2901" ht="15.75" customHeight="1">
      <c r="A2901" s="8"/>
      <c r="B2901" s="8"/>
      <c r="C2901" s="8"/>
      <c r="D2901" s="8">
        <v>27.9026907562088</v>
      </c>
      <c r="E2901" s="9" t="s">
        <v>2910</v>
      </c>
      <c r="I2901" s="12" t="str">
        <f>IFERROR(__xludf.DUMMYFUNCTION("""COMPUTED_VALUE"""),"0xf43569639e64ee99eae08d9e848ac294489297fe")</f>
        <v>0xf43569639e64ee99eae08d9e848ac294489297fe</v>
      </c>
      <c r="J2901" s="11">
        <v>143.2820618006436</v>
      </c>
      <c r="K2901" s="12">
        <v>318.40458177920794</v>
      </c>
      <c r="L2901" s="13">
        <v>3.1840458177920795E20</v>
      </c>
      <c r="M2901" s="9">
        <v>3.1840458177920795E19</v>
      </c>
    </row>
    <row r="2902" ht="15.75" customHeight="1">
      <c r="A2902" s="8"/>
      <c r="B2902" s="8"/>
      <c r="C2902" s="8"/>
      <c r="D2902" s="8">
        <v>16.5815401544684</v>
      </c>
      <c r="E2902" s="9" t="s">
        <v>2911</v>
      </c>
      <c r="I2902" s="12" t="str">
        <f>IFERROR(__xludf.DUMMYFUNCTION("""COMPUTED_VALUE"""),"0xf451cb0294d9c7f606c8b9bc585051fe2aa6d983")</f>
        <v>0xf451cb0294d9c7f606c8b9bc585051fe2aa6d983</v>
      </c>
      <c r="J2902" s="11">
        <v>16.5815401544684</v>
      </c>
      <c r="K2902" s="12">
        <v>36.84786700992978</v>
      </c>
      <c r="L2902" s="13">
        <v>3.6847867009929777E19</v>
      </c>
      <c r="M2902" s="9">
        <v>3.6847867009929779E18</v>
      </c>
    </row>
    <row r="2903" ht="15.75" customHeight="1">
      <c r="A2903" s="8"/>
      <c r="B2903" s="8"/>
      <c r="C2903" s="8"/>
      <c r="D2903" s="8">
        <v>27.9026907562088</v>
      </c>
      <c r="E2903" s="9" t="s">
        <v>2912</v>
      </c>
      <c r="I2903" s="12" t="str">
        <f>IFERROR(__xludf.DUMMYFUNCTION("""COMPUTED_VALUE"""),"0xf48b698069664457ec9eac4b7e3d737eb9f46148")</f>
        <v>0xf48b698069664457ec9eac4b7e3d737eb9f46148</v>
      </c>
      <c r="J2903" s="11">
        <v>98.90315965430537</v>
      </c>
      <c r="K2903" s="12">
        <v>219.7847992317897</v>
      </c>
      <c r="L2903" s="13">
        <v>2.197847992317897E20</v>
      </c>
      <c r="M2903" s="9">
        <v>2.197847992317897E19</v>
      </c>
    </row>
    <row r="2904" ht="15.75" customHeight="1">
      <c r="A2904" s="8"/>
      <c r="B2904" s="8"/>
      <c r="C2904" s="8"/>
      <c r="D2904" s="8">
        <v>16.8857218416698</v>
      </c>
      <c r="E2904" s="9" t="s">
        <v>2913</v>
      </c>
      <c r="I2904" s="12" t="str">
        <f>IFERROR(__xludf.DUMMYFUNCTION("""COMPUTED_VALUE"""),"0xf4a4e5fabc36865a1e445bd8c0751198f686a325")</f>
        <v>0xf4a4e5fabc36865a1e445bd8c0751198f686a325</v>
      </c>
      <c r="J2904" s="11">
        <v>16.8857218416698</v>
      </c>
      <c r="K2904" s="12">
        <v>37.523826314821775</v>
      </c>
      <c r="L2904" s="13">
        <v>3.752382631482178E19</v>
      </c>
      <c r="M2904" s="9">
        <v>3.752382631482178E18</v>
      </c>
    </row>
    <row r="2905" ht="15.75" customHeight="1">
      <c r="A2905" s="8"/>
      <c r="B2905" s="8"/>
      <c r="C2905" s="8"/>
      <c r="D2905" s="8">
        <v>27.364312530166</v>
      </c>
      <c r="E2905" s="9" t="s">
        <v>2914</v>
      </c>
      <c r="I2905" s="12" t="str">
        <f>IFERROR(__xludf.DUMMYFUNCTION("""COMPUTED_VALUE"""),"0xf4b870b27ea1641235aed1d49ec77f79b03c52e0")</f>
        <v>0xf4b870b27ea1641235aed1d49ec77f79b03c52e0</v>
      </c>
      <c r="J2905" s="11">
        <v>27.364312530166</v>
      </c>
      <c r="K2905" s="12">
        <v>60.809583400368886</v>
      </c>
      <c r="L2905" s="13">
        <v>6.080958340036889E19</v>
      </c>
      <c r="M2905" s="9">
        <v>6.0809583400368896E18</v>
      </c>
    </row>
    <row r="2906" ht="15.75" customHeight="1">
      <c r="A2906" s="8"/>
      <c r="B2906" s="8"/>
      <c r="C2906" s="8"/>
      <c r="D2906" s="8">
        <v>27.9026907562088</v>
      </c>
      <c r="E2906" s="9" t="s">
        <v>2915</v>
      </c>
      <c r="I2906" s="12" t="str">
        <f>IFERROR(__xludf.DUMMYFUNCTION("""COMPUTED_VALUE"""),"0xf5205ee3a7136834c16140b6af224941f9cb27c0")</f>
        <v>0xf5205ee3a7136834c16140b6af224941f9cb27c0</v>
      </c>
      <c r="J2906" s="11">
        <v>27.9026907562088</v>
      </c>
      <c r="K2906" s="12">
        <v>62.005979458241775</v>
      </c>
      <c r="L2906" s="13">
        <v>6.200597945824177E19</v>
      </c>
      <c r="M2906" s="9">
        <v>6.2005979458241782E18</v>
      </c>
    </row>
    <row r="2907" ht="15.75" customHeight="1">
      <c r="A2907" s="8"/>
      <c r="B2907" s="8"/>
      <c r="C2907" s="8"/>
      <c r="D2907" s="8">
        <v>27.9026907562088</v>
      </c>
      <c r="E2907" s="9" t="s">
        <v>2916</v>
      </c>
      <c r="I2907" s="12" t="str">
        <f>IFERROR(__xludf.DUMMYFUNCTION("""COMPUTED_VALUE"""),"0xf53b62171b9b057c41e52770dcc33b347d048c15")</f>
        <v>0xf53b62171b9b057c41e52770dcc33b347d048c15</v>
      </c>
      <c r="J2907" s="11">
        <v>135.8899098692231</v>
      </c>
      <c r="K2907" s="12">
        <v>301.9775774871624</v>
      </c>
      <c r="L2907" s="13">
        <v>3.019775774871624E20</v>
      </c>
      <c r="M2907" s="9">
        <v>3.019775774871624E19</v>
      </c>
    </row>
    <row r="2908" ht="15.75" customHeight="1">
      <c r="A2908" s="8"/>
      <c r="B2908" s="8"/>
      <c r="C2908" s="8"/>
      <c r="D2908" s="8">
        <v>27.9026907562088</v>
      </c>
      <c r="E2908" s="9" t="s">
        <v>2917</v>
      </c>
      <c r="I2908" s="12" t="str">
        <f>IFERROR(__xludf.DUMMYFUNCTION("""COMPUTED_VALUE"""),"0xf5446e36c19a26415f4481577c6ceb9b7d72b388")</f>
        <v>0xf5446e36c19a26415f4481577c6ceb9b7d72b388</v>
      </c>
      <c r="J2908" s="11">
        <v>3300.039591773135</v>
      </c>
      <c r="K2908" s="12">
        <v>7333.421315051411</v>
      </c>
      <c r="L2908" s="13">
        <v>7.333421315051411E21</v>
      </c>
      <c r="M2908" s="9">
        <v>7.333421315051411E20</v>
      </c>
    </row>
    <row r="2909" ht="15.75" customHeight="1">
      <c r="A2909" s="8"/>
      <c r="B2909" s="8"/>
      <c r="C2909" s="8"/>
      <c r="D2909" s="8">
        <v>0.441579686846067</v>
      </c>
      <c r="E2909" s="9" t="s">
        <v>2918</v>
      </c>
      <c r="I2909" s="12" t="str">
        <f>IFERROR(__xludf.DUMMYFUNCTION("""COMPUTED_VALUE"""),"0xf5513628cc02d7777b60e5b8aa1711092edee622")</f>
        <v>0xf5513628cc02d7777b60e5b8aa1711092edee622</v>
      </c>
      <c r="J2909" s="11">
        <v>0.4823344592832046</v>
      </c>
      <c r="K2909" s="12">
        <v>1.0718543539626768</v>
      </c>
      <c r="L2909" s="13">
        <v>1.07185435396267686E18</v>
      </c>
      <c r="M2909" s="9">
        <v>1.07185435396267696E17</v>
      </c>
    </row>
    <row r="2910" ht="15.75" customHeight="1">
      <c r="A2910" s="8"/>
      <c r="B2910" s="8"/>
      <c r="C2910" s="8"/>
      <c r="D2910" s="8">
        <v>3.60564044555916</v>
      </c>
      <c r="E2910" s="9" t="s">
        <v>2919</v>
      </c>
      <c r="I2910" s="12" t="str">
        <f>IFERROR(__xludf.DUMMYFUNCTION("""COMPUTED_VALUE"""),"0xf5652fc551f7b85d10a6413718fce7b7713ccb0b")</f>
        <v>0xf5652fc551f7b85d10a6413718fce7b7713ccb0b</v>
      </c>
      <c r="J2910" s="11">
        <v>3.60564044555916</v>
      </c>
      <c r="K2910" s="12">
        <v>8.0125343234648</v>
      </c>
      <c r="L2910" s="13">
        <v>8.0125343234648003E18</v>
      </c>
      <c r="M2910" s="9">
        <v>8.0125343234648013E17</v>
      </c>
    </row>
    <row r="2911" ht="15.75" customHeight="1">
      <c r="A2911" s="8"/>
      <c r="B2911" s="8"/>
      <c r="C2911" s="8"/>
      <c r="D2911" s="8">
        <v>27.9026907562088</v>
      </c>
      <c r="E2911" s="9" t="s">
        <v>2920</v>
      </c>
      <c r="I2911" s="12" t="str">
        <f>IFERROR(__xludf.DUMMYFUNCTION("""COMPUTED_VALUE"""),"0xf565306019ab281caeb721262bb6d23b7637bf58")</f>
        <v>0xf565306019ab281caeb721262bb6d23b7637bf58</v>
      </c>
      <c r="J2911" s="11">
        <v>27.9026907562088</v>
      </c>
      <c r="K2911" s="12">
        <v>62.005979458241775</v>
      </c>
      <c r="L2911" s="13">
        <v>6.200597945824177E19</v>
      </c>
      <c r="M2911" s="9">
        <v>6.2005979458241782E18</v>
      </c>
    </row>
    <row r="2912" ht="15.75" customHeight="1">
      <c r="A2912" s="8"/>
      <c r="B2912" s="8"/>
      <c r="C2912" s="8"/>
      <c r="D2912" s="8">
        <v>27.9026907562088</v>
      </c>
      <c r="E2912" s="9" t="s">
        <v>2921</v>
      </c>
      <c r="I2912" s="12" t="str">
        <f>IFERROR(__xludf.DUMMYFUNCTION("""COMPUTED_VALUE"""),"0xf56bcaca6495fcc2fcc78599075415787e2c2351")</f>
        <v>0xf56bcaca6495fcc2fcc78599075415787e2c2351</v>
      </c>
      <c r="J2912" s="11">
        <v>91.1199983031448</v>
      </c>
      <c r="K2912" s="12">
        <v>202.48888511809955</v>
      </c>
      <c r="L2912" s="13">
        <v>2.0248888511809955E20</v>
      </c>
      <c r="M2912" s="9">
        <v>2.0248888511809958E19</v>
      </c>
    </row>
    <row r="2913" ht="15.75" customHeight="1">
      <c r="A2913" s="8"/>
      <c r="B2913" s="8"/>
      <c r="C2913" s="8"/>
      <c r="D2913" s="8">
        <v>26.5852937200553</v>
      </c>
      <c r="E2913" s="9" t="s">
        <v>2922</v>
      </c>
      <c r="I2913" s="12" t="str">
        <f>IFERROR(__xludf.DUMMYFUNCTION("""COMPUTED_VALUE"""),"0xf591da380c911c7be9ba48bd14c451bf784886f7")</f>
        <v>0xf591da380c911c7be9ba48bd14c451bf784886f7</v>
      </c>
      <c r="J2913" s="11">
        <v>26.5852937200553</v>
      </c>
      <c r="K2913" s="12">
        <v>59.07843048901178</v>
      </c>
      <c r="L2913" s="13">
        <v>5.907843048901178E19</v>
      </c>
      <c r="M2913" s="9">
        <v>5.9078430489011784E18</v>
      </c>
    </row>
    <row r="2914" ht="15.75" customHeight="1">
      <c r="A2914" s="8"/>
      <c r="B2914" s="8"/>
      <c r="C2914" s="8"/>
      <c r="D2914" s="8">
        <v>3.07510675010078</v>
      </c>
      <c r="E2914" s="9" t="s">
        <v>2923</v>
      </c>
      <c r="I2914" s="12" t="str">
        <f>IFERROR(__xludf.DUMMYFUNCTION("""COMPUTED_VALUE"""),"0xf5a366f0e3470d3fff1ae621f9a7d2254a1ec25b")</f>
        <v>0xf5a366f0e3470d3fff1ae621f9a7d2254a1ec25b</v>
      </c>
      <c r="J2914" s="11">
        <v>3.07510675010078</v>
      </c>
      <c r="K2914" s="12">
        <v>6.833570555779511</v>
      </c>
      <c r="L2914" s="13">
        <v>6.8335705557795113E18</v>
      </c>
      <c r="M2914" s="9">
        <v>6.833570555779511E17</v>
      </c>
    </row>
    <row r="2915" ht="15.75" customHeight="1">
      <c r="A2915" s="8"/>
      <c r="B2915" s="8"/>
      <c r="C2915" s="8"/>
      <c r="D2915" s="8">
        <v>27.9026907562088</v>
      </c>
      <c r="E2915" s="9" t="s">
        <v>2924</v>
      </c>
      <c r="I2915" s="12" t="str">
        <f>IFERROR(__xludf.DUMMYFUNCTION("""COMPUTED_VALUE"""),"0xf5e9d2256136f5dd6c56bce9ef4ccf8f2f9e32fc")</f>
        <v>0xf5e9d2256136f5dd6c56bce9ef4ccf8f2f9e32fc</v>
      </c>
      <c r="J2915" s="11">
        <v>40.612328990753795</v>
      </c>
      <c r="K2915" s="12">
        <v>90.24961997945287</v>
      </c>
      <c r="L2915" s="13">
        <v>9.024961997945287E19</v>
      </c>
      <c r="M2915" s="9">
        <v>9.0249619979452877E18</v>
      </c>
    </row>
    <row r="2916" ht="15.75" customHeight="1">
      <c r="A2916" s="8"/>
      <c r="B2916" s="8"/>
      <c r="C2916" s="8"/>
      <c r="D2916" s="8">
        <v>27.02162365313</v>
      </c>
      <c r="E2916" s="9" t="s">
        <v>2925</v>
      </c>
      <c r="I2916" s="12" t="str">
        <f>IFERROR(__xludf.DUMMYFUNCTION("""COMPUTED_VALUE"""),"0xf5f22054c4ef05bcbb98587e049fd682c5a6b1e7")</f>
        <v>0xf5f22054c4ef05bcbb98587e049fd682c5a6b1e7</v>
      </c>
      <c r="J2916" s="11">
        <v>121.7826632054574</v>
      </c>
      <c r="K2916" s="12">
        <v>270.628140456572</v>
      </c>
      <c r="L2916" s="13">
        <v>2.70628140456572E20</v>
      </c>
      <c r="M2916" s="9">
        <v>2.7062814045657203E19</v>
      </c>
    </row>
    <row r="2917" ht="15.75" customHeight="1">
      <c r="A2917" s="8"/>
      <c r="B2917" s="8"/>
      <c r="C2917" s="8"/>
      <c r="D2917" s="8">
        <v>27.9026907562088</v>
      </c>
      <c r="E2917" s="9" t="s">
        <v>2926</v>
      </c>
      <c r="I2917" s="12" t="str">
        <f>IFERROR(__xludf.DUMMYFUNCTION("""COMPUTED_VALUE"""),"0xf5fd30be8bb640df8556c60b54a30cd5f5cc071d")</f>
        <v>0xf5fd30be8bb640df8556c60b54a30cd5f5cc071d</v>
      </c>
      <c r="J2917" s="11">
        <v>91.1199983031448</v>
      </c>
      <c r="K2917" s="12">
        <v>202.48888511809955</v>
      </c>
      <c r="L2917" s="13">
        <v>2.0248888511809955E20</v>
      </c>
      <c r="M2917" s="9">
        <v>2.0248888511809958E19</v>
      </c>
    </row>
    <row r="2918" ht="15.75" customHeight="1">
      <c r="A2918" s="8"/>
      <c r="B2918" s="8"/>
      <c r="C2918" s="8"/>
      <c r="D2918" s="8">
        <v>27.9026907562088</v>
      </c>
      <c r="E2918" s="9" t="s">
        <v>2927</v>
      </c>
      <c r="I2918" s="12" t="str">
        <f>IFERROR(__xludf.DUMMYFUNCTION("""COMPUTED_VALUE"""),"0xf604556e7d829240424d51d2c5f2c1861adb3a26")</f>
        <v>0xf604556e7d829240424d51d2c5f2c1861adb3a26</v>
      </c>
      <c r="J2918" s="11">
        <v>94.2424469740034</v>
      </c>
      <c r="K2918" s="12">
        <v>209.42765994222978</v>
      </c>
      <c r="L2918" s="13">
        <v>2.0942765994222977E20</v>
      </c>
      <c r="M2918" s="9">
        <v>2.0942765994222977E19</v>
      </c>
    </row>
    <row r="2919" ht="15.75" customHeight="1">
      <c r="A2919" s="8"/>
      <c r="B2919" s="8"/>
      <c r="C2919" s="8"/>
      <c r="D2919" s="8">
        <v>27.9026907562088</v>
      </c>
      <c r="E2919" s="9" t="s">
        <v>2928</v>
      </c>
      <c r="I2919" s="12" t="str">
        <f>IFERROR(__xludf.DUMMYFUNCTION("""COMPUTED_VALUE"""),"0xf6150488b872762405e73ef5770abe7b678fe898")</f>
        <v>0xf6150488b872762405e73ef5770abe7b678fe898</v>
      </c>
      <c r="J2919" s="11">
        <v>27.9026907562088</v>
      </c>
      <c r="K2919" s="12">
        <v>62.005979458241775</v>
      </c>
      <c r="L2919" s="13">
        <v>6.200597945824177E19</v>
      </c>
      <c r="M2919" s="9">
        <v>6.2005979458241782E18</v>
      </c>
    </row>
    <row r="2920" ht="15.75" customHeight="1">
      <c r="A2920" s="8"/>
      <c r="B2920" s="8"/>
      <c r="C2920" s="8"/>
      <c r="D2920" s="8">
        <v>20.7988529863118</v>
      </c>
      <c r="E2920" s="9" t="s">
        <v>2929</v>
      </c>
      <c r="I2920" s="12" t="str">
        <f>IFERROR(__xludf.DUMMYFUNCTION("""COMPUTED_VALUE"""),"0xf6193ab4d4bd0a2ac34b31dbe11a5b0017535a20")</f>
        <v>0xf6193ab4d4bd0a2ac34b31dbe11a5b0017535a20</v>
      </c>
      <c r="J2920" s="11">
        <v>20.7988529863118</v>
      </c>
      <c r="K2920" s="12">
        <v>46.21967330291511</v>
      </c>
      <c r="L2920" s="13">
        <v>4.621967330291511E19</v>
      </c>
      <c r="M2920" s="9">
        <v>4.6219673302915113E18</v>
      </c>
    </row>
    <row r="2921" ht="15.75" customHeight="1">
      <c r="A2921" s="8"/>
      <c r="B2921" s="8"/>
      <c r="C2921" s="8"/>
      <c r="D2921" s="8">
        <v>27.9026907562088</v>
      </c>
      <c r="E2921" s="9" t="s">
        <v>2930</v>
      </c>
      <c r="I2921" s="12" t="str">
        <f>IFERROR(__xludf.DUMMYFUNCTION("""COMPUTED_VALUE"""),"0xf62239b8bdd3fb0be162583ba302a4a523bd75d3")</f>
        <v>0xf62239b8bdd3fb0be162583ba302a4a523bd75d3</v>
      </c>
      <c r="J2921" s="11">
        <v>91.1199983031448</v>
      </c>
      <c r="K2921" s="12">
        <v>202.48888511809955</v>
      </c>
      <c r="L2921" s="13">
        <v>2.0248888511809955E20</v>
      </c>
      <c r="M2921" s="9">
        <v>2.0248888511809958E19</v>
      </c>
    </row>
    <row r="2922" ht="15.75" customHeight="1">
      <c r="A2922" s="8"/>
      <c r="B2922" s="8"/>
      <c r="C2922" s="8"/>
      <c r="D2922" s="8">
        <v>27.9026907562088</v>
      </c>
      <c r="E2922" s="9" t="s">
        <v>2931</v>
      </c>
      <c r="I2922" s="12" t="str">
        <f>IFERROR(__xludf.DUMMYFUNCTION("""COMPUTED_VALUE"""),"0xf62a8e42dbb2696544f92c338840ad6f94fdb4e3")</f>
        <v>0xf62a8e42dbb2696544f92c338840ad6f94fdb4e3</v>
      </c>
      <c r="J2922" s="11">
        <v>91.1199983031448</v>
      </c>
      <c r="K2922" s="12">
        <v>202.48888511809955</v>
      </c>
      <c r="L2922" s="13">
        <v>2.0248888511809955E20</v>
      </c>
      <c r="M2922" s="9">
        <v>2.0248888511809958E19</v>
      </c>
    </row>
    <row r="2923" ht="15.75" customHeight="1">
      <c r="A2923" s="8"/>
      <c r="B2923" s="8"/>
      <c r="C2923" s="8"/>
      <c r="D2923" s="8">
        <v>27.9026907562088</v>
      </c>
      <c r="E2923" s="9" t="s">
        <v>2932</v>
      </c>
      <c r="I2923" s="12" t="str">
        <f>IFERROR(__xludf.DUMMYFUNCTION("""COMPUTED_VALUE"""),"0xf66c0c90d988b10f20e2a2ddc9c6a8847bb0f571")</f>
        <v>0xf66c0c90d988b10f20e2a2ddc9c6a8847bb0f571</v>
      </c>
      <c r="J2923" s="11">
        <v>91.1199983031448</v>
      </c>
      <c r="K2923" s="12">
        <v>202.48888511809955</v>
      </c>
      <c r="L2923" s="13">
        <v>2.0248888511809955E20</v>
      </c>
      <c r="M2923" s="9">
        <v>2.0248888511809958E19</v>
      </c>
    </row>
    <row r="2924" ht="15.75" customHeight="1">
      <c r="A2924" s="8"/>
      <c r="B2924" s="8"/>
      <c r="C2924" s="8"/>
      <c r="D2924" s="8">
        <v>27.9026907562088</v>
      </c>
      <c r="E2924" s="9" t="s">
        <v>2933</v>
      </c>
      <c r="I2924" s="12" t="str">
        <f>IFERROR(__xludf.DUMMYFUNCTION("""COMPUTED_VALUE"""),"0xf674772acc49eb57960784857b4ef27944a2d94b")</f>
        <v>0xf674772acc49eb57960784857b4ef27944a2d94b</v>
      </c>
      <c r="J2924" s="11">
        <v>91.1199983031448</v>
      </c>
      <c r="K2924" s="12">
        <v>202.48888511809955</v>
      </c>
      <c r="L2924" s="13">
        <v>2.0248888511809955E20</v>
      </c>
      <c r="M2924" s="9">
        <v>2.0248888511809958E19</v>
      </c>
    </row>
    <row r="2925" ht="15.75" customHeight="1">
      <c r="A2925" s="8"/>
      <c r="B2925" s="8"/>
      <c r="C2925" s="8"/>
      <c r="D2925" s="8">
        <v>27.9026907562088</v>
      </c>
      <c r="E2925" s="9" t="s">
        <v>2934</v>
      </c>
      <c r="I2925" s="12" t="str">
        <f>IFERROR(__xludf.DUMMYFUNCTION("""COMPUTED_VALUE"""),"0xf674c352a6ef4df280fda12ebb1d92b36a72639f")</f>
        <v>0xf674c352a6ef4df280fda12ebb1d92b36a72639f</v>
      </c>
      <c r="J2925" s="11">
        <v>27.9026907562088</v>
      </c>
      <c r="K2925" s="12">
        <v>62.005979458241775</v>
      </c>
      <c r="L2925" s="13">
        <v>6.200597945824177E19</v>
      </c>
      <c r="M2925" s="9">
        <v>6.2005979458241782E18</v>
      </c>
    </row>
    <row r="2926" ht="15.75" customHeight="1">
      <c r="A2926" s="8"/>
      <c r="B2926" s="8"/>
      <c r="C2926" s="8"/>
      <c r="D2926" s="8">
        <v>27.9026907562088</v>
      </c>
      <c r="E2926" s="9" t="s">
        <v>2935</v>
      </c>
      <c r="I2926" s="12" t="str">
        <f>IFERROR(__xludf.DUMMYFUNCTION("""COMPUTED_VALUE"""),"0xf6762e66b28eb57d266905bc9c678aaa392af4a7")</f>
        <v>0xf6762e66b28eb57d266905bc9c678aaa392af4a7</v>
      </c>
      <c r="J2926" s="11">
        <v>91.1199983031448</v>
      </c>
      <c r="K2926" s="12">
        <v>202.48888511809955</v>
      </c>
      <c r="L2926" s="13">
        <v>2.0248888511809955E20</v>
      </c>
      <c r="M2926" s="9">
        <v>2.0248888511809958E19</v>
      </c>
    </row>
    <row r="2927" ht="15.75" customHeight="1">
      <c r="A2927" s="8"/>
      <c r="B2927" s="8"/>
      <c r="C2927" s="8"/>
      <c r="D2927" s="8">
        <v>27.9026907562088</v>
      </c>
      <c r="E2927" s="9" t="s">
        <v>2936</v>
      </c>
      <c r="I2927" s="12" t="str">
        <f>IFERROR(__xludf.DUMMYFUNCTION("""COMPUTED_VALUE"""),"0xf682909fba6124d361f287a0871dc63efdb874dc")</f>
        <v>0xf682909fba6124d361f287a0871dc63efdb874dc</v>
      </c>
      <c r="J2927" s="11">
        <v>104.4618200117621</v>
      </c>
      <c r="K2927" s="12">
        <v>232.13737780391577</v>
      </c>
      <c r="L2927" s="13">
        <v>2.3213737780391576E20</v>
      </c>
      <c r="M2927" s="9">
        <v>2.3213737780391576E19</v>
      </c>
    </row>
    <row r="2928" ht="15.75" customHeight="1">
      <c r="A2928" s="8"/>
      <c r="B2928" s="8"/>
      <c r="C2928" s="8"/>
      <c r="D2928" s="8">
        <v>27.9026907562088</v>
      </c>
      <c r="E2928" s="9" t="s">
        <v>2937</v>
      </c>
      <c r="I2928" s="12" t="str">
        <f>IFERROR(__xludf.DUMMYFUNCTION("""COMPUTED_VALUE"""),"0xf69036bb11919f738deb6f248c1f2d38195472cf")</f>
        <v>0xf69036bb11919f738deb6f248c1f2d38195472cf</v>
      </c>
      <c r="J2928" s="11">
        <v>29.848481093998938</v>
      </c>
      <c r="K2928" s="12">
        <v>66.32995798666431</v>
      </c>
      <c r="L2928" s="13">
        <v>6.632995798666431E19</v>
      </c>
      <c r="M2928" s="9">
        <v>6.6329957986664315E18</v>
      </c>
    </row>
    <row r="2929" ht="15.75" customHeight="1">
      <c r="A2929" s="8"/>
      <c r="B2929" s="8"/>
      <c r="C2929" s="8"/>
      <c r="D2929" s="8">
        <v>27.9026907562088</v>
      </c>
      <c r="E2929" s="9" t="s">
        <v>2938</v>
      </c>
      <c r="I2929" s="12" t="str">
        <f>IFERROR(__xludf.DUMMYFUNCTION("""COMPUTED_VALUE"""),"0xf69a9ff551d6584a7a2dbfd222181d4bf91b252f")</f>
        <v>0xf69a9ff551d6584a7a2dbfd222181d4bf91b252f</v>
      </c>
      <c r="J2929" s="11">
        <v>27.9026907562088</v>
      </c>
      <c r="K2929" s="12">
        <v>62.005979458241775</v>
      </c>
      <c r="L2929" s="13">
        <v>6.200597945824177E19</v>
      </c>
      <c r="M2929" s="9">
        <v>6.2005979458241782E18</v>
      </c>
    </row>
    <row r="2930" ht="15.75" customHeight="1">
      <c r="A2930" s="8"/>
      <c r="B2930" s="8"/>
      <c r="C2930" s="8"/>
      <c r="D2930" s="8">
        <v>27.9025512427551</v>
      </c>
      <c r="E2930" s="9" t="s">
        <v>2939</v>
      </c>
      <c r="I2930" s="12" t="str">
        <f>IFERROR(__xludf.DUMMYFUNCTION("""COMPUTED_VALUE"""),"0xf69c81f7d05b8ad14fe81a0a79d53c715870e27c")</f>
        <v>0xf69c81f7d05b8ad14fe81a0a79d53c715870e27c</v>
      </c>
      <c r="J2930" s="11">
        <v>27.9025512427551</v>
      </c>
      <c r="K2930" s="12">
        <v>62.00566942834466</v>
      </c>
      <c r="L2930" s="13">
        <v>6.200566942834466E19</v>
      </c>
      <c r="M2930" s="9">
        <v>6.2005669428344668E18</v>
      </c>
    </row>
    <row r="2931" ht="15.75" customHeight="1">
      <c r="A2931" s="8"/>
      <c r="B2931" s="8"/>
      <c r="C2931" s="8"/>
      <c r="D2931" s="8">
        <v>2.38683887797971</v>
      </c>
      <c r="E2931" s="9" t="s">
        <v>2940</v>
      </c>
      <c r="I2931" s="12" t="str">
        <f>IFERROR(__xludf.DUMMYFUNCTION("""COMPUTED_VALUE"""),"0xf6a3083497c63836b26fc71218f0e06270f57db1")</f>
        <v>0xf6a3083497c63836b26fc71218f0e06270f57db1</v>
      </c>
      <c r="J2931" s="11">
        <v>2.38683887797971</v>
      </c>
      <c r="K2931" s="12">
        <v>5.304086395510466</v>
      </c>
      <c r="L2931" s="13">
        <v>5.3040863955104655E18</v>
      </c>
      <c r="M2931" s="9">
        <v>5.3040863955104659E17</v>
      </c>
    </row>
    <row r="2932" ht="15.75" customHeight="1">
      <c r="A2932" s="8"/>
      <c r="B2932" s="8"/>
      <c r="C2932" s="8"/>
      <c r="D2932" s="8">
        <v>24.5968038554508</v>
      </c>
      <c r="E2932" s="9" t="s">
        <v>2941</v>
      </c>
      <c r="I2932" s="12" t="str">
        <f>IFERROR(__xludf.DUMMYFUNCTION("""COMPUTED_VALUE"""),"0xf6c15b384b640e5ac718c2da1fc6d4cc6be063a0")</f>
        <v>0xf6c15b384b640e5ac718c2da1fc6d4cc6be063a0</v>
      </c>
      <c r="J2932" s="11">
        <v>491.8150663539625</v>
      </c>
      <c r="K2932" s="12">
        <v>1092.9223696754723</v>
      </c>
      <c r="L2932" s="13">
        <v>1.0929223696754723E21</v>
      </c>
      <c r="M2932" s="9">
        <v>1.0929223696754724E20</v>
      </c>
    </row>
    <row r="2933" ht="15.75" customHeight="1">
      <c r="A2933" s="8"/>
      <c r="B2933" s="8"/>
      <c r="C2933" s="8"/>
      <c r="D2933" s="8">
        <v>27.9026907562088</v>
      </c>
      <c r="E2933" s="9" t="s">
        <v>2942</v>
      </c>
      <c r="I2933" s="12" t="str">
        <f>IFERROR(__xludf.DUMMYFUNCTION("""COMPUTED_VALUE"""),"0xf6cc674930985edefcd56a30da522c327039d037")</f>
        <v>0xf6cc674930985edefcd56a30da522c327039d037</v>
      </c>
      <c r="J2933" s="11">
        <v>91.1199983031448</v>
      </c>
      <c r="K2933" s="12">
        <v>202.48888511809955</v>
      </c>
      <c r="L2933" s="13">
        <v>2.0248888511809955E20</v>
      </c>
      <c r="M2933" s="9">
        <v>2.0248888511809958E19</v>
      </c>
    </row>
    <row r="2934" ht="15.75" customHeight="1">
      <c r="A2934" s="8"/>
      <c r="B2934" s="8"/>
      <c r="C2934" s="8"/>
      <c r="D2934" s="8">
        <v>9.56329642970916</v>
      </c>
      <c r="E2934" s="9" t="s">
        <v>2943</v>
      </c>
      <c r="I2934" s="12" t="str">
        <f>IFERROR(__xludf.DUMMYFUNCTION("""COMPUTED_VALUE"""),"0xf703edb701b918adefc9895f7cf6e74e2b51298c")</f>
        <v>0xf703edb701b918adefc9895f7cf6e74e2b51298c</v>
      </c>
      <c r="J2934" s="11">
        <v>9.56329642970916</v>
      </c>
      <c r="K2934" s="12">
        <v>21.251769843798133</v>
      </c>
      <c r="L2934" s="13">
        <v>2.1251769843798135E19</v>
      </c>
      <c r="M2934" s="9">
        <v>2.12517698437981363E18</v>
      </c>
    </row>
    <row r="2935" ht="15.75" customHeight="1">
      <c r="A2935" s="8"/>
      <c r="B2935" s="8"/>
      <c r="C2935" s="8"/>
      <c r="D2935" s="8">
        <v>26.2296173635839</v>
      </c>
      <c r="E2935" s="9" t="s">
        <v>2944</v>
      </c>
      <c r="I2935" s="12" t="str">
        <f>IFERROR(__xludf.DUMMYFUNCTION("""COMPUTED_VALUE"""),"0xf7162c0bf4f2b465316ea9efa0737d54dbfef577")</f>
        <v>0xf7162c0bf4f2b465316ea9efa0737d54dbfef577</v>
      </c>
      <c r="J2935" s="11">
        <v>26.2296173635839</v>
      </c>
      <c r="K2935" s="12">
        <v>58.288038585741994</v>
      </c>
      <c r="L2935" s="13">
        <v>5.828803858574199E19</v>
      </c>
      <c r="M2935" s="9">
        <v>5.8288038585741998E18</v>
      </c>
    </row>
    <row r="2936" ht="15.75" customHeight="1">
      <c r="A2936" s="8"/>
      <c r="B2936" s="8"/>
      <c r="C2936" s="8"/>
      <c r="D2936" s="8">
        <v>27.8624454665827</v>
      </c>
      <c r="E2936" s="9" t="s">
        <v>2945</v>
      </c>
      <c r="I2936" s="12" t="str">
        <f>IFERROR(__xludf.DUMMYFUNCTION("""COMPUTED_VALUE"""),"0xf719c9c72aa33c5680eca3de449d7a10c312e05c")</f>
        <v>0xf719c9c72aa33c5680eca3de449d7a10c312e05c</v>
      </c>
      <c r="J2936" s="11">
        <v>27.8624454665827</v>
      </c>
      <c r="K2936" s="12">
        <v>61.91654548129488</v>
      </c>
      <c r="L2936" s="13">
        <v>6.191654548129488E19</v>
      </c>
      <c r="M2936" s="9">
        <v>6.1916545481294889E18</v>
      </c>
    </row>
    <row r="2937" ht="15.75" customHeight="1">
      <c r="A2937" s="8"/>
      <c r="B2937" s="8"/>
      <c r="C2937" s="8"/>
      <c r="D2937" s="8">
        <v>0.387611875579127</v>
      </c>
      <c r="E2937" s="9" t="s">
        <v>2946</v>
      </c>
      <c r="I2937" s="12" t="str">
        <f>IFERROR(__xludf.DUMMYFUNCTION("""COMPUTED_VALUE"""),"0xf71b9e444a755060fe67ec352963682462f6fdda")</f>
        <v>0xf71b9e444a755060fe67ec352963682462f6fdda</v>
      </c>
      <c r="J2937" s="11">
        <v>0.387611875579127</v>
      </c>
      <c r="K2937" s="12">
        <v>0.8613597235091711</v>
      </c>
      <c r="L2937" s="13">
        <v>8.6135972350917107E17</v>
      </c>
      <c r="M2937" s="9">
        <v>8.6135972350917104E16</v>
      </c>
    </row>
    <row r="2938" ht="15.75" customHeight="1">
      <c r="A2938" s="8"/>
      <c r="B2938" s="8"/>
      <c r="C2938" s="8"/>
      <c r="D2938" s="8">
        <v>19.9194306483423</v>
      </c>
      <c r="E2938" s="9" t="s">
        <v>2947</v>
      </c>
      <c r="I2938" s="12" t="str">
        <f>IFERROR(__xludf.DUMMYFUNCTION("""COMPUTED_VALUE"""),"0xf71c9a6fd3ff2f84f667857738cdc54290597344")</f>
        <v>0xf71c9a6fd3ff2f84f667857738cdc54290597344</v>
      </c>
      <c r="J2938" s="11">
        <v>19.9194306483423</v>
      </c>
      <c r="K2938" s="12">
        <v>44.26540144076066</v>
      </c>
      <c r="L2938" s="13">
        <v>4.426540144076066E19</v>
      </c>
      <c r="M2938" s="9">
        <v>4.4265401440760663E18</v>
      </c>
    </row>
    <row r="2939" ht="15.75" customHeight="1">
      <c r="A2939" s="8"/>
      <c r="B2939" s="8"/>
      <c r="C2939" s="8"/>
      <c r="D2939" s="8">
        <v>27.9026907562088</v>
      </c>
      <c r="E2939" s="9" t="s">
        <v>2948</v>
      </c>
      <c r="I2939" s="12" t="str">
        <f>IFERROR(__xludf.DUMMYFUNCTION("""COMPUTED_VALUE"""),"0xf71cd3d9637708475be0d11e80dda37298fc50ad")</f>
        <v>0xf71cd3d9637708475be0d11e80dda37298fc50ad</v>
      </c>
      <c r="J2939" s="11">
        <v>91.1199983031448</v>
      </c>
      <c r="K2939" s="12">
        <v>202.48888511809955</v>
      </c>
      <c r="L2939" s="13">
        <v>2.0248888511809955E20</v>
      </c>
      <c r="M2939" s="9">
        <v>2.0248888511809958E19</v>
      </c>
    </row>
    <row r="2940" ht="15.75" customHeight="1">
      <c r="A2940" s="8"/>
      <c r="B2940" s="8"/>
      <c r="C2940" s="8"/>
      <c r="D2940" s="8">
        <v>27.9026907562088</v>
      </c>
      <c r="E2940" s="9" t="s">
        <v>2949</v>
      </c>
      <c r="I2940" s="12" t="str">
        <f>IFERROR(__xludf.DUMMYFUNCTION("""COMPUTED_VALUE"""),"0xf71f93567d84fab70cd2dc5c4053cc82491e84eb")</f>
        <v>0xf71f93567d84fab70cd2dc5c4053cc82491e84eb</v>
      </c>
      <c r="J2940" s="11">
        <v>91.1199983031448</v>
      </c>
      <c r="K2940" s="12">
        <v>202.48888511809955</v>
      </c>
      <c r="L2940" s="13">
        <v>2.0248888511809955E20</v>
      </c>
      <c r="M2940" s="9">
        <v>2.0248888511809958E19</v>
      </c>
    </row>
    <row r="2941" ht="15.75" customHeight="1">
      <c r="A2941" s="8"/>
      <c r="B2941" s="8"/>
      <c r="C2941" s="8"/>
      <c r="D2941" s="8">
        <v>27.9026907562088</v>
      </c>
      <c r="E2941" s="9" t="s">
        <v>2950</v>
      </c>
      <c r="I2941" s="12" t="str">
        <f>IFERROR(__xludf.DUMMYFUNCTION("""COMPUTED_VALUE"""),"0xf728b1f95bdc795b537b2d7a1386f4f733677839")</f>
        <v>0xf728b1f95bdc795b537b2d7a1386f4f733677839</v>
      </c>
      <c r="J2941" s="11">
        <v>73.6185257713458</v>
      </c>
      <c r="K2941" s="12">
        <v>163.596723936324</v>
      </c>
      <c r="L2941" s="13">
        <v>1.63596723936324E20</v>
      </c>
      <c r="M2941" s="9">
        <v>1.63596723936324E19</v>
      </c>
    </row>
    <row r="2942" ht="15.75" customHeight="1">
      <c r="A2942" s="8"/>
      <c r="B2942" s="8"/>
      <c r="C2942" s="8"/>
      <c r="D2942" s="8">
        <v>27.9026907562088</v>
      </c>
      <c r="E2942" s="9" t="s">
        <v>2951</v>
      </c>
      <c r="I2942" s="12" t="str">
        <f>IFERROR(__xludf.DUMMYFUNCTION("""COMPUTED_VALUE"""),"0xf74cc6d74194718b54a8d349a11001eea14c669c")</f>
        <v>0xf74cc6d74194718b54a8d349a11001eea14c669c</v>
      </c>
      <c r="J2942" s="11">
        <v>118.3610630322068</v>
      </c>
      <c r="K2942" s="12">
        <v>263.0245845160151</v>
      </c>
      <c r="L2942" s="13">
        <v>2.6302458451601513E20</v>
      </c>
      <c r="M2942" s="9">
        <v>2.6302458451601514E19</v>
      </c>
    </row>
    <row r="2943" ht="15.75" customHeight="1">
      <c r="A2943" s="8"/>
      <c r="B2943" s="8"/>
      <c r="C2943" s="8"/>
      <c r="D2943" s="8">
        <v>27.9026907562088</v>
      </c>
      <c r="E2943" s="9" t="s">
        <v>2952</v>
      </c>
      <c r="I2943" s="12" t="str">
        <f>IFERROR(__xludf.DUMMYFUNCTION("""COMPUTED_VALUE"""),"0xf764960ed96c9f093cee460e48fc45ecf31b45a1")</f>
        <v>0xf764960ed96c9f093cee460e48fc45ecf31b45a1</v>
      </c>
      <c r="J2943" s="11">
        <v>91.1199983031448</v>
      </c>
      <c r="K2943" s="12">
        <v>202.48888511809955</v>
      </c>
      <c r="L2943" s="13">
        <v>2.0248888511809955E20</v>
      </c>
      <c r="M2943" s="9">
        <v>2.0248888511809958E19</v>
      </c>
    </row>
    <row r="2944" ht="15.75" customHeight="1">
      <c r="A2944" s="8"/>
      <c r="B2944" s="8"/>
      <c r="C2944" s="8"/>
      <c r="D2944" s="8">
        <v>23.0052865264695</v>
      </c>
      <c r="E2944" s="9" t="s">
        <v>2953</v>
      </c>
      <c r="I2944" s="12" t="str">
        <f>IFERROR(__xludf.DUMMYFUNCTION("""COMPUTED_VALUE"""),"0xf7734765e5088666131da50130235203ff4a6967")</f>
        <v>0xf7734765e5088666131da50130235203ff4a6967</v>
      </c>
      <c r="J2944" s="11">
        <v>75.4027967781515</v>
      </c>
      <c r="K2944" s="12">
        <v>167.56177061811442</v>
      </c>
      <c r="L2944" s="13">
        <v>1.675617706181144E20</v>
      </c>
      <c r="M2944" s="9">
        <v>1.6756177061811442E19</v>
      </c>
    </row>
    <row r="2945" ht="15.75" customHeight="1">
      <c r="A2945" s="8"/>
      <c r="B2945" s="8"/>
      <c r="C2945" s="8"/>
      <c r="D2945" s="8">
        <v>27.9026907562088</v>
      </c>
      <c r="E2945" s="9" t="s">
        <v>2954</v>
      </c>
      <c r="I2945" s="12" t="str">
        <f>IFERROR(__xludf.DUMMYFUNCTION("""COMPUTED_VALUE"""),"0xf79a4ce9bd79f43257e24986dd35c3dfc5da5460")</f>
        <v>0xf79a4ce9bd79f43257e24986dd35c3dfc5da5460</v>
      </c>
      <c r="J2945" s="11">
        <v>40.546152265596</v>
      </c>
      <c r="K2945" s="12">
        <v>90.10256059021333</v>
      </c>
      <c r="L2945" s="13">
        <v>9.010256059021333E19</v>
      </c>
      <c r="M2945" s="9">
        <v>9.0102560590213335E18</v>
      </c>
    </row>
    <row r="2946" ht="15.75" customHeight="1">
      <c r="A2946" s="8"/>
      <c r="B2946" s="8"/>
      <c r="C2946" s="8"/>
      <c r="D2946" s="8">
        <v>24.4157473835696</v>
      </c>
      <c r="E2946" s="9" t="s">
        <v>2955</v>
      </c>
      <c r="I2946" s="12" t="str">
        <f>IFERROR(__xludf.DUMMYFUNCTION("""COMPUTED_VALUE"""),"0xf7a92220d34a64a0f1678f3540217e7508eb1f9f")</f>
        <v>0xf7a92220d34a64a0f1678f3540217e7508eb1f9f</v>
      </c>
      <c r="J2946" s="11">
        <v>24.4157473835696</v>
      </c>
      <c r="K2946" s="12">
        <v>54.25721640793244</v>
      </c>
      <c r="L2946" s="13">
        <v>5.425721640793244E19</v>
      </c>
      <c r="M2946" s="9">
        <v>5.4257216407932436E18</v>
      </c>
    </row>
    <row r="2947" ht="15.75" customHeight="1">
      <c r="A2947" s="8"/>
      <c r="B2947" s="8"/>
      <c r="C2947" s="8"/>
      <c r="D2947" s="8">
        <v>27.9026907562088</v>
      </c>
      <c r="E2947" s="9" t="s">
        <v>2956</v>
      </c>
      <c r="I2947" s="12" t="str">
        <f>IFERROR(__xludf.DUMMYFUNCTION("""COMPUTED_VALUE"""),"0xf7dcd7cdb4c883d9aa05495c6ccb03abd2dd1b7c")</f>
        <v>0xf7dcd7cdb4c883d9aa05495c6ccb03abd2dd1b7c</v>
      </c>
      <c r="J2947" s="11">
        <v>110.1984947353566</v>
      </c>
      <c r="K2947" s="12">
        <v>244.885543856348</v>
      </c>
      <c r="L2947" s="13">
        <v>2.44885543856348E20</v>
      </c>
      <c r="M2947" s="9">
        <v>2.4488554385634804E19</v>
      </c>
    </row>
    <row r="2948" ht="15.75" customHeight="1">
      <c r="A2948" s="8"/>
      <c r="B2948" s="8"/>
      <c r="C2948" s="8"/>
      <c r="D2948" s="8">
        <v>27.9026907562088</v>
      </c>
      <c r="E2948" s="9" t="s">
        <v>2957</v>
      </c>
      <c r="I2948" s="12" t="str">
        <f>IFERROR(__xludf.DUMMYFUNCTION("""COMPUTED_VALUE"""),"0xf7ed9509ccb29d97218b5bbd0e0bb80b3f2708d4")</f>
        <v>0xf7ed9509ccb29d97218b5bbd0e0bb80b3f2708d4</v>
      </c>
      <c r="J2948" s="11">
        <v>91.1199983031448</v>
      </c>
      <c r="K2948" s="12">
        <v>202.48888511809955</v>
      </c>
      <c r="L2948" s="13">
        <v>2.0248888511809955E20</v>
      </c>
      <c r="M2948" s="9">
        <v>2.0248888511809958E19</v>
      </c>
    </row>
    <row r="2949" ht="15.75" customHeight="1">
      <c r="A2949" s="8"/>
      <c r="B2949" s="8"/>
      <c r="C2949" s="8"/>
      <c r="D2949" s="8">
        <v>27.9026907562088</v>
      </c>
      <c r="E2949" s="9" t="s">
        <v>2958</v>
      </c>
      <c r="I2949" s="12" t="str">
        <f>IFERROR(__xludf.DUMMYFUNCTION("""COMPUTED_VALUE"""),"0xf7f680dcf1c40bf42a6e4ce702ea01e29d2584fa")</f>
        <v>0xf7f680dcf1c40bf42a6e4ce702ea01e29d2584fa</v>
      </c>
      <c r="J2949" s="11">
        <v>91.1199983031448</v>
      </c>
      <c r="K2949" s="12">
        <v>202.48888511809955</v>
      </c>
      <c r="L2949" s="13">
        <v>2.0248888511809955E20</v>
      </c>
      <c r="M2949" s="9">
        <v>2.0248888511809958E19</v>
      </c>
    </row>
    <row r="2950" ht="15.75" customHeight="1">
      <c r="A2950" s="8"/>
      <c r="B2950" s="8"/>
      <c r="C2950" s="8"/>
      <c r="D2950" s="8">
        <v>27.9026907562088</v>
      </c>
      <c r="E2950" s="9" t="s">
        <v>2959</v>
      </c>
      <c r="I2950" s="12" t="str">
        <f>IFERROR(__xludf.DUMMYFUNCTION("""COMPUTED_VALUE"""),"0xf7fc3197398521003b67ba09433d739991b7c88c")</f>
        <v>0xf7fc3197398521003b67ba09433d739991b7c88c</v>
      </c>
      <c r="J2950" s="11">
        <v>27.9026907562088</v>
      </c>
      <c r="K2950" s="12">
        <v>62.005979458241775</v>
      </c>
      <c r="L2950" s="13">
        <v>6.200597945824177E19</v>
      </c>
      <c r="M2950" s="9">
        <v>6.2005979458241782E18</v>
      </c>
    </row>
    <row r="2951" ht="15.75" customHeight="1">
      <c r="A2951" s="8"/>
      <c r="B2951" s="8"/>
      <c r="C2951" s="8"/>
      <c r="D2951" s="8">
        <v>27.9026907562088</v>
      </c>
      <c r="E2951" s="9" t="s">
        <v>2960</v>
      </c>
      <c r="I2951" s="12" t="str">
        <f>IFERROR(__xludf.DUMMYFUNCTION("""COMPUTED_VALUE"""),"0xf8175a425c09ef326ba5c5dc34658258f6af1207")</f>
        <v>0xf8175a425c09ef326ba5c5dc34658258f6af1207</v>
      </c>
      <c r="J2951" s="11">
        <v>91.1199983031448</v>
      </c>
      <c r="K2951" s="12">
        <v>202.48888511809955</v>
      </c>
      <c r="L2951" s="13">
        <v>2.0248888511809955E20</v>
      </c>
      <c r="M2951" s="9">
        <v>2.0248888511809958E19</v>
      </c>
    </row>
    <row r="2952" ht="15.75" customHeight="1">
      <c r="A2952" s="8"/>
      <c r="B2952" s="8"/>
      <c r="C2952" s="8"/>
      <c r="D2952" s="8">
        <v>14.0359860289485</v>
      </c>
      <c r="E2952" s="9" t="s">
        <v>2961</v>
      </c>
      <c r="I2952" s="12" t="str">
        <f>IFERROR(__xludf.DUMMYFUNCTION("""COMPUTED_VALUE"""),"0xf82ab902662b96844d5ac869a85f27ee0b378719")</f>
        <v>0xf82ab902662b96844d5ac869a85f27ee0b378719</v>
      </c>
      <c r="J2952" s="11">
        <v>14.0359860289485</v>
      </c>
      <c r="K2952" s="12">
        <v>31.19108006433</v>
      </c>
      <c r="L2952" s="13">
        <v>3.119108006433E19</v>
      </c>
      <c r="M2952" s="9">
        <v>3.1191080064329999E18</v>
      </c>
    </row>
    <row r="2953" ht="15.75" customHeight="1">
      <c r="A2953" s="8"/>
      <c r="B2953" s="8"/>
      <c r="C2953" s="8"/>
      <c r="D2953" s="8">
        <v>18.9729142795915</v>
      </c>
      <c r="E2953" s="9" t="s">
        <v>2962</v>
      </c>
      <c r="I2953" s="12" t="str">
        <f>IFERROR(__xludf.DUMMYFUNCTION("""COMPUTED_VALUE"""),"0xf83889a4c4455debe082ec58e158760669a4b72c")</f>
        <v>0xf83889a4c4455debe082ec58e158760669a4b72c</v>
      </c>
      <c r="J2953" s="11">
        <v>18.9729142795915</v>
      </c>
      <c r="K2953" s="12">
        <v>42.162031732425554</v>
      </c>
      <c r="L2953" s="13">
        <v>4.216203173242556E19</v>
      </c>
      <c r="M2953" s="9">
        <v>4.2162031732425559E18</v>
      </c>
    </row>
    <row r="2954" ht="15.75" customHeight="1">
      <c r="A2954" s="8"/>
      <c r="B2954" s="8"/>
      <c r="C2954" s="8"/>
      <c r="D2954" s="8">
        <v>27.9026907562088</v>
      </c>
      <c r="E2954" s="9" t="s">
        <v>2963</v>
      </c>
      <c r="I2954" s="12" t="str">
        <f>IFERROR(__xludf.DUMMYFUNCTION("""COMPUTED_VALUE"""),"0xf86186d5cfb75937305ab7174ed9f1efd9e5fe5a")</f>
        <v>0xf86186d5cfb75937305ab7174ed9f1efd9e5fe5a</v>
      </c>
      <c r="J2954" s="11">
        <v>27.9026907562088</v>
      </c>
      <c r="K2954" s="12">
        <v>62.005979458241775</v>
      </c>
      <c r="L2954" s="13">
        <v>6.200597945824177E19</v>
      </c>
      <c r="M2954" s="9">
        <v>6.2005979458241782E18</v>
      </c>
    </row>
    <row r="2955" ht="15.75" customHeight="1">
      <c r="A2955" s="8"/>
      <c r="B2955" s="8"/>
      <c r="C2955" s="8"/>
      <c r="D2955" s="8">
        <v>27.9026907562088</v>
      </c>
      <c r="E2955" s="9" t="s">
        <v>2964</v>
      </c>
      <c r="I2955" s="12" t="str">
        <f>IFERROR(__xludf.DUMMYFUNCTION("""COMPUTED_VALUE"""),"0xf871e3815df117819a73ac60cdadf9844220a852")</f>
        <v>0xf871e3815df117819a73ac60cdadf9844220a852</v>
      </c>
      <c r="J2955" s="11">
        <v>27.9026907562088</v>
      </c>
      <c r="K2955" s="12">
        <v>62.005979458241775</v>
      </c>
      <c r="L2955" s="13">
        <v>6.200597945824177E19</v>
      </c>
      <c r="M2955" s="9">
        <v>6.2005979458241782E18</v>
      </c>
    </row>
    <row r="2956" ht="15.75" customHeight="1">
      <c r="A2956" s="8"/>
      <c r="B2956" s="8"/>
      <c r="C2956" s="8"/>
      <c r="D2956" s="8">
        <v>27.9026907562088</v>
      </c>
      <c r="E2956" s="9" t="s">
        <v>2965</v>
      </c>
      <c r="I2956" s="12" t="str">
        <f>IFERROR(__xludf.DUMMYFUNCTION("""COMPUTED_VALUE"""),"0xf87acaec6a9fe096e33592dbaaefb5c096ef5668")</f>
        <v>0xf87acaec6a9fe096e33592dbaaefb5c096ef5668</v>
      </c>
      <c r="J2956" s="11">
        <v>118.79087654776609</v>
      </c>
      <c r="K2956" s="12">
        <v>263.9797256617024</v>
      </c>
      <c r="L2956" s="13">
        <v>2.639797256617024E20</v>
      </c>
      <c r="M2956" s="9">
        <v>2.639797256617024E19</v>
      </c>
    </row>
    <row r="2957" ht="15.75" customHeight="1">
      <c r="A2957" s="8"/>
      <c r="B2957" s="8"/>
      <c r="C2957" s="8"/>
      <c r="D2957" s="8">
        <v>27.9026907562088</v>
      </c>
      <c r="E2957" s="9" t="s">
        <v>2966</v>
      </c>
      <c r="I2957" s="12" t="str">
        <f>IFERROR(__xludf.DUMMYFUNCTION("""COMPUTED_VALUE"""),"0xf8a9a802a19cb7d93b57c0313f4f728592b32b9c")</f>
        <v>0xf8a9a802a19cb7d93b57c0313f4f728592b32b9c</v>
      </c>
      <c r="J2957" s="11">
        <v>91.1199983031448</v>
      </c>
      <c r="K2957" s="12">
        <v>202.48888511809955</v>
      </c>
      <c r="L2957" s="13">
        <v>2.0248888511809955E20</v>
      </c>
      <c r="M2957" s="9">
        <v>2.0248888511809958E19</v>
      </c>
    </row>
    <row r="2958" ht="15.75" customHeight="1">
      <c r="A2958" s="8"/>
      <c r="B2958" s="8"/>
      <c r="C2958" s="8"/>
      <c r="D2958" s="8">
        <v>27.9026907562088</v>
      </c>
      <c r="E2958" s="9" t="s">
        <v>2967</v>
      </c>
      <c r="I2958" s="12" t="str">
        <f>IFERROR(__xludf.DUMMYFUNCTION("""COMPUTED_VALUE"""),"0xf8ae64665c750207ac62203a29c70edc7f91784d")</f>
        <v>0xf8ae64665c750207ac62203a29c70edc7f91784d</v>
      </c>
      <c r="J2958" s="11">
        <v>27.9026907562088</v>
      </c>
      <c r="K2958" s="12">
        <v>62.005979458241775</v>
      </c>
      <c r="L2958" s="13">
        <v>6.200597945824177E19</v>
      </c>
      <c r="M2958" s="9">
        <v>6.2005979458241782E18</v>
      </c>
    </row>
    <row r="2959" ht="15.75" customHeight="1">
      <c r="A2959" s="8"/>
      <c r="B2959" s="8"/>
      <c r="C2959" s="8"/>
      <c r="D2959" s="8">
        <v>27.9026907562088</v>
      </c>
      <c r="E2959" s="9" t="s">
        <v>2968</v>
      </c>
      <c r="I2959" s="12" t="str">
        <f>IFERROR(__xludf.DUMMYFUNCTION("""COMPUTED_VALUE"""),"0xf8aee0572d836e33d04320152d7cb5a05a3a3cd2")</f>
        <v>0xf8aee0572d836e33d04320152d7cb5a05a3a3cd2</v>
      </c>
      <c r="J2959" s="11">
        <v>27.9026907562088</v>
      </c>
      <c r="K2959" s="12">
        <v>62.005979458241775</v>
      </c>
      <c r="L2959" s="13">
        <v>6.200597945824177E19</v>
      </c>
      <c r="M2959" s="9">
        <v>6.2005979458241782E18</v>
      </c>
    </row>
    <row r="2960" ht="15.75" customHeight="1">
      <c r="A2960" s="8"/>
      <c r="B2960" s="8"/>
      <c r="C2960" s="8"/>
      <c r="D2960" s="8">
        <v>26.7612030299677</v>
      </c>
      <c r="E2960" s="9" t="s">
        <v>2969</v>
      </c>
      <c r="I2960" s="12" t="str">
        <f>IFERROR(__xludf.DUMMYFUNCTION("""COMPUTED_VALUE"""),"0xf8eb9226943e19f8817b51fde97e2bd66e3cc2a9")</f>
        <v>0xf8eb9226943e19f8817b51fde97e2bd66e3cc2a9</v>
      </c>
      <c r="J2960" s="11">
        <v>26.7612030299677</v>
      </c>
      <c r="K2960" s="12">
        <v>59.46934006659489</v>
      </c>
      <c r="L2960" s="13">
        <v>5.946934006659489E19</v>
      </c>
      <c r="M2960" s="9">
        <v>5.9469340066594898E18</v>
      </c>
    </row>
    <row r="2961" ht="15.75" customHeight="1">
      <c r="A2961" s="8"/>
      <c r="B2961" s="8"/>
      <c r="C2961" s="8"/>
      <c r="D2961" s="8">
        <v>27.9026907562088</v>
      </c>
      <c r="E2961" s="9" t="s">
        <v>2970</v>
      </c>
      <c r="I2961" s="12" t="str">
        <f>IFERROR(__xludf.DUMMYFUNCTION("""COMPUTED_VALUE"""),"0xf8f92e8afc166c8b71a1f66f086b9767ac5ffa39")</f>
        <v>0xf8f92e8afc166c8b71a1f66f086b9767ac5ffa39</v>
      </c>
      <c r="J2961" s="11">
        <v>27.9026907562088</v>
      </c>
      <c r="K2961" s="12">
        <v>62.005979458241775</v>
      </c>
      <c r="L2961" s="13">
        <v>6.200597945824177E19</v>
      </c>
      <c r="M2961" s="9">
        <v>6.2005979458241782E18</v>
      </c>
    </row>
    <row r="2962" ht="15.75" customHeight="1">
      <c r="A2962" s="8"/>
      <c r="B2962" s="8"/>
      <c r="C2962" s="8"/>
      <c r="D2962" s="8">
        <v>27.9026907562088</v>
      </c>
      <c r="E2962" s="9" t="s">
        <v>2971</v>
      </c>
      <c r="I2962" s="12" t="str">
        <f>IFERROR(__xludf.DUMMYFUNCTION("""COMPUTED_VALUE"""),"0xf901425363f1252d74d696d1f74c001d31943b46")</f>
        <v>0xf901425363f1252d74d696d1f74c001d31943b46</v>
      </c>
      <c r="J2962" s="11">
        <v>110.8605648545352</v>
      </c>
      <c r="K2962" s="12">
        <v>246.35681078785598</v>
      </c>
      <c r="L2962" s="13">
        <v>2.46356810787856E20</v>
      </c>
      <c r="M2962" s="9">
        <v>2.46356810787856E19</v>
      </c>
    </row>
    <row r="2963" ht="15.75" customHeight="1">
      <c r="A2963" s="8"/>
      <c r="B2963" s="8"/>
      <c r="C2963" s="8"/>
      <c r="D2963" s="8">
        <v>2.94715096756009</v>
      </c>
      <c r="E2963" s="9" t="s">
        <v>2972</v>
      </c>
      <c r="I2963" s="12" t="str">
        <f>IFERROR(__xludf.DUMMYFUNCTION("""COMPUTED_VALUE"""),"0xf913cfb5893e5f9c0c9589d810c2cbbccba4568a")</f>
        <v>0xf913cfb5893e5f9c0c9589d810c2cbbccba4568a</v>
      </c>
      <c r="J2963" s="11">
        <v>2.94715096756009</v>
      </c>
      <c r="K2963" s="12">
        <v>6.549224372355756</v>
      </c>
      <c r="L2963" s="13">
        <v>6.549224372355756E18</v>
      </c>
      <c r="M2963" s="9">
        <v>6.5492243723557568E17</v>
      </c>
    </row>
    <row r="2964" ht="15.75" customHeight="1">
      <c r="A2964" s="8"/>
      <c r="B2964" s="8"/>
      <c r="C2964" s="8"/>
      <c r="D2964" s="8">
        <v>27.9026907562088</v>
      </c>
      <c r="E2964" s="9" t="s">
        <v>2973</v>
      </c>
      <c r="I2964" s="12" t="str">
        <f>IFERROR(__xludf.DUMMYFUNCTION("""COMPUTED_VALUE"""),"0xf96c30ffb5280b2030df2acabd990e7d6f1cf7c7")</f>
        <v>0xf96c30ffb5280b2030df2acabd990e7d6f1cf7c7</v>
      </c>
      <c r="J2964" s="11">
        <v>93.44015870192575</v>
      </c>
      <c r="K2964" s="12">
        <v>207.64479711539056</v>
      </c>
      <c r="L2964" s="13">
        <v>2.0764479711539056E20</v>
      </c>
      <c r="M2964" s="9">
        <v>2.0764479711539057E19</v>
      </c>
    </row>
    <row r="2965" ht="15.75" customHeight="1">
      <c r="A2965" s="8"/>
      <c r="B2965" s="8"/>
      <c r="C2965" s="8"/>
      <c r="D2965" s="8">
        <v>27.7126854637089</v>
      </c>
      <c r="E2965" s="9" t="s">
        <v>2974</v>
      </c>
      <c r="I2965" s="12" t="str">
        <f>IFERROR(__xludf.DUMMYFUNCTION("""COMPUTED_VALUE"""),"0xf96eec0d98df4355eb6590745a376b1d3665ab78")</f>
        <v>0xf96eec0d98df4355eb6590745a376b1d3665ab78</v>
      </c>
      <c r="J2965" s="11">
        <v>27.7126854637089</v>
      </c>
      <c r="K2965" s="12">
        <v>61.58374547490867</v>
      </c>
      <c r="L2965" s="13">
        <v>6.158374547490867E19</v>
      </c>
      <c r="M2965" s="9">
        <v>6.1583745474908672E18</v>
      </c>
    </row>
    <row r="2966" ht="15.75" customHeight="1">
      <c r="A2966" s="8"/>
      <c r="B2966" s="8"/>
      <c r="C2966" s="8"/>
      <c r="D2966" s="8">
        <v>27.9026907562088</v>
      </c>
      <c r="E2966" s="9" t="s">
        <v>2975</v>
      </c>
      <c r="I2966" s="12" t="str">
        <f>IFERROR(__xludf.DUMMYFUNCTION("""COMPUTED_VALUE"""),"0xf976475469e7e882ec03d0832b4354cb4bda57fc")</f>
        <v>0xf976475469e7e882ec03d0832b4354cb4bda57fc</v>
      </c>
      <c r="J2966" s="11">
        <v>91.1199983031448</v>
      </c>
      <c r="K2966" s="12">
        <v>202.48888511809955</v>
      </c>
      <c r="L2966" s="13">
        <v>2.0248888511809955E20</v>
      </c>
      <c r="M2966" s="9">
        <v>2.0248888511809958E19</v>
      </c>
    </row>
    <row r="2967" ht="15.75" customHeight="1">
      <c r="A2967" s="8"/>
      <c r="B2967" s="8"/>
      <c r="C2967" s="8"/>
      <c r="D2967" s="8">
        <v>25.4762634935467</v>
      </c>
      <c r="E2967" s="9" t="s">
        <v>2976</v>
      </c>
      <c r="I2967" s="12" t="str">
        <f>IFERROR(__xludf.DUMMYFUNCTION("""COMPUTED_VALUE"""),"0xf977664c07ff445b82dcc85372dc93bcff065bc6")</f>
        <v>0xf977664c07ff445b82dcc85372dc93bcff065bc6</v>
      </c>
      <c r="J2967" s="11">
        <v>83.6338217646517</v>
      </c>
      <c r="K2967" s="12">
        <v>185.85293725478155</v>
      </c>
      <c r="L2967" s="13">
        <v>1.8585293725478155E20</v>
      </c>
      <c r="M2967" s="9">
        <v>1.8585293725478154E19</v>
      </c>
    </row>
    <row r="2968" ht="15.75" customHeight="1">
      <c r="A2968" s="8"/>
      <c r="B2968" s="8"/>
      <c r="C2968" s="8"/>
      <c r="D2968" s="8">
        <v>27.9026907562088</v>
      </c>
      <c r="E2968" s="9" t="s">
        <v>2977</v>
      </c>
      <c r="I2968" s="12" t="str">
        <f>IFERROR(__xludf.DUMMYFUNCTION("""COMPUTED_VALUE"""),"0xf9a30c8461a0b568aaa5b469ec2ce094cad400e3")</f>
        <v>0xf9a30c8461a0b568aaa5b469ec2ce094cad400e3</v>
      </c>
      <c r="J2968" s="11">
        <v>27.9026907562088</v>
      </c>
      <c r="K2968" s="12">
        <v>62.005979458241775</v>
      </c>
      <c r="L2968" s="13">
        <v>6.200597945824177E19</v>
      </c>
      <c r="M2968" s="9">
        <v>6.2005979458241782E18</v>
      </c>
    </row>
    <row r="2969" ht="15.75" customHeight="1">
      <c r="A2969" s="8"/>
      <c r="B2969" s="8"/>
      <c r="C2969" s="8"/>
      <c r="D2969" s="8">
        <v>27.9026907562088</v>
      </c>
      <c r="E2969" s="9" t="s">
        <v>2978</v>
      </c>
      <c r="I2969" s="12" t="str">
        <f>IFERROR(__xludf.DUMMYFUNCTION("""COMPUTED_VALUE"""),"0xf9cb14396339b5da50d3b773f78c50e904fc98ac")</f>
        <v>0xf9cb14396339b5da50d3b773f78c50e904fc98ac</v>
      </c>
      <c r="J2969" s="11">
        <v>27.9026907562088</v>
      </c>
      <c r="K2969" s="12">
        <v>62.005979458241775</v>
      </c>
      <c r="L2969" s="13">
        <v>6.200597945824177E19</v>
      </c>
      <c r="M2969" s="9">
        <v>6.2005979458241782E18</v>
      </c>
    </row>
    <row r="2970" ht="15.75" customHeight="1">
      <c r="A2970" s="8"/>
      <c r="B2970" s="8"/>
      <c r="C2970" s="8"/>
      <c r="D2970" s="8">
        <v>27.9026907562088</v>
      </c>
      <c r="E2970" s="9" t="s">
        <v>2979</v>
      </c>
      <c r="I2970" s="12" t="str">
        <f>IFERROR(__xludf.DUMMYFUNCTION("""COMPUTED_VALUE"""),"0xf9ef59725a50ef89424342acd33b044c512ed7a0")</f>
        <v>0xf9ef59725a50ef89424342acd33b044c512ed7a0</v>
      </c>
      <c r="J2970" s="11">
        <v>27.9026907562088</v>
      </c>
      <c r="K2970" s="12">
        <v>62.005979458241775</v>
      </c>
      <c r="L2970" s="13">
        <v>6.200597945824177E19</v>
      </c>
      <c r="M2970" s="9">
        <v>6.2005979458241782E18</v>
      </c>
    </row>
    <row r="2971" ht="15.75" customHeight="1">
      <c r="A2971" s="8"/>
      <c r="B2971" s="8"/>
      <c r="C2971" s="8"/>
      <c r="D2971" s="8">
        <v>27.9026907562088</v>
      </c>
      <c r="E2971" s="9" t="s">
        <v>2980</v>
      </c>
      <c r="I2971" s="12" t="str">
        <f>IFERROR(__xludf.DUMMYFUNCTION("""COMPUTED_VALUE"""),"0xfa04d736051e2eab1262661b64dce7ee8b99abe1")</f>
        <v>0xfa04d736051e2eab1262661b64dce7ee8b99abe1</v>
      </c>
      <c r="J2971" s="11">
        <v>27.9026907562088</v>
      </c>
      <c r="K2971" s="12">
        <v>62.005979458241775</v>
      </c>
      <c r="L2971" s="13">
        <v>6.200597945824177E19</v>
      </c>
      <c r="M2971" s="9">
        <v>6.2005979458241782E18</v>
      </c>
    </row>
    <row r="2972" ht="15.75" customHeight="1">
      <c r="A2972" s="8"/>
      <c r="B2972" s="8"/>
      <c r="C2972" s="8"/>
      <c r="D2972" s="8">
        <v>27.6011749686986</v>
      </c>
      <c r="E2972" s="9" t="s">
        <v>2981</v>
      </c>
      <c r="I2972" s="12" t="str">
        <f>IFERROR(__xludf.DUMMYFUNCTION("""COMPUTED_VALUE"""),"0xfa11f178c3831fe3a9cf90c4ec2ed38fff665290")</f>
        <v>0xfa11f178c3831fe3a9cf90c4ec2ed38fff665290</v>
      </c>
      <c r="J2972" s="11">
        <v>90.20268956153251</v>
      </c>
      <c r="K2972" s="12">
        <v>200.45042124785002</v>
      </c>
      <c r="L2972" s="13">
        <v>2.0045042124785002E20</v>
      </c>
      <c r="M2972" s="9">
        <v>2.0045042124785005E19</v>
      </c>
    </row>
    <row r="2973" ht="15.75" customHeight="1">
      <c r="A2973" s="8"/>
      <c r="B2973" s="8"/>
      <c r="C2973" s="8"/>
      <c r="D2973" s="8">
        <v>27.9026907562088</v>
      </c>
      <c r="E2973" s="9" t="s">
        <v>2982</v>
      </c>
      <c r="I2973" s="12" t="str">
        <f>IFERROR(__xludf.DUMMYFUNCTION("""COMPUTED_VALUE"""),"0xfa1565f5dd33ab10fb4f1f21ef2160626dbc4387")</f>
        <v>0xfa1565f5dd33ab10fb4f1f21ef2160626dbc4387</v>
      </c>
      <c r="J2973" s="11">
        <v>27.9026907562088</v>
      </c>
      <c r="K2973" s="12">
        <v>62.005979458241775</v>
      </c>
      <c r="L2973" s="13">
        <v>6.200597945824177E19</v>
      </c>
      <c r="M2973" s="9">
        <v>6.2005979458241782E18</v>
      </c>
    </row>
    <row r="2974" ht="15.75" customHeight="1">
      <c r="A2974" s="8"/>
      <c r="B2974" s="8"/>
      <c r="C2974" s="8"/>
      <c r="D2974" s="8">
        <v>8.04124710780183</v>
      </c>
      <c r="E2974" s="9" t="s">
        <v>2983</v>
      </c>
      <c r="I2974" s="12" t="str">
        <f>IFERROR(__xludf.DUMMYFUNCTION("""COMPUTED_VALUE"""),"0xfa1cd8e8c23b50b45c04c35501bbfeeaf4deb3ab")</f>
        <v>0xfa1cd8e8c23b50b45c04c35501bbfeeaf4deb3ab</v>
      </c>
      <c r="J2974" s="11">
        <v>8.04124710780183</v>
      </c>
      <c r="K2974" s="12">
        <v>17.869438017337398</v>
      </c>
      <c r="L2974" s="13">
        <v>1.7869438017337397E19</v>
      </c>
      <c r="M2974" s="9">
        <v>1.78694380173373978E18</v>
      </c>
    </row>
    <row r="2975" ht="15.75" customHeight="1">
      <c r="A2975" s="8"/>
      <c r="B2975" s="8"/>
      <c r="C2975" s="8"/>
      <c r="D2975" s="8">
        <v>0.935083498329281</v>
      </c>
      <c r="E2975" s="9" t="s">
        <v>2984</v>
      </c>
      <c r="I2975" s="12" t="str">
        <f>IFERROR(__xludf.DUMMYFUNCTION("""COMPUTED_VALUE"""),"0xfa4d29122bb4409a7a9a5b25e809f9fefcb3248f")</f>
        <v>0xfa4d29122bb4409a7a9a5b25e809f9fefcb3248f</v>
      </c>
      <c r="J2975" s="11">
        <v>0.935083498329281</v>
      </c>
      <c r="K2975" s="12">
        <v>2.077963329620624</v>
      </c>
      <c r="L2975" s="13">
        <v>2.07796332962062413E18</v>
      </c>
      <c r="M2975" s="9">
        <v>2.07796332962062432E17</v>
      </c>
    </row>
    <row r="2976" ht="15.75" customHeight="1">
      <c r="A2976" s="8"/>
      <c r="B2976" s="8"/>
      <c r="C2976" s="8"/>
      <c r="D2976" s="8">
        <v>27.9026907562088</v>
      </c>
      <c r="E2976" s="9" t="s">
        <v>2985</v>
      </c>
      <c r="I2976" s="12" t="str">
        <f>IFERROR(__xludf.DUMMYFUNCTION("""COMPUTED_VALUE"""),"0xfa62840318b63b751fc2ffaf5055c6aa94c7a96d")</f>
        <v>0xfa62840318b63b751fc2ffaf5055c6aa94c7a96d</v>
      </c>
      <c r="J2976" s="11">
        <v>157.39362920726558</v>
      </c>
      <c r="K2976" s="12">
        <v>349.7636204605902</v>
      </c>
      <c r="L2976" s="13">
        <v>3.497636204605902E20</v>
      </c>
      <c r="M2976" s="9">
        <v>3.497636204605902E19</v>
      </c>
    </row>
    <row r="2977" ht="15.75" customHeight="1">
      <c r="A2977" s="8"/>
      <c r="B2977" s="8"/>
      <c r="C2977" s="8"/>
      <c r="D2977" s="8">
        <v>27.9026907562088</v>
      </c>
      <c r="E2977" s="9" t="s">
        <v>2986</v>
      </c>
      <c r="I2977" s="12" t="str">
        <f>IFERROR(__xludf.DUMMYFUNCTION("""COMPUTED_VALUE"""),"0xfa6e3450e42aa5ef10d01bf8486311529d5761df")</f>
        <v>0xfa6e3450e42aa5ef10d01bf8486311529d5761df</v>
      </c>
      <c r="J2977" s="11">
        <v>119.9176953024389</v>
      </c>
      <c r="K2977" s="12">
        <v>266.4837673387531</v>
      </c>
      <c r="L2977" s="13">
        <v>2.6648376733875313E20</v>
      </c>
      <c r="M2977" s="9">
        <v>2.6648376733875315E19</v>
      </c>
    </row>
    <row r="2978" ht="15.75" customHeight="1">
      <c r="A2978" s="8"/>
      <c r="B2978" s="8"/>
      <c r="C2978" s="8"/>
      <c r="D2978" s="8">
        <v>27.9026907562088</v>
      </c>
      <c r="E2978" s="9" t="s">
        <v>2987</v>
      </c>
      <c r="I2978" s="12" t="str">
        <f>IFERROR(__xludf.DUMMYFUNCTION("""COMPUTED_VALUE"""),"0xfa88a91a2916a1e2f25ed456c8f7faadde6da402")</f>
        <v>0xfa88a91a2916a1e2f25ed456c8f7faadde6da402</v>
      </c>
      <c r="J2978" s="11">
        <v>27.9026907562088</v>
      </c>
      <c r="K2978" s="12">
        <v>62.005979458241775</v>
      </c>
      <c r="L2978" s="13">
        <v>6.200597945824177E19</v>
      </c>
      <c r="M2978" s="9">
        <v>6.2005979458241782E18</v>
      </c>
    </row>
    <row r="2979" ht="15.75" customHeight="1">
      <c r="A2979" s="8"/>
      <c r="B2979" s="8"/>
      <c r="C2979" s="8"/>
      <c r="D2979" s="8">
        <v>25.0519148272827</v>
      </c>
      <c r="E2979" s="9" t="s">
        <v>2988</v>
      </c>
      <c r="I2979" s="12" t="str">
        <f>IFERROR(__xludf.DUMMYFUNCTION("""COMPUTED_VALUE"""),"0xfad4643de80dc63dab706d9edab130f252ac5c70")</f>
        <v>0xfad4643de80dc63dab706d9edab130f252ac5c70</v>
      </c>
      <c r="J2979" s="11">
        <v>82.1572752520677</v>
      </c>
      <c r="K2979" s="12">
        <v>182.5717227823727</v>
      </c>
      <c r="L2979" s="13">
        <v>1.825717227823727E20</v>
      </c>
      <c r="M2979" s="9">
        <v>1.825717227823727E19</v>
      </c>
    </row>
    <row r="2980" ht="15.75" customHeight="1">
      <c r="A2980" s="8"/>
      <c r="B2980" s="8"/>
      <c r="C2980" s="8"/>
      <c r="D2980" s="8">
        <v>27.9026907562088</v>
      </c>
      <c r="E2980" s="9" t="s">
        <v>2989</v>
      </c>
      <c r="I2980" s="12" t="str">
        <f>IFERROR(__xludf.DUMMYFUNCTION("""COMPUTED_VALUE"""),"0xfb02f54a0611ea78c23430a687f53ee6d48028a6")</f>
        <v>0xfb02f54a0611ea78c23430a687f53ee6d48028a6</v>
      </c>
      <c r="J2980" s="11">
        <v>27.9026907562088</v>
      </c>
      <c r="K2980" s="12">
        <v>62.005979458241775</v>
      </c>
      <c r="L2980" s="13">
        <v>6.200597945824177E19</v>
      </c>
      <c r="M2980" s="9">
        <v>6.2005979458241782E18</v>
      </c>
    </row>
    <row r="2981" ht="15.75" customHeight="1">
      <c r="A2981" s="8"/>
      <c r="B2981" s="8"/>
      <c r="C2981" s="8"/>
      <c r="D2981" s="8">
        <v>18.3363785623061</v>
      </c>
      <c r="E2981" s="9" t="s">
        <v>2990</v>
      </c>
      <c r="I2981" s="12" t="str">
        <f>IFERROR(__xludf.DUMMYFUNCTION("""COMPUTED_VALUE"""),"0xfb03c34d768e67ba6e6c30ccb05a8380ae233996")</f>
        <v>0xfb03c34d768e67ba6e6c30ccb05a8380ae233996</v>
      </c>
      <c r="J2981" s="11">
        <v>18.3363785623061</v>
      </c>
      <c r="K2981" s="12">
        <v>40.747507916235776</v>
      </c>
      <c r="L2981" s="13">
        <v>4.074750791623578E19</v>
      </c>
      <c r="M2981" s="9">
        <v>4.0747507916235776E18</v>
      </c>
    </row>
    <row r="2982" ht="15.75" customHeight="1">
      <c r="A2982" s="8"/>
      <c r="B2982" s="8"/>
      <c r="C2982" s="8"/>
      <c r="D2982" s="8">
        <v>27.9026907562088</v>
      </c>
      <c r="E2982" s="9" t="s">
        <v>2991</v>
      </c>
      <c r="I2982" s="12" t="str">
        <f>IFERROR(__xludf.DUMMYFUNCTION("""COMPUTED_VALUE"""),"0xfb1616627488bc3c7c8ceb951dc8b6b765cb0433")</f>
        <v>0xfb1616627488bc3c7c8ceb951dc8b6b765cb0433</v>
      </c>
      <c r="J2982" s="11">
        <v>29.848481093998938</v>
      </c>
      <c r="K2982" s="12">
        <v>66.32995798666431</v>
      </c>
      <c r="L2982" s="13">
        <v>6.632995798666431E19</v>
      </c>
      <c r="M2982" s="9">
        <v>6.6329957986664315E18</v>
      </c>
    </row>
    <row r="2983" ht="15.75" customHeight="1">
      <c r="A2983" s="8"/>
      <c r="B2983" s="8"/>
      <c r="C2983" s="8"/>
      <c r="D2983" s="8">
        <v>12.9186923872717</v>
      </c>
      <c r="E2983" s="9" t="s">
        <v>2992</v>
      </c>
      <c r="I2983" s="12" t="str">
        <f>IFERROR(__xludf.DUMMYFUNCTION("""COMPUTED_VALUE"""),"0xfb4c39cce476b68218d070133955eb9cb34dcc32")</f>
        <v>0xfb4c39cce476b68218d070133955eb9cb34dcc32</v>
      </c>
      <c r="J2983" s="11">
        <v>12.9186923872717</v>
      </c>
      <c r="K2983" s="12">
        <v>28.70820530504822</v>
      </c>
      <c r="L2983" s="13">
        <v>2.870820530504822E19</v>
      </c>
      <c r="M2983" s="9">
        <v>2.8708205305048223E18</v>
      </c>
    </row>
    <row r="2984" ht="15.75" customHeight="1">
      <c r="A2984" s="8"/>
      <c r="B2984" s="8"/>
      <c r="C2984" s="8"/>
      <c r="D2984" s="8">
        <v>25.0613899517951</v>
      </c>
      <c r="E2984" s="9" t="s">
        <v>2993</v>
      </c>
      <c r="I2984" s="12" t="str">
        <f>IFERROR(__xludf.DUMMYFUNCTION("""COMPUTED_VALUE"""),"0xfb66c1dcb00a1f361eba0b9a08ad77451b6a9e18")</f>
        <v>0xfb66c1dcb00a1f361eba0b9a08ad77451b6a9e18</v>
      </c>
      <c r="J2984" s="11">
        <v>25.0613899517951</v>
      </c>
      <c r="K2984" s="12">
        <v>55.691977670655774</v>
      </c>
      <c r="L2984" s="13">
        <v>5.569197767065577E19</v>
      </c>
      <c r="M2984" s="9">
        <v>5.5691977670655775E18</v>
      </c>
    </row>
    <row r="2985" ht="15.75" customHeight="1">
      <c r="A2985" s="8"/>
      <c r="B2985" s="8"/>
      <c r="C2985" s="8"/>
      <c r="D2985" s="8">
        <v>26.4175799323939</v>
      </c>
      <c r="E2985" s="9" t="s">
        <v>2994</v>
      </c>
      <c r="I2985" s="12" t="str">
        <f>IFERROR(__xludf.DUMMYFUNCTION("""COMPUTED_VALUE"""),"0xfb86038742ea334827d46fafbd50611fbb90d616")</f>
        <v>0xfb86038742ea334827d46fafbd50611fbb90d616</v>
      </c>
      <c r="J2985" s="11">
        <v>26.4175799323939</v>
      </c>
      <c r="K2985" s="12">
        <v>58.70573318309755</v>
      </c>
      <c r="L2985" s="13">
        <v>5.870573318309755E19</v>
      </c>
      <c r="M2985" s="9">
        <v>5.8705733183097559E18</v>
      </c>
    </row>
    <row r="2986" ht="15.75" customHeight="1">
      <c r="A2986" s="8"/>
      <c r="B2986" s="8"/>
      <c r="C2986" s="8"/>
      <c r="D2986" s="8">
        <v>27.9026907562088</v>
      </c>
      <c r="E2986" s="9" t="s">
        <v>2995</v>
      </c>
      <c r="I2986" s="12" t="str">
        <f>IFERROR(__xludf.DUMMYFUNCTION("""COMPUTED_VALUE"""),"0xfba17aca0797f72bd8152c5e519100c0c4caf0ad")</f>
        <v>0xfba17aca0797f72bd8152c5e519100c0c4caf0ad</v>
      </c>
      <c r="J2986" s="11">
        <v>140.6527112022303</v>
      </c>
      <c r="K2986" s="12">
        <v>312.56158044940065</v>
      </c>
      <c r="L2986" s="13">
        <v>3.125615804494006E20</v>
      </c>
      <c r="M2986" s="9">
        <v>3.1256158044940063E19</v>
      </c>
    </row>
    <row r="2987" ht="15.75" customHeight="1">
      <c r="A2987" s="8"/>
      <c r="B2987" s="8"/>
      <c r="C2987" s="8"/>
      <c r="D2987" s="8">
        <v>18.1898820838273</v>
      </c>
      <c r="E2987" s="9" t="s">
        <v>2996</v>
      </c>
      <c r="I2987" s="12" t="str">
        <f>IFERROR(__xludf.DUMMYFUNCTION("""COMPUTED_VALUE"""),"0xfba85228eeb50f8c9c3fc3d302e22d5bffd0d559")</f>
        <v>0xfba85228eeb50f8c9c3fc3d302e22d5bffd0d559</v>
      </c>
      <c r="J2987" s="11">
        <v>18.1898820838273</v>
      </c>
      <c r="K2987" s="12">
        <v>40.42196018628289</v>
      </c>
      <c r="L2987" s="13">
        <v>4.0421960186282885E19</v>
      </c>
      <c r="M2987" s="9">
        <v>4.0421960186282885E18</v>
      </c>
    </row>
    <row r="2988" ht="15.75" customHeight="1">
      <c r="A2988" s="8"/>
      <c r="B2988" s="8"/>
      <c r="C2988" s="8"/>
      <c r="D2988" s="8">
        <v>27.9026907562088</v>
      </c>
      <c r="E2988" s="9" t="s">
        <v>2997</v>
      </c>
      <c r="I2988" s="12" t="str">
        <f>IFERROR(__xludf.DUMMYFUNCTION("""COMPUTED_VALUE"""),"0xfbb36eb0ec4639d8ddb31213b5d8b94505df8f98")</f>
        <v>0xfbb36eb0ec4639d8ddb31213b5d8b94505df8f98</v>
      </c>
      <c r="J2988" s="11">
        <v>27.9026907562088</v>
      </c>
      <c r="K2988" s="12">
        <v>62.005979458241775</v>
      </c>
      <c r="L2988" s="13">
        <v>6.200597945824177E19</v>
      </c>
      <c r="M2988" s="9">
        <v>6.2005979458241782E18</v>
      </c>
    </row>
    <row r="2989" ht="15.75" customHeight="1">
      <c r="A2989" s="8"/>
      <c r="B2989" s="8"/>
      <c r="C2989" s="8"/>
      <c r="D2989" s="8">
        <v>25.8413597752704</v>
      </c>
      <c r="E2989" s="9" t="s">
        <v>2998</v>
      </c>
      <c r="I2989" s="12" t="str">
        <f>IFERROR(__xludf.DUMMYFUNCTION("""COMPUTED_VALUE"""),"0xfbb850e3478d127335449b70cd4127c13d97ad66")</f>
        <v>0xfbb850e3478d127335449b70cd4127c13d97ad66</v>
      </c>
      <c r="J2989" s="11">
        <v>25.8413597752704</v>
      </c>
      <c r="K2989" s="12">
        <v>57.42524394504534</v>
      </c>
      <c r="L2989" s="13">
        <v>5.742524394504534E19</v>
      </c>
      <c r="M2989" s="9">
        <v>5.742524394504534E18</v>
      </c>
    </row>
    <row r="2990" ht="15.75" customHeight="1">
      <c r="A2990" s="8"/>
      <c r="B2990" s="8"/>
      <c r="C2990" s="8"/>
      <c r="D2990" s="8">
        <v>27.9026907562088</v>
      </c>
      <c r="E2990" s="9" t="s">
        <v>2999</v>
      </c>
      <c r="I2990" s="12" t="str">
        <f>IFERROR(__xludf.DUMMYFUNCTION("""COMPUTED_VALUE"""),"0xfbcb47a10c5e5bebebe77f5ad0309929bbfdc439")</f>
        <v>0xfbcb47a10c5e5bebebe77f5ad0309929bbfdc439</v>
      </c>
      <c r="J2990" s="11">
        <v>360.30070040520184</v>
      </c>
      <c r="K2990" s="12">
        <v>800.6682231226707</v>
      </c>
      <c r="L2990" s="13">
        <v>8.006682231226707E20</v>
      </c>
      <c r="M2990" s="9">
        <v>8.006682231226707E19</v>
      </c>
    </row>
    <row r="2991" ht="15.75" customHeight="1">
      <c r="A2991" s="8"/>
      <c r="B2991" s="8"/>
      <c r="C2991" s="8"/>
      <c r="D2991" s="8">
        <v>27.9026907562088</v>
      </c>
      <c r="E2991" s="9" t="s">
        <v>3000</v>
      </c>
      <c r="I2991" s="12" t="str">
        <f>IFERROR(__xludf.DUMMYFUNCTION("""COMPUTED_VALUE"""),"0xfbf2e062628c0669ca2b439cf2758d1e04c47587")</f>
        <v>0xfbf2e062628c0669ca2b439cf2758d1e04c47587</v>
      </c>
      <c r="J2991" s="11">
        <v>91.1199983031448</v>
      </c>
      <c r="K2991" s="12">
        <v>202.48888511809955</v>
      </c>
      <c r="L2991" s="13">
        <v>2.0248888511809955E20</v>
      </c>
      <c r="M2991" s="9">
        <v>2.0248888511809958E19</v>
      </c>
    </row>
    <row r="2992" ht="15.75" customHeight="1">
      <c r="A2992" s="8"/>
      <c r="B2992" s="8"/>
      <c r="C2992" s="8"/>
      <c r="D2992" s="8">
        <v>0.878841953086725</v>
      </c>
      <c r="E2992" s="9" t="s">
        <v>3001</v>
      </c>
      <c r="I2992" s="12" t="str">
        <f>IFERROR(__xludf.DUMMYFUNCTION("""COMPUTED_VALUE"""),"0xfc14ac206ea7a4cde41d272dc57bea470df55285")</f>
        <v>0xfc14ac206ea7a4cde41d272dc57bea470df55285</v>
      </c>
      <c r="J2992" s="11">
        <v>0.878841953086725</v>
      </c>
      <c r="K2992" s="12">
        <v>1.9529821179704998</v>
      </c>
      <c r="L2992" s="13">
        <v>1.95298211797049984E18</v>
      </c>
      <c r="M2992" s="9">
        <v>1.95298211797049984E17</v>
      </c>
    </row>
    <row r="2993" ht="15.75" customHeight="1">
      <c r="A2993" s="8"/>
      <c r="B2993" s="8"/>
      <c r="C2993" s="8"/>
      <c r="D2993" s="8">
        <v>27.9026907562088</v>
      </c>
      <c r="E2993" s="9" t="s">
        <v>3002</v>
      </c>
      <c r="I2993" s="12" t="str">
        <f>IFERROR(__xludf.DUMMYFUNCTION("""COMPUTED_VALUE"""),"0xfc37a4e2646cfcbf9fe10165cac369a1b886a619")</f>
        <v>0xfc37a4e2646cfcbf9fe10165cac369a1b886a619</v>
      </c>
      <c r="J2993" s="11">
        <v>98.98099126781698</v>
      </c>
      <c r="K2993" s="12">
        <v>219.9577583729266</v>
      </c>
      <c r="L2993" s="13">
        <v>2.1995775837292662E20</v>
      </c>
      <c r="M2993" s="9">
        <v>2.1995775837292663E19</v>
      </c>
    </row>
    <row r="2994" ht="15.75" customHeight="1">
      <c r="A2994" s="8"/>
      <c r="B2994" s="8"/>
      <c r="C2994" s="8"/>
      <c r="D2994" s="8">
        <v>24.240967268818</v>
      </c>
      <c r="E2994" s="9" t="s">
        <v>3003</v>
      </c>
      <c r="I2994" s="12" t="str">
        <f>IFERROR(__xludf.DUMMYFUNCTION("""COMPUTED_VALUE"""),"0xfc3b5684fdd0f738a8946e5517cbb9bc13054e71")</f>
        <v>0xfc3b5684fdd0f738a8946e5517cbb9bc13054e71</v>
      </c>
      <c r="J2994" s="11">
        <v>24.240967268818</v>
      </c>
      <c r="K2994" s="12">
        <v>53.868816152928886</v>
      </c>
      <c r="L2994" s="13">
        <v>5.386881615292889E19</v>
      </c>
      <c r="M2994" s="9">
        <v>5.3868816152928891E18</v>
      </c>
    </row>
    <row r="2995" ht="15.75" customHeight="1">
      <c r="A2995" s="8"/>
      <c r="B2995" s="8"/>
      <c r="C2995" s="8"/>
      <c r="D2995" s="8">
        <v>27.9026907562088</v>
      </c>
      <c r="E2995" s="9" t="s">
        <v>3004</v>
      </c>
      <c r="I2995" s="12" t="str">
        <f>IFERROR(__xludf.DUMMYFUNCTION("""COMPUTED_VALUE"""),"0xfc45e7058806b0c8c2a9b02210a57f075ef93d33")</f>
        <v>0xfc45e7058806b0c8c2a9b02210a57f075ef93d33</v>
      </c>
      <c r="J2995" s="11">
        <v>98.90315965430537</v>
      </c>
      <c r="K2995" s="12">
        <v>219.7847992317897</v>
      </c>
      <c r="L2995" s="13">
        <v>2.197847992317897E20</v>
      </c>
      <c r="M2995" s="9">
        <v>2.197847992317897E19</v>
      </c>
    </row>
    <row r="2996" ht="15.75" customHeight="1">
      <c r="A2996" s="8"/>
      <c r="B2996" s="8"/>
      <c r="C2996" s="8"/>
      <c r="D2996" s="8">
        <v>27.9026907562088</v>
      </c>
      <c r="E2996" s="9" t="s">
        <v>3005</v>
      </c>
      <c r="I2996" s="12" t="str">
        <f>IFERROR(__xludf.DUMMYFUNCTION("""COMPUTED_VALUE"""),"0xfc4755e96e7a935d72f7181adb0ae8b683d5d467")</f>
        <v>0xfc4755e96e7a935d72f7181adb0ae8b683d5d467</v>
      </c>
      <c r="J2996" s="11">
        <v>118.3779649112678</v>
      </c>
      <c r="K2996" s="12">
        <v>263.06214424726176</v>
      </c>
      <c r="L2996" s="13">
        <v>2.6306214424726176E20</v>
      </c>
      <c r="M2996" s="9">
        <v>2.6306214424726176E19</v>
      </c>
    </row>
    <row r="2997" ht="15.75" customHeight="1">
      <c r="A2997" s="8"/>
      <c r="B2997" s="8"/>
      <c r="C2997" s="8"/>
      <c r="D2997" s="8">
        <v>27.9026907562088</v>
      </c>
      <c r="E2997" s="9" t="s">
        <v>3006</v>
      </c>
      <c r="I2997" s="12" t="str">
        <f>IFERROR(__xludf.DUMMYFUNCTION("""COMPUTED_VALUE"""),"0xfc6ed9b559082d949ed2abfc7eae119f56ba2879")</f>
        <v>0xfc6ed9b559082d949ed2abfc7eae119f56ba2879</v>
      </c>
      <c r="J2997" s="11">
        <v>28.04155665436561</v>
      </c>
      <c r="K2997" s="12">
        <v>62.31457034303469</v>
      </c>
      <c r="L2997" s="13">
        <v>6.231457034303469E19</v>
      </c>
      <c r="M2997" s="9">
        <v>6.2314570343034696E18</v>
      </c>
    </row>
    <row r="2998" ht="15.75" customHeight="1">
      <c r="A2998" s="8"/>
      <c r="B2998" s="8"/>
      <c r="C2998" s="8"/>
      <c r="D2998" s="8">
        <v>27.9026907562088</v>
      </c>
      <c r="E2998" s="9" t="s">
        <v>3007</v>
      </c>
      <c r="I2998" s="12" t="str">
        <f>IFERROR(__xludf.DUMMYFUNCTION("""COMPUTED_VALUE"""),"0xfc92f989d0882acdb4c9f263d6283064be2fcf50")</f>
        <v>0xfc92f989d0882acdb4c9f263d6283064be2fcf50</v>
      </c>
      <c r="J2998" s="11">
        <v>262.3727915424588</v>
      </c>
      <c r="K2998" s="12">
        <v>583.0506478721306</v>
      </c>
      <c r="L2998" s="13">
        <v>5.8305064787213065E20</v>
      </c>
      <c r="M2998" s="9">
        <v>5.830506478721307E19</v>
      </c>
    </row>
    <row r="2999" ht="15.75" customHeight="1">
      <c r="A2999" s="8"/>
      <c r="B2999" s="8"/>
      <c r="C2999" s="8"/>
      <c r="D2999" s="8">
        <v>27.9026907562088</v>
      </c>
      <c r="E2999" s="9" t="s">
        <v>3008</v>
      </c>
      <c r="I2999" s="12" t="str">
        <f>IFERROR(__xludf.DUMMYFUNCTION("""COMPUTED_VALUE"""),"0xfca319f920b6757a247c78e39be29e41e3603e8b")</f>
        <v>0xfca319f920b6757a247c78e39be29e41e3603e8b</v>
      </c>
      <c r="J2999" s="11">
        <v>274.02433601183384</v>
      </c>
      <c r="K2999" s="12">
        <v>608.9429689151863</v>
      </c>
      <c r="L2999" s="13">
        <v>6.089429689151863E20</v>
      </c>
      <c r="M2999" s="9">
        <v>6.089429689151863E19</v>
      </c>
    </row>
    <row r="3000" ht="15.75" customHeight="1">
      <c r="A3000" s="8"/>
      <c r="B3000" s="8"/>
      <c r="C3000" s="8"/>
      <c r="D3000" s="8">
        <v>27.9026907562088</v>
      </c>
      <c r="E3000" s="9" t="s">
        <v>3009</v>
      </c>
      <c r="I3000" s="12" t="str">
        <f>IFERROR(__xludf.DUMMYFUNCTION("""COMPUTED_VALUE"""),"0xfcb7a036336ef64288966d7c59ea4461223f00c2")</f>
        <v>0xfcb7a036336ef64288966d7c59ea4461223f00c2</v>
      </c>
      <c r="J3000" s="11">
        <v>1738.3093508560048</v>
      </c>
      <c r="K3000" s="12">
        <v>3862.9096685688996</v>
      </c>
      <c r="L3000" s="13">
        <v>3.8629096685688995E21</v>
      </c>
      <c r="M3000" s="9">
        <v>3.8629096685689E20</v>
      </c>
    </row>
    <row r="3001" ht="15.75" customHeight="1">
      <c r="A3001" s="8"/>
      <c r="B3001" s="8"/>
      <c r="C3001" s="8"/>
      <c r="D3001" s="8">
        <v>27.9026907562088</v>
      </c>
      <c r="E3001" s="9" t="s">
        <v>3010</v>
      </c>
      <c r="I3001" s="12" t="str">
        <f>IFERROR(__xludf.DUMMYFUNCTION("""COMPUTED_VALUE"""),"0xfcc258b802e11bb5c998e05946fdacdacdaa7100")</f>
        <v>0xfcc258b802e11bb5c998e05946fdacdacdaa7100</v>
      </c>
      <c r="J3001" s="11">
        <v>37.24724971552261</v>
      </c>
      <c r="K3001" s="12">
        <v>82.77166603449469</v>
      </c>
      <c r="L3001" s="13">
        <v>8.277166603449469E19</v>
      </c>
      <c r="M3001" s="9">
        <v>8.2771666034494689E18</v>
      </c>
    </row>
    <row r="3002" ht="15.75" customHeight="1">
      <c r="A3002" s="8"/>
      <c r="B3002" s="8"/>
      <c r="C3002" s="8"/>
      <c r="D3002" s="8">
        <v>27.9026907562088</v>
      </c>
      <c r="E3002" s="9" t="s">
        <v>3011</v>
      </c>
      <c r="I3002" s="12" t="str">
        <f>IFERROR(__xludf.DUMMYFUNCTION("""COMPUTED_VALUE"""),"0xfcee9fff52093a2059bc53fed9e37c2c7b17cfc2")</f>
        <v>0xfcee9fff52093a2059bc53fed9e37c2c7b17cfc2</v>
      </c>
      <c r="J3002" s="11">
        <v>254.5663866775168</v>
      </c>
      <c r="K3002" s="12">
        <v>565.7030815055929</v>
      </c>
      <c r="L3002" s="13">
        <v>5.657030815055929E20</v>
      </c>
      <c r="M3002" s="9">
        <v>5.657030815055929E19</v>
      </c>
    </row>
    <row r="3003" ht="15.75" customHeight="1">
      <c r="A3003" s="8"/>
      <c r="B3003" s="8"/>
      <c r="C3003" s="8"/>
      <c r="D3003" s="8">
        <v>24.2198892787571</v>
      </c>
      <c r="E3003" s="9" t="s">
        <v>3012</v>
      </c>
      <c r="I3003" s="12" t="str">
        <f>IFERROR(__xludf.DUMMYFUNCTION("""COMPUTED_VALUE"""),"0xfcf1b4bde8e36a4a8912238cd7acee9a0824f89a")</f>
        <v>0xfcf1b4bde8e36a4a8912238cd7acee9a0824f89a</v>
      </c>
      <c r="J3003" s="11">
        <v>156.6023537983038</v>
      </c>
      <c r="K3003" s="12">
        <v>348.0052306628973</v>
      </c>
      <c r="L3003" s="13">
        <v>3.480052306628973E20</v>
      </c>
      <c r="M3003" s="9">
        <v>3.4800523066289734E19</v>
      </c>
    </row>
    <row r="3004" ht="15.75" customHeight="1">
      <c r="A3004" s="8"/>
      <c r="B3004" s="8"/>
      <c r="C3004" s="8"/>
      <c r="D3004" s="8">
        <v>27.9026907562088</v>
      </c>
      <c r="E3004" s="9" t="s">
        <v>3013</v>
      </c>
      <c r="I3004" s="12" t="str">
        <f>IFERROR(__xludf.DUMMYFUNCTION("""COMPUTED_VALUE"""),"0xfd104ddbfc4575173588fe9dbad417f8088488d8")</f>
        <v>0xfd104ddbfc4575173588fe9dbad417f8088488d8</v>
      </c>
      <c r="J3004" s="11">
        <v>106.6863210054659</v>
      </c>
      <c r="K3004" s="12">
        <v>237.08071334547978</v>
      </c>
      <c r="L3004" s="13">
        <v>2.3708071334547977E20</v>
      </c>
      <c r="M3004" s="9">
        <v>2.370807133454798E19</v>
      </c>
    </row>
    <row r="3005" ht="15.75" customHeight="1">
      <c r="A3005" s="8"/>
      <c r="B3005" s="8"/>
      <c r="C3005" s="8"/>
      <c r="D3005" s="8">
        <v>27.9026907562088</v>
      </c>
      <c r="E3005" s="9" t="s">
        <v>3014</v>
      </c>
      <c r="I3005" s="12" t="str">
        <f>IFERROR(__xludf.DUMMYFUNCTION("""COMPUTED_VALUE"""),"0xfd10e0d33da1106120d7082f6d5a40725e8d91d5")</f>
        <v>0xfd10e0d33da1106120d7082f6d5a40725e8d91d5</v>
      </c>
      <c r="J3005" s="11">
        <v>27.9026907562088</v>
      </c>
      <c r="K3005" s="12">
        <v>62.005979458241775</v>
      </c>
      <c r="L3005" s="13">
        <v>6.200597945824177E19</v>
      </c>
      <c r="M3005" s="9">
        <v>6.2005979458241782E18</v>
      </c>
    </row>
    <row r="3006" ht="15.75" customHeight="1">
      <c r="A3006" s="8"/>
      <c r="B3006" s="8"/>
      <c r="C3006" s="8"/>
      <c r="D3006" s="8">
        <v>25.050020708578</v>
      </c>
      <c r="E3006" s="9" t="s">
        <v>3015</v>
      </c>
      <c r="I3006" s="12" t="str">
        <f>IFERROR(__xludf.DUMMYFUNCTION("""COMPUTED_VALUE"""),"0xfd191480521b175396325a141ded27c7cbdae383")</f>
        <v>0xfd191480521b175396325a141ded27c7cbdae383</v>
      </c>
      <c r="J3006" s="11">
        <v>25.050020708578</v>
      </c>
      <c r="K3006" s="12">
        <v>55.66671268572889</v>
      </c>
      <c r="L3006" s="13">
        <v>5.566671268572889E19</v>
      </c>
      <c r="M3006" s="9">
        <v>5.5666712685728891E18</v>
      </c>
    </row>
    <row r="3007" ht="15.75" customHeight="1">
      <c r="A3007" s="8"/>
      <c r="B3007" s="8"/>
      <c r="C3007" s="8"/>
      <c r="D3007" s="8">
        <v>27.1749791797819</v>
      </c>
      <c r="E3007" s="9" t="s">
        <v>3016</v>
      </c>
      <c r="I3007" s="12" t="str">
        <f>IFERROR(__xludf.DUMMYFUNCTION("""COMPUTED_VALUE"""),"0xfd3a7b5fb5c5334766489e4a46fcb46e24834613")</f>
        <v>0xfd3a7b5fb5c5334766489e4a46fcb46e24834613</v>
      </c>
      <c r="J3007" s="11">
        <v>27.1749791797819</v>
      </c>
      <c r="K3007" s="12">
        <v>60.38884262173755</v>
      </c>
      <c r="L3007" s="13">
        <v>6.038884262173755E19</v>
      </c>
      <c r="M3007" s="9">
        <v>6.0388842621737554E18</v>
      </c>
    </row>
    <row r="3008" ht="15.75" customHeight="1">
      <c r="A3008" s="8"/>
      <c r="B3008" s="8"/>
      <c r="C3008" s="8"/>
      <c r="D3008" s="8">
        <v>19.9759177237799</v>
      </c>
      <c r="E3008" s="9" t="s">
        <v>3017</v>
      </c>
      <c r="I3008" s="12" t="str">
        <f>IFERROR(__xludf.DUMMYFUNCTION("""COMPUTED_VALUE"""),"0xfd41c74d3c8da095a418caf3ce38ae8a264f1c92")</f>
        <v>0xfd41c74d3c8da095a418caf3ce38ae8a264f1c92</v>
      </c>
      <c r="J3008" s="11">
        <v>19.9759177237799</v>
      </c>
      <c r="K3008" s="12">
        <v>44.39092827506644</v>
      </c>
      <c r="L3008" s="13">
        <v>4.4390928275066446E19</v>
      </c>
      <c r="M3008" s="9">
        <v>4.439092827506645E18</v>
      </c>
    </row>
    <row r="3009" ht="15.75" customHeight="1">
      <c r="A3009" s="8"/>
      <c r="B3009" s="8"/>
      <c r="C3009" s="8"/>
      <c r="D3009" s="8">
        <v>27.9026907562088</v>
      </c>
      <c r="E3009" s="9" t="s">
        <v>3018</v>
      </c>
      <c r="I3009" s="12" t="str">
        <f>IFERROR(__xludf.DUMMYFUNCTION("""COMPUTED_VALUE"""),"0xfd5fcff469331ffac7f34dd2c5453f85abfac962")</f>
        <v>0xfd5fcff469331ffac7f34dd2c5453f85abfac962</v>
      </c>
      <c r="J3009" s="11">
        <v>73.92489065037819</v>
      </c>
      <c r="K3009" s="12">
        <v>164.2775347786182</v>
      </c>
      <c r="L3009" s="13">
        <v>1.642775347786182E20</v>
      </c>
      <c r="M3009" s="9">
        <v>1.6427753477861818E19</v>
      </c>
    </row>
    <row r="3010" ht="15.75" customHeight="1">
      <c r="A3010" s="8"/>
      <c r="B3010" s="8"/>
      <c r="C3010" s="8"/>
      <c r="D3010" s="8">
        <v>26.8666454855341</v>
      </c>
      <c r="E3010" s="9" t="s">
        <v>3019</v>
      </c>
      <c r="I3010" s="12" t="str">
        <f>IFERROR(__xludf.DUMMYFUNCTION("""COMPUTED_VALUE"""),"0xfd75e688b90f89f77367ce5b98b363176b666c72")</f>
        <v>0xfd75e688b90f89f77367ce5b98b363176b666c72</v>
      </c>
      <c r="J3010" s="11">
        <v>26.8666454855341</v>
      </c>
      <c r="K3010" s="12">
        <v>59.70365663452022</v>
      </c>
      <c r="L3010" s="13">
        <v>5.970365663452022E19</v>
      </c>
      <c r="M3010" s="9">
        <v>5.9703656634520228E18</v>
      </c>
    </row>
    <row r="3011" ht="15.75" customHeight="1">
      <c r="A3011" s="8"/>
      <c r="B3011" s="8"/>
      <c r="C3011" s="8"/>
      <c r="D3011" s="8">
        <v>27.9026907562088</v>
      </c>
      <c r="E3011" s="9" t="s">
        <v>3020</v>
      </c>
      <c r="I3011" s="12" t="str">
        <f>IFERROR(__xludf.DUMMYFUNCTION("""COMPUTED_VALUE"""),"0xfd7d1b7d8644f32b57c2736c9557240dd5e05475")</f>
        <v>0xfd7d1b7d8644f32b57c2736c9557240dd5e05475</v>
      </c>
      <c r="J3011" s="11">
        <v>99.10908080573653</v>
      </c>
      <c r="K3011" s="12">
        <v>220.2424017905256</v>
      </c>
      <c r="L3011" s="13">
        <v>2.202424017905256E20</v>
      </c>
      <c r="M3011" s="9">
        <v>2.202424017905256E19</v>
      </c>
    </row>
    <row r="3012" ht="15.75" customHeight="1">
      <c r="A3012" s="8"/>
      <c r="B3012" s="8"/>
      <c r="C3012" s="8"/>
      <c r="D3012" s="8">
        <v>27.9026907562088</v>
      </c>
      <c r="E3012" s="9" t="s">
        <v>3021</v>
      </c>
      <c r="I3012" s="12" t="str">
        <f>IFERROR(__xludf.DUMMYFUNCTION("""COMPUTED_VALUE"""),"0xfd8d9c8d9cd61eaf59ef52f7f513c0301f2f6d78")</f>
        <v>0xfd8d9c8d9cd61eaf59ef52f7f513c0301f2f6d78</v>
      </c>
      <c r="J3012" s="11">
        <v>27.9026907562088</v>
      </c>
      <c r="K3012" s="12">
        <v>62.005979458241775</v>
      </c>
      <c r="L3012" s="13">
        <v>6.200597945824177E19</v>
      </c>
      <c r="M3012" s="9">
        <v>6.2005979458241782E18</v>
      </c>
    </row>
    <row r="3013" ht="15.75" customHeight="1">
      <c r="A3013" s="8"/>
      <c r="B3013" s="8"/>
      <c r="C3013" s="8"/>
      <c r="D3013" s="8">
        <v>27.9026907562088</v>
      </c>
      <c r="E3013" s="9" t="s">
        <v>3022</v>
      </c>
      <c r="I3013" s="12" t="str">
        <f>IFERROR(__xludf.DUMMYFUNCTION("""COMPUTED_VALUE"""),"0xfda9d8ccf8d554b0d04198bc8ae67bd360883315")</f>
        <v>0xfda9d8ccf8d554b0d04198bc8ae67bd360883315</v>
      </c>
      <c r="J3013" s="11">
        <v>27.9026907562088</v>
      </c>
      <c r="K3013" s="12">
        <v>62.005979458241775</v>
      </c>
      <c r="L3013" s="13">
        <v>6.200597945824177E19</v>
      </c>
      <c r="M3013" s="9">
        <v>6.2005979458241782E18</v>
      </c>
    </row>
    <row r="3014" ht="15.75" customHeight="1">
      <c r="A3014" s="8"/>
      <c r="B3014" s="8"/>
      <c r="C3014" s="8"/>
      <c r="D3014" s="8">
        <v>26.3571843165944</v>
      </c>
      <c r="E3014" s="9" t="s">
        <v>3023</v>
      </c>
      <c r="I3014" s="12" t="str">
        <f>IFERROR(__xludf.DUMMYFUNCTION("""COMPUTED_VALUE"""),"0xfe07ee5fd4ebad480b4d6e183ee0592cc02cc864")</f>
        <v>0xfe07ee5fd4ebad480b4d6e183ee0592cc02cc864</v>
      </c>
      <c r="J3014" s="11">
        <v>96.946224004297</v>
      </c>
      <c r="K3014" s="12">
        <v>215.4360533428822</v>
      </c>
      <c r="L3014" s="13">
        <v>2.154360533428822E20</v>
      </c>
      <c r="M3014" s="9">
        <v>2.154360533428822E19</v>
      </c>
    </row>
    <row r="3015" ht="15.75" customHeight="1">
      <c r="A3015" s="8"/>
      <c r="B3015" s="8"/>
      <c r="C3015" s="8"/>
      <c r="D3015" s="8">
        <v>27.9026907562088</v>
      </c>
      <c r="E3015" s="9" t="s">
        <v>3024</v>
      </c>
      <c r="I3015" s="12" t="str">
        <f>IFERROR(__xludf.DUMMYFUNCTION("""COMPUTED_VALUE"""),"0xfe54d971803073f923c65cae2b1179301893eeb7")</f>
        <v>0xfe54d971803073f923c65cae2b1179301893eeb7</v>
      </c>
      <c r="J3015" s="11">
        <v>102.7947403298856</v>
      </c>
      <c r="K3015" s="12">
        <v>228.43275628863466</v>
      </c>
      <c r="L3015" s="13">
        <v>2.2843275628863465E20</v>
      </c>
      <c r="M3015" s="9">
        <v>2.2843275628863468E19</v>
      </c>
    </row>
    <row r="3016" ht="15.75" customHeight="1">
      <c r="A3016" s="8"/>
      <c r="B3016" s="8"/>
      <c r="C3016" s="8"/>
      <c r="D3016" s="8">
        <v>27.9026907562088</v>
      </c>
      <c r="E3016" s="9" t="s">
        <v>3025</v>
      </c>
      <c r="I3016" s="12" t="str">
        <f>IFERROR(__xludf.DUMMYFUNCTION("""COMPUTED_VALUE"""),"0xfe6b00b5263230f06fba49730cb710843d4bd7f3")</f>
        <v>0xfe6b00b5263230f06fba49730cb710843d4bd7f3</v>
      </c>
      <c r="J3016" s="11">
        <v>27.9026907562088</v>
      </c>
      <c r="K3016" s="12">
        <v>62.005979458241775</v>
      </c>
      <c r="L3016" s="13">
        <v>6.200597945824177E19</v>
      </c>
      <c r="M3016" s="9">
        <v>6.2005979458241782E18</v>
      </c>
    </row>
    <row r="3017" ht="15.75" customHeight="1">
      <c r="A3017" s="8"/>
      <c r="B3017" s="8"/>
      <c r="C3017" s="8"/>
      <c r="D3017" s="8">
        <v>26.8595599203401</v>
      </c>
      <c r="E3017" s="9" t="s">
        <v>3026</v>
      </c>
      <c r="I3017" s="12" t="str">
        <f>IFERROR(__xludf.DUMMYFUNCTION("""COMPUTED_VALUE"""),"0xfe6b19e001a755162dd41f1c9c2153304fdb2105")</f>
        <v>0xfe6b19e001a755162dd41f1c9c2153304fdb2105</v>
      </c>
      <c r="J3017" s="11">
        <v>26.8595599203401</v>
      </c>
      <c r="K3017" s="12">
        <v>59.68791093408911</v>
      </c>
      <c r="L3017" s="13">
        <v>5.968791093408911E19</v>
      </c>
      <c r="M3017" s="9">
        <v>5.9687910934089114E18</v>
      </c>
    </row>
    <row r="3018" ht="15.75" customHeight="1">
      <c r="A3018" s="8"/>
      <c r="B3018" s="8"/>
      <c r="C3018" s="8"/>
      <c r="D3018" s="8">
        <v>27.9026907562088</v>
      </c>
      <c r="E3018" s="9" t="s">
        <v>3027</v>
      </c>
      <c r="I3018" s="12" t="str">
        <f>IFERROR(__xludf.DUMMYFUNCTION("""COMPUTED_VALUE"""),"0xfe8aafd21b989feaa79e1ac7a22af7808a9906cf")</f>
        <v>0xfe8aafd21b989feaa79e1ac7a22af7808a9906cf</v>
      </c>
      <c r="J3018" s="11">
        <v>27.9026907562088</v>
      </c>
      <c r="K3018" s="12">
        <v>62.005979458241775</v>
      </c>
      <c r="L3018" s="13">
        <v>6.200597945824177E19</v>
      </c>
      <c r="M3018" s="9">
        <v>6.2005979458241782E18</v>
      </c>
    </row>
    <row r="3019" ht="15.75" customHeight="1">
      <c r="A3019" s="8"/>
      <c r="B3019" s="8"/>
      <c r="C3019" s="8"/>
      <c r="D3019" s="8">
        <v>27.9026907562088</v>
      </c>
      <c r="E3019" s="9" t="s">
        <v>3028</v>
      </c>
      <c r="I3019" s="12" t="str">
        <f>IFERROR(__xludf.DUMMYFUNCTION("""COMPUTED_VALUE"""),"0xfe90b918ba9b4724b0d0aa24dcf4eb181d45d0bc")</f>
        <v>0xfe90b918ba9b4724b0d0aa24dcf4eb181d45d0bc</v>
      </c>
      <c r="J3019" s="11">
        <v>27.9026907562088</v>
      </c>
      <c r="K3019" s="12">
        <v>62.005979458241775</v>
      </c>
      <c r="L3019" s="13">
        <v>6.200597945824177E19</v>
      </c>
      <c r="M3019" s="9">
        <v>6.2005979458241782E18</v>
      </c>
    </row>
    <row r="3020" ht="15.75" customHeight="1">
      <c r="A3020" s="8"/>
      <c r="B3020" s="8"/>
      <c r="C3020" s="8"/>
      <c r="D3020" s="8">
        <v>27.9026907562088</v>
      </c>
      <c r="E3020" s="9" t="s">
        <v>3029</v>
      </c>
      <c r="I3020" s="12" t="str">
        <f>IFERROR(__xludf.DUMMYFUNCTION("""COMPUTED_VALUE"""),"0xfe959af8b2c8b80dadde5ba825ff156e35a614f1")</f>
        <v>0xfe959af8b2c8b80dadde5ba825ff156e35a614f1</v>
      </c>
      <c r="J3020" s="11">
        <v>293.4821934333198</v>
      </c>
      <c r="K3020" s="12">
        <v>652.1826520740441</v>
      </c>
      <c r="L3020" s="13">
        <v>6.52182652074044E20</v>
      </c>
      <c r="M3020" s="9">
        <v>6.5218265207404405E19</v>
      </c>
    </row>
    <row r="3021" ht="15.75" customHeight="1">
      <c r="A3021" s="8"/>
      <c r="B3021" s="8"/>
      <c r="C3021" s="8"/>
      <c r="D3021" s="8">
        <v>18.1562920357234</v>
      </c>
      <c r="E3021" s="9" t="s">
        <v>3030</v>
      </c>
      <c r="I3021" s="12" t="str">
        <f>IFERROR(__xludf.DUMMYFUNCTION("""COMPUTED_VALUE"""),"0xfecc700e4eb525a52c2e39f231bd0d4a3d6db9fb")</f>
        <v>0xfecc700e4eb525a52c2e39f231bd0d4a3d6db9fb</v>
      </c>
      <c r="J3021" s="11">
        <v>18.1562920357234</v>
      </c>
      <c r="K3021" s="12">
        <v>40.34731563494089</v>
      </c>
      <c r="L3021" s="13">
        <v>4.034731563494089E19</v>
      </c>
      <c r="M3021" s="9">
        <v>4.0347315634940887E18</v>
      </c>
    </row>
    <row r="3022" ht="15.75" customHeight="1">
      <c r="A3022" s="8"/>
      <c r="B3022" s="8"/>
      <c r="C3022" s="8"/>
      <c r="D3022" s="8">
        <v>18.3005559691785</v>
      </c>
      <c r="E3022" s="9" t="s">
        <v>3031</v>
      </c>
      <c r="I3022" s="12" t="str">
        <f>IFERROR(__xludf.DUMMYFUNCTION("""COMPUTED_VALUE"""),"0xfed0262d0d0754b3a812c62bc73ed316efcb5ab9")</f>
        <v>0xfed0262d0d0754b3a812c62bc73ed316efcb5ab9</v>
      </c>
      <c r="J3022" s="11">
        <v>18.3005559691785</v>
      </c>
      <c r="K3022" s="12">
        <v>40.66790215373</v>
      </c>
      <c r="L3022" s="13">
        <v>4.066790215373E19</v>
      </c>
      <c r="M3022" s="9">
        <v>4.0667902153730002E18</v>
      </c>
    </row>
    <row r="3023" ht="15.75" customHeight="1">
      <c r="A3023" s="8"/>
      <c r="B3023" s="8"/>
      <c r="C3023" s="8"/>
      <c r="D3023" s="8">
        <v>26.0566873003836</v>
      </c>
      <c r="E3023" s="9" t="s">
        <v>3032</v>
      </c>
      <c r="I3023" s="12" t="str">
        <f>IFERROR(__xludf.DUMMYFUNCTION("""COMPUTED_VALUE"""),"0xff02cc6fad6730ba95586a5bc1f22f1316c4314f")</f>
        <v>0xff02cc6fad6730ba95586a5bc1f22f1316c4314f</v>
      </c>
      <c r="J3023" s="11">
        <v>26.0566873003836</v>
      </c>
      <c r="K3023" s="12">
        <v>57.903749556408</v>
      </c>
      <c r="L3023" s="13">
        <v>5.7903749556408E19</v>
      </c>
      <c r="M3023" s="9">
        <v>5.7903749556408003E18</v>
      </c>
    </row>
    <row r="3024" ht="15.75" customHeight="1">
      <c r="A3024" s="8"/>
      <c r="B3024" s="8"/>
      <c r="C3024" s="8"/>
      <c r="D3024" s="8">
        <v>27.9026907562088</v>
      </c>
      <c r="E3024" s="9" t="s">
        <v>3033</v>
      </c>
      <c r="I3024" s="12" t="str">
        <f>IFERROR(__xludf.DUMMYFUNCTION("""COMPUTED_VALUE"""),"0xff03035fe2b2d8b4809b658b4e9f36309a00835a")</f>
        <v>0xff03035fe2b2d8b4809b658b4e9f36309a00835a</v>
      </c>
      <c r="J3024" s="11">
        <v>27.9026907562088</v>
      </c>
      <c r="K3024" s="12">
        <v>62.005979458241775</v>
      </c>
      <c r="L3024" s="13">
        <v>6.200597945824177E19</v>
      </c>
      <c r="M3024" s="9">
        <v>6.2005979458241782E18</v>
      </c>
    </row>
    <row r="3025" ht="15.75" customHeight="1">
      <c r="A3025" s="8"/>
      <c r="B3025" s="8"/>
      <c r="C3025" s="8"/>
      <c r="D3025" s="8">
        <v>26.8399122503895</v>
      </c>
      <c r="E3025" s="9" t="s">
        <v>3034</v>
      </c>
      <c r="I3025" s="12" t="str">
        <f>IFERROR(__xludf.DUMMYFUNCTION("""COMPUTED_VALUE"""),"0xff1a27787bac3dc33599874da78021ea811d5e6a")</f>
        <v>0xff1a27787bac3dc33599874da78021ea811d5e6a</v>
      </c>
      <c r="J3025" s="11">
        <v>87.8748408224276</v>
      </c>
      <c r="K3025" s="12">
        <v>195.2774240498391</v>
      </c>
      <c r="L3025" s="13">
        <v>1.952774240498391E20</v>
      </c>
      <c r="M3025" s="9">
        <v>1.952774240498391E19</v>
      </c>
    </row>
    <row r="3026" ht="15.75" customHeight="1">
      <c r="A3026" s="8"/>
      <c r="B3026" s="8"/>
      <c r="C3026" s="8"/>
      <c r="D3026" s="8">
        <v>27.9026907562088</v>
      </c>
      <c r="E3026" s="9" t="s">
        <v>3035</v>
      </c>
      <c r="I3026" s="12" t="str">
        <f>IFERROR(__xludf.DUMMYFUNCTION("""COMPUTED_VALUE"""),"0xff3e90207c76c835d0f69cadf684a2989ab81071")</f>
        <v>0xff3e90207c76c835d0f69cadf684a2989ab81071</v>
      </c>
      <c r="J3026" s="11">
        <v>130.0963317910324</v>
      </c>
      <c r="K3026" s="12">
        <v>289.1029595356276</v>
      </c>
      <c r="L3026" s="13">
        <v>2.8910295953562757E20</v>
      </c>
      <c r="M3026" s="9">
        <v>2.891029595356276E19</v>
      </c>
    </row>
    <row r="3027" ht="15.75" customHeight="1">
      <c r="A3027" s="8"/>
      <c r="B3027" s="8"/>
      <c r="C3027" s="8"/>
      <c r="D3027" s="8">
        <v>27.9026907562088</v>
      </c>
      <c r="E3027" s="9" t="s">
        <v>3036</v>
      </c>
      <c r="I3027" s="12" t="str">
        <f>IFERROR(__xludf.DUMMYFUNCTION("""COMPUTED_VALUE"""),"0xff74bb2db67ecdc7a99a3f8b2d60d594c0655fcf")</f>
        <v>0xff74bb2db67ecdc7a99a3f8b2d60d594c0655fcf</v>
      </c>
      <c r="J3027" s="11">
        <v>27.9026907562088</v>
      </c>
      <c r="K3027" s="12">
        <v>62.005979458241775</v>
      </c>
      <c r="L3027" s="13">
        <v>6.200597945824177E19</v>
      </c>
      <c r="M3027" s="9">
        <v>6.2005979458241782E18</v>
      </c>
    </row>
    <row r="3028" ht="15.75" customHeight="1">
      <c r="A3028" s="8"/>
      <c r="B3028" s="8"/>
      <c r="C3028" s="8"/>
      <c r="D3028" s="8">
        <v>26.3921636882637</v>
      </c>
      <c r="E3028" s="9" t="s">
        <v>3037</v>
      </c>
      <c r="I3028" s="12" t="str">
        <f>IFERROR(__xludf.DUMMYFUNCTION("""COMPUTED_VALUE"""),"0xff7f8201211b4f26e4d1adb48357c7487f0e4dfd")</f>
        <v>0xff7f8201211b4f26e4d1adb48357c7487f0e4dfd</v>
      </c>
      <c r="J3028" s="11">
        <v>26.3921636882637</v>
      </c>
      <c r="K3028" s="12">
        <v>58.649252640586</v>
      </c>
      <c r="L3028" s="13">
        <v>5.8649252640586E19</v>
      </c>
      <c r="M3028" s="9">
        <v>5.8649252640586004E18</v>
      </c>
    </row>
    <row r="3029" ht="15.75" customHeight="1">
      <c r="A3029" s="8"/>
      <c r="B3029" s="8"/>
      <c r="C3029" s="8"/>
      <c r="D3029" s="8">
        <v>0.755618797631033</v>
      </c>
      <c r="E3029" s="9" t="s">
        <v>3038</v>
      </c>
      <c r="I3029" s="12" t="str">
        <f>IFERROR(__xludf.DUMMYFUNCTION("""COMPUTED_VALUE"""),"0xffa98f5d5c61678133048de1fe81c56f9c58124e")</f>
        <v>0xffa98f5d5c61678133048de1fe81c56f9c58124e</v>
      </c>
      <c r="J3029" s="11">
        <v>0.755618797631033</v>
      </c>
      <c r="K3029" s="12">
        <v>1.6791528836245178</v>
      </c>
      <c r="L3029" s="13">
        <v>1.67915288362451763E18</v>
      </c>
      <c r="M3029" s="9">
        <v>1.67915288362451776E17</v>
      </c>
    </row>
    <row r="3030" ht="15.75" customHeight="1">
      <c r="A3030" s="8"/>
      <c r="B3030" s="8"/>
      <c r="C3030" s="8"/>
      <c r="D3030" s="8">
        <v>27.9026907562088</v>
      </c>
      <c r="E3030" s="9" t="s">
        <v>3039</v>
      </c>
      <c r="I3030" s="12" t="str">
        <f>IFERROR(__xludf.DUMMYFUNCTION("""COMPUTED_VALUE"""),"0xffc4b251fe811ffaf1dfc1d84343a37e1560f9e4")</f>
        <v>0xffc4b251fe811ffaf1dfc1d84343a37e1560f9e4</v>
      </c>
      <c r="J3030" s="11">
        <v>27.9026907562088</v>
      </c>
      <c r="K3030" s="12">
        <v>62.005979458241775</v>
      </c>
      <c r="L3030" s="13">
        <v>6.200597945824177E19</v>
      </c>
      <c r="M3030" s="9">
        <v>6.2005979458241782E18</v>
      </c>
    </row>
    <row r="3031" ht="15.75" customHeight="1">
      <c r="A3031" s="8"/>
      <c r="B3031" s="8"/>
      <c r="C3031" s="8"/>
      <c r="D3031" s="8">
        <v>27.9026907562088</v>
      </c>
      <c r="E3031" s="9" t="s">
        <v>3040</v>
      </c>
      <c r="I3031" s="12" t="str">
        <f>IFERROR(__xludf.DUMMYFUNCTION("""COMPUTED_VALUE"""),"0xffdd3af7cfa0e37bae63c5bbe35270dddc56b390")</f>
        <v>0xffdd3af7cfa0e37bae63c5bbe35270dddc56b390</v>
      </c>
      <c r="J3031" s="11">
        <v>91.1199983031448</v>
      </c>
      <c r="K3031" s="12">
        <v>202.48888511809955</v>
      </c>
      <c r="L3031" s="13">
        <v>2.0248888511809955E20</v>
      </c>
      <c r="M3031" s="9">
        <v>2.0248888511809958E19</v>
      </c>
    </row>
    <row r="3032" ht="15.75" customHeight="1">
      <c r="A3032" s="8"/>
      <c r="B3032" s="8"/>
      <c r="C3032" s="8"/>
      <c r="D3032" s="8">
        <v>27.9026907562088</v>
      </c>
      <c r="E3032" s="9" t="s">
        <v>3041</v>
      </c>
      <c r="I3032" s="12" t="str">
        <f>IFERROR(__xludf.DUMMYFUNCTION("""COMPUTED_VALUE"""),"0xffea6161101f86abc5361c0f5f56d35015f5d6e2")</f>
        <v>0xffea6161101f86abc5361c0f5f56d35015f5d6e2</v>
      </c>
      <c r="J3032" s="11">
        <v>91.1199983031448</v>
      </c>
      <c r="K3032" s="12">
        <v>202.48888511809955</v>
      </c>
      <c r="L3032" s="13">
        <v>2.0248888511809955E20</v>
      </c>
      <c r="M3032" s="9">
        <v>2.0248888511809958E19</v>
      </c>
    </row>
    <row r="3033" ht="15.75" customHeight="1">
      <c r="A3033" s="8"/>
      <c r="B3033" s="8"/>
      <c r="C3033" s="8"/>
      <c r="D3033" s="8">
        <v>27.9026907562088</v>
      </c>
      <c r="E3033" s="9" t="s">
        <v>3042</v>
      </c>
      <c r="I3033" s="12" t="str">
        <f>IFERROR(__xludf.DUMMYFUNCTION("""COMPUTED_VALUE"""),"0xffedfe13868e3652ce4ea84c8cbbbbf21ef398bc")</f>
        <v>0xffedfe13868e3652ce4ea84c8cbbbbf21ef398bc</v>
      </c>
      <c r="J3033" s="11">
        <v>27.9026907562088</v>
      </c>
      <c r="K3033" s="12">
        <v>62.005979458241775</v>
      </c>
      <c r="L3033" s="13">
        <v>6.200597945824177E19</v>
      </c>
      <c r="M3033" s="9">
        <v>6.2005979458241782E18</v>
      </c>
    </row>
    <row r="3034" ht="15.75" customHeight="1">
      <c r="A3034" s="8"/>
      <c r="B3034" s="8"/>
      <c r="C3034" s="8"/>
      <c r="D3034" s="8">
        <v>27.9026907562088</v>
      </c>
      <c r="E3034" s="9" t="s">
        <v>3043</v>
      </c>
      <c r="I3034" s="12" t="str">
        <f>IFERROR(__xludf.DUMMYFUNCTION("""COMPUTED_VALUE"""),"0xfffaf54a65eb198d704ea8c0b48eee29679120f6")</f>
        <v>0xfffaf54a65eb198d704ea8c0b48eee29679120f6</v>
      </c>
      <c r="J3034" s="11">
        <v>171.02450486144778</v>
      </c>
      <c r="K3034" s="12">
        <v>380.05445524766174</v>
      </c>
      <c r="L3034" s="13">
        <v>3.8005445524766176E20</v>
      </c>
      <c r="M3034" s="9">
        <v>3.800544552476618E19</v>
      </c>
    </row>
    <row r="3035" ht="15.75" customHeight="1">
      <c r="A3035" s="8"/>
      <c r="B3035" s="8"/>
      <c r="C3035" s="8"/>
      <c r="D3035" s="8">
        <v>63.217307546936</v>
      </c>
      <c r="E3035" s="9" t="s">
        <v>8</v>
      </c>
      <c r="I3035" s="12" t="str">
        <f>IFERROR(__xludf.DUMMYFUNCTION("""COMPUTED_VALUE"""),"0x0158f00a084b59b6705d6da468afd270f6f7e396")</f>
        <v>0x0158f00a084b59b6705d6da468afd270f6f7e396</v>
      </c>
      <c r="J3035" s="11">
        <v>21.121676248380172</v>
      </c>
      <c r="K3035" s="12">
        <v>46.937058329733716</v>
      </c>
      <c r="L3035" s="13">
        <v>4.693705832973372E19</v>
      </c>
      <c r="M3035" s="9">
        <v>4.6937058329733724E18</v>
      </c>
    </row>
    <row r="3036" ht="15.75" customHeight="1">
      <c r="A3036" s="8"/>
      <c r="B3036" s="8"/>
      <c r="C3036" s="8"/>
      <c r="D3036" s="8">
        <v>10.042420331516</v>
      </c>
      <c r="E3036" s="9" t="s">
        <v>10</v>
      </c>
      <c r="I3036" s="12" t="str">
        <f>IFERROR(__xludf.DUMMYFUNCTION("""COMPUTED_VALUE"""),"0x01ec202abb571e073c144691b848f947b017fd16")</f>
        <v>0x01ec202abb571e073c144691b848f947b017fd16</v>
      </c>
      <c r="J3036" s="11">
        <v>63.217307546936</v>
      </c>
      <c r="K3036" s="12">
        <v>140.48290565985778</v>
      </c>
      <c r="L3036" s="13">
        <v>1.4048290565985778E20</v>
      </c>
      <c r="M3036" s="9">
        <v>1.404829056598578E19</v>
      </c>
    </row>
    <row r="3037" ht="15.75" customHeight="1">
      <c r="A3037" s="8"/>
      <c r="B3037" s="8"/>
      <c r="C3037" s="8"/>
      <c r="D3037" s="8">
        <v>63.217307546936</v>
      </c>
      <c r="E3037" s="9" t="s">
        <v>12</v>
      </c>
      <c r="I3037" s="12" t="str">
        <f>IFERROR(__xludf.DUMMYFUNCTION("""COMPUTED_VALUE"""),"0x02396790f97bd4d403f4a3ba9865095fcbb0a0ce")</f>
        <v>0x02396790f97bd4d403f4a3ba9865095fcbb0a0ce</v>
      </c>
      <c r="J3037" s="11">
        <v>25.2869230187744</v>
      </c>
      <c r="K3037" s="12">
        <v>56.19316226394311</v>
      </c>
      <c r="L3037" s="13">
        <v>5.619316226394311E19</v>
      </c>
      <c r="M3037" s="9">
        <v>5.6193162263943117E18</v>
      </c>
    </row>
    <row r="3038" ht="15.75" customHeight="1">
      <c r="A3038" s="8"/>
      <c r="B3038" s="8"/>
      <c r="C3038" s="8"/>
      <c r="D3038" s="8">
        <v>63.217307546936</v>
      </c>
      <c r="E3038" s="9" t="s">
        <v>15</v>
      </c>
      <c r="I3038" s="12" t="str">
        <f>IFERROR(__xludf.DUMMYFUNCTION("""COMPUTED_VALUE"""),"0x099a55b221995cfc0f5524edf52e99391eb83616")</f>
        <v>0x099a55b221995cfc0f5524edf52e99391eb83616</v>
      </c>
      <c r="J3038" s="11">
        <v>59.9585001969983</v>
      </c>
      <c r="K3038" s="12">
        <v>133.2411115488851</v>
      </c>
      <c r="L3038" s="13">
        <v>1.332411115488851E20</v>
      </c>
      <c r="M3038" s="9">
        <v>1.3324111154888511E19</v>
      </c>
    </row>
    <row r="3039" ht="15.75" customHeight="1">
      <c r="A3039" s="8"/>
      <c r="B3039" s="8"/>
      <c r="C3039" s="8"/>
      <c r="D3039" s="8">
        <v>63.217307546936</v>
      </c>
      <c r="E3039" s="9" t="s">
        <v>17</v>
      </c>
      <c r="I3039" s="12" t="str">
        <f>IFERROR(__xludf.DUMMYFUNCTION("""COMPUTED_VALUE"""),"0x0a69f028f58814a2d97c52eca4a028200d28fbbf")</f>
        <v>0x0a69f028f58814a2d97c52eca4a028200d28fbbf</v>
      </c>
      <c r="J3039" s="11">
        <v>45.0675375119441</v>
      </c>
      <c r="K3039" s="12">
        <v>100.15008335987578</v>
      </c>
      <c r="L3039" s="13">
        <v>1.0015008335987578E20</v>
      </c>
      <c r="M3039" s="9">
        <v>1.0015008335987579E19</v>
      </c>
    </row>
    <row r="3040" ht="15.75" customHeight="1">
      <c r="A3040" s="8"/>
      <c r="B3040" s="8"/>
      <c r="C3040" s="8"/>
      <c r="D3040" s="8">
        <v>63.217307546936</v>
      </c>
      <c r="E3040" s="9" t="s">
        <v>18</v>
      </c>
      <c r="I3040" s="12" t="str">
        <f>IFERROR(__xludf.DUMMYFUNCTION("""COMPUTED_VALUE"""),"0x0c2e3792b37ad994ba5337c77a6aad45386ac9b7")</f>
        <v>0x0c2e3792b37ad994ba5337c77a6aad45386ac9b7</v>
      </c>
      <c r="J3040" s="11">
        <v>9.78353243593304</v>
      </c>
      <c r="K3040" s="12">
        <v>21.74118319096231</v>
      </c>
      <c r="L3040" s="13">
        <v>2.174118319096231E19</v>
      </c>
      <c r="M3040" s="9">
        <v>2.17411831909623117E18</v>
      </c>
    </row>
    <row r="3041" ht="15.75" customHeight="1">
      <c r="A3041" s="8"/>
      <c r="B3041" s="8"/>
      <c r="C3041" s="8"/>
      <c r="D3041" s="8">
        <v>20.4147411502139</v>
      </c>
      <c r="E3041" s="9" t="s">
        <v>3044</v>
      </c>
      <c r="I3041" s="12" t="str">
        <f>IFERROR(__xludf.DUMMYFUNCTION("""COMPUTED_VALUE"""),"0x0c48ef7eca08b2839d266dd314211309cbcf5659")</f>
        <v>0x0c48ef7eca08b2839d266dd314211309cbcf5659</v>
      </c>
      <c r="J3041" s="11">
        <v>43.7324801682632</v>
      </c>
      <c r="K3041" s="12">
        <v>97.18328926280711</v>
      </c>
      <c r="L3041" s="13">
        <v>9.71832892628071E19</v>
      </c>
      <c r="M3041" s="9">
        <v>9.71832892628071E18</v>
      </c>
    </row>
    <row r="3042" ht="15.75" customHeight="1">
      <c r="A3042" s="8"/>
      <c r="B3042" s="8"/>
      <c r="C3042" s="8"/>
      <c r="D3042" s="8">
        <v>3.61505903137599</v>
      </c>
      <c r="E3042" s="9" t="s">
        <v>21</v>
      </c>
      <c r="I3042" s="12" t="str">
        <f>IFERROR(__xludf.DUMMYFUNCTION("""COMPUTED_VALUE"""),"0x0d9c697d9dc81838c2cc8bc07d1f97127f514e1f")</f>
        <v>0x0d9c697d9dc81838c2cc8bc07d1f97127f514e1f</v>
      </c>
      <c r="J3042" s="11">
        <v>35.4034362120093</v>
      </c>
      <c r="K3042" s="12">
        <v>78.674302693354</v>
      </c>
      <c r="L3042" s="13">
        <v>7.8674302693354E19</v>
      </c>
      <c r="M3042" s="9">
        <v>7.8674302693354004E18</v>
      </c>
    </row>
    <row r="3043" ht="15.75" customHeight="1">
      <c r="A3043" s="8"/>
      <c r="B3043" s="8"/>
      <c r="C3043" s="8"/>
      <c r="D3043" s="8">
        <v>0.248236689217195</v>
      </c>
      <c r="E3043" s="9" t="s">
        <v>22</v>
      </c>
      <c r="I3043" s="12" t="str">
        <f>IFERROR(__xludf.DUMMYFUNCTION("""COMPUTED_VALUE"""),"0x100f7130a389ecda962a3a4b9fc664c198d9da3e")</f>
        <v>0x100f7130a389ecda962a3a4b9fc664c198d9da3e</v>
      </c>
      <c r="J3043" s="11">
        <v>1.4386201355326624</v>
      </c>
      <c r="K3043" s="12">
        <v>3.1969336345170274</v>
      </c>
      <c r="L3043" s="13">
        <v>3.1969336345170273E18</v>
      </c>
      <c r="M3043" s="9">
        <v>3.1969336345170272E17</v>
      </c>
    </row>
    <row r="3044" ht="15.75" customHeight="1">
      <c r="A3044" s="8"/>
      <c r="B3044" s="8"/>
      <c r="C3044" s="8"/>
      <c r="D3044" s="8">
        <v>63.217307546936</v>
      </c>
      <c r="E3044" s="9" t="s">
        <v>23</v>
      </c>
      <c r="I3044" s="12" t="str">
        <f>IFERROR(__xludf.DUMMYFUNCTION("""COMPUTED_VALUE"""),"0x101545002622cb511897cd7f919763d6427f7912")</f>
        <v>0x101545002622cb511897cd7f919763d6427f7912</v>
      </c>
      <c r="J3044" s="11">
        <v>63.217307546936</v>
      </c>
      <c r="K3044" s="12">
        <v>140.48290565985778</v>
      </c>
      <c r="L3044" s="13">
        <v>1.4048290565985778E20</v>
      </c>
      <c r="M3044" s="9">
        <v>1.404829056598578E19</v>
      </c>
    </row>
    <row r="3045" ht="15.75" customHeight="1">
      <c r="A3045" s="8"/>
      <c r="B3045" s="8"/>
      <c r="C3045" s="8"/>
      <c r="D3045" s="8">
        <v>25.021014975608</v>
      </c>
      <c r="E3045" s="9" t="s">
        <v>26</v>
      </c>
      <c r="I3045" s="12" t="str">
        <f>IFERROR(__xludf.DUMMYFUNCTION("""COMPUTED_VALUE"""),"0x1164de97504eb00452bb91cbd28921ffb4a83561")</f>
        <v>0x1164de97504eb00452bb91cbd28921ffb4a83561</v>
      </c>
      <c r="J3045" s="11">
        <v>63.217307546936</v>
      </c>
      <c r="K3045" s="12">
        <v>140.48290565985778</v>
      </c>
      <c r="L3045" s="13">
        <v>1.4048290565985778E20</v>
      </c>
      <c r="M3045" s="9">
        <v>1.404829056598578E19</v>
      </c>
    </row>
    <row r="3046" ht="15.75" customHeight="1">
      <c r="A3046" s="8"/>
      <c r="B3046" s="8"/>
      <c r="C3046" s="8"/>
      <c r="D3046" s="8">
        <v>63.217307546936</v>
      </c>
      <c r="E3046" s="9" t="s">
        <v>3045</v>
      </c>
      <c r="I3046" s="12" t="str">
        <f>IFERROR(__xludf.DUMMYFUNCTION("""COMPUTED_VALUE"""),"0x129ab48dfc044035835035f664e3162ab9b29a14")</f>
        <v>0x129ab48dfc044035835035f664e3162ab9b29a14</v>
      </c>
      <c r="J3046" s="11">
        <v>65.20201369148194</v>
      </c>
      <c r="K3046" s="12">
        <v>144.89336375884875</v>
      </c>
      <c r="L3046" s="13">
        <v>1.4489336375884875E20</v>
      </c>
      <c r="M3046" s="9">
        <v>1.4489336375884876E19</v>
      </c>
    </row>
    <row r="3047" ht="15.75" customHeight="1">
      <c r="A3047" s="8"/>
      <c r="B3047" s="8"/>
      <c r="C3047" s="8"/>
      <c r="D3047" s="8">
        <v>63.217307546936</v>
      </c>
      <c r="E3047" s="9" t="s">
        <v>31</v>
      </c>
      <c r="I3047" s="12" t="str">
        <f>IFERROR(__xludf.DUMMYFUNCTION("""COMPUTED_VALUE"""),"0x13889f184902a81d25a092ccb9318da14481e379")</f>
        <v>0x13889f184902a81d25a092ccb9318da14481e379</v>
      </c>
      <c r="J3047" s="11">
        <v>153.7252994403815</v>
      </c>
      <c r="K3047" s="12">
        <v>341.6117765341811</v>
      </c>
      <c r="L3047" s="13">
        <v>3.416117765341811E20</v>
      </c>
      <c r="M3047" s="9">
        <v>3.4161177653418115E19</v>
      </c>
    </row>
    <row r="3048" ht="15.75" customHeight="1">
      <c r="A3048" s="8"/>
      <c r="B3048" s="8"/>
      <c r="C3048" s="8"/>
      <c r="D3048" s="8">
        <v>61.1808234549554</v>
      </c>
      <c r="E3048" s="9" t="s">
        <v>32</v>
      </c>
      <c r="I3048" s="12" t="str">
        <f>IFERROR(__xludf.DUMMYFUNCTION("""COMPUTED_VALUE"""),"0x13a677a1320929eb5b6de09abbfe8fa07a7574ba")</f>
        <v>0x13a677a1320929eb5b6de09abbfe8fa07a7574ba</v>
      </c>
      <c r="J3048" s="11">
        <v>63.217307546936</v>
      </c>
      <c r="K3048" s="12">
        <v>140.48290565985778</v>
      </c>
      <c r="L3048" s="13">
        <v>1.4048290565985778E20</v>
      </c>
      <c r="M3048" s="9">
        <v>1.404829056598578E19</v>
      </c>
    </row>
    <row r="3049" ht="15.75" customHeight="1">
      <c r="A3049" s="8"/>
      <c r="B3049" s="8"/>
      <c r="C3049" s="8"/>
      <c r="D3049" s="8">
        <v>63.217307546936</v>
      </c>
      <c r="E3049" s="9" t="s">
        <v>33</v>
      </c>
      <c r="I3049" s="12" t="str">
        <f>IFERROR(__xludf.DUMMYFUNCTION("""COMPUTED_VALUE"""),"0x150e90bc93e1527b6d45df5b802d83d575b76126")</f>
        <v>0x150e90bc93e1527b6d45df5b802d83d575b76126</v>
      </c>
      <c r="J3049" s="11">
        <v>63.217307546936</v>
      </c>
      <c r="K3049" s="12">
        <v>140.48290565985778</v>
      </c>
      <c r="L3049" s="13">
        <v>1.4048290565985778E20</v>
      </c>
      <c r="M3049" s="9">
        <v>1.404829056598578E19</v>
      </c>
    </row>
    <row r="3050" ht="15.75" customHeight="1">
      <c r="A3050" s="8"/>
      <c r="B3050" s="8"/>
      <c r="C3050" s="8"/>
      <c r="D3050" s="8">
        <v>25.2869230187744</v>
      </c>
      <c r="E3050" s="9" t="s">
        <v>3046</v>
      </c>
      <c r="I3050" s="12" t="str">
        <f>IFERROR(__xludf.DUMMYFUNCTION("""COMPUTED_VALUE"""),"0x153e3ae57d91435c5ed499f751d68f16304ed992")</f>
        <v>0x153e3ae57d91435c5ed499f751d68f16304ed992</v>
      </c>
      <c r="J3050" s="11">
        <v>63.217307546936</v>
      </c>
      <c r="K3050" s="12">
        <v>140.48290565985778</v>
      </c>
      <c r="L3050" s="13">
        <v>1.4048290565985778E20</v>
      </c>
      <c r="M3050" s="9">
        <v>1.404829056598578E19</v>
      </c>
    </row>
    <row r="3051" ht="15.75" customHeight="1">
      <c r="A3051" s="8"/>
      <c r="B3051" s="8"/>
      <c r="C3051" s="8"/>
      <c r="D3051" s="8">
        <v>61.611759558085</v>
      </c>
      <c r="E3051" s="9" t="s">
        <v>34</v>
      </c>
      <c r="I3051" s="12" t="str">
        <f>IFERROR(__xludf.DUMMYFUNCTION("""COMPUTED_VALUE"""),"0x159274dd63ece3005f52b1308dffd968814a044e")</f>
        <v>0x159274dd63ece3005f52b1308dffd968814a044e</v>
      </c>
      <c r="J3051" s="11">
        <v>44.8547346814521</v>
      </c>
      <c r="K3051" s="12">
        <v>99.67718818100467</v>
      </c>
      <c r="L3051" s="13">
        <v>9.967718818100466E19</v>
      </c>
      <c r="M3051" s="9">
        <v>9.967718818100468E18</v>
      </c>
    </row>
    <row r="3052" ht="15.75" customHeight="1">
      <c r="A3052" s="8"/>
      <c r="B3052" s="8"/>
      <c r="C3052" s="8"/>
      <c r="D3052" s="8">
        <v>9.35616151694653</v>
      </c>
      <c r="E3052" s="9" t="s">
        <v>36</v>
      </c>
      <c r="I3052" s="12" t="str">
        <f>IFERROR(__xludf.DUMMYFUNCTION("""COMPUTED_VALUE"""),"0x15d61b5e4c87c86860b724a52d9b58150e5687c0")</f>
        <v>0x15d61b5e4c87c86860b724a52d9b58150e5687c0</v>
      </c>
      <c r="J3052" s="11">
        <v>63.217307546936</v>
      </c>
      <c r="K3052" s="12">
        <v>140.48290565985778</v>
      </c>
      <c r="L3052" s="13">
        <v>1.4048290565985778E20</v>
      </c>
      <c r="M3052" s="9">
        <v>1.404829056598578E19</v>
      </c>
    </row>
    <row r="3053" ht="15.75" customHeight="1">
      <c r="A3053" s="8"/>
      <c r="B3053" s="8"/>
      <c r="C3053" s="8"/>
      <c r="D3053" s="8">
        <v>63.217307546936</v>
      </c>
      <c r="E3053" s="9" t="s">
        <v>37</v>
      </c>
      <c r="I3053" s="12" t="str">
        <f>IFERROR(__xludf.DUMMYFUNCTION("""COMPUTED_VALUE"""),"0x18e0f8930d743d1f45904f420cf8a23f73e4f4b7")</f>
        <v>0x18e0f8930d743d1f45904f420cf8a23f73e4f4b7</v>
      </c>
      <c r="J3053" s="11">
        <v>63.217307546936</v>
      </c>
      <c r="K3053" s="12">
        <v>140.48290565985778</v>
      </c>
      <c r="L3053" s="13">
        <v>1.4048290565985778E20</v>
      </c>
      <c r="M3053" s="9">
        <v>1.404829056598578E19</v>
      </c>
    </row>
    <row r="3054" ht="15.75" customHeight="1">
      <c r="A3054" s="8"/>
      <c r="B3054" s="8"/>
      <c r="C3054" s="8"/>
      <c r="D3054" s="8">
        <v>6.63786846279283</v>
      </c>
      <c r="E3054" s="9" t="s">
        <v>38</v>
      </c>
      <c r="I3054" s="12" t="str">
        <f>IFERROR(__xludf.DUMMYFUNCTION("""COMPUTED_VALUE"""),"0x1a4279213fd4b01d98fc373beb2bfbb0cb9f95c8")</f>
        <v>0x1a4279213fd4b01d98fc373beb2bfbb0cb9f95c8</v>
      </c>
      <c r="J3054" s="11">
        <v>63.217307546936</v>
      </c>
      <c r="K3054" s="12">
        <v>140.48290565985778</v>
      </c>
      <c r="L3054" s="13">
        <v>1.4048290565985778E20</v>
      </c>
      <c r="M3054" s="9">
        <v>1.404829056598578E19</v>
      </c>
    </row>
    <row r="3055" ht="15.75" customHeight="1">
      <c r="A3055" s="8"/>
      <c r="B3055" s="8"/>
      <c r="C3055" s="8"/>
      <c r="D3055" s="8">
        <v>63.217307546936</v>
      </c>
      <c r="E3055" s="9" t="s">
        <v>45</v>
      </c>
      <c r="I3055" s="12" t="str">
        <f>IFERROR(__xludf.DUMMYFUNCTION("""COMPUTED_VALUE"""),"0x1a6bde6c59f2e0168b3ac92fbc6b6da760d1522b")</f>
        <v>0x1a6bde6c59f2e0168b3ac92fbc6b6da760d1522b</v>
      </c>
      <c r="J3055" s="11">
        <v>62.129057542793106</v>
      </c>
      <c r="K3055" s="12">
        <v>138.064572317318</v>
      </c>
      <c r="L3055" s="13">
        <v>1.38064572317318E20</v>
      </c>
      <c r="M3055" s="9">
        <v>1.3806457231731802E19</v>
      </c>
    </row>
    <row r="3056" ht="15.75" customHeight="1">
      <c r="A3056" s="8"/>
      <c r="B3056" s="8"/>
      <c r="C3056" s="8"/>
      <c r="D3056" s="8">
        <v>17.717276290362</v>
      </c>
      <c r="E3056" s="9" t="s">
        <v>46</v>
      </c>
      <c r="I3056" s="12" t="str">
        <f>IFERROR(__xludf.DUMMYFUNCTION("""COMPUTED_VALUE"""),"0x1a90f872f26c92a1626d1f9786677e5099c36509")</f>
        <v>0x1a90f872f26c92a1626d1f9786677e5099c36509</v>
      </c>
      <c r="J3056" s="11">
        <v>58.3233312493909</v>
      </c>
      <c r="K3056" s="12">
        <v>129.6074027764242</v>
      </c>
      <c r="L3056" s="13">
        <v>1.296074027764242E20</v>
      </c>
      <c r="M3056" s="9">
        <v>1.296074027764242E19</v>
      </c>
    </row>
    <row r="3057" ht="15.75" customHeight="1">
      <c r="A3057" s="8"/>
      <c r="B3057" s="8"/>
      <c r="C3057" s="8"/>
      <c r="D3057" s="8">
        <v>63.217307546936</v>
      </c>
      <c r="E3057" s="9" t="s">
        <v>49</v>
      </c>
      <c r="I3057" s="12" t="str">
        <f>IFERROR(__xludf.DUMMYFUNCTION("""COMPUTED_VALUE"""),"0x1b6cbbc05cf6e5cac0fb4a9c67aca8931bccb84b")</f>
        <v>0x1b6cbbc05cf6e5cac0fb4a9c67aca8931bccb84b</v>
      </c>
      <c r="J3057" s="11">
        <v>49.4088058730919</v>
      </c>
      <c r="K3057" s="12">
        <v>109.79734638464866</v>
      </c>
      <c r="L3057" s="13">
        <v>1.0979734638464867E20</v>
      </c>
      <c r="M3057" s="9">
        <v>1.0979734638464866E19</v>
      </c>
    </row>
    <row r="3058" ht="15.75" customHeight="1">
      <c r="A3058" s="8"/>
      <c r="B3058" s="8"/>
      <c r="C3058" s="8"/>
      <c r="D3058" s="8">
        <v>63.217307546936</v>
      </c>
      <c r="E3058" s="9" t="s">
        <v>50</v>
      </c>
      <c r="I3058" s="12" t="str">
        <f>IFERROR(__xludf.DUMMYFUNCTION("""COMPUTED_VALUE"""),"0x20020fbb125c827f98a88344ada385c5708141f5")</f>
        <v>0x20020fbb125c827f98a88344ada385c5708141f5</v>
      </c>
      <c r="J3058" s="11">
        <v>14.6838122952213</v>
      </c>
      <c r="K3058" s="12">
        <v>32.63069398938067</v>
      </c>
      <c r="L3058" s="13">
        <v>3.2630693989380665E19</v>
      </c>
      <c r="M3058" s="9">
        <v>3.2630693989380669E18</v>
      </c>
    </row>
    <row r="3059" ht="15.75" customHeight="1">
      <c r="A3059" s="8"/>
      <c r="B3059" s="8"/>
      <c r="C3059" s="8"/>
      <c r="D3059" s="8">
        <v>63.217307546936</v>
      </c>
      <c r="E3059" s="9" t="s">
        <v>52</v>
      </c>
      <c r="I3059" s="12" t="str">
        <f>IFERROR(__xludf.DUMMYFUNCTION("""COMPUTED_VALUE"""),"0x21ef6e5fa74c6f2188dc50bb603b361211ebd895")</f>
        <v>0x21ef6e5fa74c6f2188dc50bb603b361211ebd895</v>
      </c>
      <c r="J3059" s="11">
        <v>63.217307546936</v>
      </c>
      <c r="K3059" s="12">
        <v>140.48290565985778</v>
      </c>
      <c r="L3059" s="13">
        <v>1.4048290565985778E20</v>
      </c>
      <c r="M3059" s="9">
        <v>1.404829056598578E19</v>
      </c>
    </row>
    <row r="3060" ht="15.75" customHeight="1">
      <c r="A3060" s="8"/>
      <c r="B3060" s="8"/>
      <c r="C3060" s="8"/>
      <c r="D3060" s="8">
        <v>57.2543197223275</v>
      </c>
      <c r="E3060" s="9" t="s">
        <v>54</v>
      </c>
      <c r="I3060" s="12" t="str">
        <f>IFERROR(__xludf.DUMMYFUNCTION("""COMPUTED_VALUE"""),"0x266d8e3b85dd66758854e4e2ae27c4a161236828")</f>
        <v>0x266d8e3b85dd66758854e4e2ae27c4a161236828</v>
      </c>
      <c r="J3060" s="11">
        <v>55.0735665512194</v>
      </c>
      <c r="K3060" s="12">
        <v>122.38570344715421</v>
      </c>
      <c r="L3060" s="13">
        <v>1.2238570344715421E20</v>
      </c>
      <c r="M3060" s="9">
        <v>1.2238570344715422E19</v>
      </c>
    </row>
    <row r="3061" ht="15.75" customHeight="1">
      <c r="A3061" s="8"/>
      <c r="B3061" s="8"/>
      <c r="C3061" s="8"/>
      <c r="D3061" s="8">
        <v>63.217307546936</v>
      </c>
      <c r="E3061" s="9" t="s">
        <v>57</v>
      </c>
      <c r="I3061" s="12" t="str">
        <f>IFERROR(__xludf.DUMMYFUNCTION("""COMPUTED_VALUE"""),"0x28bf8ca86032b2fbddbb20be5eb0485885ca0349")</f>
        <v>0x28bf8ca86032b2fbddbb20be5eb0485885ca0349</v>
      </c>
      <c r="J3061" s="11">
        <v>65.16309788472614</v>
      </c>
      <c r="K3061" s="12">
        <v>144.80688418828032</v>
      </c>
      <c r="L3061" s="13">
        <v>1.4480688418828032E20</v>
      </c>
      <c r="M3061" s="9">
        <v>1.4480688418828034E19</v>
      </c>
    </row>
    <row r="3062" ht="15.75" customHeight="1">
      <c r="A3062" s="8"/>
      <c r="B3062" s="8"/>
      <c r="C3062" s="8"/>
      <c r="D3062" s="8">
        <v>47.4936889645761</v>
      </c>
      <c r="E3062" s="9" t="s">
        <v>61</v>
      </c>
      <c r="I3062" s="12" t="str">
        <f>IFERROR(__xludf.DUMMYFUNCTION("""COMPUTED_VALUE"""),"0x2a3810a128406e3b411205233988dd30fee90ef3")</f>
        <v>0x2a3810a128406e3b411205233988dd30fee90ef3</v>
      </c>
      <c r="J3062" s="11">
        <v>24.3985221737938</v>
      </c>
      <c r="K3062" s="12">
        <v>54.21893816398622</v>
      </c>
      <c r="L3062" s="13">
        <v>5.421893816398623E19</v>
      </c>
      <c r="M3062" s="9">
        <v>5.4218938163986227E18</v>
      </c>
    </row>
    <row r="3063" ht="15.75" customHeight="1">
      <c r="A3063" s="8"/>
      <c r="B3063" s="8"/>
      <c r="C3063" s="8"/>
      <c r="D3063" s="8">
        <v>37.9303845281616</v>
      </c>
      <c r="E3063" s="9" t="s">
        <v>63</v>
      </c>
      <c r="I3063" s="12" t="str">
        <f>IFERROR(__xludf.DUMMYFUNCTION("""COMPUTED_VALUE"""),"0x2a72a3164d1a8947f2eaed02ae3a4b1868580d0b")</f>
        <v>0x2a72a3164d1a8947f2eaed02ae3a4b1868580d0b</v>
      </c>
      <c r="J3063" s="11">
        <v>27.0468411415523</v>
      </c>
      <c r="K3063" s="12">
        <v>60.104091425671776</v>
      </c>
      <c r="L3063" s="13">
        <v>6.0104091425671774E19</v>
      </c>
      <c r="M3063" s="9">
        <v>6.0104091425671782E18</v>
      </c>
    </row>
    <row r="3064" ht="15.75" customHeight="1">
      <c r="A3064" s="8"/>
      <c r="B3064" s="8"/>
      <c r="C3064" s="8"/>
      <c r="D3064" s="8">
        <v>63.217307546936</v>
      </c>
      <c r="E3064" s="9" t="s">
        <v>64</v>
      </c>
      <c r="I3064" s="12" t="str">
        <f>IFERROR(__xludf.DUMMYFUNCTION("""COMPUTED_VALUE"""),"0x2d8774e99e2ed6cbc1536c8fc463f02deee14334")</f>
        <v>0x2d8774e99e2ed6cbc1536c8fc463f02deee14334</v>
      </c>
      <c r="J3064" s="11">
        <v>19.3883407132044</v>
      </c>
      <c r="K3064" s="12">
        <v>43.08520158489866</v>
      </c>
      <c r="L3064" s="13">
        <v>4.308520158489866E19</v>
      </c>
      <c r="M3064" s="9">
        <v>4.3085201584898662E18</v>
      </c>
    </row>
    <row r="3065" ht="15.75" customHeight="1">
      <c r="A3065" s="8"/>
      <c r="B3065" s="8"/>
      <c r="C3065" s="8"/>
      <c r="D3065" s="8">
        <v>59.6771383243076</v>
      </c>
      <c r="E3065" s="9" t="s">
        <v>65</v>
      </c>
      <c r="I3065" s="12" t="str">
        <f>IFERROR(__xludf.DUMMYFUNCTION("""COMPUTED_VALUE"""),"0x2da8a8957b0c59646f553328d57d851de26d0b50")</f>
        <v>0x2da8a8957b0c59646f553328d57d851de26d0b50</v>
      </c>
      <c r="J3065" s="11">
        <v>7.06723839914776</v>
      </c>
      <c r="K3065" s="12">
        <v>15.704974220328355</v>
      </c>
      <c r="L3065" s="13">
        <v>1.5704974220328354E19</v>
      </c>
      <c r="M3065" s="9">
        <v>1.57049742203283558E18</v>
      </c>
    </row>
    <row r="3066" ht="15.75" customHeight="1">
      <c r="A3066" s="8"/>
      <c r="B3066" s="8"/>
      <c r="C3066" s="8"/>
      <c r="D3066" s="8">
        <v>14.6874233689275</v>
      </c>
      <c r="E3066" s="9" t="s">
        <v>66</v>
      </c>
      <c r="I3066" s="12" t="str">
        <f>IFERROR(__xludf.DUMMYFUNCTION("""COMPUTED_VALUE"""),"0x3049cfdadc637212740b7061b2169e6e0311422e")</f>
        <v>0x3049cfdadc637212740b7061b2169e6e0311422e</v>
      </c>
      <c r="J3066" s="11">
        <v>63.217307546936</v>
      </c>
      <c r="K3066" s="12">
        <v>140.48290565985778</v>
      </c>
      <c r="L3066" s="13">
        <v>1.4048290565985778E20</v>
      </c>
      <c r="M3066" s="9">
        <v>1.404829056598578E19</v>
      </c>
    </row>
    <row r="3067" ht="15.75" customHeight="1">
      <c r="A3067" s="8"/>
      <c r="B3067" s="8"/>
      <c r="C3067" s="8"/>
      <c r="D3067" s="8">
        <v>13.224811974839</v>
      </c>
      <c r="E3067" s="9" t="s">
        <v>67</v>
      </c>
      <c r="I3067" s="12" t="str">
        <f>IFERROR(__xludf.DUMMYFUNCTION("""COMPUTED_VALUE"""),"0x31110fadb4401fad566606905c03d9daf3c87ce2")</f>
        <v>0x31110fadb4401fad566606905c03d9daf3c87ce2</v>
      </c>
      <c r="J3067" s="11">
        <v>54.6138353440358</v>
      </c>
      <c r="K3067" s="12">
        <v>121.36407854230177</v>
      </c>
      <c r="L3067" s="13">
        <v>1.2136407854230177E20</v>
      </c>
      <c r="M3067" s="9">
        <v>1.2136407854230178E19</v>
      </c>
    </row>
    <row r="3068" ht="15.75" customHeight="1">
      <c r="A3068" s="8"/>
      <c r="B3068" s="8"/>
      <c r="C3068" s="8"/>
      <c r="D3068" s="8">
        <v>63.217307546936</v>
      </c>
      <c r="E3068" s="9" t="s">
        <v>68</v>
      </c>
      <c r="I3068" s="12" t="str">
        <f>IFERROR(__xludf.DUMMYFUNCTION("""COMPUTED_VALUE"""),"0x3238934316238ebbda1ffb229ec9a37bf66c5564")</f>
        <v>0x3238934316238ebbda1ffb229ec9a37bf66c5564</v>
      </c>
      <c r="J3068" s="11">
        <v>63.217307546936</v>
      </c>
      <c r="K3068" s="12">
        <v>140.48290565985778</v>
      </c>
      <c r="L3068" s="13">
        <v>1.4048290565985778E20</v>
      </c>
      <c r="M3068" s="9">
        <v>1.404829056598578E19</v>
      </c>
    </row>
    <row r="3069" ht="15.75" customHeight="1">
      <c r="A3069" s="8"/>
      <c r="B3069" s="8"/>
      <c r="C3069" s="8"/>
      <c r="D3069" s="8">
        <v>17.9921486143033</v>
      </c>
      <c r="E3069" s="9" t="s">
        <v>74</v>
      </c>
      <c r="I3069" s="12" t="str">
        <f>IFERROR(__xludf.DUMMYFUNCTION("""COMPUTED_VALUE"""),"0x326874f22b688970e1e85568791ac4700917cc8a")</f>
        <v>0x326874f22b688970e1e85568791ac4700917cc8a</v>
      </c>
      <c r="J3069" s="11">
        <v>63.217307546936</v>
      </c>
      <c r="K3069" s="12">
        <v>140.48290565985778</v>
      </c>
      <c r="L3069" s="13">
        <v>1.4048290565985778E20</v>
      </c>
      <c r="M3069" s="9">
        <v>1.404829056598578E19</v>
      </c>
    </row>
    <row r="3070" ht="15.75" customHeight="1">
      <c r="A3070" s="8"/>
      <c r="B3070" s="8"/>
      <c r="C3070" s="8"/>
      <c r="D3070" s="8">
        <v>63.217307546936</v>
      </c>
      <c r="E3070" s="9" t="s">
        <v>75</v>
      </c>
      <c r="I3070" s="12" t="str">
        <f>IFERROR(__xludf.DUMMYFUNCTION("""COMPUTED_VALUE"""),"0x3513237adec5bdcfedea412649e56eb03ed2de9c")</f>
        <v>0x3513237adec5bdcfedea412649e56eb03ed2de9c</v>
      </c>
      <c r="J3070" s="11">
        <v>50.2869818248922</v>
      </c>
      <c r="K3070" s="12">
        <v>111.74884849976044</v>
      </c>
      <c r="L3070" s="13">
        <v>1.1174884849976045E20</v>
      </c>
      <c r="M3070" s="9">
        <v>1.1174884849976046E19</v>
      </c>
    </row>
    <row r="3071" ht="15.75" customHeight="1">
      <c r="A3071" s="8"/>
      <c r="B3071" s="8"/>
      <c r="C3071" s="8"/>
      <c r="D3071" s="8">
        <v>53.8611460299895</v>
      </c>
      <c r="E3071" s="9" t="s">
        <v>76</v>
      </c>
      <c r="I3071" s="12" t="str">
        <f>IFERROR(__xludf.DUMMYFUNCTION("""COMPUTED_VALUE"""),"0x3748a8a791118083b59938899313009e97b381c0")</f>
        <v>0x3748a8a791118083b59938899313009e97b381c0</v>
      </c>
      <c r="J3071" s="11">
        <v>11.5835452481536</v>
      </c>
      <c r="K3071" s="12">
        <v>25.741211662563554</v>
      </c>
      <c r="L3071" s="13">
        <v>2.5741211662563553E19</v>
      </c>
      <c r="M3071" s="9">
        <v>2.5741211662563553E18</v>
      </c>
    </row>
    <row r="3072" ht="15.75" customHeight="1">
      <c r="A3072" s="8"/>
      <c r="B3072" s="8"/>
      <c r="C3072" s="8"/>
      <c r="D3072" s="8">
        <v>63.217307546936</v>
      </c>
      <c r="E3072" s="9" t="s">
        <v>77</v>
      </c>
      <c r="I3072" s="12" t="str">
        <f>IFERROR(__xludf.DUMMYFUNCTION("""COMPUTED_VALUE"""),"0x38696762727fe113be58b6c4bfb55042a8b19276")</f>
        <v>0x38696762727fe113be58b6c4bfb55042a8b19276</v>
      </c>
      <c r="J3072" s="11">
        <v>63.217307546936</v>
      </c>
      <c r="K3072" s="12">
        <v>140.48290565985778</v>
      </c>
      <c r="L3072" s="13">
        <v>1.4048290565985778E20</v>
      </c>
      <c r="M3072" s="9">
        <v>1.404829056598578E19</v>
      </c>
    </row>
    <row r="3073" ht="15.75" customHeight="1">
      <c r="A3073" s="8"/>
      <c r="B3073" s="8"/>
      <c r="C3073" s="8"/>
      <c r="D3073" s="8">
        <v>63.217307546936</v>
      </c>
      <c r="E3073" s="9" t="s">
        <v>78</v>
      </c>
      <c r="I3073" s="12" t="str">
        <f>IFERROR(__xludf.DUMMYFUNCTION("""COMPUTED_VALUE"""),"0x387f4c7b46ca94bb0ab3349cdf06209ae6d542a5")</f>
        <v>0x387f4c7b46ca94bb0ab3349cdf06209ae6d542a5</v>
      </c>
      <c r="J3073" s="11">
        <v>63.217307546936</v>
      </c>
      <c r="K3073" s="12">
        <v>140.48290565985778</v>
      </c>
      <c r="L3073" s="13">
        <v>1.4048290565985778E20</v>
      </c>
      <c r="M3073" s="9">
        <v>1.404829056598578E19</v>
      </c>
    </row>
    <row r="3074" ht="15.75" customHeight="1">
      <c r="A3074" s="8"/>
      <c r="B3074" s="8"/>
      <c r="C3074" s="8"/>
      <c r="D3074" s="8">
        <v>63.217307546936</v>
      </c>
      <c r="E3074" s="9" t="s">
        <v>79</v>
      </c>
      <c r="I3074" s="12" t="str">
        <f>IFERROR(__xludf.DUMMYFUNCTION("""COMPUTED_VALUE"""),"0x3db54a760926ae8b0a9e3643ce270f896a254102")</f>
        <v>0x3db54a760926ae8b0a9e3643ce270f896a254102</v>
      </c>
      <c r="J3074" s="11">
        <v>63.217307546936</v>
      </c>
      <c r="K3074" s="12">
        <v>140.48290565985778</v>
      </c>
      <c r="L3074" s="13">
        <v>1.4048290565985778E20</v>
      </c>
      <c r="M3074" s="9">
        <v>1.404829056598578E19</v>
      </c>
    </row>
    <row r="3075" ht="15.75" customHeight="1">
      <c r="A3075" s="8"/>
      <c r="B3075" s="8"/>
      <c r="C3075" s="8"/>
      <c r="D3075" s="8">
        <v>63.1969971836761</v>
      </c>
      <c r="E3075" s="9" t="s">
        <v>82</v>
      </c>
      <c r="I3075" s="12" t="str">
        <f>IFERROR(__xludf.DUMMYFUNCTION("""COMPUTED_VALUE"""),"0x3dca991a6e817d3c5246e8ae75b9351b9c5e724e")</f>
        <v>0x3dca991a6e817d3c5246e8ae75b9351b9c5e724e</v>
      </c>
      <c r="J3075" s="11">
        <v>32.4664599938886</v>
      </c>
      <c r="K3075" s="12">
        <v>72.14768887530799</v>
      </c>
      <c r="L3075" s="13">
        <v>7.214768887530799E19</v>
      </c>
      <c r="M3075" s="9">
        <v>7.2147688875307991E18</v>
      </c>
    </row>
    <row r="3076" ht="15.75" customHeight="1">
      <c r="A3076" s="8"/>
      <c r="B3076" s="8"/>
      <c r="C3076" s="8"/>
      <c r="D3076" s="8">
        <v>63.217307546936</v>
      </c>
      <c r="E3076" s="9" t="s">
        <v>84</v>
      </c>
      <c r="I3076" s="12" t="str">
        <f>IFERROR(__xludf.DUMMYFUNCTION("""COMPUTED_VALUE"""),"0x409013faa477e7d6afb3a17673c8dd6b89c515ef")</f>
        <v>0x409013faa477e7d6afb3a17673c8dd6b89c515ef</v>
      </c>
      <c r="J3076" s="11">
        <v>63.217307546936</v>
      </c>
      <c r="K3076" s="12">
        <v>140.48290565985778</v>
      </c>
      <c r="L3076" s="13">
        <v>1.4048290565985778E20</v>
      </c>
      <c r="M3076" s="9">
        <v>1.404829056598578E19</v>
      </c>
    </row>
    <row r="3077" ht="15.75" customHeight="1">
      <c r="A3077" s="8"/>
      <c r="B3077" s="8"/>
      <c r="C3077" s="8"/>
      <c r="D3077" s="8">
        <v>63.217307546936</v>
      </c>
      <c r="E3077" s="9" t="s">
        <v>86</v>
      </c>
      <c r="I3077" s="12" t="str">
        <f>IFERROR(__xludf.DUMMYFUNCTION("""COMPUTED_VALUE"""),"0x41fab1cda25c5c15c5a0260537a6056ab62318cc")</f>
        <v>0x41fab1cda25c5c15c5a0260537a6056ab62318cc</v>
      </c>
      <c r="J3077" s="11">
        <v>63.217307546936</v>
      </c>
      <c r="K3077" s="12">
        <v>140.48290565985778</v>
      </c>
      <c r="L3077" s="13">
        <v>1.4048290565985778E20</v>
      </c>
      <c r="M3077" s="9">
        <v>1.404829056598578E19</v>
      </c>
    </row>
    <row r="3078" ht="15.75" customHeight="1">
      <c r="A3078" s="8"/>
      <c r="B3078" s="8"/>
      <c r="C3078" s="8"/>
      <c r="D3078" s="8">
        <v>63.217307546936</v>
      </c>
      <c r="E3078" s="9" t="s">
        <v>91</v>
      </c>
      <c r="I3078" s="12" t="str">
        <f>IFERROR(__xludf.DUMMYFUNCTION("""COMPUTED_VALUE"""),"0x44a37787078159a8959173d8eec372d32b8768fe")</f>
        <v>0x44a37787078159a8959173d8eec372d32b8768fe</v>
      </c>
      <c r="J3078" s="11">
        <v>41.8016503677089</v>
      </c>
      <c r="K3078" s="12">
        <v>92.89255637268644</v>
      </c>
      <c r="L3078" s="13">
        <v>9.289255637268644E19</v>
      </c>
      <c r="M3078" s="9">
        <v>9.289255637268644E18</v>
      </c>
    </row>
    <row r="3079" ht="15.75" customHeight="1">
      <c r="A3079" s="8"/>
      <c r="B3079" s="8"/>
      <c r="C3079" s="8"/>
      <c r="D3079" s="8">
        <v>45.2491788124943</v>
      </c>
      <c r="E3079" s="9" t="s">
        <v>92</v>
      </c>
      <c r="I3079" s="12" t="str">
        <f>IFERROR(__xludf.DUMMYFUNCTION("""COMPUTED_VALUE"""),"0x45beacbb0e144718e17deac4dd810a7501244c89")</f>
        <v>0x45beacbb0e144718e17deac4dd810a7501244c89</v>
      </c>
      <c r="J3079" s="11">
        <v>60.7538082334706</v>
      </c>
      <c r="K3079" s="12">
        <v>135.00846274104578</v>
      </c>
      <c r="L3079" s="13">
        <v>1.3500846274104577E20</v>
      </c>
      <c r="M3079" s="9">
        <v>1.3500846274104578E19</v>
      </c>
    </row>
    <row r="3080" ht="15.75" customHeight="1">
      <c r="A3080" s="8"/>
      <c r="B3080" s="8"/>
      <c r="C3080" s="8"/>
      <c r="D3080" s="8">
        <v>63.217307546936</v>
      </c>
      <c r="E3080" s="9" t="s">
        <v>94</v>
      </c>
      <c r="I3080" s="12" t="str">
        <f>IFERROR(__xludf.DUMMYFUNCTION("""COMPUTED_VALUE"""),"0x466c589f1f6b1da6890f6a5100afe522143f5d78")</f>
        <v>0x466c589f1f6b1da6890f6a5100afe522143f5d78</v>
      </c>
      <c r="J3080" s="11">
        <v>44.5816167451959</v>
      </c>
      <c r="K3080" s="12">
        <v>99.07025943376867</v>
      </c>
      <c r="L3080" s="13">
        <v>9.907025943376867E19</v>
      </c>
      <c r="M3080" s="9">
        <v>9.907025943376867E18</v>
      </c>
    </row>
    <row r="3081" ht="15.75" customHeight="1">
      <c r="A3081" s="8"/>
      <c r="B3081" s="8"/>
      <c r="C3081" s="8"/>
      <c r="D3081" s="8">
        <v>63.217307546936</v>
      </c>
      <c r="E3081" s="9" t="s">
        <v>96</v>
      </c>
      <c r="I3081" s="12" t="str">
        <f>IFERROR(__xludf.DUMMYFUNCTION("""COMPUTED_VALUE"""),"0x496d52346b668b775b4cbdbc4d5287a8171dcd27")</f>
        <v>0x496d52346b668b775b4cbdbc4d5287a8171dcd27</v>
      </c>
      <c r="J3081" s="11">
        <v>41.4899682451482</v>
      </c>
      <c r="K3081" s="12">
        <v>92.19992943366266</v>
      </c>
      <c r="L3081" s="13">
        <v>9.219992943366265E19</v>
      </c>
      <c r="M3081" s="9">
        <v>9.2199929433662659E18</v>
      </c>
    </row>
    <row r="3082" ht="15.75" customHeight="1">
      <c r="A3082" s="8"/>
      <c r="B3082" s="8"/>
      <c r="C3082" s="8"/>
      <c r="D3082" s="8">
        <v>63.217307546936</v>
      </c>
      <c r="E3082" s="9" t="s">
        <v>99</v>
      </c>
      <c r="I3082" s="12" t="str">
        <f>IFERROR(__xludf.DUMMYFUNCTION("""COMPUTED_VALUE"""),"0x4a7357a3078d1df774e2ffa4a933834dae3cc421")</f>
        <v>0x4a7357a3078d1df774e2ffa4a933834dae3cc421</v>
      </c>
      <c r="J3082" s="11">
        <v>63.217307546936</v>
      </c>
      <c r="K3082" s="12">
        <v>140.48290565985778</v>
      </c>
      <c r="L3082" s="13">
        <v>1.4048290565985778E20</v>
      </c>
      <c r="M3082" s="9">
        <v>1.404829056598578E19</v>
      </c>
    </row>
    <row r="3083" ht="15.75" customHeight="1">
      <c r="A3083" s="8"/>
      <c r="B3083" s="8"/>
      <c r="C3083" s="8"/>
      <c r="D3083" s="8">
        <v>63.217307546936</v>
      </c>
      <c r="E3083" s="9" t="s">
        <v>101</v>
      </c>
      <c r="I3083" s="12" t="str">
        <f>IFERROR(__xludf.DUMMYFUNCTION("""COMPUTED_VALUE"""),"0x4eedcab5d433f779e74ebf2e00835d8580762994")</f>
        <v>0x4eedcab5d433f779e74ebf2e00835d8580762994</v>
      </c>
      <c r="J3083" s="11">
        <v>65.16309788472614</v>
      </c>
      <c r="K3083" s="12">
        <v>144.80688418828032</v>
      </c>
      <c r="L3083" s="13">
        <v>1.4480688418828032E20</v>
      </c>
      <c r="M3083" s="9">
        <v>1.4480688418828034E19</v>
      </c>
    </row>
    <row r="3084" ht="15.75" customHeight="1">
      <c r="A3084" s="8"/>
      <c r="B3084" s="8"/>
      <c r="C3084" s="8"/>
      <c r="D3084" s="8">
        <v>63.217307546936</v>
      </c>
      <c r="E3084" s="9" t="s">
        <v>102</v>
      </c>
      <c r="I3084" s="12" t="str">
        <f>IFERROR(__xludf.DUMMYFUNCTION("""COMPUTED_VALUE"""),"0x4f95ad114fbddf8df0756017e9bc856e730b2796")</f>
        <v>0x4f95ad114fbddf8df0756017e9bc856e730b2796</v>
      </c>
      <c r="J3084" s="11">
        <v>63.217307546936</v>
      </c>
      <c r="K3084" s="12">
        <v>140.48290565985778</v>
      </c>
      <c r="L3084" s="13">
        <v>1.4048290565985778E20</v>
      </c>
      <c r="M3084" s="9">
        <v>1.404829056598578E19</v>
      </c>
    </row>
    <row r="3085" ht="15.75" customHeight="1">
      <c r="A3085" s="8"/>
      <c r="B3085" s="8"/>
      <c r="C3085" s="8"/>
      <c r="D3085" s="8">
        <v>63.217307546936</v>
      </c>
      <c r="E3085" s="9" t="s">
        <v>104</v>
      </c>
      <c r="I3085" s="12" t="str">
        <f>IFERROR(__xludf.DUMMYFUNCTION("""COMPUTED_VALUE"""),"0x5018fa2754e1309aafa81e9664e5f4f3066e0cc6")</f>
        <v>0x5018fa2754e1309aafa81e9664e5f4f3066e0cc6</v>
      </c>
      <c r="J3085" s="11">
        <v>34.5931290600367</v>
      </c>
      <c r="K3085" s="12">
        <v>76.87362013341489</v>
      </c>
      <c r="L3085" s="13">
        <v>7.68736201334149E19</v>
      </c>
      <c r="M3085" s="9">
        <v>7.6873620133414902E18</v>
      </c>
    </row>
    <row r="3086" ht="15.75" customHeight="1">
      <c r="A3086" s="8"/>
      <c r="B3086" s="8"/>
      <c r="C3086" s="8"/>
      <c r="D3086" s="8">
        <v>63.217307546936</v>
      </c>
      <c r="E3086" s="9" t="s">
        <v>106</v>
      </c>
      <c r="I3086" s="12" t="str">
        <f>IFERROR(__xludf.DUMMYFUNCTION("""COMPUTED_VALUE"""),"0x51bd618e74b4796585edb3d4ef17166077032a48")</f>
        <v>0x51bd618e74b4796585edb3d4ef17166077032a48</v>
      </c>
      <c r="J3086" s="11">
        <v>24.6453955817906</v>
      </c>
      <c r="K3086" s="12">
        <v>54.76754573731244</v>
      </c>
      <c r="L3086" s="13">
        <v>5.476754573731244E19</v>
      </c>
      <c r="M3086" s="9">
        <v>5.476754573731244E18</v>
      </c>
    </row>
    <row r="3087" ht="15.75" customHeight="1">
      <c r="A3087" s="8"/>
      <c r="B3087" s="8"/>
      <c r="C3087" s="8"/>
      <c r="D3087" s="8">
        <v>38.3207947086483</v>
      </c>
      <c r="E3087" s="9" t="s">
        <v>107</v>
      </c>
      <c r="I3087" s="12" t="str">
        <f>IFERROR(__xludf.DUMMYFUNCTION("""COMPUTED_VALUE"""),"0x56e92a7cafc83791089191b5136dc26168cb575a")</f>
        <v>0x56e92a7cafc83791089191b5136dc26168cb575a</v>
      </c>
      <c r="J3087" s="11">
        <v>61.9684036756591</v>
      </c>
      <c r="K3087" s="12">
        <v>137.7075637236869</v>
      </c>
      <c r="L3087" s="13">
        <v>1.3770756372368689E20</v>
      </c>
      <c r="M3087" s="9">
        <v>1.377075637236869E19</v>
      </c>
    </row>
    <row r="3088" ht="15.75" customHeight="1">
      <c r="A3088" s="8"/>
      <c r="B3088" s="8"/>
      <c r="C3088" s="8"/>
      <c r="D3088" s="8">
        <v>14.337946965599</v>
      </c>
      <c r="E3088" s="9" t="s">
        <v>111</v>
      </c>
      <c r="I3088" s="12" t="str">
        <f>IFERROR(__xludf.DUMMYFUNCTION("""COMPUTED_VALUE"""),"0x571018d6aad49a4dc7b7626c1c9928358e53d30d")</f>
        <v>0x571018d6aad49a4dc7b7626c1c9928358e53d30d</v>
      </c>
      <c r="J3088" s="11">
        <v>41.9247008016448</v>
      </c>
      <c r="K3088" s="12">
        <v>93.1660017814329</v>
      </c>
      <c r="L3088" s="13">
        <v>9.31660017814329E19</v>
      </c>
      <c r="M3088" s="9">
        <v>9.31660017814329E18</v>
      </c>
    </row>
    <row r="3089" ht="15.75" customHeight="1">
      <c r="A3089" s="8"/>
      <c r="B3089" s="8"/>
      <c r="C3089" s="8"/>
      <c r="D3089" s="8">
        <v>38.4361229885371</v>
      </c>
      <c r="E3089" s="9" t="s">
        <v>112</v>
      </c>
      <c r="I3089" s="12" t="str">
        <f>IFERROR(__xludf.DUMMYFUNCTION("""COMPUTED_VALUE"""),"0x5b738549f373e8362fcaf75f2d47fd350b3cd6f5")</f>
        <v>0x5b738549f373e8362fcaf75f2d47fd350b3cd6f5</v>
      </c>
      <c r="J3089" s="11">
        <v>60.1828767846831</v>
      </c>
      <c r="K3089" s="12">
        <v>133.73972618818468</v>
      </c>
      <c r="L3089" s="13">
        <v>1.3373972618818468E20</v>
      </c>
      <c r="M3089" s="9">
        <v>1.337397261881847E19</v>
      </c>
    </row>
    <row r="3090" ht="15.75" customHeight="1">
      <c r="A3090" s="8"/>
      <c r="B3090" s="8"/>
      <c r="C3090" s="8"/>
      <c r="D3090" s="8">
        <v>26.346528896274</v>
      </c>
      <c r="E3090" s="9" t="s">
        <v>115</v>
      </c>
      <c r="I3090" s="12" t="str">
        <f>IFERROR(__xludf.DUMMYFUNCTION("""COMPUTED_VALUE"""),"0x64db70e8cbb6f1cbb04154a378389f51b5c3682d")</f>
        <v>0x64db70e8cbb6f1cbb04154a378389f51b5c3682d</v>
      </c>
      <c r="J3090" s="11">
        <v>39.4589231850054</v>
      </c>
      <c r="K3090" s="12">
        <v>87.68649596667868</v>
      </c>
      <c r="L3090" s="13">
        <v>8.768649596667868E19</v>
      </c>
      <c r="M3090" s="9">
        <v>8.7686495966678682E18</v>
      </c>
    </row>
    <row r="3091" ht="15.75" customHeight="1">
      <c r="A3091" s="8"/>
      <c r="B3091" s="8"/>
      <c r="C3091" s="8"/>
      <c r="D3091" s="8">
        <v>63.217307546936</v>
      </c>
      <c r="E3091" s="9" t="s">
        <v>118</v>
      </c>
      <c r="I3091" s="12" t="str">
        <f>IFERROR(__xludf.DUMMYFUNCTION("""COMPUTED_VALUE"""),"0x6528f9006d5845e876576040f4319524c54c2ad8")</f>
        <v>0x6528f9006d5845e876576040f4319524c54c2ad8</v>
      </c>
      <c r="J3091" s="11">
        <v>63.217307546936</v>
      </c>
      <c r="K3091" s="12">
        <v>140.48290565985778</v>
      </c>
      <c r="L3091" s="13">
        <v>1.4048290565985778E20</v>
      </c>
      <c r="M3091" s="9">
        <v>1.404829056598578E19</v>
      </c>
    </row>
    <row r="3092" ht="15.75" customHeight="1">
      <c r="A3092" s="8"/>
      <c r="B3092" s="8"/>
      <c r="C3092" s="8"/>
      <c r="D3092" s="8">
        <v>63.217307546936</v>
      </c>
      <c r="E3092" s="9" t="s">
        <v>119</v>
      </c>
      <c r="I3092" s="12" t="str">
        <f>IFERROR(__xludf.DUMMYFUNCTION("""COMPUTED_VALUE"""),"0x6530d9a19e2c2e737b7ecc4facf51df979be344e")</f>
        <v>0x6530d9a19e2c2e737b7ecc4facf51df979be344e</v>
      </c>
      <c r="J3092" s="11">
        <v>55.2054071188006</v>
      </c>
      <c r="K3092" s="12">
        <v>122.67868248622355</v>
      </c>
      <c r="L3092" s="13">
        <v>1.2267868248622355E20</v>
      </c>
      <c r="M3092" s="9">
        <v>1.2267868248622356E19</v>
      </c>
    </row>
    <row r="3093" ht="15.75" customHeight="1">
      <c r="A3093" s="8"/>
      <c r="B3093" s="8"/>
      <c r="C3093" s="8"/>
      <c r="D3093" s="8">
        <v>63.217307546936</v>
      </c>
      <c r="E3093" s="9" t="s">
        <v>124</v>
      </c>
      <c r="I3093" s="12" t="str">
        <f>IFERROR(__xludf.DUMMYFUNCTION("""COMPUTED_VALUE"""),"0x65b68ee4d17f35b6e41b2f195d00bfffdcdafd14")</f>
        <v>0x65b68ee4d17f35b6e41b2f195d00bfffdcdafd14</v>
      </c>
      <c r="J3093" s="11">
        <v>60.6448345356266</v>
      </c>
      <c r="K3093" s="12">
        <v>134.76629896805912</v>
      </c>
      <c r="L3093" s="13">
        <v>1.3476629896805912E20</v>
      </c>
      <c r="M3093" s="9">
        <v>1.3476629896805913E19</v>
      </c>
    </row>
    <row r="3094" ht="15.75" customHeight="1">
      <c r="A3094" s="8"/>
      <c r="B3094" s="8"/>
      <c r="C3094" s="8"/>
      <c r="D3094" s="8">
        <v>63.217307546936</v>
      </c>
      <c r="E3094" s="9" t="s">
        <v>126</v>
      </c>
      <c r="I3094" s="12" t="str">
        <f>IFERROR(__xludf.DUMMYFUNCTION("""COMPUTED_VALUE"""),"0x6a66cdb6e5a5065473d216b9ff1b4225fc60bf86")</f>
        <v>0x6a66cdb6e5a5065473d216b9ff1b4225fc60bf86</v>
      </c>
      <c r="J3094" s="11">
        <v>38.9463639276686</v>
      </c>
      <c r="K3094" s="12">
        <v>86.5474753948191</v>
      </c>
      <c r="L3094" s="13">
        <v>8.65474753948191E19</v>
      </c>
      <c r="M3094" s="9">
        <v>8.6547475394819103E18</v>
      </c>
    </row>
    <row r="3095" ht="15.75" customHeight="1">
      <c r="A3095" s="8"/>
      <c r="B3095" s="8"/>
      <c r="C3095" s="8"/>
      <c r="D3095" s="8">
        <v>63.217307546936</v>
      </c>
      <c r="E3095" s="9" t="s">
        <v>127</v>
      </c>
      <c r="I3095" s="12" t="str">
        <f>IFERROR(__xludf.DUMMYFUNCTION("""COMPUTED_VALUE"""),"0x6de3e5e264a1b153bb59e04c354790354fa9bed4")</f>
        <v>0x6de3e5e264a1b153bb59e04c354790354fa9bed4</v>
      </c>
      <c r="J3095" s="11">
        <v>63.217307546936</v>
      </c>
      <c r="K3095" s="12">
        <v>140.48290565985778</v>
      </c>
      <c r="L3095" s="13">
        <v>1.4048290565985778E20</v>
      </c>
      <c r="M3095" s="9">
        <v>1.404829056598578E19</v>
      </c>
    </row>
    <row r="3096" ht="15.75" customHeight="1">
      <c r="A3096" s="8"/>
      <c r="B3096" s="8"/>
      <c r="C3096" s="8"/>
      <c r="D3096" s="8">
        <v>59.9585001969983</v>
      </c>
      <c r="E3096" s="9" t="s">
        <v>3047</v>
      </c>
      <c r="I3096" s="12" t="str">
        <f>IFERROR(__xludf.DUMMYFUNCTION("""COMPUTED_VALUE"""),"0x6e4dbd66cf712e6074225086ad822a1bfd15ffd1")</f>
        <v>0x6e4dbd66cf712e6074225086ad822a1bfd15ffd1</v>
      </c>
      <c r="J3096" s="11">
        <v>63.217307546936</v>
      </c>
      <c r="K3096" s="12">
        <v>140.48290565985778</v>
      </c>
      <c r="L3096" s="13">
        <v>1.4048290565985778E20</v>
      </c>
      <c r="M3096" s="9">
        <v>1.404829056598578E19</v>
      </c>
    </row>
    <row r="3097" ht="15.75" customHeight="1">
      <c r="A3097" s="8"/>
      <c r="B3097" s="8"/>
      <c r="C3097" s="8"/>
      <c r="D3097" s="8">
        <v>63.217307546936</v>
      </c>
      <c r="E3097" s="9" t="s">
        <v>128</v>
      </c>
      <c r="I3097" s="12" t="str">
        <f>IFERROR(__xludf.DUMMYFUNCTION("""COMPUTED_VALUE"""),"0x6effe0c4d84538ad61344cc5b8ecb0c3b0f93818")</f>
        <v>0x6effe0c4d84538ad61344cc5b8ecb0c3b0f93818</v>
      </c>
      <c r="J3097" s="11">
        <v>65.16309788472614</v>
      </c>
      <c r="K3097" s="12">
        <v>144.80688418828032</v>
      </c>
      <c r="L3097" s="13">
        <v>1.4480688418828032E20</v>
      </c>
      <c r="M3097" s="9">
        <v>1.4480688418828034E19</v>
      </c>
    </row>
    <row r="3098" ht="15.75" customHeight="1">
      <c r="A3098" s="8"/>
      <c r="B3098" s="8"/>
      <c r="C3098" s="8"/>
      <c r="D3098" s="8">
        <v>63.217307546936</v>
      </c>
      <c r="E3098" s="9" t="s">
        <v>129</v>
      </c>
      <c r="I3098" s="12" t="str">
        <f>IFERROR(__xludf.DUMMYFUNCTION("""COMPUTED_VALUE"""),"0x6f644d1d3e5bec19a67021a604ab151cbcc824ff")</f>
        <v>0x6f644d1d3e5bec19a67021a604ab151cbcc824ff</v>
      </c>
      <c r="J3098" s="11">
        <v>38.88165032367446</v>
      </c>
      <c r="K3098" s="12">
        <v>86.40366738594324</v>
      </c>
      <c r="L3098" s="13">
        <v>8.640366738594324E19</v>
      </c>
      <c r="M3098" s="9">
        <v>8.6403667385943245E18</v>
      </c>
    </row>
    <row r="3099" ht="15.75" customHeight="1">
      <c r="A3099" s="8"/>
      <c r="B3099" s="8"/>
      <c r="C3099" s="8"/>
      <c r="D3099" s="8">
        <v>63.217307546936</v>
      </c>
      <c r="E3099" s="9" t="s">
        <v>134</v>
      </c>
      <c r="I3099" s="12" t="str">
        <f>IFERROR(__xludf.DUMMYFUNCTION("""COMPUTED_VALUE"""),"0x713b04eb5a9d585ec075ca65edc3d6d7c12be5bb")</f>
        <v>0x713b04eb5a9d585ec075ca65edc3d6d7c12be5bb</v>
      </c>
      <c r="J3099" s="11">
        <v>63.217307546936</v>
      </c>
      <c r="K3099" s="12">
        <v>140.48290565985778</v>
      </c>
      <c r="L3099" s="13">
        <v>1.4048290565985778E20</v>
      </c>
      <c r="M3099" s="9">
        <v>1.404829056598578E19</v>
      </c>
    </row>
    <row r="3100" ht="15.75" customHeight="1">
      <c r="A3100" s="8"/>
      <c r="B3100" s="8"/>
      <c r="C3100" s="8"/>
      <c r="D3100" s="8">
        <v>62.624353666237</v>
      </c>
      <c r="E3100" s="9" t="s">
        <v>135</v>
      </c>
      <c r="I3100" s="12" t="str">
        <f>IFERROR(__xludf.DUMMYFUNCTION("""COMPUTED_VALUE"""),"0x720a8166b20447d2e0f0f7a18bc7a2f78f23d1b1")</f>
        <v>0x720a8166b20447d2e0f0f7a18bc7a2f78f23d1b1</v>
      </c>
      <c r="J3100" s="11">
        <v>52.1745082646372</v>
      </c>
      <c r="K3100" s="12">
        <v>115.94335169919377</v>
      </c>
      <c r="L3100" s="13">
        <v>1.1594335169919377E20</v>
      </c>
      <c r="M3100" s="9">
        <v>1.1594335169919377E19</v>
      </c>
    </row>
    <row r="3101" ht="15.75" customHeight="1">
      <c r="A3101" s="8"/>
      <c r="B3101" s="8"/>
      <c r="C3101" s="8"/>
      <c r="D3101" s="8">
        <v>45.0675375119441</v>
      </c>
      <c r="E3101" s="9" t="s">
        <v>3048</v>
      </c>
      <c r="I3101" s="12" t="str">
        <f>IFERROR(__xludf.DUMMYFUNCTION("""COMPUTED_VALUE"""),"0x7247bf537d1fa872da5573c4cdaa6c8d34497b66")</f>
        <v>0x7247bf537d1fa872da5573c4cdaa6c8d34497b66</v>
      </c>
      <c r="J3101" s="11">
        <v>63.217307546936</v>
      </c>
      <c r="K3101" s="12">
        <v>140.48290565985778</v>
      </c>
      <c r="L3101" s="13">
        <v>1.4048290565985778E20</v>
      </c>
      <c r="M3101" s="9">
        <v>1.404829056598578E19</v>
      </c>
    </row>
    <row r="3102" ht="15.75" customHeight="1">
      <c r="A3102" s="8"/>
      <c r="B3102" s="8"/>
      <c r="C3102" s="8"/>
      <c r="D3102" s="8">
        <v>63.217307546936</v>
      </c>
      <c r="E3102" s="9" t="s">
        <v>138</v>
      </c>
      <c r="I3102" s="12" t="str">
        <f>IFERROR(__xludf.DUMMYFUNCTION("""COMPUTED_VALUE"""),"0x72be0aee75afeb770ae7565838fdda70222713a6")</f>
        <v>0x72be0aee75afeb770ae7565838fdda70222713a6</v>
      </c>
      <c r="J3102" s="11">
        <v>56.5249218279307</v>
      </c>
      <c r="K3102" s="12">
        <v>125.61093739540155</v>
      </c>
      <c r="L3102" s="13">
        <v>1.2561093739540156E20</v>
      </c>
      <c r="M3102" s="9">
        <v>1.2561093739540156E19</v>
      </c>
    </row>
    <row r="3103" ht="15.75" customHeight="1">
      <c r="A3103" s="8"/>
      <c r="B3103" s="8"/>
      <c r="C3103" s="8"/>
      <c r="D3103" s="8">
        <v>63.217307546936</v>
      </c>
      <c r="E3103" s="9" t="s">
        <v>140</v>
      </c>
      <c r="I3103" s="12" t="str">
        <f>IFERROR(__xludf.DUMMYFUNCTION("""COMPUTED_VALUE"""),"0x73fa8e9f1210d6729dc3405504ca6bd4a30c329f")</f>
        <v>0x73fa8e9f1210d6729dc3405504ca6bd4a30c329f</v>
      </c>
      <c r="J3103" s="11">
        <v>61.482134664424</v>
      </c>
      <c r="K3103" s="12">
        <v>136.6269659209422</v>
      </c>
      <c r="L3103" s="13">
        <v>1.3662696592094221E20</v>
      </c>
      <c r="M3103" s="9">
        <v>1.3662696592094222E19</v>
      </c>
    </row>
    <row r="3104" ht="15.75" customHeight="1">
      <c r="A3104" s="8"/>
      <c r="B3104" s="8"/>
      <c r="C3104" s="8"/>
      <c r="D3104" s="8">
        <v>40.4247689600741</v>
      </c>
      <c r="E3104" s="9" t="s">
        <v>141</v>
      </c>
      <c r="I3104" s="12" t="str">
        <f>IFERROR(__xludf.DUMMYFUNCTION("""COMPUTED_VALUE"""),"0x7685fa90367adef380238cd7d3e0cc4717123631")</f>
        <v>0x7685fa90367adef380238cd7d3e0cc4717123631</v>
      </c>
      <c r="J3104" s="11">
        <v>63.217307546936</v>
      </c>
      <c r="K3104" s="12">
        <v>140.48290565985778</v>
      </c>
      <c r="L3104" s="13">
        <v>1.4048290565985778E20</v>
      </c>
      <c r="M3104" s="9">
        <v>1.404829056598578E19</v>
      </c>
    </row>
    <row r="3105" ht="15.75" customHeight="1">
      <c r="A3105" s="8"/>
      <c r="B3105" s="8"/>
      <c r="C3105" s="8"/>
      <c r="D3105" s="8">
        <v>63.217307546936</v>
      </c>
      <c r="E3105" s="9" t="s">
        <v>142</v>
      </c>
      <c r="I3105" s="12" t="str">
        <f>IFERROR(__xludf.DUMMYFUNCTION("""COMPUTED_VALUE"""),"0x77120ebf853bda90e4bd0a90779824202cbaef7c")</f>
        <v>0x77120ebf853bda90e4bd0a90779824202cbaef7c</v>
      </c>
      <c r="J3105" s="11">
        <v>63.217307546936</v>
      </c>
      <c r="K3105" s="12">
        <v>140.48290565985778</v>
      </c>
      <c r="L3105" s="13">
        <v>1.4048290565985778E20</v>
      </c>
      <c r="M3105" s="9">
        <v>1.404829056598578E19</v>
      </c>
    </row>
    <row r="3106" ht="15.75" customHeight="1">
      <c r="A3106" s="8"/>
      <c r="B3106" s="8"/>
      <c r="C3106" s="8"/>
      <c r="D3106" s="8">
        <v>59.3569603643709</v>
      </c>
      <c r="E3106" s="9" t="s">
        <v>143</v>
      </c>
      <c r="I3106" s="12" t="str">
        <f>IFERROR(__xludf.DUMMYFUNCTION("""COMPUTED_VALUE"""),"0x790d39d2536ff1914f9b80bdfb1a694a7393f10a")</f>
        <v>0x790d39d2536ff1914f9b80bdfb1a694a7393f10a</v>
      </c>
      <c r="J3106" s="11">
        <v>21.9197766660531</v>
      </c>
      <c r="K3106" s="12">
        <v>48.71061481345133</v>
      </c>
      <c r="L3106" s="13">
        <v>4.871061481345133E19</v>
      </c>
      <c r="M3106" s="9">
        <v>4.8710614813451336E18</v>
      </c>
    </row>
    <row r="3107" ht="15.75" customHeight="1">
      <c r="A3107" s="8"/>
      <c r="B3107" s="8"/>
      <c r="C3107" s="8"/>
      <c r="D3107" s="8">
        <v>58.995861279317</v>
      </c>
      <c r="E3107" s="9" t="s">
        <v>147</v>
      </c>
      <c r="I3107" s="12" t="str">
        <f>IFERROR(__xludf.DUMMYFUNCTION("""COMPUTED_VALUE"""),"0x79ce80e90bd630b0d98e99a66ac74a951391b7b1")</f>
        <v>0x79ce80e90bd630b0d98e99a66ac74a951391b7b1</v>
      </c>
      <c r="J3107" s="11">
        <v>63.217307546936</v>
      </c>
      <c r="K3107" s="12">
        <v>140.48290565985778</v>
      </c>
      <c r="L3107" s="13">
        <v>1.4048290565985778E20</v>
      </c>
      <c r="M3107" s="9">
        <v>1.404829056598578E19</v>
      </c>
    </row>
    <row r="3108" ht="15.75" customHeight="1">
      <c r="A3108" s="8"/>
      <c r="B3108" s="8"/>
      <c r="C3108" s="8"/>
      <c r="D3108" s="8">
        <v>8.85157567447558</v>
      </c>
      <c r="E3108" s="9" t="s">
        <v>149</v>
      </c>
      <c r="I3108" s="12" t="str">
        <f>IFERROR(__xludf.DUMMYFUNCTION("""COMPUTED_VALUE"""),"0x79d3585c86b973bd082032527a8fb136f6ba33f3")</f>
        <v>0x79d3585c86b973bd082032527a8fb136f6ba33f3</v>
      </c>
      <c r="J3108" s="11">
        <v>47.6771911618449</v>
      </c>
      <c r="K3108" s="12">
        <v>105.94931369298867</v>
      </c>
      <c r="L3108" s="13">
        <v>1.0594931369298867E20</v>
      </c>
      <c r="M3108" s="9">
        <v>1.0594931369298868E19</v>
      </c>
    </row>
    <row r="3109" ht="15.75" customHeight="1">
      <c r="A3109" s="8"/>
      <c r="B3109" s="8"/>
      <c r="C3109" s="8"/>
      <c r="D3109" s="8">
        <v>63.217307546936</v>
      </c>
      <c r="E3109" s="9" t="s">
        <v>152</v>
      </c>
      <c r="I3109" s="12" t="str">
        <f>IFERROR(__xludf.DUMMYFUNCTION("""COMPUTED_VALUE"""),"0x7a3bebfb500c9ee6e0173cc74e3688b17a9da564")</f>
        <v>0x7a3bebfb500c9ee6e0173cc74e3688b17a9da564</v>
      </c>
      <c r="J3109" s="11">
        <v>63.217307546936</v>
      </c>
      <c r="K3109" s="12">
        <v>140.48290565985778</v>
      </c>
      <c r="L3109" s="13">
        <v>1.4048290565985778E20</v>
      </c>
      <c r="M3109" s="9">
        <v>1.404829056598578E19</v>
      </c>
    </row>
    <row r="3110" ht="15.75" customHeight="1">
      <c r="A3110" s="8"/>
      <c r="B3110" s="8"/>
      <c r="C3110" s="8"/>
      <c r="D3110" s="8">
        <v>63.217307546936</v>
      </c>
      <c r="E3110" s="9" t="s">
        <v>153</v>
      </c>
      <c r="I3110" s="12" t="str">
        <f>IFERROR(__xludf.DUMMYFUNCTION("""COMPUTED_VALUE"""),"0x7a49f5bff8cbdd72883f3107f9624dd2ad54e696")</f>
        <v>0x7a49f5bff8cbdd72883f3107f9624dd2ad54e696</v>
      </c>
      <c r="J3110" s="11">
        <v>63.217307546936</v>
      </c>
      <c r="K3110" s="12">
        <v>140.48290565985778</v>
      </c>
      <c r="L3110" s="13">
        <v>1.4048290565985778E20</v>
      </c>
      <c r="M3110" s="9">
        <v>1.404829056598578E19</v>
      </c>
    </row>
    <row r="3111" ht="15.75" customHeight="1">
      <c r="A3111" s="8"/>
      <c r="B3111" s="8"/>
      <c r="C3111" s="8"/>
      <c r="D3111" s="8">
        <v>63.217307546936</v>
      </c>
      <c r="E3111" s="9" t="s">
        <v>156</v>
      </c>
      <c r="I3111" s="12" t="str">
        <f>IFERROR(__xludf.DUMMYFUNCTION("""COMPUTED_VALUE"""),"0x7be2f9c131700bed1f1c51d412b5a503eb85b06c")</f>
        <v>0x7be2f9c131700bed1f1c51d412b5a503eb85b06c</v>
      </c>
      <c r="J3111" s="11">
        <v>63.217307546936</v>
      </c>
      <c r="K3111" s="12">
        <v>140.48290565985778</v>
      </c>
      <c r="L3111" s="13">
        <v>1.4048290565985778E20</v>
      </c>
      <c r="M3111" s="9">
        <v>1.404829056598578E19</v>
      </c>
    </row>
    <row r="3112" ht="15.75" customHeight="1">
      <c r="A3112" s="8"/>
      <c r="B3112" s="8"/>
      <c r="C3112" s="8"/>
      <c r="D3112" s="8">
        <v>63.217307546936</v>
      </c>
      <c r="E3112" s="9" t="s">
        <v>159</v>
      </c>
      <c r="I3112" s="12" t="str">
        <f>IFERROR(__xludf.DUMMYFUNCTION("""COMPUTED_VALUE"""),"0x7e11b9e012f8ed4c13f5b9daf8e0ae664852695e")</f>
        <v>0x7e11b9e012f8ed4c13f5b9daf8e0ae664852695e</v>
      </c>
      <c r="J3112" s="11">
        <v>63.217307546936</v>
      </c>
      <c r="K3112" s="12">
        <v>140.48290565985778</v>
      </c>
      <c r="L3112" s="13">
        <v>1.4048290565985778E20</v>
      </c>
      <c r="M3112" s="9">
        <v>1.404829056598578E19</v>
      </c>
    </row>
    <row r="3113" ht="15.75" customHeight="1">
      <c r="A3113" s="8"/>
      <c r="B3113" s="8"/>
      <c r="C3113" s="8"/>
      <c r="D3113" s="8">
        <v>9.78353243593304</v>
      </c>
      <c r="E3113" s="9" t="s">
        <v>3049</v>
      </c>
      <c r="I3113" s="12" t="str">
        <f>IFERROR(__xludf.DUMMYFUNCTION("""COMPUTED_VALUE"""),"0x7e246eb73f44a0f344acd699da2c9a9a15d2e1b4")</f>
        <v>0x7e246eb73f44a0f344acd699da2c9a9a15d2e1b4</v>
      </c>
      <c r="J3113" s="11">
        <v>48.0451655927096</v>
      </c>
      <c r="K3113" s="12">
        <v>106.76703465046577</v>
      </c>
      <c r="L3113" s="13">
        <v>1.0676703465046578E20</v>
      </c>
      <c r="M3113" s="9">
        <v>1.067670346504658E19</v>
      </c>
    </row>
    <row r="3114" ht="15.75" customHeight="1">
      <c r="A3114" s="8"/>
      <c r="B3114" s="8"/>
      <c r="C3114" s="8"/>
      <c r="D3114" s="8">
        <v>43.7324801682632</v>
      </c>
      <c r="E3114" s="9" t="s">
        <v>3050</v>
      </c>
      <c r="I3114" s="12" t="str">
        <f>IFERROR(__xludf.DUMMYFUNCTION("""COMPUTED_VALUE"""),"0x7ebabcbbb3c3afc3ec944783d6306b80bb5f87fb")</f>
        <v>0x7ebabcbbb3c3afc3ec944783d6306b80bb5f87fb</v>
      </c>
      <c r="J3114" s="11">
        <v>63.217307546936</v>
      </c>
      <c r="K3114" s="12">
        <v>140.48290565985778</v>
      </c>
      <c r="L3114" s="13">
        <v>1.4048290565985778E20</v>
      </c>
      <c r="M3114" s="9">
        <v>1.404829056598578E19</v>
      </c>
    </row>
    <row r="3115" ht="15.75" customHeight="1">
      <c r="A3115" s="8"/>
      <c r="B3115" s="8"/>
      <c r="C3115" s="8"/>
      <c r="D3115" s="8">
        <v>26.8960105314214</v>
      </c>
      <c r="E3115" s="9" t="s">
        <v>162</v>
      </c>
      <c r="I3115" s="12" t="str">
        <f>IFERROR(__xludf.DUMMYFUNCTION("""COMPUTED_VALUE"""),"0x80026fd66d0cd4ae23fdaab33926e5e94ecbc240")</f>
        <v>0x80026fd66d0cd4ae23fdaab33926e5e94ecbc240</v>
      </c>
      <c r="J3115" s="11">
        <v>67.10888822251628</v>
      </c>
      <c r="K3115" s="12">
        <v>149.13086271670286</v>
      </c>
      <c r="L3115" s="13">
        <v>1.4913086271670285E20</v>
      </c>
      <c r="M3115" s="9">
        <v>1.4913086271670286E19</v>
      </c>
    </row>
    <row r="3116" ht="15.75" customHeight="1">
      <c r="A3116" s="8"/>
      <c r="B3116" s="8"/>
      <c r="C3116" s="8"/>
      <c r="D3116" s="8">
        <v>63.217307546936</v>
      </c>
      <c r="E3116" s="9" t="s">
        <v>163</v>
      </c>
      <c r="I3116" s="12" t="str">
        <f>IFERROR(__xludf.DUMMYFUNCTION("""COMPUTED_VALUE"""),"0x814dcd4f54a8f2e5ec50fe4de860fb3274632572")</f>
        <v>0x814dcd4f54a8f2e5ec50fe4de860fb3274632572</v>
      </c>
      <c r="J3116" s="11">
        <v>63.217307546936</v>
      </c>
      <c r="K3116" s="12">
        <v>140.48290565985778</v>
      </c>
      <c r="L3116" s="13">
        <v>1.4048290565985778E20</v>
      </c>
      <c r="M3116" s="9">
        <v>1.404829056598578E19</v>
      </c>
    </row>
    <row r="3117" ht="15.75" customHeight="1">
      <c r="A3117" s="8"/>
      <c r="B3117" s="8"/>
      <c r="C3117" s="8"/>
      <c r="D3117" s="8">
        <v>63.217307546936</v>
      </c>
      <c r="E3117" s="9" t="s">
        <v>164</v>
      </c>
      <c r="I3117" s="12" t="str">
        <f>IFERROR(__xludf.DUMMYFUNCTION("""COMPUTED_VALUE"""),"0x822058d8daf99c46fea1ede53a1c5c99fdaabb33")</f>
        <v>0x822058d8daf99c46fea1ede53a1c5c99fdaabb33</v>
      </c>
      <c r="J3117" s="11">
        <v>4.57084070962921</v>
      </c>
      <c r="K3117" s="12">
        <v>10.157423799176023</v>
      </c>
      <c r="L3117" s="13">
        <v>1.0157423799176022E19</v>
      </c>
      <c r="M3117" s="9">
        <v>1.0157423799176023E18</v>
      </c>
    </row>
    <row r="3118" ht="15.75" customHeight="1">
      <c r="A3118" s="8"/>
      <c r="B3118" s="8"/>
      <c r="C3118" s="8"/>
      <c r="D3118" s="8">
        <v>63.217307546936</v>
      </c>
      <c r="E3118" s="9" t="s">
        <v>165</v>
      </c>
      <c r="I3118" s="12" t="str">
        <f>IFERROR(__xludf.DUMMYFUNCTION("""COMPUTED_VALUE"""),"0x82e597040c4c50997dff5c6576bc4f32e38d110a")</f>
        <v>0x82e597040c4c50997dff5c6576bc4f32e38d110a</v>
      </c>
      <c r="J3118" s="11">
        <v>65.16309788472614</v>
      </c>
      <c r="K3118" s="12">
        <v>144.80688418828032</v>
      </c>
      <c r="L3118" s="13">
        <v>1.4480688418828032E20</v>
      </c>
      <c r="M3118" s="9">
        <v>1.4480688418828034E19</v>
      </c>
    </row>
    <row r="3119" ht="15.75" customHeight="1">
      <c r="A3119" s="8"/>
      <c r="B3119" s="8"/>
      <c r="C3119" s="8"/>
      <c r="D3119" s="8">
        <v>63.217307546936</v>
      </c>
      <c r="E3119" s="9" t="s">
        <v>169</v>
      </c>
      <c r="I3119" s="12" t="str">
        <f>IFERROR(__xludf.DUMMYFUNCTION("""COMPUTED_VALUE"""),"0x86c9e84cfb42063f3c101be3087358edb77ee51d")</f>
        <v>0x86c9e84cfb42063f3c101be3087358edb77ee51d</v>
      </c>
      <c r="J3119" s="11">
        <v>53.0038782855749</v>
      </c>
      <c r="K3119" s="12">
        <v>117.78639619016644</v>
      </c>
      <c r="L3119" s="13">
        <v>1.1778639619016645E20</v>
      </c>
      <c r="M3119" s="9">
        <v>1.1778639619016647E19</v>
      </c>
    </row>
    <row r="3120" ht="15.75" customHeight="1">
      <c r="A3120" s="8"/>
      <c r="B3120" s="8"/>
      <c r="C3120" s="8"/>
      <c r="D3120" s="8">
        <v>63.217307546936</v>
      </c>
      <c r="E3120" s="9" t="s">
        <v>170</v>
      </c>
      <c r="I3120" s="12" t="str">
        <f>IFERROR(__xludf.DUMMYFUNCTION("""COMPUTED_VALUE"""),"0x88363cae13357492d3749badc35797ab195a019f")</f>
        <v>0x88363cae13357492d3749badc35797ab195a019f</v>
      </c>
      <c r="J3120" s="11">
        <v>62.1800041281654</v>
      </c>
      <c r="K3120" s="12">
        <v>138.17778695147865</v>
      </c>
      <c r="L3120" s="13">
        <v>1.3817778695147866E20</v>
      </c>
      <c r="M3120" s="9">
        <v>1.3817778695147866E19</v>
      </c>
    </row>
    <row r="3121" ht="15.75" customHeight="1">
      <c r="A3121" s="8"/>
      <c r="B3121" s="8"/>
      <c r="C3121" s="8"/>
      <c r="D3121" s="8">
        <v>47.7376883521773</v>
      </c>
      <c r="E3121" s="9" t="s">
        <v>172</v>
      </c>
      <c r="I3121" s="12" t="str">
        <f>IFERROR(__xludf.DUMMYFUNCTION("""COMPUTED_VALUE"""),"0x892955812b9eb88e7fe01c4b8748f103ec5389ff")</f>
        <v>0x892955812b9eb88e7fe01c4b8748f103ec5389ff</v>
      </c>
      <c r="J3121" s="11">
        <v>63.217307546936</v>
      </c>
      <c r="K3121" s="12">
        <v>140.48290565985778</v>
      </c>
      <c r="L3121" s="13">
        <v>1.4048290565985778E20</v>
      </c>
      <c r="M3121" s="9">
        <v>1.404829056598578E19</v>
      </c>
    </row>
    <row r="3122" ht="15.75" customHeight="1">
      <c r="A3122" s="8"/>
      <c r="B3122" s="8"/>
      <c r="C3122" s="8"/>
      <c r="D3122" s="8">
        <v>63.217307546936</v>
      </c>
      <c r="E3122" s="9" t="s">
        <v>173</v>
      </c>
      <c r="I3122" s="12" t="str">
        <f>IFERROR(__xludf.DUMMYFUNCTION("""COMPUTED_VALUE"""),"0x8ad144588f7b18c95f63769d849943f228228c8d")</f>
        <v>0x8ad144588f7b18c95f63769d849943f228228c8d</v>
      </c>
      <c r="J3122" s="11">
        <v>63.217307546936</v>
      </c>
      <c r="K3122" s="12">
        <v>140.48290565985778</v>
      </c>
      <c r="L3122" s="13">
        <v>1.4048290565985778E20</v>
      </c>
      <c r="M3122" s="9">
        <v>1.404829056598578E19</v>
      </c>
    </row>
    <row r="3123" ht="15.75" customHeight="1">
      <c r="A3123" s="8"/>
      <c r="B3123" s="8"/>
      <c r="C3123" s="8"/>
      <c r="D3123" s="8">
        <v>63.217307546936</v>
      </c>
      <c r="E3123" s="9" t="s">
        <v>176</v>
      </c>
      <c r="I3123" s="12" t="str">
        <f>IFERROR(__xludf.DUMMYFUNCTION("""COMPUTED_VALUE"""),"0x8cbe077015b0eeb29f89746e2dd43eb38faf070a")</f>
        <v>0x8cbe077015b0eeb29f89746e2dd43eb38faf070a</v>
      </c>
      <c r="J3123" s="11">
        <v>50.5738460375488</v>
      </c>
      <c r="K3123" s="12">
        <v>112.38632452788622</v>
      </c>
      <c r="L3123" s="13">
        <v>1.1238632452788622E20</v>
      </c>
      <c r="M3123" s="9">
        <v>1.1238632452788623E19</v>
      </c>
    </row>
    <row r="3124" ht="15.75" customHeight="1">
      <c r="A3124" s="8"/>
      <c r="B3124" s="8"/>
      <c r="C3124" s="8"/>
      <c r="D3124" s="8">
        <v>63.217307546936</v>
      </c>
      <c r="E3124" s="9" t="s">
        <v>177</v>
      </c>
      <c r="I3124" s="12" t="str">
        <f>IFERROR(__xludf.DUMMYFUNCTION("""COMPUTED_VALUE"""),"0x8d2c9a924d7dcc0a70da97e9606348774eb3e815")</f>
        <v>0x8d2c9a924d7dcc0a70da97e9606348774eb3e815</v>
      </c>
      <c r="J3124" s="11">
        <v>38.9837294498759</v>
      </c>
      <c r="K3124" s="12">
        <v>86.63050988861312</v>
      </c>
      <c r="L3124" s="13">
        <v>8.663050988861312E19</v>
      </c>
      <c r="M3124" s="9">
        <v>8.663050988861313E18</v>
      </c>
    </row>
    <row r="3125" ht="15.75" customHeight="1">
      <c r="A3125" s="8"/>
      <c r="B3125" s="8"/>
      <c r="C3125" s="8"/>
      <c r="D3125" s="8">
        <v>63.217307546936</v>
      </c>
      <c r="E3125" s="9" t="s">
        <v>182</v>
      </c>
      <c r="I3125" s="12" t="str">
        <f>IFERROR(__xludf.DUMMYFUNCTION("""COMPUTED_VALUE"""),"0x8dd7b41c2a54f4ae983b5240eff60977494e65ed")</f>
        <v>0x8dd7b41c2a54f4ae983b5240eff60977494e65ed</v>
      </c>
      <c r="J3125" s="11">
        <v>49.1285548107409</v>
      </c>
      <c r="K3125" s="12">
        <v>109.17456624609089</v>
      </c>
      <c r="L3125" s="13">
        <v>1.0917456624609088E20</v>
      </c>
      <c r="M3125" s="9">
        <v>1.091745662460909E19</v>
      </c>
    </row>
    <row r="3126" ht="15.75" customHeight="1">
      <c r="A3126" s="8"/>
      <c r="B3126" s="8"/>
      <c r="C3126" s="8"/>
      <c r="D3126" s="8">
        <v>35.4034362120093</v>
      </c>
      <c r="E3126" s="9" t="s">
        <v>3051</v>
      </c>
      <c r="I3126" s="12" t="str">
        <f>IFERROR(__xludf.DUMMYFUNCTION("""COMPUTED_VALUE"""),"0x8fc87c199203332c1cc43430b9fad2b1868e44d0")</f>
        <v>0x8fc87c199203332c1cc43430b9fad2b1868e44d0</v>
      </c>
      <c r="J3126" s="11">
        <v>27.0290092594155</v>
      </c>
      <c r="K3126" s="12">
        <v>60.06446502092333</v>
      </c>
      <c r="L3126" s="13">
        <v>6.006446502092333E19</v>
      </c>
      <c r="M3126" s="9">
        <v>6.0064465020923331E18</v>
      </c>
    </row>
    <row r="3127" ht="15.75" customHeight="1">
      <c r="A3127" s="8"/>
      <c r="B3127" s="8"/>
      <c r="C3127" s="8"/>
      <c r="D3127" s="8">
        <v>63.217307546936</v>
      </c>
      <c r="E3127" s="9" t="s">
        <v>184</v>
      </c>
      <c r="I3127" s="12" t="str">
        <f>IFERROR(__xludf.DUMMYFUNCTION("""COMPUTED_VALUE"""),"0x922175bc910a4d2a1a9a55938ec33bafccb00d40")</f>
        <v>0x922175bc910a4d2a1a9a55938ec33bafccb00d40</v>
      </c>
      <c r="J3127" s="11">
        <v>65.16309788472614</v>
      </c>
      <c r="K3127" s="12">
        <v>144.80688418828032</v>
      </c>
      <c r="L3127" s="13">
        <v>1.4480688418828032E20</v>
      </c>
      <c r="M3127" s="9">
        <v>1.4480688418828034E19</v>
      </c>
    </row>
    <row r="3128" ht="15.75" customHeight="1">
      <c r="A3128" s="8"/>
      <c r="B3128" s="8"/>
      <c r="C3128" s="8"/>
      <c r="D3128" s="8">
        <v>63.217307546936</v>
      </c>
      <c r="E3128" s="9" t="s">
        <v>187</v>
      </c>
      <c r="I3128" s="12" t="str">
        <f>IFERROR(__xludf.DUMMYFUNCTION("""COMPUTED_VALUE"""),"0x93ea05a4e96ab1992c494679fa3631235ec51aaf")</f>
        <v>0x93ea05a4e96ab1992c494679fa3631235ec51aaf</v>
      </c>
      <c r="J3128" s="11">
        <v>24.060229245743567</v>
      </c>
      <c r="K3128" s="12">
        <v>53.46717610165237</v>
      </c>
      <c r="L3128" s="13">
        <v>5.346717610165237E19</v>
      </c>
      <c r="M3128" s="9">
        <v>5.3467176101652378E18</v>
      </c>
    </row>
    <row r="3129" ht="15.75" customHeight="1">
      <c r="A3129" s="8"/>
      <c r="B3129" s="8"/>
      <c r="C3129" s="8"/>
      <c r="D3129" s="8">
        <v>63.217307546936</v>
      </c>
      <c r="E3129" s="9" t="s">
        <v>188</v>
      </c>
      <c r="I3129" s="12" t="str">
        <f>IFERROR(__xludf.DUMMYFUNCTION("""COMPUTED_VALUE"""),"0x949e613a4c65c820f62994acd5f863f16d00a743")</f>
        <v>0x949e613a4c65c820f62994acd5f863f16d00a743</v>
      </c>
      <c r="J3129" s="11">
        <v>63.217307546936</v>
      </c>
      <c r="K3129" s="12">
        <v>140.48290565985778</v>
      </c>
      <c r="L3129" s="13">
        <v>1.4048290565985778E20</v>
      </c>
      <c r="M3129" s="9">
        <v>1.404829056598578E19</v>
      </c>
    </row>
    <row r="3130" ht="15.75" customHeight="1">
      <c r="A3130" s="8"/>
      <c r="B3130" s="8"/>
      <c r="C3130" s="8"/>
      <c r="D3130" s="8">
        <v>59.5026701270269</v>
      </c>
      <c r="E3130" s="9" t="s">
        <v>189</v>
      </c>
      <c r="I3130" s="12" t="str">
        <f>IFERROR(__xludf.DUMMYFUNCTION("""COMPUTED_VALUE"""),"0x977bc167f889dcd7a6ece301c92a059de7b1772c")</f>
        <v>0x977bc167f889dcd7a6ece301c92a059de7b1772c</v>
      </c>
      <c r="J3130" s="11">
        <v>63.217307546936</v>
      </c>
      <c r="K3130" s="12">
        <v>140.48290565985778</v>
      </c>
      <c r="L3130" s="13">
        <v>1.4048290565985778E20</v>
      </c>
      <c r="M3130" s="9">
        <v>1.404829056598578E19</v>
      </c>
    </row>
    <row r="3131" ht="15.75" customHeight="1">
      <c r="A3131" s="8"/>
      <c r="B3131" s="8"/>
      <c r="C3131" s="8"/>
      <c r="D3131" s="8">
        <v>63.217307546936</v>
      </c>
      <c r="E3131" s="9" t="s">
        <v>190</v>
      </c>
      <c r="I3131" s="12" t="str">
        <f>IFERROR(__xludf.DUMMYFUNCTION("""COMPUTED_VALUE"""),"0x998a7851e153d5dea228ab1cc392ebfd6a508e56")</f>
        <v>0x998a7851e153d5dea228ab1cc392ebfd6a508e56</v>
      </c>
      <c r="J3131" s="11">
        <v>63.217307546936</v>
      </c>
      <c r="K3131" s="12">
        <v>140.48290565985778</v>
      </c>
      <c r="L3131" s="13">
        <v>1.4048290565985778E20</v>
      </c>
      <c r="M3131" s="9">
        <v>1.404829056598578E19</v>
      </c>
    </row>
    <row r="3132" ht="15.75" customHeight="1">
      <c r="A3132" s="8"/>
      <c r="B3132" s="8"/>
      <c r="C3132" s="8"/>
      <c r="D3132" s="8">
        <v>10.7848429122728</v>
      </c>
      <c r="E3132" s="9" t="s">
        <v>193</v>
      </c>
      <c r="I3132" s="12" t="str">
        <f>IFERROR(__xludf.DUMMYFUNCTION("""COMPUTED_VALUE"""),"0x9e7ee7d242c53ca8e36258e462333beb9649d1c6")</f>
        <v>0x9e7ee7d242c53ca8e36258e462333beb9649d1c6</v>
      </c>
      <c r="J3132" s="11">
        <v>63.217307546936</v>
      </c>
      <c r="K3132" s="12">
        <v>140.48290565985778</v>
      </c>
      <c r="L3132" s="13">
        <v>1.4048290565985778E20</v>
      </c>
      <c r="M3132" s="9">
        <v>1.404829056598578E19</v>
      </c>
    </row>
    <row r="3133" ht="15.75" customHeight="1">
      <c r="A3133" s="8"/>
      <c r="B3133" s="8"/>
      <c r="C3133" s="8"/>
      <c r="D3133" s="8">
        <v>63.217307546936</v>
      </c>
      <c r="E3133" s="9" t="s">
        <v>196</v>
      </c>
      <c r="I3133" s="12" t="str">
        <f>IFERROR(__xludf.DUMMYFUNCTION("""COMPUTED_VALUE"""),"0xa12a9a0d3b87b3eca5906472f9c929ba50ec506c")</f>
        <v>0xa12a9a0d3b87b3eca5906472f9c929ba50ec506c</v>
      </c>
      <c r="J3133" s="11">
        <v>51.956046197633</v>
      </c>
      <c r="K3133" s="12">
        <v>115.45788043918444</v>
      </c>
      <c r="L3133" s="13">
        <v>1.1545788043918444E20</v>
      </c>
      <c r="M3133" s="9">
        <v>1.1545788043918445E19</v>
      </c>
    </row>
    <row r="3134" ht="15.75" customHeight="1">
      <c r="A3134" s="8"/>
      <c r="B3134" s="8"/>
      <c r="C3134" s="8"/>
      <c r="D3134" s="8">
        <v>63.217307546936</v>
      </c>
      <c r="E3134" s="9" t="s">
        <v>198</v>
      </c>
      <c r="I3134" s="12" t="str">
        <f>IFERROR(__xludf.DUMMYFUNCTION("""COMPUTED_VALUE"""),"0xa43540a561807799e1ef3351d9620202781226cd")</f>
        <v>0xa43540a561807799e1ef3351d9620202781226cd</v>
      </c>
      <c r="J3134" s="11">
        <v>63.217307546936</v>
      </c>
      <c r="K3134" s="12">
        <v>140.48290565985778</v>
      </c>
      <c r="L3134" s="13">
        <v>1.4048290565985778E20</v>
      </c>
      <c r="M3134" s="9">
        <v>1.404829056598578E19</v>
      </c>
    </row>
    <row r="3135" ht="15.75" customHeight="1">
      <c r="A3135" s="8"/>
      <c r="B3135" s="8"/>
      <c r="C3135" s="8"/>
      <c r="D3135" s="8">
        <v>63.217307546936</v>
      </c>
      <c r="E3135" s="9" t="s">
        <v>199</v>
      </c>
      <c r="I3135" s="12" t="str">
        <f>IFERROR(__xludf.DUMMYFUNCTION("""COMPUTED_VALUE"""),"0xa94b40c53432f0576e64873ce1cead1aae62fc90")</f>
        <v>0xa94b40c53432f0576e64873ce1cead1aae62fc90</v>
      </c>
      <c r="J3135" s="11">
        <v>65.16309788472614</v>
      </c>
      <c r="K3135" s="12">
        <v>144.80688418828032</v>
      </c>
      <c r="L3135" s="13">
        <v>1.4480688418828032E20</v>
      </c>
      <c r="M3135" s="9">
        <v>1.4480688418828034E19</v>
      </c>
    </row>
    <row r="3136" ht="15.75" customHeight="1">
      <c r="A3136" s="8"/>
      <c r="B3136" s="8"/>
      <c r="C3136" s="8"/>
      <c r="D3136" s="8">
        <v>63.217307546936</v>
      </c>
      <c r="E3136" s="9" t="s">
        <v>201</v>
      </c>
      <c r="I3136" s="12" t="str">
        <f>IFERROR(__xludf.DUMMYFUNCTION("""COMPUTED_VALUE"""),"0xaa1b73b911a31de396f9ecacb1bd64336222d807")</f>
        <v>0xaa1b73b911a31de396f9ecacb1bd64336222d807</v>
      </c>
      <c r="J3136" s="11">
        <v>23.1896451402097</v>
      </c>
      <c r="K3136" s="12">
        <v>51.53254475602155</v>
      </c>
      <c r="L3136" s="13">
        <v>5.153254475602155E19</v>
      </c>
      <c r="M3136" s="9">
        <v>5.1532544756021555E18</v>
      </c>
    </row>
    <row r="3137" ht="15.75" customHeight="1">
      <c r="A3137" s="8"/>
      <c r="B3137" s="8"/>
      <c r="C3137" s="8"/>
      <c r="D3137" s="8">
        <v>59.6955490297282</v>
      </c>
      <c r="E3137" s="9" t="s">
        <v>202</v>
      </c>
      <c r="I3137" s="12" t="str">
        <f>IFERROR(__xludf.DUMMYFUNCTION("""COMPUTED_VALUE"""),"0xaf1b1293386ecbbf6448fe20dc514eddcf77e462")</f>
        <v>0xaf1b1293386ecbbf6448fe20dc514eddcf77e462</v>
      </c>
      <c r="J3137" s="11">
        <v>58.6980805876712</v>
      </c>
      <c r="K3137" s="12">
        <v>130.4401790837138</v>
      </c>
      <c r="L3137" s="13">
        <v>1.3044017908371379E20</v>
      </c>
      <c r="M3137" s="9">
        <v>1.304401790837138E19</v>
      </c>
    </row>
    <row r="3138" ht="15.75" customHeight="1">
      <c r="A3138" s="8"/>
      <c r="B3138" s="8"/>
      <c r="C3138" s="8"/>
      <c r="D3138" s="8">
        <v>49.7443982509782</v>
      </c>
      <c r="E3138" s="9" t="s">
        <v>204</v>
      </c>
      <c r="I3138" s="12" t="str">
        <f>IFERROR(__xludf.DUMMYFUNCTION("""COMPUTED_VALUE"""),"0xb1fe569478506aefec2bcc84321e8d2053fe3fbb")</f>
        <v>0xb1fe569478506aefec2bcc84321e8d2053fe3fbb</v>
      </c>
      <c r="J3138" s="11">
        <v>72.35698620037357</v>
      </c>
      <c r="K3138" s="12">
        <v>160.79330266749682</v>
      </c>
      <c r="L3138" s="13">
        <v>1.6079330266749682E20</v>
      </c>
      <c r="M3138" s="9">
        <v>1.6079330266749682E19</v>
      </c>
    </row>
    <row r="3139" ht="15.75" customHeight="1">
      <c r="A3139" s="8"/>
      <c r="B3139" s="8"/>
      <c r="C3139" s="8"/>
      <c r="D3139" s="8">
        <v>63.217307546936</v>
      </c>
      <c r="E3139" s="9" t="s">
        <v>209</v>
      </c>
      <c r="I3139" s="12" t="str">
        <f>IFERROR(__xludf.DUMMYFUNCTION("""COMPUTED_VALUE"""),"0xb25bdc63f02291be7b5caece16ecd5d84422f7df")</f>
        <v>0xb25bdc63f02291be7b5caece16ecd5d84422f7df</v>
      </c>
      <c r="J3139" s="11">
        <v>16.7884425831988</v>
      </c>
      <c r="K3139" s="12">
        <v>37.30765018488622</v>
      </c>
      <c r="L3139" s="13">
        <v>3.730765018488622E19</v>
      </c>
      <c r="M3139" s="9">
        <v>3.7307650184886226E18</v>
      </c>
    </row>
    <row r="3140" ht="15.75" customHeight="1">
      <c r="A3140" s="8"/>
      <c r="B3140" s="8"/>
      <c r="C3140" s="8"/>
      <c r="D3140" s="8">
        <v>63.217307546936</v>
      </c>
      <c r="E3140" s="9" t="s">
        <v>211</v>
      </c>
      <c r="I3140" s="12" t="str">
        <f>IFERROR(__xludf.DUMMYFUNCTION("""COMPUTED_VALUE"""),"0xb3389f3edacdfd48603f2f06895a2b2a8a96952f")</f>
        <v>0xb3389f3edacdfd48603f2f06895a2b2a8a96952f</v>
      </c>
      <c r="J3140" s="11">
        <v>15.1721538112646</v>
      </c>
      <c r="K3140" s="12">
        <v>33.71589735836578</v>
      </c>
      <c r="L3140" s="13">
        <v>3.3715897358365778E19</v>
      </c>
      <c r="M3140" s="9">
        <v>3.3715897358365778E18</v>
      </c>
    </row>
    <row r="3141" ht="15.75" customHeight="1">
      <c r="A3141" s="8"/>
      <c r="B3141" s="8"/>
      <c r="C3141" s="8"/>
      <c r="D3141" s="8">
        <v>63.217307546936</v>
      </c>
      <c r="E3141" s="9" t="s">
        <v>215</v>
      </c>
      <c r="I3141" s="12" t="str">
        <f>IFERROR(__xludf.DUMMYFUNCTION("""COMPUTED_VALUE"""),"0xb875627ea565cebd998ef83f3994265b2893a232")</f>
        <v>0xb875627ea565cebd998ef83f3994265b2893a232</v>
      </c>
      <c r="J3141" s="11">
        <v>40.940881407682</v>
      </c>
      <c r="K3141" s="12">
        <v>90.97973646151556</v>
      </c>
      <c r="L3141" s="13">
        <v>9.097973646151555E19</v>
      </c>
      <c r="M3141" s="9">
        <v>9.0979736461515561E18</v>
      </c>
    </row>
    <row r="3142" ht="15.75" customHeight="1">
      <c r="A3142" s="8"/>
      <c r="B3142" s="8"/>
      <c r="C3142" s="8"/>
      <c r="D3142" s="8">
        <v>1.39521287364343</v>
      </c>
      <c r="E3142" s="9" t="s">
        <v>3052</v>
      </c>
      <c r="I3142" s="12" t="str">
        <f>IFERROR(__xludf.DUMMYFUNCTION("""COMPUTED_VALUE"""),"0xbac20b46a1f123989427c8918034439f91a544aa")</f>
        <v>0xbac20b46a1f123989427c8918034439f91a544aa</v>
      </c>
      <c r="J3142" s="11">
        <v>4.51086982816319</v>
      </c>
      <c r="K3142" s="12">
        <v>10.024155173695977</v>
      </c>
      <c r="L3142" s="13">
        <v>1.0024155173695977E19</v>
      </c>
      <c r="M3142" s="9">
        <v>1.00241551736959782E18</v>
      </c>
    </row>
    <row r="3143" ht="15.75" customHeight="1">
      <c r="A3143" s="8"/>
      <c r="B3143" s="8"/>
      <c r="C3143" s="8"/>
      <c r="D3143" s="8">
        <v>63.217307546936</v>
      </c>
      <c r="E3143" s="9" t="s">
        <v>3053</v>
      </c>
      <c r="I3143" s="12" t="str">
        <f>IFERROR(__xludf.DUMMYFUNCTION("""COMPUTED_VALUE"""),"0xbaddc83e3c4d7ccfc1d7559696054afeaa13d7c4")</f>
        <v>0xbaddc83e3c4d7ccfc1d7559696054afeaa13d7c4</v>
      </c>
      <c r="J3143" s="11">
        <v>63.217307546936</v>
      </c>
      <c r="K3143" s="12">
        <v>140.48290565985778</v>
      </c>
      <c r="L3143" s="13">
        <v>1.4048290565985778E20</v>
      </c>
      <c r="M3143" s="9">
        <v>1.404829056598578E19</v>
      </c>
    </row>
    <row r="3144" ht="15.75" customHeight="1">
      <c r="A3144" s="8"/>
      <c r="B3144" s="8"/>
      <c r="C3144" s="8"/>
      <c r="D3144" s="8">
        <v>63.217307546936</v>
      </c>
      <c r="E3144" s="9" t="s">
        <v>220</v>
      </c>
      <c r="I3144" s="12" t="str">
        <f>IFERROR(__xludf.DUMMYFUNCTION("""COMPUTED_VALUE"""),"0xbcc4f9315eba7936e68578308776b9cc54d71911")</f>
        <v>0xbcc4f9315eba7936e68578308776b9cc54d71911</v>
      </c>
      <c r="J3144" s="11">
        <v>60.4525017726172</v>
      </c>
      <c r="K3144" s="12">
        <v>134.3388928280382</v>
      </c>
      <c r="L3144" s="13">
        <v>1.3433889282803822E20</v>
      </c>
      <c r="M3144" s="9">
        <v>1.3433889282803823E19</v>
      </c>
    </row>
    <row r="3145" ht="15.75" customHeight="1">
      <c r="A3145" s="8"/>
      <c r="B3145" s="8"/>
      <c r="C3145" s="8"/>
      <c r="D3145" s="8">
        <v>30.5758369576864</v>
      </c>
      <c r="E3145" s="9" t="s">
        <v>221</v>
      </c>
      <c r="I3145" s="12" t="str">
        <f>IFERROR(__xludf.DUMMYFUNCTION("""COMPUTED_VALUE"""),"0xc08d4fe9e09997df8fcf227eb1b7b17bc1eef173")</f>
        <v>0xc08d4fe9e09997df8fcf227eb1b7b17bc1eef173</v>
      </c>
      <c r="J3145" s="11">
        <v>60.5413725697555</v>
      </c>
      <c r="K3145" s="12">
        <v>134.53638348834556</v>
      </c>
      <c r="L3145" s="13">
        <v>1.3453638348834557E20</v>
      </c>
      <c r="M3145" s="9">
        <v>1.3453638348834558E19</v>
      </c>
    </row>
    <row r="3146" ht="15.75" customHeight="1">
      <c r="A3146" s="8"/>
      <c r="B3146" s="8"/>
      <c r="C3146" s="8"/>
      <c r="D3146" s="8">
        <v>63.217307546936</v>
      </c>
      <c r="E3146" s="9" t="s">
        <v>222</v>
      </c>
      <c r="I3146" s="12" t="str">
        <f>IFERROR(__xludf.DUMMYFUNCTION("""COMPUTED_VALUE"""),"0xc1bfa768e86239a376769c42ac1fa999db3426b0")</f>
        <v>0xc1bfa768e86239a376769c42ac1fa999db3426b0</v>
      </c>
      <c r="J3146" s="11">
        <v>59.239244892171</v>
      </c>
      <c r="K3146" s="12">
        <v>131.64276642704667</v>
      </c>
      <c r="L3146" s="13">
        <v>1.3164276642704667E20</v>
      </c>
      <c r="M3146" s="9">
        <v>1.3164276642704669E19</v>
      </c>
    </row>
    <row r="3147" ht="15.75" customHeight="1">
      <c r="A3147" s="8"/>
      <c r="B3147" s="8"/>
      <c r="C3147" s="8"/>
      <c r="D3147" s="8">
        <v>63.217307546936</v>
      </c>
      <c r="E3147" s="9" t="s">
        <v>223</v>
      </c>
      <c r="I3147" s="12" t="str">
        <f>IFERROR(__xludf.DUMMYFUNCTION("""COMPUTED_VALUE"""),"0xc2c271556d11a0ee48b5a85c95b0da37b9acd483")</f>
        <v>0xc2c271556d11a0ee48b5a85c95b0da37b9acd483</v>
      </c>
      <c r="J3147" s="11">
        <v>56.74223951643</v>
      </c>
      <c r="K3147" s="12">
        <v>126.09386559206666</v>
      </c>
      <c r="L3147" s="13">
        <v>1.2609386559206667E20</v>
      </c>
      <c r="M3147" s="9">
        <v>1.2609386559206668E19</v>
      </c>
    </row>
    <row r="3148" ht="15.75" customHeight="1">
      <c r="A3148" s="8"/>
      <c r="B3148" s="8"/>
      <c r="C3148" s="8"/>
      <c r="D3148" s="8">
        <v>63.217307546936</v>
      </c>
      <c r="E3148" s="9" t="s">
        <v>228</v>
      </c>
      <c r="I3148" s="12" t="str">
        <f>IFERROR(__xludf.DUMMYFUNCTION("""COMPUTED_VALUE"""),"0xc4099710e5071e776d51d95db6ea28f41c604648")</f>
        <v>0xc4099710e5071e776d51d95db6ea28f41c604648</v>
      </c>
      <c r="J3148" s="11">
        <v>28.979260021639</v>
      </c>
      <c r="K3148" s="12">
        <v>64.39835560364222</v>
      </c>
      <c r="L3148" s="13">
        <v>6.439835560364221E19</v>
      </c>
      <c r="M3148" s="9">
        <v>6.4398355603642214E18</v>
      </c>
    </row>
    <row r="3149" ht="15.75" customHeight="1">
      <c r="A3149" s="8"/>
      <c r="B3149" s="8"/>
      <c r="C3149" s="8"/>
      <c r="D3149" s="8">
        <v>40.8907880400392</v>
      </c>
      <c r="E3149" s="9" t="s">
        <v>234</v>
      </c>
      <c r="I3149" s="12" t="str">
        <f>IFERROR(__xludf.DUMMYFUNCTION("""COMPUTED_VALUE"""),"0xc688cc5298ce97cf5b82a88229f3a40e3bf25530")</f>
        <v>0xc688cc5298ce97cf5b82a88229f3a40e3bf25530</v>
      </c>
      <c r="J3149" s="11">
        <v>52.74948472208441</v>
      </c>
      <c r="K3149" s="12">
        <v>117.22107716018758</v>
      </c>
      <c r="L3149" s="13">
        <v>1.1722107716018758E20</v>
      </c>
      <c r="M3149" s="9">
        <v>1.1722107716018758E19</v>
      </c>
    </row>
    <row r="3150" ht="15.75" customHeight="1">
      <c r="A3150" s="8"/>
      <c r="B3150" s="8"/>
      <c r="C3150" s="8"/>
      <c r="D3150" s="8">
        <v>63.217307546936</v>
      </c>
      <c r="E3150" s="9" t="s">
        <v>3054</v>
      </c>
      <c r="I3150" s="12" t="str">
        <f>IFERROR(__xludf.DUMMYFUNCTION("""COMPUTED_VALUE"""),"0xc6dfe9d169ad9ee6a247197871680da11632bc0b")</f>
        <v>0xc6dfe9d169ad9ee6a247197871680da11632bc0b</v>
      </c>
      <c r="J3150" s="11">
        <v>35.685005527296504</v>
      </c>
      <c r="K3150" s="12">
        <v>79.30001228288111</v>
      </c>
      <c r="L3150" s="13">
        <v>7.930001228288111E19</v>
      </c>
      <c r="M3150" s="9">
        <v>7.9300012282881116E18</v>
      </c>
    </row>
    <row r="3151" ht="15.75" customHeight="1">
      <c r="A3151" s="8"/>
      <c r="B3151" s="8"/>
      <c r="C3151" s="8"/>
      <c r="D3151" s="8">
        <v>2.52869230187744</v>
      </c>
      <c r="E3151" s="9" t="s">
        <v>238</v>
      </c>
      <c r="I3151" s="12" t="str">
        <f>IFERROR(__xludf.DUMMYFUNCTION("""COMPUTED_VALUE"""),"0xc75f1ad2eaef79b729c8dd8bcbaeddd893f5a761")</f>
        <v>0xc75f1ad2eaef79b729c8dd8bcbaeddd893f5a761</v>
      </c>
      <c r="J3151" s="11">
        <v>63.217307546936</v>
      </c>
      <c r="K3151" s="12">
        <v>140.48290565985778</v>
      </c>
      <c r="L3151" s="13">
        <v>1.4048290565985778E20</v>
      </c>
      <c r="M3151" s="9">
        <v>1.404829056598578E19</v>
      </c>
    </row>
    <row r="3152" ht="15.75" customHeight="1">
      <c r="A3152" s="8"/>
      <c r="B3152" s="8"/>
      <c r="C3152" s="8"/>
      <c r="D3152" s="8">
        <v>44.7456474995047</v>
      </c>
      <c r="E3152" s="9" t="s">
        <v>239</v>
      </c>
      <c r="I3152" s="12" t="str">
        <f>IFERROR(__xludf.DUMMYFUNCTION("""COMPUTED_VALUE"""),"0xcb9dfe714a41d651b1b1b845e5658563944edcd4")</f>
        <v>0xcb9dfe714a41d651b1b1b845e5658563944edcd4</v>
      </c>
      <c r="J3152" s="11">
        <v>63.217307546936</v>
      </c>
      <c r="K3152" s="12">
        <v>140.48290565985778</v>
      </c>
      <c r="L3152" s="13">
        <v>1.4048290565985778E20</v>
      </c>
      <c r="M3152" s="9">
        <v>1.404829056598578E19</v>
      </c>
    </row>
    <row r="3153" ht="15.75" customHeight="1">
      <c r="A3153" s="8"/>
      <c r="B3153" s="8"/>
      <c r="C3153" s="8"/>
      <c r="D3153" s="8">
        <v>63.217307546936</v>
      </c>
      <c r="E3153" s="9" t="s">
        <v>240</v>
      </c>
      <c r="I3153" s="12" t="str">
        <f>IFERROR(__xludf.DUMMYFUNCTION("""COMPUTED_VALUE"""),"0xd0471c359f65d6adcbd69694996ab49e5e6b6a47")</f>
        <v>0xd0471c359f65d6adcbd69694996ab49e5e6b6a47</v>
      </c>
      <c r="J3153" s="11">
        <v>63.217307546936</v>
      </c>
      <c r="K3153" s="12">
        <v>140.48290565985778</v>
      </c>
      <c r="L3153" s="13">
        <v>1.4048290565985778E20</v>
      </c>
      <c r="M3153" s="9">
        <v>1.404829056598578E19</v>
      </c>
    </row>
    <row r="3154" ht="15.75" customHeight="1">
      <c r="A3154" s="8"/>
      <c r="B3154" s="8"/>
      <c r="C3154" s="8"/>
      <c r="D3154" s="8">
        <v>63.217307546936</v>
      </c>
      <c r="E3154" s="9" t="s">
        <v>241</v>
      </c>
      <c r="I3154" s="12" t="str">
        <f>IFERROR(__xludf.DUMMYFUNCTION("""COMPUTED_VALUE"""),"0xd5fd752342c46bd15a05bbf330a571499dfb8c9c")</f>
        <v>0xd5fd752342c46bd15a05bbf330a571499dfb8c9c</v>
      </c>
      <c r="J3154" s="11">
        <v>60.8769449451718</v>
      </c>
      <c r="K3154" s="12">
        <v>135.28209987815956</v>
      </c>
      <c r="L3154" s="13">
        <v>1.3528209987815955E20</v>
      </c>
      <c r="M3154" s="9">
        <v>1.3528209987815956E19</v>
      </c>
    </row>
    <row r="3155" ht="15.75" customHeight="1">
      <c r="A3155" s="8"/>
      <c r="B3155" s="8"/>
      <c r="C3155" s="8"/>
      <c r="D3155" s="8">
        <v>63.217307546936</v>
      </c>
      <c r="E3155" s="9" t="s">
        <v>242</v>
      </c>
      <c r="I3155" s="12" t="str">
        <f>IFERROR(__xludf.DUMMYFUNCTION("""COMPUTED_VALUE"""),"0xd6bf477adc027c2ae9252bf99211b3aae82c0e63")</f>
        <v>0xd6bf477adc027c2ae9252bf99211b3aae82c0e63</v>
      </c>
      <c r="J3155" s="11">
        <v>63.217307546936</v>
      </c>
      <c r="K3155" s="12">
        <v>140.48290565985778</v>
      </c>
      <c r="L3155" s="13">
        <v>1.4048290565985778E20</v>
      </c>
      <c r="M3155" s="9">
        <v>1.404829056598578E19</v>
      </c>
    </row>
    <row r="3156" ht="15.75" customHeight="1">
      <c r="A3156" s="8"/>
      <c r="B3156" s="8"/>
      <c r="C3156" s="8"/>
      <c r="D3156" s="8">
        <v>63.217307546936</v>
      </c>
      <c r="E3156" s="9" t="s">
        <v>245</v>
      </c>
      <c r="I3156" s="12" t="str">
        <f>IFERROR(__xludf.DUMMYFUNCTION("""COMPUTED_VALUE"""),"0xd7343a6c05f7e08619e2788606c057fe8e4bde99")</f>
        <v>0xd7343a6c05f7e08619e2788606c057fe8e4bde99</v>
      </c>
      <c r="J3156" s="11">
        <v>63.217307546936</v>
      </c>
      <c r="K3156" s="12">
        <v>140.48290565985778</v>
      </c>
      <c r="L3156" s="13">
        <v>1.4048290565985778E20</v>
      </c>
      <c r="M3156" s="9">
        <v>1.404829056598578E19</v>
      </c>
    </row>
    <row r="3157" ht="15.75" customHeight="1">
      <c r="A3157" s="8"/>
      <c r="B3157" s="8"/>
      <c r="C3157" s="8"/>
      <c r="D3157" s="8">
        <v>63.217307546936</v>
      </c>
      <c r="E3157" s="9" t="s">
        <v>3055</v>
      </c>
      <c r="I3157" s="12" t="str">
        <f>IFERROR(__xludf.DUMMYFUNCTION("""COMPUTED_VALUE"""),"0xd82f786d762f8b6e9fb8b1bd1ef1ebef3cc049b5")</f>
        <v>0xd82f786d762f8b6e9fb8b1bd1ef1ebef3cc049b5</v>
      </c>
      <c r="J3157" s="11">
        <v>45.9904219675525</v>
      </c>
      <c r="K3157" s="12">
        <v>102.20093770567222</v>
      </c>
      <c r="L3157" s="13">
        <v>1.0220093770567221E20</v>
      </c>
      <c r="M3157" s="9">
        <v>1.0220093770567221E19</v>
      </c>
    </row>
    <row r="3158" ht="15.75" customHeight="1">
      <c r="A3158" s="8"/>
      <c r="B3158" s="8"/>
      <c r="C3158" s="8"/>
      <c r="D3158" s="8">
        <v>63.217307546936</v>
      </c>
      <c r="E3158" s="9" t="s">
        <v>248</v>
      </c>
      <c r="I3158" s="12" t="str">
        <f>IFERROR(__xludf.DUMMYFUNCTION("""COMPUTED_VALUE"""),"0xd9241b64b0c795d5a22ba1eec0aea4695b72e2bc")</f>
        <v>0xd9241b64b0c795d5a22ba1eec0aea4695b72e2bc</v>
      </c>
      <c r="J3158" s="11">
        <v>63.217307546936</v>
      </c>
      <c r="K3158" s="12">
        <v>140.48290565985778</v>
      </c>
      <c r="L3158" s="13">
        <v>1.4048290565985778E20</v>
      </c>
      <c r="M3158" s="9">
        <v>1.404829056598578E19</v>
      </c>
    </row>
    <row r="3159" ht="15.75" customHeight="1">
      <c r="A3159" s="8"/>
      <c r="B3159" s="8"/>
      <c r="C3159" s="8"/>
      <c r="D3159" s="8">
        <v>11.9724913745221</v>
      </c>
      <c r="E3159" s="9" t="s">
        <v>250</v>
      </c>
      <c r="I3159" s="12" t="str">
        <f>IFERROR(__xludf.DUMMYFUNCTION("""COMPUTED_VALUE"""),"0xdb640a9ae319b58c49942818905a92506dc820b0")</f>
        <v>0xdb640a9ae319b58c49942818905a92506dc820b0</v>
      </c>
      <c r="J3159" s="11">
        <v>59.3759796619595</v>
      </c>
      <c r="K3159" s="12">
        <v>131.9466214710211</v>
      </c>
      <c r="L3159" s="13">
        <v>1.319466214710211E20</v>
      </c>
      <c r="M3159" s="9">
        <v>1.3194662147102112E19</v>
      </c>
    </row>
    <row r="3160" ht="15.75" customHeight="1">
      <c r="A3160" s="8"/>
      <c r="B3160" s="8"/>
      <c r="C3160" s="8"/>
      <c r="D3160" s="8">
        <v>63.217307546936</v>
      </c>
      <c r="E3160" s="9" t="s">
        <v>251</v>
      </c>
      <c r="I3160" s="12" t="str">
        <f>IFERROR(__xludf.DUMMYFUNCTION("""COMPUTED_VALUE"""),"0xdbf622f89d8023cfa168bcda0d48d8b34c8b48fe")</f>
        <v>0xdbf622f89d8023cfa168bcda0d48d8b34c8b48fe</v>
      </c>
      <c r="J3160" s="11">
        <v>63.217307546936</v>
      </c>
      <c r="K3160" s="12">
        <v>140.48290565985778</v>
      </c>
      <c r="L3160" s="13">
        <v>1.4048290565985778E20</v>
      </c>
      <c r="M3160" s="9">
        <v>1.404829056598578E19</v>
      </c>
    </row>
    <row r="3161" ht="15.75" customHeight="1">
      <c r="A3161" s="8"/>
      <c r="B3161" s="8"/>
      <c r="C3161" s="8"/>
      <c r="D3161" s="8">
        <v>63.217307546936</v>
      </c>
      <c r="E3161" s="9" t="s">
        <v>252</v>
      </c>
      <c r="I3161" s="12" t="str">
        <f>IFERROR(__xludf.DUMMYFUNCTION("""COMPUTED_VALUE"""),"0xdd98051c107f8d3e92d2f588d2cb748efb27fa3a")</f>
        <v>0xdd98051c107f8d3e92d2f588d2cb748efb27fa3a</v>
      </c>
      <c r="J3161" s="11">
        <v>46.6235041696571</v>
      </c>
      <c r="K3161" s="12">
        <v>103.60778704368245</v>
      </c>
      <c r="L3161" s="13">
        <v>1.0360778704368245E20</v>
      </c>
      <c r="M3161" s="9">
        <v>1.0360778704368245E19</v>
      </c>
    </row>
    <row r="3162" ht="15.75" customHeight="1">
      <c r="A3162" s="8"/>
      <c r="B3162" s="8"/>
      <c r="C3162" s="8"/>
      <c r="D3162" s="8">
        <v>44.9679872108374</v>
      </c>
      <c r="E3162" s="9" t="s">
        <v>254</v>
      </c>
      <c r="I3162" s="12" t="str">
        <f>IFERROR(__xludf.DUMMYFUNCTION("""COMPUTED_VALUE"""),"0xddfd2627fae4d379332f0e96f802fc6901a2b920")</f>
        <v>0xddfd2627fae4d379332f0e96f802fc6901a2b920</v>
      </c>
      <c r="J3162" s="11">
        <v>163.9625575924643</v>
      </c>
      <c r="K3162" s="12">
        <v>364.3612390943651</v>
      </c>
      <c r="L3162" s="13">
        <v>3.6436123909436506E20</v>
      </c>
      <c r="M3162" s="9">
        <v>3.6436123909436506E19</v>
      </c>
    </row>
    <row r="3163" ht="15.75" customHeight="1">
      <c r="A3163" s="8"/>
      <c r="B3163" s="8"/>
      <c r="C3163" s="8"/>
      <c r="D3163" s="8">
        <v>50.4422532378915</v>
      </c>
      <c r="E3163" s="9" t="s">
        <v>3056</v>
      </c>
      <c r="I3163" s="12" t="str">
        <f>IFERROR(__xludf.DUMMYFUNCTION("""COMPUTED_VALUE"""),"0xde6d2f9656ec6104bd293941f7e4b7d583521776")</f>
        <v>0xde6d2f9656ec6104bd293941f7e4b7d583521776</v>
      </c>
      <c r="J3163" s="11">
        <v>63.217307546936</v>
      </c>
      <c r="K3163" s="12">
        <v>140.48290565985778</v>
      </c>
      <c r="L3163" s="13">
        <v>1.4048290565985778E20</v>
      </c>
      <c r="M3163" s="9">
        <v>1.404829056598578E19</v>
      </c>
    </row>
    <row r="3164" ht="15.75" customHeight="1">
      <c r="A3164" s="8"/>
      <c r="B3164" s="8"/>
      <c r="C3164" s="8"/>
      <c r="D3164" s="8">
        <v>63.217307546936</v>
      </c>
      <c r="E3164" s="9" t="s">
        <v>3057</v>
      </c>
      <c r="I3164" s="12" t="str">
        <f>IFERROR(__xludf.DUMMYFUNCTION("""COMPUTED_VALUE"""),"0xdf632ea5ba8283488aae8538e17a2f802243a61a")</f>
        <v>0xdf632ea5ba8283488aae8538e17a2f802243a61a</v>
      </c>
      <c r="J3164" s="11">
        <v>64.49147948021904</v>
      </c>
      <c r="K3164" s="12">
        <v>143.3143988449312</v>
      </c>
      <c r="L3164" s="13">
        <v>1.433143988449312E20</v>
      </c>
      <c r="M3164" s="9">
        <v>1.433143988449312E19</v>
      </c>
    </row>
    <row r="3165" ht="15.75" customHeight="1">
      <c r="A3165" s="8"/>
      <c r="B3165" s="8"/>
      <c r="C3165" s="8"/>
      <c r="D3165" s="8">
        <v>38.8975618275449</v>
      </c>
      <c r="E3165" s="9" t="s">
        <v>257</v>
      </c>
      <c r="I3165" s="12" t="str">
        <f>IFERROR(__xludf.DUMMYFUNCTION("""COMPUTED_VALUE"""),"0xe138dec9e3febeb8b5e1f90f2387b1f15f9c4774")</f>
        <v>0xe138dec9e3febeb8b5e1f90f2387b1f15f9c4774</v>
      </c>
      <c r="J3165" s="11">
        <v>63.217307546936</v>
      </c>
      <c r="K3165" s="12">
        <v>140.48290565985778</v>
      </c>
      <c r="L3165" s="13">
        <v>1.4048290565985778E20</v>
      </c>
      <c r="M3165" s="9">
        <v>1.404829056598578E19</v>
      </c>
    </row>
    <row r="3166" ht="15.75" customHeight="1">
      <c r="A3166" s="8"/>
      <c r="B3166" s="8"/>
      <c r="C3166" s="8"/>
      <c r="D3166" s="8">
        <v>63.217307546936</v>
      </c>
      <c r="E3166" s="9" t="s">
        <v>260</v>
      </c>
      <c r="I3166" s="12" t="str">
        <f>IFERROR(__xludf.DUMMYFUNCTION("""COMPUTED_VALUE"""),"0xe3a656b2d84b391f4c1a8d8ab53f05c9c98c76a8")</f>
        <v>0xe3a656b2d84b391f4c1a8d8ab53f05c9c98c76a8</v>
      </c>
      <c r="J3166" s="11">
        <v>6.702020882682319</v>
      </c>
      <c r="K3166" s="12">
        <v>14.893379739294042</v>
      </c>
      <c r="L3166" s="13">
        <v>1.4893379739294042E19</v>
      </c>
      <c r="M3166" s="9">
        <v>1.48933797392940442E18</v>
      </c>
    </row>
    <row r="3167" ht="15.75" customHeight="1">
      <c r="A3167" s="8"/>
      <c r="B3167" s="8"/>
      <c r="C3167" s="8"/>
      <c r="D3167" s="8">
        <v>63.217307546936</v>
      </c>
      <c r="E3167" s="9" t="s">
        <v>261</v>
      </c>
      <c r="I3167" s="12" t="str">
        <f>IFERROR(__xludf.DUMMYFUNCTION("""COMPUTED_VALUE"""),"0xe459ae0dc31194fa0fd626020a25d9a1cef0047d")</f>
        <v>0xe459ae0dc31194fa0fd626020a25d9a1cef0047d</v>
      </c>
      <c r="J3167" s="11">
        <v>10.9407706196075</v>
      </c>
      <c r="K3167" s="12">
        <v>24.31282359912778</v>
      </c>
      <c r="L3167" s="13">
        <v>2.4312823599127777E19</v>
      </c>
      <c r="M3167" s="9">
        <v>2.4312823599127777E18</v>
      </c>
    </row>
    <row r="3168" ht="15.75" customHeight="1">
      <c r="A3168" s="8"/>
      <c r="B3168" s="8"/>
      <c r="C3168" s="8"/>
      <c r="D3168" s="8">
        <v>38.2585715175906</v>
      </c>
      <c r="E3168" s="9" t="s">
        <v>263</v>
      </c>
      <c r="I3168" s="12" t="str">
        <f>IFERROR(__xludf.DUMMYFUNCTION("""COMPUTED_VALUE"""),"0xe5d5245dce768ef43f1c5fa9c96b7e1520d96dc8")</f>
        <v>0xe5d5245dce768ef43f1c5fa9c96b7e1520d96dc8</v>
      </c>
      <c r="J3168" s="11">
        <v>62.215337467166</v>
      </c>
      <c r="K3168" s="12">
        <v>138.2563054825911</v>
      </c>
      <c r="L3168" s="13">
        <v>1.3825630548259111E20</v>
      </c>
      <c r="M3168" s="9">
        <v>1.382563054825911E19</v>
      </c>
    </row>
    <row r="3169" ht="15.75" customHeight="1">
      <c r="A3169" s="8"/>
      <c r="B3169" s="8"/>
      <c r="C3169" s="8"/>
      <c r="D3169" s="8">
        <v>1.43751601214516</v>
      </c>
      <c r="E3169" s="9" t="s">
        <v>270</v>
      </c>
      <c r="I3169" s="12" t="str">
        <f>IFERROR(__xludf.DUMMYFUNCTION("""COMPUTED_VALUE"""),"0xe8189209c826092b8aa9c28e1928684a1a831d41")</f>
        <v>0xe8189209c826092b8aa9c28e1928684a1a831d41</v>
      </c>
      <c r="J3169" s="11">
        <v>63.217307546936</v>
      </c>
      <c r="K3169" s="12">
        <v>140.48290565985778</v>
      </c>
      <c r="L3169" s="13">
        <v>1.4048290565985778E20</v>
      </c>
      <c r="M3169" s="9">
        <v>1.404829056598578E19</v>
      </c>
    </row>
    <row r="3170" ht="15.75" customHeight="1">
      <c r="A3170" s="8"/>
      <c r="B3170" s="8"/>
      <c r="C3170" s="8"/>
      <c r="D3170" s="8">
        <v>63.217307546936</v>
      </c>
      <c r="E3170" s="9" t="s">
        <v>271</v>
      </c>
      <c r="I3170" s="12" t="str">
        <f>IFERROR(__xludf.DUMMYFUNCTION("""COMPUTED_VALUE"""),"0xe9df5143f331924315b4962aa7c22875ad2ca335")</f>
        <v>0xe9df5143f331924315b4962aa7c22875ad2ca335</v>
      </c>
      <c r="J3170" s="11">
        <v>27.0328078250163</v>
      </c>
      <c r="K3170" s="12">
        <v>60.072906277814</v>
      </c>
      <c r="L3170" s="13">
        <v>6.0072906277814E19</v>
      </c>
      <c r="M3170" s="9">
        <v>6.0072906277814006E18</v>
      </c>
    </row>
    <row r="3171" ht="15.75" customHeight="1">
      <c r="A3171" s="8"/>
      <c r="B3171" s="8"/>
      <c r="C3171" s="8"/>
      <c r="D3171" s="8">
        <v>63.217307546936</v>
      </c>
      <c r="E3171" s="9" t="s">
        <v>272</v>
      </c>
      <c r="I3171" s="12" t="str">
        <f>IFERROR(__xludf.DUMMYFUNCTION("""COMPUTED_VALUE"""),"0xea337cc038ffb1b1840f46063562a427b9842399")</f>
        <v>0xea337cc038ffb1b1840f46063562a427b9842399</v>
      </c>
      <c r="J3171" s="11">
        <v>59.1063692080786</v>
      </c>
      <c r="K3171" s="12">
        <v>131.34748712906355</v>
      </c>
      <c r="L3171" s="13">
        <v>1.3134748712906356E20</v>
      </c>
      <c r="M3171" s="9">
        <v>1.3134748712906357E19</v>
      </c>
    </row>
    <row r="3172" ht="15.75" customHeight="1">
      <c r="A3172" s="8"/>
      <c r="B3172" s="8"/>
      <c r="C3172" s="8"/>
      <c r="D3172" s="8">
        <v>63.217307546936</v>
      </c>
      <c r="E3172" s="9" t="s">
        <v>273</v>
      </c>
      <c r="I3172" s="12" t="str">
        <f>IFERROR(__xludf.DUMMYFUNCTION("""COMPUTED_VALUE"""),"0xead3f696b25da755060d51b77179fef8d907310a")</f>
        <v>0xead3f696b25da755060d51b77179fef8d907310a</v>
      </c>
      <c r="J3172" s="11">
        <v>50.6869984626759</v>
      </c>
      <c r="K3172" s="12">
        <v>112.637774361502</v>
      </c>
      <c r="L3172" s="13">
        <v>1.1263777436150199E20</v>
      </c>
      <c r="M3172" s="9">
        <v>1.12637774361502E19</v>
      </c>
    </row>
    <row r="3173" ht="15.75" customHeight="1">
      <c r="A3173" s="8"/>
      <c r="B3173" s="8"/>
      <c r="C3173" s="8"/>
      <c r="D3173" s="8">
        <v>14.9192845810769</v>
      </c>
      <c r="E3173" s="9" t="s">
        <v>275</v>
      </c>
      <c r="I3173" s="12" t="str">
        <f>IFERROR(__xludf.DUMMYFUNCTION("""COMPUTED_VALUE"""),"0xed796f9e412dd231bba84b077c109e354b0fb555")</f>
        <v>0xed796f9e412dd231bba84b077c109e354b0fb555</v>
      </c>
      <c r="J3173" s="11">
        <v>30.490098525129863</v>
      </c>
      <c r="K3173" s="12">
        <v>67.75577450028858</v>
      </c>
      <c r="L3173" s="13">
        <v>6.775577450028858E19</v>
      </c>
      <c r="M3173" s="9">
        <v>6.7755774500288584E18</v>
      </c>
    </row>
    <row r="3174" ht="15.75" customHeight="1">
      <c r="A3174" s="8"/>
      <c r="B3174" s="8"/>
      <c r="C3174" s="8"/>
      <c r="D3174" s="8">
        <v>63.217307546936</v>
      </c>
      <c r="E3174" s="9" t="s">
        <v>3058</v>
      </c>
      <c r="I3174" s="12" t="str">
        <f>IFERROR(__xludf.DUMMYFUNCTION("""COMPUTED_VALUE"""),"0xf03f74ebb463d9360dc093591628c76bf97eca6a")</f>
        <v>0xf03f74ebb463d9360dc093591628c76bf97eca6a</v>
      </c>
      <c r="J3174" s="11">
        <v>2.578936777425666</v>
      </c>
      <c r="K3174" s="12">
        <v>5.73097061650148</v>
      </c>
      <c r="L3174" s="13">
        <v>5.7309706165014804E18</v>
      </c>
      <c r="M3174" s="9">
        <v>5.730970616501481E17</v>
      </c>
    </row>
    <row r="3175" ht="15.75" customHeight="1">
      <c r="A3175" s="8"/>
      <c r="B3175" s="8"/>
      <c r="C3175" s="8"/>
      <c r="D3175" s="8">
        <v>63.217307546936</v>
      </c>
      <c r="E3175" s="9" t="s">
        <v>279</v>
      </c>
      <c r="I3175" s="12" t="str">
        <f>IFERROR(__xludf.DUMMYFUNCTION("""COMPUTED_VALUE"""),"0xf1cf9db0e3ab16d00acf32b38bcbc664b9503758")</f>
        <v>0xf1cf9db0e3ab16d00acf32b38bcbc664b9503758</v>
      </c>
      <c r="J3175" s="11">
        <v>63.217307546936</v>
      </c>
      <c r="K3175" s="12">
        <v>140.48290565985778</v>
      </c>
      <c r="L3175" s="13">
        <v>1.4048290565985778E20</v>
      </c>
      <c r="M3175" s="9">
        <v>1.404829056598578E19</v>
      </c>
    </row>
    <row r="3176" ht="15.75" customHeight="1">
      <c r="A3176" s="8"/>
      <c r="B3176" s="8"/>
      <c r="C3176" s="8"/>
      <c r="D3176" s="8">
        <v>56.6050410659238</v>
      </c>
      <c r="E3176" s="9" t="s">
        <v>280</v>
      </c>
      <c r="I3176" s="12" t="str">
        <f>IFERROR(__xludf.DUMMYFUNCTION("""COMPUTED_VALUE"""),"0xf235ccf3b4257b1ac95c29dbe404132c070bcfb4")</f>
        <v>0xf235ccf3b4257b1ac95c29dbe404132c070bcfb4</v>
      </c>
      <c r="J3176" s="11">
        <v>29.4185525574935</v>
      </c>
      <c r="K3176" s="12">
        <v>65.37456123887443</v>
      </c>
      <c r="L3176" s="13">
        <v>6.537456123887443E19</v>
      </c>
      <c r="M3176" s="9">
        <v>6.537456123887444E18</v>
      </c>
    </row>
    <row r="3177" ht="15.75" customHeight="1">
      <c r="A3177" s="8"/>
      <c r="B3177" s="8"/>
      <c r="C3177" s="8"/>
      <c r="D3177" s="8">
        <v>63.217307546936</v>
      </c>
      <c r="E3177" s="9" t="s">
        <v>3059</v>
      </c>
      <c r="I3177" s="12" t="str">
        <f>IFERROR(__xludf.DUMMYFUNCTION("""COMPUTED_VALUE"""),"0xf45301b7c6b773db0fa0e8e15ad522fbfe664e29")</f>
        <v>0xf45301b7c6b773db0fa0e8e15ad522fbfe664e29</v>
      </c>
      <c r="J3177" s="11">
        <v>65.16309788472614</v>
      </c>
      <c r="K3177" s="12">
        <v>144.80688418828032</v>
      </c>
      <c r="L3177" s="13">
        <v>1.4480688418828032E20</v>
      </c>
      <c r="M3177" s="9">
        <v>1.4480688418828034E19</v>
      </c>
    </row>
    <row r="3178" ht="15.75" customHeight="1">
      <c r="A3178" s="8"/>
      <c r="B3178" s="8"/>
      <c r="C3178" s="8"/>
      <c r="D3178" s="8">
        <v>55.0143549878833</v>
      </c>
      <c r="E3178" s="9" t="s">
        <v>282</v>
      </c>
      <c r="I3178" s="12" t="str">
        <f>IFERROR(__xludf.DUMMYFUNCTION("""COMPUTED_VALUE"""),"0xf465aae2a04ede43236bbafef28c95c112c20b90")</f>
        <v>0xf465aae2a04ede43236bbafef28c95c112c20b90</v>
      </c>
      <c r="J3178" s="11">
        <v>63.217307546936</v>
      </c>
      <c r="K3178" s="12">
        <v>140.48290565985778</v>
      </c>
      <c r="L3178" s="13">
        <v>1.4048290565985778E20</v>
      </c>
      <c r="M3178" s="9">
        <v>1.404829056598578E19</v>
      </c>
    </row>
    <row r="3179" ht="15.75" customHeight="1">
      <c r="A3179" s="8"/>
      <c r="B3179" s="8"/>
      <c r="C3179" s="8"/>
      <c r="D3179" s="8">
        <v>44.8547346814521</v>
      </c>
      <c r="E3179" s="9" t="s">
        <v>3060</v>
      </c>
      <c r="I3179" s="12" t="str">
        <f>IFERROR(__xludf.DUMMYFUNCTION("""COMPUTED_VALUE"""),"0xf75d027a1db920d8e669d7d9ac904a5233935d2d")</f>
        <v>0xf75d027a1db920d8e669d7d9ac904a5233935d2d</v>
      </c>
      <c r="J3179" s="11">
        <v>42.418091700498</v>
      </c>
      <c r="K3179" s="12">
        <v>94.26242600110668</v>
      </c>
      <c r="L3179" s="13">
        <v>9.426242600110668E19</v>
      </c>
      <c r="M3179" s="9">
        <v>9.426242600110668E18</v>
      </c>
    </row>
    <row r="3180" ht="15.75" customHeight="1">
      <c r="A3180" s="8"/>
      <c r="B3180" s="8"/>
      <c r="C3180" s="8"/>
      <c r="D3180" s="8">
        <v>63.217307546936</v>
      </c>
      <c r="E3180" s="9" t="s">
        <v>287</v>
      </c>
      <c r="I3180" s="12" t="str">
        <f>IFERROR(__xludf.DUMMYFUNCTION("""COMPUTED_VALUE"""),"0xf8bc9b87609fa26749014d216fdbc9353f29b6d0")</f>
        <v>0xf8bc9b87609fa26749014d216fdbc9353f29b6d0</v>
      </c>
      <c r="J3180" s="11">
        <v>60.3356870310368</v>
      </c>
      <c r="K3180" s="12">
        <v>134.0793045134151</v>
      </c>
      <c r="L3180" s="13">
        <v>1.340793045134151E20</v>
      </c>
      <c r="M3180" s="9">
        <v>1.340793045134151E19</v>
      </c>
    </row>
    <row r="3181" ht="15.75" customHeight="1">
      <c r="A3181" s="8"/>
      <c r="B3181" s="8"/>
      <c r="C3181" s="8"/>
      <c r="D3181" s="8">
        <v>63.217307546936</v>
      </c>
      <c r="E3181" s="9" t="s">
        <v>289</v>
      </c>
      <c r="I3181" s="12" t="str">
        <f>IFERROR(__xludf.DUMMYFUNCTION("""COMPUTED_VALUE"""),"0xf9a19913ad6e1515752c53079c36181913dc565d")</f>
        <v>0xf9a19913ad6e1515752c53079c36181913dc565d</v>
      </c>
      <c r="J3181" s="11">
        <v>15.2888189313725</v>
      </c>
      <c r="K3181" s="12">
        <v>33.975153180827775</v>
      </c>
      <c r="L3181" s="13">
        <v>3.3975153180827775E19</v>
      </c>
      <c r="M3181" s="9">
        <v>3.3975153180827776E18</v>
      </c>
    </row>
    <row r="3182" ht="15.75" customHeight="1">
      <c r="A3182" s="8"/>
      <c r="B3182" s="8"/>
      <c r="C3182" s="8"/>
      <c r="D3182" s="8">
        <v>63.217307546936</v>
      </c>
      <c r="E3182" s="9" t="s">
        <v>290</v>
      </c>
      <c r="I3182" s="12" t="str">
        <f>IFERROR(__xludf.DUMMYFUNCTION("""COMPUTED_VALUE"""),"0xfa934996ab5e05017861345bfdaf1ea1e1d67999")</f>
        <v>0xfa934996ab5e05017861345bfdaf1ea1e1d67999</v>
      </c>
      <c r="J3182" s="11">
        <v>55.0568500557912</v>
      </c>
      <c r="K3182" s="12">
        <v>122.348555679536</v>
      </c>
      <c r="L3182" s="13">
        <v>1.22348555679536E20</v>
      </c>
      <c r="M3182" s="9">
        <v>1.22348555679536E19</v>
      </c>
    </row>
    <row r="3183" ht="15.75" customHeight="1">
      <c r="A3183" s="8"/>
      <c r="B3183" s="8"/>
      <c r="C3183" s="8"/>
      <c r="D3183" s="8">
        <v>63.217307546936</v>
      </c>
      <c r="E3183" s="9" t="s">
        <v>3061</v>
      </c>
      <c r="I3183" s="12" t="str">
        <f>IFERROR(__xludf.DUMMYFUNCTION("""COMPUTED_VALUE"""),"0xfaab5615d353691fbe9b3d973fe89e20e20fdffb")</f>
        <v>0xfaab5615d353691fbe9b3d973fe89e20e20fdffb</v>
      </c>
      <c r="J3183" s="11">
        <v>25.292174085326</v>
      </c>
      <c r="K3183" s="12">
        <v>56.20483130072444</v>
      </c>
      <c r="L3183" s="13">
        <v>5.620483130072444E19</v>
      </c>
      <c r="M3183" s="9">
        <v>5.6204831300724449E18</v>
      </c>
    </row>
    <row r="3184" ht="15.75" customHeight="1">
      <c r="A3184" s="8"/>
      <c r="B3184" s="8"/>
      <c r="C3184" s="8"/>
      <c r="D3184" s="8">
        <v>63.217307546936</v>
      </c>
      <c r="E3184" s="9" t="s">
        <v>293</v>
      </c>
      <c r="I3184" s="12" t="str">
        <f>IFERROR(__xludf.DUMMYFUNCTION("""COMPUTED_VALUE"""),"0xfb4a8a93268e75ed286634d1d2d5bec050821c5d")</f>
        <v>0xfb4a8a93268e75ed286634d1d2d5bec050821c5d</v>
      </c>
      <c r="J3184" s="11">
        <v>32.6766907740387</v>
      </c>
      <c r="K3184" s="12">
        <v>72.61486838675266</v>
      </c>
      <c r="L3184" s="13">
        <v>7.261486838675266E19</v>
      </c>
      <c r="M3184" s="9">
        <v>7.2614868386752666E18</v>
      </c>
    </row>
    <row r="3185" ht="15.75" customHeight="1">
      <c r="A3185" s="8"/>
      <c r="B3185" s="8"/>
      <c r="C3185" s="8"/>
      <c r="D3185" s="8">
        <v>0.715960757292086</v>
      </c>
      <c r="E3185" s="9" t="s">
        <v>294</v>
      </c>
      <c r="I3185" s="12" t="str">
        <f>IFERROR(__xludf.DUMMYFUNCTION("""COMPUTED_VALUE"""),"0xfe2b887734268ae566ebf459982641548af0d40a")</f>
        <v>0xfe2b887734268ae566ebf459982641548af0d40a</v>
      </c>
      <c r="J3185" s="11">
        <v>63.217307546936</v>
      </c>
      <c r="K3185" s="12">
        <v>140.48290565985778</v>
      </c>
      <c r="L3185" s="13">
        <v>1.4048290565985778E20</v>
      </c>
      <c r="M3185" s="9">
        <v>1.404829056598578E19</v>
      </c>
    </row>
    <row r="3186" ht="15.75" customHeight="1">
      <c r="A3186" s="8"/>
      <c r="B3186" s="8"/>
      <c r="C3186" s="8"/>
      <c r="D3186" s="8">
        <v>63.217307546936</v>
      </c>
      <c r="E3186" s="9" t="s">
        <v>300</v>
      </c>
      <c r="I3186" s="12" t="str">
        <f>IFERROR(__xludf.DUMMYFUNCTION("""COMPUTED_VALUE"""),"0x01b952b01109e2a9cb8f39023de4d12e91c6ab51")</f>
        <v>0x01b952b01109e2a9cb8f39023de4d12e91c6ab51</v>
      </c>
      <c r="J3186" s="11">
        <v>6.27899016353313</v>
      </c>
      <c r="K3186" s="12">
        <v>13.953311474518067</v>
      </c>
      <c r="L3186" s="13">
        <v>1.3953311474518067E19</v>
      </c>
      <c r="M3186" s="9">
        <v>1.39533114745180672E18</v>
      </c>
    </row>
    <row r="3187" ht="15.75" customHeight="1">
      <c r="A3187" s="8"/>
      <c r="B3187" s="8"/>
      <c r="C3187" s="8"/>
      <c r="D3187" s="8">
        <v>62.4521473093268</v>
      </c>
      <c r="E3187" s="9" t="s">
        <v>301</v>
      </c>
      <c r="I3187" s="12" t="str">
        <f>IFERROR(__xludf.DUMMYFUNCTION("""COMPUTED_VALUE"""),"0x01ee7b67cf49af45b7111bbf23e6caabf204be98")</f>
        <v>0x01ee7b67cf49af45b7111bbf23e6caabf204be98</v>
      </c>
      <c r="J3187" s="11">
        <v>1.97124127540843</v>
      </c>
      <c r="K3187" s="12">
        <v>4.380536167574289</v>
      </c>
      <c r="L3187" s="13">
        <v>4.3805361675742889E18</v>
      </c>
      <c r="M3187" s="9">
        <v>4.3805361675742893E17</v>
      </c>
    </row>
    <row r="3188" ht="15.75" customHeight="1">
      <c r="A3188" s="8"/>
      <c r="B3188" s="8"/>
      <c r="C3188" s="8"/>
      <c r="D3188" s="8">
        <v>63.217307546936</v>
      </c>
      <c r="E3188" s="9" t="s">
        <v>302</v>
      </c>
      <c r="I3188" s="12" t="str">
        <f>IFERROR(__xludf.DUMMYFUNCTION("""COMPUTED_VALUE"""),"0x03abcaf27cd3c17b461c226aeca6a1a16b2ab89c")</f>
        <v>0x03abcaf27cd3c17b461c226aeca6a1a16b2ab89c</v>
      </c>
      <c r="J3188" s="11">
        <v>0.167272017054406</v>
      </c>
      <c r="K3188" s="12">
        <v>0.37171559345423555</v>
      </c>
      <c r="L3188" s="13">
        <v>3.7171559345423552E17</v>
      </c>
      <c r="M3188" s="9">
        <v>3.7171559345423552E16</v>
      </c>
    </row>
    <row r="3189" ht="15.75" customHeight="1">
      <c r="A3189" s="8"/>
      <c r="B3189" s="8"/>
      <c r="C3189" s="8"/>
      <c r="D3189" s="8">
        <v>63.217307546936</v>
      </c>
      <c r="E3189" s="9" t="s">
        <v>305</v>
      </c>
      <c r="I3189" s="12" t="str">
        <f>IFERROR(__xludf.DUMMYFUNCTION("""COMPUTED_VALUE"""),"0x0c8e1fe0d3981120765d703461dc5300eb448a1a")</f>
        <v>0x0c8e1fe0d3981120765d703461dc5300eb448a1a</v>
      </c>
      <c r="J3189" s="11">
        <v>1.94037369926197</v>
      </c>
      <c r="K3189" s="12">
        <v>4.311941553915489</v>
      </c>
      <c r="L3189" s="13">
        <v>4.3119415539154888E18</v>
      </c>
      <c r="M3189" s="9">
        <v>4.3119415539154893E17</v>
      </c>
    </row>
    <row r="3190" ht="15.75" customHeight="1">
      <c r="A3190" s="8"/>
      <c r="B3190" s="8"/>
      <c r="C3190" s="8"/>
      <c r="D3190" s="8">
        <v>0.250301425189007</v>
      </c>
      <c r="E3190" s="9" t="s">
        <v>307</v>
      </c>
      <c r="I3190" s="12" t="str">
        <f>IFERROR(__xludf.DUMMYFUNCTION("""COMPUTED_VALUE"""),"0x0d018c40229202ccb746ef41d94d64f86ef6bac1")</f>
        <v>0x0d018c40229202ccb746ef41d94d64f86ef6bac1</v>
      </c>
      <c r="J3190" s="11">
        <v>39.4732334870843</v>
      </c>
      <c r="K3190" s="12">
        <v>87.71829663796511</v>
      </c>
      <c r="L3190" s="13">
        <v>8.77182966379651E19</v>
      </c>
      <c r="M3190" s="9">
        <v>8.7718296637965107E18</v>
      </c>
    </row>
    <row r="3191" ht="15.75" customHeight="1">
      <c r="A3191" s="8"/>
      <c r="B3191" s="8"/>
      <c r="C3191" s="8"/>
      <c r="D3191" s="8">
        <v>27.40796037995</v>
      </c>
      <c r="E3191" s="9" t="s">
        <v>310</v>
      </c>
      <c r="I3191" s="12" t="str">
        <f>IFERROR(__xludf.DUMMYFUNCTION("""COMPUTED_VALUE"""),"0x0e989c71471eca64844e9bb8d2ab6831126347dc")</f>
        <v>0x0e989c71471eca64844e9bb8d2ab6831126347dc</v>
      </c>
      <c r="J3191" s="11">
        <v>1.77143381284271</v>
      </c>
      <c r="K3191" s="12">
        <v>3.936519584094911</v>
      </c>
      <c r="L3191" s="13">
        <v>3.936519584094911E18</v>
      </c>
      <c r="M3191" s="9">
        <v>3.9365195840949114E17</v>
      </c>
    </row>
    <row r="3192" ht="15.75" customHeight="1">
      <c r="A3192" s="8"/>
      <c r="B3192" s="8"/>
      <c r="C3192" s="8"/>
      <c r="D3192" s="8">
        <v>63.217307546936</v>
      </c>
      <c r="E3192" s="9" t="s">
        <v>319</v>
      </c>
      <c r="I3192" s="12" t="str">
        <f>IFERROR(__xludf.DUMMYFUNCTION("""COMPUTED_VALUE"""),"0x18b6cfb7f1388ed5c49177a7ffb31ab887858cea")</f>
        <v>0x18b6cfb7f1388ed5c49177a7ffb31ab887858cea</v>
      </c>
      <c r="J3192" s="11">
        <v>64.8337340551676</v>
      </c>
      <c r="K3192" s="12">
        <v>144.0749645670391</v>
      </c>
      <c r="L3192" s="13">
        <v>1.440749645670391E20</v>
      </c>
      <c r="M3192" s="9">
        <v>1.440749645670391E19</v>
      </c>
    </row>
    <row r="3193" ht="15.75" customHeight="1">
      <c r="A3193" s="8"/>
      <c r="B3193" s="8"/>
      <c r="C3193" s="8"/>
      <c r="D3193" s="8">
        <v>63.217307546936</v>
      </c>
      <c r="E3193" s="9" t="s">
        <v>320</v>
      </c>
      <c r="I3193" s="12" t="str">
        <f>IFERROR(__xludf.DUMMYFUNCTION("""COMPUTED_VALUE"""),"0x18e5cefcbd90c57d25ae0ea490b65bbff5dde0be")</f>
        <v>0x18e5cefcbd90c57d25ae0ea490b65bbff5dde0be</v>
      </c>
      <c r="J3193" s="11">
        <v>20.5469828467896</v>
      </c>
      <c r="K3193" s="12">
        <v>45.65996188175467</v>
      </c>
      <c r="L3193" s="13">
        <v>4.5659961881754665E19</v>
      </c>
      <c r="M3193" s="9">
        <v>4.5659961881754665E18</v>
      </c>
    </row>
    <row r="3194" ht="15.75" customHeight="1">
      <c r="A3194" s="8"/>
      <c r="B3194" s="8"/>
      <c r="C3194" s="8"/>
      <c r="D3194" s="8">
        <v>63.217307546936</v>
      </c>
      <c r="E3194" s="9" t="s">
        <v>321</v>
      </c>
      <c r="I3194" s="12" t="str">
        <f>IFERROR(__xludf.DUMMYFUNCTION("""COMPUTED_VALUE"""),"0x1ba619c55aa5a0527dfdcf1deac6e34640e5c2c7")</f>
        <v>0x1ba619c55aa5a0527dfdcf1deac6e34640e5c2c7</v>
      </c>
      <c r="J3194" s="11">
        <v>1.44164310779359</v>
      </c>
      <c r="K3194" s="12">
        <v>3.2036513506524225</v>
      </c>
      <c r="L3194" s="13">
        <v>3.2036513506524227E18</v>
      </c>
      <c r="M3194" s="9">
        <v>3.203651350652423E17</v>
      </c>
    </row>
    <row r="3195" ht="15.75" customHeight="1">
      <c r="A3195" s="8"/>
      <c r="B3195" s="8"/>
      <c r="C3195" s="8"/>
      <c r="D3195" s="8">
        <v>63.217307546936</v>
      </c>
      <c r="E3195" s="9" t="s">
        <v>322</v>
      </c>
      <c r="I3195" s="12" t="str">
        <f>IFERROR(__xludf.DUMMYFUNCTION("""COMPUTED_VALUE"""),"0x20297e2497c2206ec0654ca1c4f8ff1ec146a484")</f>
        <v>0x20297e2497c2206ec0654ca1c4f8ff1ec146a484</v>
      </c>
      <c r="J3195" s="11">
        <v>1.95879411537471</v>
      </c>
      <c r="K3195" s="12">
        <v>4.352875811943799</v>
      </c>
      <c r="L3195" s="13">
        <v>4.3528758119437993E18</v>
      </c>
      <c r="M3195" s="9">
        <v>4.3528758119437997E17</v>
      </c>
    </row>
    <row r="3196" ht="15.75" customHeight="1">
      <c r="A3196" s="8"/>
      <c r="B3196" s="8"/>
      <c r="C3196" s="8"/>
      <c r="D3196" s="8">
        <v>63.217307546936</v>
      </c>
      <c r="E3196" s="9" t="s">
        <v>326</v>
      </c>
      <c r="I3196" s="12" t="str">
        <f>IFERROR(__xludf.DUMMYFUNCTION("""COMPUTED_VALUE"""),"0x212517bd099d380d1f721f5738b9242518c6bdc2")</f>
        <v>0x212517bd099d380d1f721f5738b9242518c6bdc2</v>
      </c>
      <c r="J3196" s="11">
        <v>1.97580264179363</v>
      </c>
      <c r="K3196" s="12">
        <v>4.390672537319178</v>
      </c>
      <c r="L3196" s="13">
        <v>4.3906725373191777E18</v>
      </c>
      <c r="M3196" s="9">
        <v>4.3906725373191782E17</v>
      </c>
    </row>
    <row r="3197" ht="15.75" customHeight="1">
      <c r="A3197" s="8"/>
      <c r="B3197" s="8"/>
      <c r="C3197" s="8"/>
      <c r="D3197" s="8">
        <v>50.5738460375488</v>
      </c>
      <c r="E3197" s="9" t="s">
        <v>327</v>
      </c>
      <c r="I3197" s="12" t="str">
        <f>IFERROR(__xludf.DUMMYFUNCTION("""COMPUTED_VALUE"""),"0x233378095c1d21fb4756917872e4307380fe01f6")</f>
        <v>0x233378095c1d21fb4756917872e4307380fe01f6</v>
      </c>
      <c r="J3197" s="11">
        <v>0.191490075234217</v>
      </c>
      <c r="K3197" s="12">
        <v>0.42553350052048217</v>
      </c>
      <c r="L3197" s="13">
        <v>4.2553350052048218E17</v>
      </c>
      <c r="M3197" s="9">
        <v>4.2553350052048216E16</v>
      </c>
    </row>
    <row r="3198" ht="15.75" customHeight="1">
      <c r="A3198" s="8"/>
      <c r="B3198" s="8"/>
      <c r="C3198" s="8"/>
      <c r="D3198" s="8">
        <v>63.217307546936</v>
      </c>
      <c r="E3198" s="9" t="s">
        <v>328</v>
      </c>
      <c r="I3198" s="12" t="str">
        <f>IFERROR(__xludf.DUMMYFUNCTION("""COMPUTED_VALUE"""),"0x235acdcf985dcf80af75f657c2419f6bf935a3bd")</f>
        <v>0x235acdcf985dcf80af75f657c2419f6bf935a3bd</v>
      </c>
      <c r="J3198" s="11">
        <v>15.1634195718169</v>
      </c>
      <c r="K3198" s="12">
        <v>33.69648793737089</v>
      </c>
      <c r="L3198" s="13">
        <v>3.369648793737089E19</v>
      </c>
      <c r="M3198" s="9">
        <v>3.369648793737089E18</v>
      </c>
    </row>
    <row r="3199" ht="15.75" customHeight="1">
      <c r="A3199" s="8"/>
      <c r="B3199" s="8"/>
      <c r="C3199" s="8"/>
      <c r="D3199" s="8">
        <v>63.217307546936</v>
      </c>
      <c r="E3199" s="9" t="s">
        <v>333</v>
      </c>
      <c r="I3199" s="12" t="str">
        <f>IFERROR(__xludf.DUMMYFUNCTION("""COMPUTED_VALUE"""),"0x2b4c636f6212c610a81e734c866ce13edbde3dc0")</f>
        <v>0x2b4c636f6212c610a81e734c866ce13edbde3dc0</v>
      </c>
      <c r="J3199" s="11">
        <v>1.94579033779014</v>
      </c>
      <c r="K3199" s="12">
        <v>4.323978528422534</v>
      </c>
      <c r="L3199" s="13">
        <v>4.3239785284225336E18</v>
      </c>
      <c r="M3199" s="9">
        <v>4.3239785284225338E17</v>
      </c>
    </row>
    <row r="3200" ht="15.75" customHeight="1">
      <c r="A3200" s="8"/>
      <c r="B3200" s="8"/>
      <c r="C3200" s="8"/>
      <c r="D3200" s="8">
        <v>63.217307546936</v>
      </c>
      <c r="E3200" s="9" t="s">
        <v>334</v>
      </c>
      <c r="I3200" s="12" t="str">
        <f>IFERROR(__xludf.DUMMYFUNCTION("""COMPUTED_VALUE"""),"0x30c8c66d77a259d3b53473dbdd38b57a7e772c4d")</f>
        <v>0x30c8c66d77a259d3b53473dbdd38b57a7e772c4d</v>
      </c>
      <c r="J3200" s="11">
        <v>38.8085248799494</v>
      </c>
      <c r="K3200" s="12">
        <v>86.24116639988756</v>
      </c>
      <c r="L3200" s="13">
        <v>8.624116639988756E19</v>
      </c>
      <c r="M3200" s="9">
        <v>8.6241166399887565E18</v>
      </c>
    </row>
    <row r="3201" ht="15.75" customHeight="1">
      <c r="A3201" s="8"/>
      <c r="B3201" s="8"/>
      <c r="C3201" s="8"/>
      <c r="D3201" s="8">
        <v>63.217307546936</v>
      </c>
      <c r="E3201" s="9" t="s">
        <v>340</v>
      </c>
      <c r="I3201" s="12" t="str">
        <f>IFERROR(__xludf.DUMMYFUNCTION("""COMPUTED_VALUE"""),"0x31483d1a4424b21ab21b76ccb5225b0ad9ec0bd8")</f>
        <v>0x31483d1a4424b21ab21b76ccb5225b0ad9ec0bd8</v>
      </c>
      <c r="J3201" s="11">
        <v>9.72895168895072</v>
      </c>
      <c r="K3201" s="12">
        <v>21.619892642112713</v>
      </c>
      <c r="L3201" s="13">
        <v>2.1619892642112713E19</v>
      </c>
      <c r="M3201" s="9">
        <v>2.16198926421127142E18</v>
      </c>
    </row>
    <row r="3202" ht="15.75" customHeight="1">
      <c r="A3202" s="8"/>
      <c r="B3202" s="8"/>
      <c r="C3202" s="8"/>
      <c r="D3202" s="8">
        <v>63.217307546936</v>
      </c>
      <c r="E3202" s="9" t="s">
        <v>341</v>
      </c>
      <c r="I3202" s="12" t="str">
        <f>IFERROR(__xludf.DUMMYFUNCTION("""COMPUTED_VALUE"""),"0x33190147504959e263a0215d4bffa67c5cb4893a")</f>
        <v>0x33190147504959e263a0215d4bffa67c5cb4893a</v>
      </c>
      <c r="J3202" s="11">
        <v>1.94579033779014</v>
      </c>
      <c r="K3202" s="12">
        <v>4.323978528422534</v>
      </c>
      <c r="L3202" s="13">
        <v>4.3239785284225336E18</v>
      </c>
      <c r="M3202" s="9">
        <v>4.3239785284225338E17</v>
      </c>
    </row>
    <row r="3203" ht="15.75" customHeight="1">
      <c r="A3203" s="8"/>
      <c r="B3203" s="8"/>
      <c r="C3203" s="8"/>
      <c r="D3203" s="8">
        <v>63.217307546936</v>
      </c>
      <c r="E3203" s="9" t="s">
        <v>343</v>
      </c>
      <c r="I3203" s="12" t="str">
        <f>IFERROR(__xludf.DUMMYFUNCTION("""COMPUTED_VALUE"""),"0x378f03bd1bd471ab6b89313393daddbdccb576ea")</f>
        <v>0x378f03bd1bd471ab6b89313393daddbdccb576ea</v>
      </c>
      <c r="J3203" s="11">
        <v>1.41274058705964</v>
      </c>
      <c r="K3203" s="12">
        <v>3.1394235267991997</v>
      </c>
      <c r="L3203" s="13">
        <v>3.1394235267991997E18</v>
      </c>
      <c r="M3203" s="9">
        <v>3.1394235267992E17</v>
      </c>
    </row>
    <row r="3204" ht="15.75" customHeight="1">
      <c r="A3204" s="8"/>
      <c r="B3204" s="8"/>
      <c r="C3204" s="8"/>
      <c r="D3204" s="8">
        <v>63.217307546936</v>
      </c>
      <c r="E3204" s="9" t="s">
        <v>344</v>
      </c>
      <c r="I3204" s="12" t="str">
        <f>IFERROR(__xludf.DUMMYFUNCTION("""COMPUTED_VALUE"""),"0x39796ab3c65a9b1f5eb1db80cd08d5b60a2ea3af")</f>
        <v>0x39796ab3c65a9b1f5eb1db80cd08d5b60a2ea3af</v>
      </c>
      <c r="J3204" s="11">
        <v>638.802967896504</v>
      </c>
      <c r="K3204" s="12">
        <v>1419.56215088112</v>
      </c>
      <c r="L3204" s="13">
        <v>1.41956215088112E21</v>
      </c>
      <c r="M3204" s="9">
        <v>1.4195621508811201E20</v>
      </c>
    </row>
    <row r="3205" ht="15.75" customHeight="1">
      <c r="A3205" s="8"/>
      <c r="B3205" s="8"/>
      <c r="C3205" s="8"/>
      <c r="D3205" s="8">
        <v>63.217307546936</v>
      </c>
      <c r="E3205" s="9" t="s">
        <v>345</v>
      </c>
      <c r="I3205" s="12" t="str">
        <f>IFERROR(__xludf.DUMMYFUNCTION("""COMPUTED_VALUE"""),"0x39d702949866b558a8900ad513a0ab348ed64afe")</f>
        <v>0x39d702949866b558a8900ad513a0ab348ed64afe</v>
      </c>
      <c r="J3205" s="11">
        <v>8.80776862249121</v>
      </c>
      <c r="K3205" s="12">
        <v>19.572819161091576</v>
      </c>
      <c r="L3205" s="13">
        <v>1.9572819161091576E19</v>
      </c>
      <c r="M3205" s="9">
        <v>1.95728191610915763E18</v>
      </c>
    </row>
    <row r="3206" ht="15.75" customHeight="1">
      <c r="A3206" s="8"/>
      <c r="B3206" s="8"/>
      <c r="C3206" s="8"/>
      <c r="D3206" s="8">
        <v>63.217307546936</v>
      </c>
      <c r="E3206" s="9" t="s">
        <v>3062</v>
      </c>
      <c r="I3206" s="12" t="str">
        <f>IFERROR(__xludf.DUMMYFUNCTION("""COMPUTED_VALUE"""),"0x3d1d397acd3b0989d9e633d6dbf7e6f8f5c03a2d")</f>
        <v>0x3d1d397acd3b0989d9e633d6dbf7e6f8f5c03a2d</v>
      </c>
      <c r="J3206" s="11">
        <v>91.7518826494859</v>
      </c>
      <c r="K3206" s="12">
        <v>203.89307255441312</v>
      </c>
      <c r="L3206" s="13">
        <v>2.0389307255441313E20</v>
      </c>
      <c r="M3206" s="9">
        <v>2.0389307255441314E19</v>
      </c>
    </row>
    <row r="3207" ht="15.75" customHeight="1">
      <c r="A3207" s="8"/>
      <c r="B3207" s="8"/>
      <c r="C3207" s="8"/>
      <c r="D3207" s="8">
        <v>63.0048721066553</v>
      </c>
      <c r="E3207" s="9" t="s">
        <v>348</v>
      </c>
      <c r="I3207" s="12" t="str">
        <f>IFERROR(__xludf.DUMMYFUNCTION("""COMPUTED_VALUE"""),"0x42b3d65094a75cb7daeff8d92737e8a31814c2e4")</f>
        <v>0x42b3d65094a75cb7daeff8d92737e8a31814c2e4</v>
      </c>
      <c r="J3207" s="11">
        <v>370.419021937128</v>
      </c>
      <c r="K3207" s="12">
        <v>823.1533820825066</v>
      </c>
      <c r="L3207" s="13">
        <v>8.231533820825067E20</v>
      </c>
      <c r="M3207" s="9">
        <v>8.231533820825068E19</v>
      </c>
    </row>
    <row r="3208" ht="15.75" customHeight="1">
      <c r="A3208" s="8"/>
      <c r="B3208" s="8"/>
      <c r="C3208" s="8"/>
      <c r="D3208" s="8">
        <v>63.217307546936</v>
      </c>
      <c r="E3208" s="9" t="s">
        <v>349</v>
      </c>
      <c r="I3208" s="12" t="str">
        <f>IFERROR(__xludf.DUMMYFUNCTION("""COMPUTED_VALUE"""),"0x446087a1439a10889ebc124abd2e2761370bc848")</f>
        <v>0x446087a1439a10889ebc124abd2e2761370bc848</v>
      </c>
      <c r="J3208" s="11">
        <v>2.08197456323082</v>
      </c>
      <c r="K3208" s="12">
        <v>4.626610140512933</v>
      </c>
      <c r="L3208" s="13">
        <v>4.6266101405129329E18</v>
      </c>
      <c r="M3208" s="9">
        <v>4.6266101405129331E17</v>
      </c>
    </row>
    <row r="3209" ht="15.75" customHeight="1">
      <c r="A3209" s="8"/>
      <c r="B3209" s="8"/>
      <c r="C3209" s="8"/>
      <c r="D3209" s="8">
        <v>63.217307546936</v>
      </c>
      <c r="E3209" s="9" t="s">
        <v>350</v>
      </c>
      <c r="I3209" s="12" t="str">
        <f>IFERROR(__xludf.DUMMYFUNCTION("""COMPUTED_VALUE"""),"0x475e0f5b5db82c15a891773d1587c6a238ef98ce")</f>
        <v>0x475e0f5b5db82c15a891773d1587c6a238ef98ce</v>
      </c>
      <c r="J3209" s="11">
        <v>4.54915754224327</v>
      </c>
      <c r="K3209" s="12">
        <v>10.109238982762822</v>
      </c>
      <c r="L3209" s="13">
        <v>1.0109238982762822E19</v>
      </c>
      <c r="M3209" s="9">
        <v>1.01092389827628224E18</v>
      </c>
    </row>
    <row r="3210" ht="15.75" customHeight="1">
      <c r="A3210" s="8"/>
      <c r="B3210" s="8"/>
      <c r="C3210" s="8"/>
      <c r="D3210" s="8">
        <v>61.3545717993074</v>
      </c>
      <c r="E3210" s="9" t="s">
        <v>354</v>
      </c>
      <c r="I3210" s="12" t="str">
        <f>IFERROR(__xludf.DUMMYFUNCTION("""COMPUTED_VALUE"""),"0x47f0cbca52894517917a42f545d438304c1d80af")</f>
        <v>0x47f0cbca52894517917a42f545d438304c1d80af</v>
      </c>
      <c r="J3210" s="11">
        <v>1.41158817922674</v>
      </c>
      <c r="K3210" s="12">
        <v>3.1368626205038663</v>
      </c>
      <c r="L3210" s="13">
        <v>3.1368626205038664E18</v>
      </c>
      <c r="M3210" s="9">
        <v>3.1368626205038662E17</v>
      </c>
    </row>
    <row r="3211" ht="15.75" customHeight="1">
      <c r="A3211" s="8"/>
      <c r="B3211" s="8"/>
      <c r="C3211" s="8"/>
      <c r="D3211" s="8">
        <v>63.217307546936</v>
      </c>
      <c r="E3211" s="9" t="s">
        <v>355</v>
      </c>
      <c r="I3211" s="12" t="str">
        <f>IFERROR(__xludf.DUMMYFUNCTION("""COMPUTED_VALUE"""),"0x4af783e7b31069506d44e90bcc5c007293f540dd")</f>
        <v>0x4af783e7b31069506d44e90bcc5c007293f540dd</v>
      </c>
      <c r="J3211" s="11">
        <v>11.6747420267408</v>
      </c>
      <c r="K3211" s="12">
        <v>25.94387117053511</v>
      </c>
      <c r="L3211" s="13">
        <v>2.5943871170535113E19</v>
      </c>
      <c r="M3211" s="9">
        <v>2.5943871170535112E18</v>
      </c>
    </row>
    <row r="3212" ht="15.75" customHeight="1">
      <c r="A3212" s="8"/>
      <c r="B3212" s="8"/>
      <c r="C3212" s="8"/>
      <c r="D3212" s="8">
        <v>63.217307546936</v>
      </c>
      <c r="E3212" s="9" t="s">
        <v>356</v>
      </c>
      <c r="I3212" s="12" t="str">
        <f>IFERROR(__xludf.DUMMYFUNCTION("""COMPUTED_VALUE"""),"0x534af2d161b13a1757a7de3859e4854d126b75e0")</f>
        <v>0x534af2d161b13a1757a7de3859e4854d126b75e0</v>
      </c>
      <c r="J3212" s="11">
        <v>0.312420329741381</v>
      </c>
      <c r="K3212" s="12">
        <v>0.6942673994252911</v>
      </c>
      <c r="L3212" s="13">
        <v>6.9426739942529114E17</v>
      </c>
      <c r="M3212" s="9">
        <v>6.942673994252912E16</v>
      </c>
    </row>
    <row r="3213" ht="15.75" customHeight="1">
      <c r="A3213" s="8"/>
      <c r="B3213" s="8"/>
      <c r="C3213" s="8"/>
      <c r="D3213" s="8">
        <v>63.217307546936</v>
      </c>
      <c r="E3213" s="9" t="s">
        <v>357</v>
      </c>
      <c r="I3213" s="12" t="str">
        <f>IFERROR(__xludf.DUMMYFUNCTION("""COMPUTED_VALUE"""),"0x546597f206765e7d5ba6f0e05a3ef40f7bff8ec4")</f>
        <v>0x546597f206765e7d5ba6f0e05a3ef40f7bff8ec4</v>
      </c>
      <c r="J3213" s="11">
        <v>39.1103857895819</v>
      </c>
      <c r="K3213" s="12">
        <v>86.91196842129311</v>
      </c>
      <c r="L3213" s="13">
        <v>8.691196842129311E19</v>
      </c>
      <c r="M3213" s="9">
        <v>8.6911968421293117E18</v>
      </c>
    </row>
    <row r="3214" ht="15.75" customHeight="1">
      <c r="A3214" s="8"/>
      <c r="B3214" s="8"/>
      <c r="C3214" s="8"/>
      <c r="D3214" s="8">
        <v>63.217307546936</v>
      </c>
      <c r="E3214" s="9" t="s">
        <v>360</v>
      </c>
      <c r="I3214" s="12" t="str">
        <f>IFERROR(__xludf.DUMMYFUNCTION("""COMPUTED_VALUE"""),"0x551ad5b3a7a9f1181ac05b327f91c310c67c9fd4")</f>
        <v>0x551ad5b3a7a9f1181ac05b327f91c310c67c9fd4</v>
      </c>
      <c r="J3214" s="11">
        <v>327.682440425549</v>
      </c>
      <c r="K3214" s="12">
        <v>728.1832009456643</v>
      </c>
      <c r="L3214" s="13">
        <v>7.281832009456643E20</v>
      </c>
      <c r="M3214" s="9">
        <v>7.281832009456643E19</v>
      </c>
    </row>
    <row r="3215" ht="15.75" customHeight="1">
      <c r="A3215" s="8"/>
      <c r="B3215" s="8"/>
      <c r="C3215" s="8"/>
      <c r="D3215" s="8">
        <v>63.217307546936</v>
      </c>
      <c r="E3215" s="9" t="s">
        <v>361</v>
      </c>
      <c r="I3215" s="12" t="str">
        <f>IFERROR(__xludf.DUMMYFUNCTION("""COMPUTED_VALUE"""),"0x5727ee7e178ab1c976e4946098c6ae9283f39f49")</f>
        <v>0x5727ee7e178ab1c976e4946098c6ae9283f39f49</v>
      </c>
      <c r="J3215" s="11">
        <v>0.856271285956443</v>
      </c>
      <c r="K3215" s="12">
        <v>1.9028250799032065</v>
      </c>
      <c r="L3215" s="13">
        <v>1.9028250799032064E18</v>
      </c>
      <c r="M3215" s="9">
        <v>1.9028250799032064E17</v>
      </c>
    </row>
    <row r="3216" ht="15.75" customHeight="1">
      <c r="A3216" s="8"/>
      <c r="B3216" s="8"/>
      <c r="C3216" s="8"/>
      <c r="D3216" s="8">
        <v>63.217307546936</v>
      </c>
      <c r="E3216" s="9" t="s">
        <v>363</v>
      </c>
      <c r="I3216" s="12" t="str">
        <f>IFERROR(__xludf.DUMMYFUNCTION("""COMPUTED_VALUE"""),"0x5939a91147bdcdd0ff0270914ae37450b88593dc")</f>
        <v>0x5939a91147bdcdd0ff0270914ae37450b88593dc</v>
      </c>
      <c r="J3216" s="11">
        <v>1.94579033779014</v>
      </c>
      <c r="K3216" s="12">
        <v>4.323978528422534</v>
      </c>
      <c r="L3216" s="13">
        <v>4.3239785284225336E18</v>
      </c>
      <c r="M3216" s="9">
        <v>4.3239785284225338E17</v>
      </c>
    </row>
    <row r="3217" ht="15.75" customHeight="1">
      <c r="A3217" s="8"/>
      <c r="B3217" s="8"/>
      <c r="C3217" s="8"/>
      <c r="D3217" s="8">
        <v>63.217307546936</v>
      </c>
      <c r="E3217" s="9" t="s">
        <v>3063</v>
      </c>
      <c r="I3217" s="12" t="str">
        <f>IFERROR(__xludf.DUMMYFUNCTION("""COMPUTED_VALUE"""),"0x5a3d2e343f92847b69c78cda395699de18a52158")</f>
        <v>0x5a3d2e343f92847b69c78cda395699de18a52158</v>
      </c>
      <c r="J3217" s="11">
        <v>2.79250084679906</v>
      </c>
      <c r="K3217" s="12">
        <v>6.205557437331245</v>
      </c>
      <c r="L3217" s="13">
        <v>6.2055574373312451E18</v>
      </c>
      <c r="M3217" s="9">
        <v>6.2055574373312448E17</v>
      </c>
    </row>
    <row r="3218" ht="15.75" customHeight="1">
      <c r="A3218" s="8"/>
      <c r="B3218" s="8"/>
      <c r="C3218" s="8"/>
      <c r="D3218" s="8">
        <v>63.217307546936</v>
      </c>
      <c r="E3218" s="9" t="s">
        <v>366</v>
      </c>
      <c r="I3218" s="12" t="str">
        <f>IFERROR(__xludf.DUMMYFUNCTION("""COMPUTED_VALUE"""),"0x5a6caf72d207821bb4fa9d69f336037cd76850e1")</f>
        <v>0x5a6caf72d207821bb4fa9d69f336037cd76850e1</v>
      </c>
      <c r="J3218" s="11">
        <v>1.75297497600012</v>
      </c>
      <c r="K3218" s="12">
        <v>3.8954999466669333</v>
      </c>
      <c r="L3218" s="13">
        <v>3.8954999466669332E18</v>
      </c>
      <c r="M3218" s="9">
        <v>3.8954999466669338E17</v>
      </c>
    </row>
    <row r="3219" ht="15.75" customHeight="1">
      <c r="A3219" s="8"/>
      <c r="B3219" s="8"/>
      <c r="C3219" s="8"/>
      <c r="D3219" s="8">
        <v>60.2752334003637</v>
      </c>
      <c r="E3219" s="9" t="s">
        <v>3064</v>
      </c>
      <c r="I3219" s="12" t="str">
        <f>IFERROR(__xludf.DUMMYFUNCTION("""COMPUTED_VALUE"""),"0x5ba61cab4550706ce0b008e1a92355293492cb0d")</f>
        <v>0x5ba61cab4550706ce0b008e1a92355293492cb0d</v>
      </c>
      <c r="J3219" s="11">
        <v>1.78714809028316</v>
      </c>
      <c r="K3219" s="12">
        <v>3.971440200629244</v>
      </c>
      <c r="L3219" s="13">
        <v>3.9714402006292444E18</v>
      </c>
      <c r="M3219" s="9">
        <v>3.9714402006292448E17</v>
      </c>
    </row>
    <row r="3220" ht="15.75" customHeight="1">
      <c r="A3220" s="8"/>
      <c r="B3220" s="8"/>
      <c r="C3220" s="8"/>
      <c r="D3220" s="8">
        <v>58.3233312493909</v>
      </c>
      <c r="E3220" s="9" t="s">
        <v>3065</v>
      </c>
      <c r="I3220" s="12" t="str">
        <f>IFERROR(__xludf.DUMMYFUNCTION("""COMPUTED_VALUE"""),"0x5d02c857e98465f5b3a957b1f43569c4dae58ca0")</f>
        <v>0x5d02c857e98465f5b3a957b1f43569c4dae58ca0</v>
      </c>
      <c r="J3220" s="11">
        <v>4.12951422686896</v>
      </c>
      <c r="K3220" s="12">
        <v>9.176698281931023</v>
      </c>
      <c r="L3220" s="13">
        <v>9.1766982819310223E18</v>
      </c>
      <c r="M3220" s="9">
        <v>9.1766982819310234E17</v>
      </c>
    </row>
    <row r="3221" ht="15.75" customHeight="1">
      <c r="A3221" s="8"/>
      <c r="B3221" s="8"/>
      <c r="C3221" s="8"/>
      <c r="D3221" s="8">
        <v>26.6050845598145</v>
      </c>
      <c r="E3221" s="9" t="s">
        <v>368</v>
      </c>
      <c r="I3221" s="12" t="str">
        <f>IFERROR(__xludf.DUMMYFUNCTION("""COMPUTED_VALUE"""),"0x5e90e426296e157ce261bc5832087487cf9db50d")</f>
        <v>0x5e90e426296e157ce261bc5832087487cf9db50d</v>
      </c>
      <c r="J3221" s="11">
        <v>23.416175603829</v>
      </c>
      <c r="K3221" s="12">
        <v>52.03594578628667</v>
      </c>
      <c r="L3221" s="13">
        <v>5.203594578628667E19</v>
      </c>
      <c r="M3221" s="9">
        <v>5.2035945786286674E18</v>
      </c>
    </row>
    <row r="3222" ht="15.75" customHeight="1">
      <c r="A3222" s="8"/>
      <c r="B3222" s="8"/>
      <c r="C3222" s="8"/>
      <c r="D3222" s="8">
        <v>49.4088058730919</v>
      </c>
      <c r="E3222" s="9" t="s">
        <v>3066</v>
      </c>
      <c r="I3222" s="12" t="str">
        <f>IFERROR(__xludf.DUMMYFUNCTION("""COMPUTED_VALUE"""),"0x61168d47ec95bff7bd2ff9efa5fe5c1e435841a9")</f>
        <v>0x61168d47ec95bff7bd2ff9efa5fe5c1e435841a9</v>
      </c>
      <c r="J3222" s="11">
        <v>1.94579033779014</v>
      </c>
      <c r="K3222" s="12">
        <v>4.323978528422534</v>
      </c>
      <c r="L3222" s="13">
        <v>4.3239785284225336E18</v>
      </c>
      <c r="M3222" s="9">
        <v>4.3239785284225338E17</v>
      </c>
    </row>
    <row r="3223" ht="15.75" customHeight="1">
      <c r="A3223" s="8"/>
      <c r="B3223" s="8"/>
      <c r="C3223" s="8"/>
      <c r="D3223" s="8">
        <v>50.8007602100047</v>
      </c>
      <c r="E3223" s="9" t="s">
        <v>375</v>
      </c>
      <c r="I3223" s="12" t="str">
        <f>IFERROR(__xludf.DUMMYFUNCTION("""COMPUTED_VALUE"""),"0x6165fd87c1bc73a4c44b23934e9136fd92df5b01")</f>
        <v>0x6165fd87c1bc73a4c44b23934e9136fd92df5b01</v>
      </c>
      <c r="J3223" s="11">
        <v>2534.46469483034</v>
      </c>
      <c r="K3223" s="12">
        <v>5632.143766289644</v>
      </c>
      <c r="L3223" s="13">
        <v>5.632143766289645E21</v>
      </c>
      <c r="M3223" s="9">
        <v>5.632143766289645E20</v>
      </c>
    </row>
    <row r="3224" ht="15.75" customHeight="1">
      <c r="A3224" s="8"/>
      <c r="B3224" s="8"/>
      <c r="C3224" s="8"/>
      <c r="D3224" s="8">
        <v>63.217307546936</v>
      </c>
      <c r="E3224" s="9" t="s">
        <v>377</v>
      </c>
      <c r="I3224" s="12" t="str">
        <f>IFERROR(__xludf.DUMMYFUNCTION("""COMPUTED_VALUE"""),"0x6168571ace125b6117eb522bea41f73fe8f38b8b")</f>
        <v>0x6168571ace125b6117eb522bea41f73fe8f38b8b</v>
      </c>
      <c r="J3224" s="11">
        <v>1.08720874417381</v>
      </c>
      <c r="K3224" s="12">
        <v>2.4160194314973555</v>
      </c>
      <c r="L3224" s="13">
        <v>2.4160194314973558E18</v>
      </c>
      <c r="M3224" s="9">
        <v>2.41601943149735584E17</v>
      </c>
    </row>
    <row r="3225" ht="15.75" customHeight="1">
      <c r="A3225" s="8"/>
      <c r="B3225" s="8"/>
      <c r="C3225" s="8"/>
      <c r="D3225" s="8">
        <v>63.217307546936</v>
      </c>
      <c r="E3225" s="9" t="s">
        <v>379</v>
      </c>
      <c r="I3225" s="12" t="str">
        <f>IFERROR(__xludf.DUMMYFUNCTION("""COMPUTED_VALUE"""),"0x63b39084dc33432bb3939746717ccf8042aab6ae")</f>
        <v>0x63b39084dc33432bb3939746717ccf8042aab6ae</v>
      </c>
      <c r="J3225" s="11">
        <v>19.4579033779014</v>
      </c>
      <c r="K3225" s="12">
        <v>43.23978528422533</v>
      </c>
      <c r="L3225" s="13">
        <v>4.323978528422533E19</v>
      </c>
      <c r="M3225" s="9">
        <v>4.3239785284225331E18</v>
      </c>
    </row>
    <row r="3226" ht="15.75" customHeight="1">
      <c r="A3226" s="8"/>
      <c r="B3226" s="8"/>
      <c r="C3226" s="8"/>
      <c r="D3226" s="8">
        <v>12.6781385866278</v>
      </c>
      <c r="E3226" s="9" t="s">
        <v>381</v>
      </c>
      <c r="I3226" s="12" t="str">
        <f>IFERROR(__xludf.DUMMYFUNCTION("""COMPUTED_VALUE"""),"0x6478ecbccb845970cf5652ce6ffbac9df81747e2")</f>
        <v>0x6478ecbccb845970cf5652ce6ffbac9df81747e2</v>
      </c>
      <c r="J3226" s="11">
        <v>3.96445267203872</v>
      </c>
      <c r="K3226" s="12">
        <v>8.80989482675271</v>
      </c>
      <c r="L3226" s="13">
        <v>8.8098948267527107E18</v>
      </c>
      <c r="M3226" s="9">
        <v>8.8098948267527117E17</v>
      </c>
    </row>
    <row r="3227" ht="15.75" customHeight="1">
      <c r="A3227" s="8"/>
      <c r="B3227" s="8"/>
      <c r="C3227" s="8"/>
      <c r="D3227" s="8">
        <v>63.217307546936</v>
      </c>
      <c r="E3227" s="9" t="s">
        <v>382</v>
      </c>
      <c r="I3227" s="12" t="str">
        <f>IFERROR(__xludf.DUMMYFUNCTION("""COMPUTED_VALUE"""),"0x665ab3e2bf1e0309cd702741da26ddefcda067a7")</f>
        <v>0x665ab3e2bf1e0309cd702741da26ddefcda067a7</v>
      </c>
      <c r="J3227" s="11">
        <v>1.94579033779014</v>
      </c>
      <c r="K3227" s="12">
        <v>4.323978528422534</v>
      </c>
      <c r="L3227" s="13">
        <v>4.3239785284225336E18</v>
      </c>
      <c r="M3227" s="9">
        <v>4.3239785284225338E17</v>
      </c>
    </row>
    <row r="3228" ht="15.75" customHeight="1">
      <c r="A3228" s="8"/>
      <c r="B3228" s="8"/>
      <c r="C3228" s="8"/>
      <c r="D3228" s="8">
        <v>28.7283362769924</v>
      </c>
      <c r="E3228" s="9" t="s">
        <v>385</v>
      </c>
      <c r="I3228" s="12" t="str">
        <f>IFERROR(__xludf.DUMMYFUNCTION("""COMPUTED_VALUE"""),"0x6b01c1aeaa8b2e9582710d4cfaa560e89d4e7551")</f>
        <v>0x6b01c1aeaa8b2e9582710d4cfaa560e89d4e7551</v>
      </c>
      <c r="J3228" s="11">
        <v>1.94600342455896</v>
      </c>
      <c r="K3228" s="12">
        <v>4.324452054575467</v>
      </c>
      <c r="L3228" s="13">
        <v>4.324452054575467E18</v>
      </c>
      <c r="M3228" s="9">
        <v>4.3244520545754675E17</v>
      </c>
    </row>
    <row r="3229" ht="15.75" customHeight="1">
      <c r="A3229" s="8"/>
      <c r="B3229" s="8"/>
      <c r="C3229" s="8"/>
      <c r="D3229" s="8">
        <v>63.217307546936</v>
      </c>
      <c r="E3229" s="9" t="s">
        <v>387</v>
      </c>
      <c r="I3229" s="12" t="str">
        <f>IFERROR(__xludf.DUMMYFUNCTION("""COMPUTED_VALUE"""),"0x6c18d6deb8094ef05852d14eaf5de3da8c64a42e")</f>
        <v>0x6c18d6deb8094ef05852d14eaf5de3da8c64a42e</v>
      </c>
      <c r="J3229" s="11">
        <v>175.59730738223</v>
      </c>
      <c r="K3229" s="12">
        <v>390.2162386271778</v>
      </c>
      <c r="L3229" s="13">
        <v>3.902162386271778E20</v>
      </c>
      <c r="M3229" s="9">
        <v>3.902162386271778E19</v>
      </c>
    </row>
    <row r="3230" ht="15.75" customHeight="1">
      <c r="A3230" s="8"/>
      <c r="B3230" s="8"/>
      <c r="C3230" s="8"/>
      <c r="D3230" s="8">
        <v>63.217307546936</v>
      </c>
      <c r="E3230" s="9" t="s">
        <v>391</v>
      </c>
      <c r="I3230" s="12" t="str">
        <f>IFERROR(__xludf.DUMMYFUNCTION("""COMPUTED_VALUE"""),"0x6dcb373aeec6c47251fc296664ca2f7f74f2c19b")</f>
        <v>0x6dcb373aeec6c47251fc296664ca2f7f74f2c19b</v>
      </c>
      <c r="J3230" s="11">
        <v>11.6747420267408</v>
      </c>
      <c r="K3230" s="12">
        <v>25.94387117053511</v>
      </c>
      <c r="L3230" s="13">
        <v>2.5943871170535113E19</v>
      </c>
      <c r="M3230" s="9">
        <v>2.5943871170535112E18</v>
      </c>
    </row>
    <row r="3231" ht="15.75" customHeight="1">
      <c r="A3231" s="8"/>
      <c r="B3231" s="8"/>
      <c r="C3231" s="8"/>
      <c r="D3231" s="8">
        <v>63.217307546936</v>
      </c>
      <c r="E3231" s="9" t="s">
        <v>397</v>
      </c>
      <c r="I3231" s="12" t="str">
        <f>IFERROR(__xludf.DUMMYFUNCTION("""COMPUTED_VALUE"""),"0x6e2651dd80be0907a72094fb3ed8170e0040f068")</f>
        <v>0x6e2651dd80be0907a72094fb3ed8170e0040f068</v>
      </c>
      <c r="J3231" s="11">
        <v>177.299780838307</v>
      </c>
      <c r="K3231" s="12">
        <v>393.9995129740155</v>
      </c>
      <c r="L3231" s="13">
        <v>3.9399951297401546E20</v>
      </c>
      <c r="M3231" s="9">
        <v>3.9399951297401545E19</v>
      </c>
    </row>
    <row r="3232" ht="15.75" customHeight="1">
      <c r="A3232" s="8"/>
      <c r="B3232" s="8"/>
      <c r="C3232" s="8"/>
      <c r="D3232" s="8">
        <v>63.217307546936</v>
      </c>
      <c r="E3232" s="9" t="s">
        <v>398</v>
      </c>
      <c r="I3232" s="12" t="str">
        <f>IFERROR(__xludf.DUMMYFUNCTION("""COMPUTED_VALUE"""),"0x710712544e7bb8da47aa6a780dd6001cda59dbee")</f>
        <v>0x710712544e7bb8da47aa6a780dd6001cda59dbee</v>
      </c>
      <c r="J3232" s="11">
        <v>1.80130049913692</v>
      </c>
      <c r="K3232" s="12">
        <v>4.002889998082044</v>
      </c>
      <c r="L3232" s="13">
        <v>4.0028899980820444E18</v>
      </c>
      <c r="M3232" s="9">
        <v>4.0028899980820448E17</v>
      </c>
    </row>
    <row r="3233" ht="15.75" customHeight="1">
      <c r="A3233" s="8"/>
      <c r="B3233" s="8"/>
      <c r="C3233" s="8"/>
      <c r="D3233" s="8">
        <v>12.6434615093872</v>
      </c>
      <c r="E3233" s="9" t="s">
        <v>401</v>
      </c>
      <c r="I3233" s="12" t="str">
        <f>IFERROR(__xludf.DUMMYFUNCTION("""COMPUTED_VALUE"""),"0x72b4f5a43a24f07a94569270f4a2da64fb09be01")</f>
        <v>0x72b4f5a43a24f07a94569270f4a2da64fb09be01</v>
      </c>
      <c r="J3233" s="11">
        <v>52.9931966251006</v>
      </c>
      <c r="K3233" s="12">
        <v>117.76265916689022</v>
      </c>
      <c r="L3233" s="13">
        <v>1.1776265916689021E20</v>
      </c>
      <c r="M3233" s="9">
        <v>1.1776265916689023E19</v>
      </c>
    </row>
    <row r="3234" ht="15.75" customHeight="1">
      <c r="A3234" s="8"/>
      <c r="B3234" s="8"/>
      <c r="C3234" s="8"/>
      <c r="D3234" s="8">
        <v>63.217307546936</v>
      </c>
      <c r="E3234" s="9" t="s">
        <v>404</v>
      </c>
      <c r="I3234" s="12" t="str">
        <f>IFERROR(__xludf.DUMMYFUNCTION("""COMPUTED_VALUE"""),"0x7770121c7494445f046cd6f7a0a110c080207fcf")</f>
        <v>0x7770121c7494445f046cd6f7a0a110c080207fcf</v>
      </c>
      <c r="J3234" s="11">
        <v>0.997962842594984</v>
      </c>
      <c r="K3234" s="12">
        <v>2.2176952057666313</v>
      </c>
      <c r="L3234" s="13">
        <v>2.21769520576663117E18</v>
      </c>
      <c r="M3234" s="9">
        <v>2.21769520576663136E17</v>
      </c>
    </row>
    <row r="3235" ht="15.75" customHeight="1">
      <c r="A3235" s="8"/>
      <c r="B3235" s="8"/>
      <c r="C3235" s="8"/>
      <c r="D3235" s="8">
        <v>43.1790947235349</v>
      </c>
      <c r="E3235" s="9" t="s">
        <v>405</v>
      </c>
      <c r="I3235" s="12" t="str">
        <f>IFERROR(__xludf.DUMMYFUNCTION("""COMPUTED_VALUE"""),"0x794c22507913a0df14f9be906c811acfca3bb71e")</f>
        <v>0x794c22507913a0df14f9be906c811acfca3bb71e</v>
      </c>
      <c r="J3235" s="11">
        <v>2.9683616647333</v>
      </c>
      <c r="K3235" s="12">
        <v>6.5963592549628896</v>
      </c>
      <c r="L3235" s="13">
        <v>6.5963592549628897E18</v>
      </c>
      <c r="M3235" s="9">
        <v>6.5963592549628902E17</v>
      </c>
    </row>
    <row r="3236" ht="15.75" customHeight="1">
      <c r="A3236" s="8"/>
      <c r="B3236" s="8"/>
      <c r="C3236" s="8"/>
      <c r="D3236" s="8">
        <v>11.1355699929652</v>
      </c>
      <c r="E3236" s="9" t="s">
        <v>413</v>
      </c>
      <c r="I3236" s="12" t="str">
        <f>IFERROR(__xludf.DUMMYFUNCTION("""COMPUTED_VALUE"""),"0x7d1fdb070e3f6b3eca88ee10a526a41e1a6a74b8")</f>
        <v>0x7d1fdb070e3f6b3eca88ee10a526a41e1a6a74b8</v>
      </c>
      <c r="J3236" s="11">
        <v>1.70329565184395</v>
      </c>
      <c r="K3236" s="12">
        <v>3.785101448542111</v>
      </c>
      <c r="L3236" s="13">
        <v>3.7851014485421112E18</v>
      </c>
      <c r="M3236" s="9">
        <v>3.7851014485421114E17</v>
      </c>
    </row>
    <row r="3237" ht="15.75" customHeight="1">
      <c r="A3237" s="8"/>
      <c r="B3237" s="8"/>
      <c r="C3237" s="8"/>
      <c r="D3237" s="8">
        <v>50.8239372693848</v>
      </c>
      <c r="E3237" s="9" t="s">
        <v>415</v>
      </c>
      <c r="I3237" s="12" t="str">
        <f>IFERROR(__xludf.DUMMYFUNCTION("""COMPUTED_VALUE"""),"0x86e295eb76b8188f76b1a4c71e74463d0ecf2eff")</f>
        <v>0x86e295eb76b8188f76b1a4c71e74463d0ecf2eff</v>
      </c>
      <c r="J3237" s="11">
        <v>1.98470614454594</v>
      </c>
      <c r="K3237" s="12">
        <v>4.410458098990977</v>
      </c>
      <c r="L3237" s="13">
        <v>4.4104580989909775E18</v>
      </c>
      <c r="M3237" s="9">
        <v>4.4104580989909779E17</v>
      </c>
    </row>
    <row r="3238" ht="15.75" customHeight="1">
      <c r="A3238" s="8"/>
      <c r="B3238" s="8"/>
      <c r="C3238" s="8"/>
      <c r="D3238" s="8">
        <v>63.217307546936</v>
      </c>
      <c r="E3238" s="9" t="s">
        <v>419</v>
      </c>
      <c r="I3238" s="12" t="str">
        <f>IFERROR(__xludf.DUMMYFUNCTION("""COMPUTED_VALUE"""),"0x8871d350a6bfc52ecfea74c797748f1483fd6d4c")</f>
        <v>0x8871d350a6bfc52ecfea74c797748f1483fd6d4c</v>
      </c>
      <c r="J3238" s="11">
        <v>11.0909033174992</v>
      </c>
      <c r="K3238" s="12">
        <v>24.646451816664886</v>
      </c>
      <c r="L3238" s="13">
        <v>2.4646451816664887E19</v>
      </c>
      <c r="M3238" s="9">
        <v>2.4646451816664888E18</v>
      </c>
    </row>
    <row r="3239" ht="15.75" customHeight="1">
      <c r="A3239" s="8"/>
      <c r="B3239" s="8"/>
      <c r="C3239" s="8"/>
      <c r="D3239" s="8">
        <v>61.6806212350851</v>
      </c>
      <c r="E3239" s="9" t="s">
        <v>421</v>
      </c>
      <c r="I3239" s="12" t="str">
        <f>IFERROR(__xludf.DUMMYFUNCTION("""COMPUTED_VALUE"""),"0x88dd9059fdd71aac70d15cec116dd1d9e3abe786")</f>
        <v>0x88dd9059fdd71aac70d15cec116dd1d9e3abe786</v>
      </c>
      <c r="J3239" s="11">
        <v>1.94579033779014</v>
      </c>
      <c r="K3239" s="12">
        <v>4.323978528422534</v>
      </c>
      <c r="L3239" s="13">
        <v>4.3239785284225336E18</v>
      </c>
      <c r="M3239" s="9">
        <v>4.3239785284225338E17</v>
      </c>
    </row>
    <row r="3240" ht="15.75" customHeight="1">
      <c r="A3240" s="8"/>
      <c r="B3240" s="8"/>
      <c r="C3240" s="8"/>
      <c r="D3240" s="8">
        <v>14.6838122952213</v>
      </c>
      <c r="E3240" s="9" t="s">
        <v>3067</v>
      </c>
      <c r="I3240" s="12" t="str">
        <f>IFERROR(__xludf.DUMMYFUNCTION("""COMPUTED_VALUE"""),"0x8b39e0c02672d7151d815592d7e38d5618ee9cb8")</f>
        <v>0x8b39e0c02672d7151d815592d7e38d5618ee9cb8</v>
      </c>
      <c r="J3240" s="11">
        <v>1.71556333456299</v>
      </c>
      <c r="K3240" s="12">
        <v>3.812362965695533</v>
      </c>
      <c r="L3240" s="13">
        <v>3.8123629656955331E18</v>
      </c>
      <c r="M3240" s="9">
        <v>3.8123629656955334E17</v>
      </c>
    </row>
    <row r="3241" ht="15.75" customHeight="1">
      <c r="A3241" s="8"/>
      <c r="B3241" s="8"/>
      <c r="C3241" s="8"/>
      <c r="D3241" s="8">
        <v>63.217307546936</v>
      </c>
      <c r="E3241" s="9" t="s">
        <v>424</v>
      </c>
      <c r="I3241" s="12" t="str">
        <f>IFERROR(__xludf.DUMMYFUNCTION("""COMPUTED_VALUE"""),"0x8c75822e9cedcf019c8f0f46db886fcd90e03e0b")</f>
        <v>0x8c75822e9cedcf019c8f0f46db886fcd90e03e0b</v>
      </c>
      <c r="J3241" s="11">
        <v>0.282506642623771</v>
      </c>
      <c r="K3241" s="12">
        <v>0.6277925391639355</v>
      </c>
      <c r="L3241" s="13">
        <v>6.2779253916393549E17</v>
      </c>
      <c r="M3241" s="9">
        <v>6.2779253916393552E16</v>
      </c>
    </row>
    <row r="3242" ht="15.75" customHeight="1">
      <c r="A3242" s="8"/>
      <c r="B3242" s="8"/>
      <c r="C3242" s="8"/>
      <c r="D3242" s="8">
        <v>63.217307546936</v>
      </c>
      <c r="E3242" s="9" t="s">
        <v>429</v>
      </c>
      <c r="I3242" s="12" t="str">
        <f>IFERROR(__xludf.DUMMYFUNCTION("""COMPUTED_VALUE"""),"0x8cfd89a43986bb745625d02b90d998f9096bfc6f")</f>
        <v>0x8cfd89a43986bb745625d02b90d998f9096bfc6f</v>
      </c>
      <c r="J3242" s="11">
        <v>1.33020428053964</v>
      </c>
      <c r="K3242" s="12">
        <v>2.956009512310311</v>
      </c>
      <c r="L3242" s="13">
        <v>2.9560095123103109E18</v>
      </c>
      <c r="M3242" s="9">
        <v>2.956009512310311E17</v>
      </c>
    </row>
    <row r="3243" ht="15.75" customHeight="1">
      <c r="A3243" s="8"/>
      <c r="B3243" s="8"/>
      <c r="C3243" s="8"/>
      <c r="D3243" s="8">
        <v>63.217307546936</v>
      </c>
      <c r="E3243" s="9" t="s">
        <v>432</v>
      </c>
      <c r="I3243" s="12" t="str">
        <f>IFERROR(__xludf.DUMMYFUNCTION("""COMPUTED_VALUE"""),"0x92a61dd51ad69a0156bf2ff2fa5d9b0f6e6ac1b0")</f>
        <v>0x92a61dd51ad69a0156bf2ff2fa5d9b0f6e6ac1b0</v>
      </c>
      <c r="J3243" s="11">
        <v>1.3223462225156</v>
      </c>
      <c r="K3243" s="12">
        <v>2.938547161145778</v>
      </c>
      <c r="L3243" s="13">
        <v>2.9385471611457777E18</v>
      </c>
      <c r="M3243" s="9">
        <v>2.9385471611457779E17</v>
      </c>
    </row>
    <row r="3244" ht="15.75" customHeight="1">
      <c r="A3244" s="8"/>
      <c r="B3244" s="8"/>
      <c r="C3244" s="8"/>
      <c r="D3244" s="8">
        <v>63.217307546936</v>
      </c>
      <c r="E3244" s="9" t="s">
        <v>433</v>
      </c>
      <c r="I3244" s="12" t="str">
        <f>IFERROR(__xludf.DUMMYFUNCTION("""COMPUTED_VALUE"""),"0x93f10caea8e43ef89687c98dfbfa8aaca26b7dc4")</f>
        <v>0x93f10caea8e43ef89687c98dfbfa8aaca26b7dc4</v>
      </c>
      <c r="J3244" s="11">
        <v>1.96821931159244</v>
      </c>
      <c r="K3244" s="12">
        <v>4.373820692427644</v>
      </c>
      <c r="L3244" s="13">
        <v>4.3738206924276444E18</v>
      </c>
      <c r="M3244" s="9">
        <v>4.3738206924276448E17</v>
      </c>
    </row>
    <row r="3245" ht="15.75" customHeight="1">
      <c r="A3245" s="8"/>
      <c r="B3245" s="8"/>
      <c r="C3245" s="8"/>
      <c r="D3245" s="8">
        <v>63.217307546936</v>
      </c>
      <c r="E3245" s="9" t="s">
        <v>436</v>
      </c>
      <c r="I3245" s="12" t="str">
        <f>IFERROR(__xludf.DUMMYFUNCTION("""COMPUTED_VALUE"""),"0x9441e9c2467222789c0d957979045913c64192d4")</f>
        <v>0x9441e9c2467222789c0d957979045913c64192d4</v>
      </c>
      <c r="J3245" s="11">
        <v>1.85951488262926</v>
      </c>
      <c r="K3245" s="12">
        <v>4.132255294731689</v>
      </c>
      <c r="L3245" s="13">
        <v>4.1322552947316884E18</v>
      </c>
      <c r="M3245" s="9">
        <v>4.132255294731689E17</v>
      </c>
    </row>
    <row r="3246" ht="15.75" customHeight="1">
      <c r="A3246" s="8"/>
      <c r="B3246" s="8"/>
      <c r="C3246" s="8"/>
      <c r="D3246" s="8">
        <v>48.5626591919801</v>
      </c>
      <c r="E3246" s="9" t="s">
        <v>437</v>
      </c>
      <c r="I3246" s="12" t="str">
        <f>IFERROR(__xludf.DUMMYFUNCTION("""COMPUTED_VALUE"""),"0x956f1ce3ff2ea59a8b41df83ce9f85ed59d73f92")</f>
        <v>0x956f1ce3ff2ea59a8b41df83ce9f85ed59d73f92</v>
      </c>
      <c r="J3246" s="11">
        <v>10.9157613164904</v>
      </c>
      <c r="K3246" s="12">
        <v>24.257247369978664</v>
      </c>
      <c r="L3246" s="13">
        <v>2.4257247369978663E19</v>
      </c>
      <c r="M3246" s="9">
        <v>2.4257247369978665E18</v>
      </c>
    </row>
    <row r="3247" ht="15.75" customHeight="1">
      <c r="A3247" s="8"/>
      <c r="B3247" s="8"/>
      <c r="C3247" s="8"/>
      <c r="D3247" s="8">
        <v>63.217307546936</v>
      </c>
      <c r="E3247" s="9" t="s">
        <v>438</v>
      </c>
      <c r="I3247" s="12" t="str">
        <f>IFERROR(__xludf.DUMMYFUNCTION("""COMPUTED_VALUE"""),"0x95a169165462bf7ffffbecd980de8b49caaef79a")</f>
        <v>0x95a169165462bf7ffffbecd980de8b49caaef79a</v>
      </c>
      <c r="J3247" s="11">
        <v>11.6747420267408</v>
      </c>
      <c r="K3247" s="12">
        <v>25.94387117053511</v>
      </c>
      <c r="L3247" s="13">
        <v>2.5943871170535113E19</v>
      </c>
      <c r="M3247" s="9">
        <v>2.5943871170535112E18</v>
      </c>
    </row>
    <row r="3248" ht="15.75" customHeight="1">
      <c r="A3248" s="8"/>
      <c r="B3248" s="8"/>
      <c r="C3248" s="8"/>
      <c r="D3248" s="8">
        <v>48.2754022246305</v>
      </c>
      <c r="E3248" s="9" t="s">
        <v>439</v>
      </c>
      <c r="I3248" s="12" t="str">
        <f>IFERROR(__xludf.DUMMYFUNCTION("""COMPUTED_VALUE"""),"0x95fcdfb381d13e1663ec0efa5b64cca851d34550")</f>
        <v>0x95fcdfb381d13e1663ec0efa5b64cca851d34550</v>
      </c>
      <c r="J3248" s="11">
        <v>67.671981172916</v>
      </c>
      <c r="K3248" s="12">
        <v>150.3821803842578</v>
      </c>
      <c r="L3248" s="13">
        <v>1.503821803842578E20</v>
      </c>
      <c r="M3248" s="9">
        <v>1.503821803842578E19</v>
      </c>
    </row>
    <row r="3249" ht="15.75" customHeight="1">
      <c r="A3249" s="8"/>
      <c r="B3249" s="8"/>
      <c r="C3249" s="8"/>
      <c r="D3249" s="8">
        <v>63.217307546936</v>
      </c>
      <c r="E3249" s="9" t="s">
        <v>442</v>
      </c>
      <c r="I3249" s="12" t="str">
        <f>IFERROR(__xludf.DUMMYFUNCTION("""COMPUTED_VALUE"""),"0x9654e02807c30e165e1df4b1c3d25d9d1397f03e")</f>
        <v>0x9654e02807c30e165e1df4b1c3d25d9d1397f03e</v>
      </c>
      <c r="J3249" s="11">
        <v>10.1909513571448</v>
      </c>
      <c r="K3249" s="12">
        <v>22.646558571432887</v>
      </c>
      <c r="L3249" s="13">
        <v>2.2646558571432886E19</v>
      </c>
      <c r="M3249" s="9">
        <v>2.26465585714328883E18</v>
      </c>
    </row>
    <row r="3250" ht="15.75" customHeight="1">
      <c r="A3250" s="8"/>
      <c r="B3250" s="8"/>
      <c r="C3250" s="8"/>
      <c r="D3250" s="8">
        <v>63.217307546936</v>
      </c>
      <c r="E3250" s="9" t="s">
        <v>3068</v>
      </c>
      <c r="I3250" s="12" t="str">
        <f>IFERROR(__xludf.DUMMYFUNCTION("""COMPUTED_VALUE"""),"0x9b04d3d20b9e9d8b929f01711aeed34e3b0226bc")</f>
        <v>0x9b04d3d20b9e9d8b929f01711aeed34e3b0226bc</v>
      </c>
      <c r="J3250" s="11">
        <v>1.9503074764777</v>
      </c>
      <c r="K3250" s="12">
        <v>4.334016614394889</v>
      </c>
      <c r="L3250" s="13">
        <v>4.3340166143948887E18</v>
      </c>
      <c r="M3250" s="9">
        <v>4.334016614394889E17</v>
      </c>
    </row>
    <row r="3251" ht="15.75" customHeight="1">
      <c r="A3251" s="8"/>
      <c r="B3251" s="8"/>
      <c r="C3251" s="8"/>
      <c r="D3251" s="8">
        <v>63.217307546936</v>
      </c>
      <c r="E3251" s="9" t="s">
        <v>444</v>
      </c>
      <c r="I3251" s="12" t="str">
        <f>IFERROR(__xludf.DUMMYFUNCTION("""COMPUTED_VALUE"""),"0x9c09c4516ec76dec0d5a48d8edcef41a67fa4a85")</f>
        <v>0x9c09c4516ec76dec0d5a48d8edcef41a67fa4a85</v>
      </c>
      <c r="J3251" s="11">
        <v>1.94579033779014</v>
      </c>
      <c r="K3251" s="12">
        <v>4.323978528422534</v>
      </c>
      <c r="L3251" s="13">
        <v>4.3239785284225336E18</v>
      </c>
      <c r="M3251" s="9">
        <v>4.3239785284225338E17</v>
      </c>
    </row>
    <row r="3252" ht="15.75" customHeight="1">
      <c r="A3252" s="8"/>
      <c r="B3252" s="8"/>
      <c r="C3252" s="8"/>
      <c r="D3252" s="8">
        <v>63.217307546936</v>
      </c>
      <c r="E3252" s="9" t="s">
        <v>449</v>
      </c>
      <c r="I3252" s="12" t="str">
        <f>IFERROR(__xludf.DUMMYFUNCTION("""COMPUTED_VALUE"""),"0x9c305c8eb79bbcca96dc6b405e2212c64350df90")</f>
        <v>0x9c305c8eb79bbcca96dc6b405e2212c64350df90</v>
      </c>
      <c r="J3252" s="11">
        <v>1043.59715738361</v>
      </c>
      <c r="K3252" s="12">
        <v>2319.1047941858</v>
      </c>
      <c r="L3252" s="13">
        <v>2.3191047941858E21</v>
      </c>
      <c r="M3252" s="9">
        <v>2.3191047941858E20</v>
      </c>
    </row>
    <row r="3253" ht="15.75" customHeight="1">
      <c r="A3253" s="8"/>
      <c r="B3253" s="8"/>
      <c r="C3253" s="8"/>
      <c r="D3253" s="8">
        <v>63.217307546936</v>
      </c>
      <c r="E3253" s="9" t="s">
        <v>450</v>
      </c>
      <c r="I3253" s="12" t="str">
        <f>IFERROR(__xludf.DUMMYFUNCTION("""COMPUTED_VALUE"""),"0x9e9bf9773e5b3fad9648a0bb23992ccde35fd1cd")</f>
        <v>0x9e9bf9773e5b3fad9648a0bb23992ccde35fd1cd</v>
      </c>
      <c r="J3253" s="11">
        <v>0.160942624003467</v>
      </c>
      <c r="K3253" s="12">
        <v>0.35765027556326</v>
      </c>
      <c r="L3253" s="13">
        <v>3.5765027556326003E17</v>
      </c>
      <c r="M3253" s="9">
        <v>3.5765027556326004E16</v>
      </c>
    </row>
    <row r="3254" ht="15.75" customHeight="1">
      <c r="A3254" s="8"/>
      <c r="B3254" s="8"/>
      <c r="C3254" s="8"/>
      <c r="D3254" s="8">
        <v>63.217307546936</v>
      </c>
      <c r="E3254" s="9" t="s">
        <v>455</v>
      </c>
      <c r="I3254" s="12" t="str">
        <f>IFERROR(__xludf.DUMMYFUNCTION("""COMPUTED_VALUE"""),"0xa01a3df5b373901ae7f741bd056602e9176de647")</f>
        <v>0xa01a3df5b373901ae7f741bd056602e9176de647</v>
      </c>
      <c r="J3254" s="11">
        <v>0.566497398944222</v>
      </c>
      <c r="K3254" s="12">
        <v>1.2588831087649377</v>
      </c>
      <c r="L3254" s="13">
        <v>1.25888310876493773E18</v>
      </c>
      <c r="M3254" s="9">
        <v>1.25888310876493776E17</v>
      </c>
    </row>
    <row r="3255" ht="15.75" customHeight="1">
      <c r="A3255" s="8"/>
      <c r="B3255" s="8"/>
      <c r="C3255" s="8"/>
      <c r="D3255" s="8">
        <v>63.217307546936</v>
      </c>
      <c r="E3255" s="9" t="s">
        <v>456</v>
      </c>
      <c r="I3255" s="12" t="str">
        <f>IFERROR(__xludf.DUMMYFUNCTION("""COMPUTED_VALUE"""),"0xa103f72e8717b62813167cb58872722663346fcf")</f>
        <v>0xa103f72e8717b62813167cb58872722663346fcf</v>
      </c>
      <c r="J3255" s="11">
        <v>9.21886138758868</v>
      </c>
      <c r="K3255" s="12">
        <v>20.486358639085953</v>
      </c>
      <c r="L3255" s="13">
        <v>2.0486358639085953E19</v>
      </c>
      <c r="M3255" s="9">
        <v>2.04863586390859546E18</v>
      </c>
    </row>
    <row r="3256" ht="15.75" customHeight="1">
      <c r="A3256" s="8"/>
      <c r="B3256" s="8"/>
      <c r="C3256" s="8"/>
      <c r="D3256" s="8">
        <v>63.217307546936</v>
      </c>
      <c r="E3256" s="9" t="s">
        <v>458</v>
      </c>
      <c r="I3256" s="12" t="str">
        <f>IFERROR(__xludf.DUMMYFUNCTION("""COMPUTED_VALUE"""),"0xa3eb83b4a34ac9d9d0e5d021532d8c1822f968da")</f>
        <v>0xa3eb83b4a34ac9d9d0e5d021532d8c1822f968da</v>
      </c>
      <c r="J3256" s="11">
        <v>8.69760137431557</v>
      </c>
      <c r="K3256" s="12">
        <v>19.3280030540346</v>
      </c>
      <c r="L3256" s="13">
        <v>1.93280030540346E19</v>
      </c>
      <c r="M3256" s="9">
        <v>1.9328003054034601E18</v>
      </c>
    </row>
    <row r="3257" ht="15.75" customHeight="1">
      <c r="A3257" s="8"/>
      <c r="B3257" s="8"/>
      <c r="C3257" s="8"/>
      <c r="D3257" s="8">
        <v>37.9303845281616</v>
      </c>
      <c r="E3257" s="9" t="s">
        <v>464</v>
      </c>
      <c r="I3257" s="12" t="str">
        <f>IFERROR(__xludf.DUMMYFUNCTION("""COMPUTED_VALUE"""),"0xa4a4db7b1debdf4e6c9afe7bf65b45aa56b03d88")</f>
        <v>0xa4a4db7b1debdf4e6c9afe7bf65b45aa56b03d88</v>
      </c>
      <c r="J3257" s="11">
        <v>23.4755712673705</v>
      </c>
      <c r="K3257" s="12">
        <v>52.167936149712226</v>
      </c>
      <c r="L3257" s="13">
        <v>5.2167936149712224E19</v>
      </c>
      <c r="M3257" s="9">
        <v>5.216793614971223E18</v>
      </c>
    </row>
    <row r="3258" ht="15.75" customHeight="1">
      <c r="A3258" s="8"/>
      <c r="B3258" s="8"/>
      <c r="C3258" s="8"/>
      <c r="D3258" s="8">
        <v>63.217307546936</v>
      </c>
      <c r="E3258" s="9" t="s">
        <v>466</v>
      </c>
      <c r="I3258" s="12" t="str">
        <f>IFERROR(__xludf.DUMMYFUNCTION("""COMPUTED_VALUE"""),"0xa53f5342c6fab4b54b96e93749d08082cd911754")</f>
        <v>0xa53f5342c6fab4b54b96e93749d08082cd911754</v>
      </c>
      <c r="J3258" s="11">
        <v>0.599785703293722</v>
      </c>
      <c r="K3258" s="12">
        <v>1.3328571184304934</v>
      </c>
      <c r="L3258" s="13">
        <v>1.33285711843049344E18</v>
      </c>
      <c r="M3258" s="9">
        <v>1.33285711843049344E17</v>
      </c>
    </row>
    <row r="3259" ht="15.75" customHeight="1">
      <c r="A3259" s="8"/>
      <c r="B3259" s="8"/>
      <c r="C3259" s="8"/>
      <c r="D3259" s="8">
        <v>63.217307546936</v>
      </c>
      <c r="E3259" s="9" t="s">
        <v>471</v>
      </c>
      <c r="I3259" s="12" t="str">
        <f>IFERROR(__xludf.DUMMYFUNCTION("""COMPUTED_VALUE"""),"0xa576f82ccee188626875a1357b6772d15bc7c187")</f>
        <v>0xa576f82ccee188626875a1357b6772d15bc7c187</v>
      </c>
      <c r="J3259" s="11">
        <v>2.19059692689421</v>
      </c>
      <c r="K3259" s="12">
        <v>4.867993170876022</v>
      </c>
      <c r="L3259" s="13">
        <v>4.8679931708760218E18</v>
      </c>
      <c r="M3259" s="9">
        <v>4.8679931708760218E17</v>
      </c>
    </row>
    <row r="3260" ht="15.75" customHeight="1">
      <c r="A3260" s="8"/>
      <c r="B3260" s="8"/>
      <c r="C3260" s="8"/>
      <c r="D3260" s="8">
        <v>63.217307546936</v>
      </c>
      <c r="E3260" s="9" t="s">
        <v>474</v>
      </c>
      <c r="I3260" s="12" t="str">
        <f>IFERROR(__xludf.DUMMYFUNCTION("""COMPUTED_VALUE"""),"0xa64a9cf91e7113ff6f3447337f2ed934f628e2ab")</f>
        <v>0xa64a9cf91e7113ff6f3447337f2ed934f628e2ab</v>
      </c>
      <c r="J3260" s="11">
        <v>1.94579033779014</v>
      </c>
      <c r="K3260" s="12">
        <v>4.323978528422534</v>
      </c>
      <c r="L3260" s="13">
        <v>4.3239785284225336E18</v>
      </c>
      <c r="M3260" s="9">
        <v>4.3239785284225338E17</v>
      </c>
    </row>
    <row r="3261" ht="15.75" customHeight="1">
      <c r="A3261" s="8"/>
      <c r="B3261" s="8"/>
      <c r="C3261" s="8"/>
      <c r="D3261" s="8">
        <v>63.217307546936</v>
      </c>
      <c r="E3261" s="9" t="s">
        <v>478</v>
      </c>
      <c r="I3261" s="12" t="str">
        <f>IFERROR(__xludf.DUMMYFUNCTION("""COMPUTED_VALUE"""),"0xa68edc4c1850dde9a178ef92291660d37b251e5d")</f>
        <v>0xa68edc4c1850dde9a178ef92291660d37b251e5d</v>
      </c>
      <c r="J3261" s="11">
        <v>1.45208966181709</v>
      </c>
      <c r="K3261" s="12">
        <v>3.2268659151490886</v>
      </c>
      <c r="L3261" s="13">
        <v>3.2268659151490888E18</v>
      </c>
      <c r="M3261" s="9">
        <v>3.2268659151490886E17</v>
      </c>
    </row>
    <row r="3262" ht="15.75" customHeight="1">
      <c r="A3262" s="8"/>
      <c r="B3262" s="8"/>
      <c r="C3262" s="8"/>
      <c r="D3262" s="8">
        <v>63.217307546936</v>
      </c>
      <c r="E3262" s="9" t="s">
        <v>479</v>
      </c>
      <c r="I3262" s="12" t="str">
        <f>IFERROR(__xludf.DUMMYFUNCTION("""COMPUTED_VALUE"""),"0xa6ead5a0bf5968c66a30d766a9afed1d7e2a46f9")</f>
        <v>0xa6ead5a0bf5968c66a30d766a9afed1d7e2a46f9</v>
      </c>
      <c r="J3262" s="11">
        <v>38.9547225625586</v>
      </c>
      <c r="K3262" s="12">
        <v>86.56605013901911</v>
      </c>
      <c r="L3262" s="13">
        <v>8.656605013901912E19</v>
      </c>
      <c r="M3262" s="9">
        <v>8.6566050139019121E18</v>
      </c>
    </row>
    <row r="3263" ht="15.75" customHeight="1">
      <c r="A3263" s="8"/>
      <c r="B3263" s="8"/>
      <c r="C3263" s="8"/>
      <c r="D3263" s="8">
        <v>0.180030405031981</v>
      </c>
      <c r="E3263" s="9" t="s">
        <v>480</v>
      </c>
      <c r="I3263" s="12" t="str">
        <f>IFERROR(__xludf.DUMMYFUNCTION("""COMPUTED_VALUE"""),"0xa705c2c53e7d511c3436ddb622437fb82ed6f91c")</f>
        <v>0xa705c2c53e7d511c3436ddb622437fb82ed6f91c</v>
      </c>
      <c r="J3263" s="11">
        <v>0.13745778890066</v>
      </c>
      <c r="K3263" s="12">
        <v>0.3054617531125777</v>
      </c>
      <c r="L3263" s="13">
        <v>3.0546175311257773E17</v>
      </c>
      <c r="M3263" s="9">
        <v>3.0546175311257776E16</v>
      </c>
    </row>
    <row r="3264" ht="15.75" customHeight="1">
      <c r="A3264" s="8"/>
      <c r="B3264" s="8"/>
      <c r="C3264" s="8"/>
      <c r="D3264" s="8">
        <v>63.217307546936</v>
      </c>
      <c r="E3264" s="9" t="s">
        <v>483</v>
      </c>
      <c r="I3264" s="12" t="str">
        <f>IFERROR(__xludf.DUMMYFUNCTION("""COMPUTED_VALUE"""),"0xa7ed375b92c88b74389303e7180b9c70a0e846c2")</f>
        <v>0xa7ed375b92c88b74389303e7180b9c70a0e846c2</v>
      </c>
      <c r="J3264" s="11">
        <v>2.16627990486523</v>
      </c>
      <c r="K3264" s="12">
        <v>4.813955344144956</v>
      </c>
      <c r="L3264" s="13">
        <v>4.8139553441449564E18</v>
      </c>
      <c r="M3264" s="9">
        <v>4.8139553441449568E17</v>
      </c>
    </row>
    <row r="3265" ht="15.75" customHeight="1">
      <c r="A3265" s="8"/>
      <c r="B3265" s="8"/>
      <c r="C3265" s="8"/>
      <c r="D3265" s="8">
        <v>60.339232404769</v>
      </c>
      <c r="E3265" s="9" t="s">
        <v>484</v>
      </c>
      <c r="I3265" s="12" t="str">
        <f>IFERROR(__xludf.DUMMYFUNCTION("""COMPUTED_VALUE"""),"0xa9d1b9dab83f7e683eddfec287a809033788fd2c")</f>
        <v>0xa9d1b9dab83f7e683eddfec287a809033788fd2c</v>
      </c>
      <c r="J3265" s="11">
        <v>0.977267314225503</v>
      </c>
      <c r="K3265" s="12">
        <v>2.17170514272334</v>
      </c>
      <c r="L3265" s="13">
        <v>2.17170514272334003E18</v>
      </c>
      <c r="M3265" s="9">
        <v>2.17170514272334016E17</v>
      </c>
    </row>
    <row r="3266" ht="15.75" customHeight="1">
      <c r="A3266" s="8"/>
      <c r="B3266" s="8"/>
      <c r="C3266" s="8"/>
      <c r="D3266" s="8">
        <v>63.217307546936</v>
      </c>
      <c r="E3266" s="9" t="s">
        <v>487</v>
      </c>
      <c r="I3266" s="12" t="str">
        <f>IFERROR(__xludf.DUMMYFUNCTION("""COMPUTED_VALUE"""),"0xab61914d7ceef1090a5538d5c0098c64cbec37b9")</f>
        <v>0xab61914d7ceef1090a5538d5c0098c64cbec37b9</v>
      </c>
      <c r="J3266" s="11">
        <v>40.9630529122203</v>
      </c>
      <c r="K3266" s="12">
        <v>91.02900647160067</v>
      </c>
      <c r="L3266" s="13">
        <v>9.102900647160067E19</v>
      </c>
      <c r="M3266" s="9">
        <v>9.1029006471600671E18</v>
      </c>
    </row>
    <row r="3267" ht="15.75" customHeight="1">
      <c r="A3267" s="8"/>
      <c r="B3267" s="8"/>
      <c r="C3267" s="8"/>
      <c r="D3267" s="8">
        <v>55.0735665512194</v>
      </c>
      <c r="E3267" s="9" t="s">
        <v>3069</v>
      </c>
      <c r="I3267" s="12" t="str">
        <f>IFERROR(__xludf.DUMMYFUNCTION("""COMPUTED_VALUE"""),"0xae151eeb1e090673f0bf077254c5c3fe9911e167")</f>
        <v>0xae151eeb1e090673f0bf077254c5c3fe9911e167</v>
      </c>
      <c r="J3267" s="11">
        <v>19.7965713101991</v>
      </c>
      <c r="K3267" s="12">
        <v>43.99238068933133</v>
      </c>
      <c r="L3267" s="13">
        <v>4.399238068933132E19</v>
      </c>
      <c r="M3267" s="9">
        <v>4.3992380689331323E18</v>
      </c>
    </row>
    <row r="3268" ht="15.75" customHeight="1">
      <c r="A3268" s="8"/>
      <c r="B3268" s="8"/>
      <c r="C3268" s="8"/>
      <c r="D3268" s="8">
        <v>63.217307546936</v>
      </c>
      <c r="E3268" s="9" t="s">
        <v>492</v>
      </c>
      <c r="I3268" s="12" t="str">
        <f>IFERROR(__xludf.DUMMYFUNCTION("""COMPUTED_VALUE"""),"0xb159856a19baafd8b643836f17b2c72db9b8f03b")</f>
        <v>0xb159856a19baafd8b643836f17b2c72db9b8f03b</v>
      </c>
      <c r="J3268" s="11">
        <v>0.0556010577077863</v>
      </c>
      <c r="K3268" s="12">
        <v>0.12355790601730288</v>
      </c>
      <c r="L3268" s="13">
        <v>1.2355790601730288E17</v>
      </c>
      <c r="M3268" s="9">
        <v>1.2355790601730288E16</v>
      </c>
    </row>
    <row r="3269" ht="15.75" customHeight="1">
      <c r="A3269" s="8"/>
      <c r="B3269" s="8"/>
      <c r="C3269" s="8"/>
      <c r="D3269" s="8">
        <v>63.217307546936</v>
      </c>
      <c r="E3269" s="9" t="s">
        <v>497</v>
      </c>
      <c r="I3269" s="12" t="str">
        <f>IFERROR(__xludf.DUMMYFUNCTION("""COMPUTED_VALUE"""),"0xb8243a38a1cfaa3914ada7ed3b1bcf6f38f68f99")</f>
        <v>0xb8243a38a1cfaa3914ada7ed3b1bcf6f38f68f99</v>
      </c>
      <c r="J3269" s="11">
        <v>10.1160614427504</v>
      </c>
      <c r="K3269" s="12">
        <v>22.480136539445333</v>
      </c>
      <c r="L3269" s="13">
        <v>2.2480136539445334E19</v>
      </c>
      <c r="M3269" s="9">
        <v>2.2480136539445335E18</v>
      </c>
    </row>
    <row r="3270" ht="15.75" customHeight="1">
      <c r="A3270" s="8"/>
      <c r="B3270" s="8"/>
      <c r="C3270" s="8"/>
      <c r="D3270" s="8">
        <v>50.5738460375488</v>
      </c>
      <c r="E3270" s="9" t="s">
        <v>503</v>
      </c>
      <c r="I3270" s="12" t="str">
        <f>IFERROR(__xludf.DUMMYFUNCTION("""COMPUTED_VALUE"""),"0xbbef85a81f03b39e135abacb21221385ac708727")</f>
        <v>0xbbef85a81f03b39e135abacb21221385ac708727</v>
      </c>
      <c r="J3270" s="11">
        <v>5.25363391203339</v>
      </c>
      <c r="K3270" s="12">
        <v>11.674742026740866</v>
      </c>
      <c r="L3270" s="13">
        <v>1.1674742026740865E19</v>
      </c>
      <c r="M3270" s="9">
        <v>1.16747420267408666E18</v>
      </c>
    </row>
    <row r="3271" ht="15.75" customHeight="1">
      <c r="A3271" s="8"/>
      <c r="B3271" s="8"/>
      <c r="C3271" s="8"/>
      <c r="D3271" s="8">
        <v>63.217307546936</v>
      </c>
      <c r="E3271" s="9" t="s">
        <v>505</v>
      </c>
      <c r="I3271" s="12" t="str">
        <f>IFERROR(__xludf.DUMMYFUNCTION("""COMPUTED_VALUE"""),"0xc239de1900e1157f045403b4a1c976f18f032312")</f>
        <v>0xc239de1900e1157f045403b4a1c976f18f032312</v>
      </c>
      <c r="J3271" s="11">
        <v>1.94579033779014</v>
      </c>
      <c r="K3271" s="12">
        <v>4.323978528422534</v>
      </c>
      <c r="L3271" s="13">
        <v>4.3239785284225336E18</v>
      </c>
      <c r="M3271" s="9">
        <v>4.3239785284225338E17</v>
      </c>
    </row>
    <row r="3272" ht="15.75" customHeight="1">
      <c r="A3272" s="8"/>
      <c r="B3272" s="8"/>
      <c r="C3272" s="8"/>
      <c r="D3272" s="8">
        <v>63.217307546936</v>
      </c>
      <c r="E3272" s="9" t="s">
        <v>507</v>
      </c>
      <c r="I3272" s="12" t="str">
        <f>IFERROR(__xludf.DUMMYFUNCTION("""COMPUTED_VALUE"""),"0xc443a879fd25b4baf4d0b185f59a35c4419e8d55")</f>
        <v>0xc443a879fd25b4baf4d0b185f59a35c4419e8d55</v>
      </c>
      <c r="J3272" s="11">
        <v>4.27503399633451</v>
      </c>
      <c r="K3272" s="12">
        <v>9.500075547410022</v>
      </c>
      <c r="L3272" s="13">
        <v>9.500075547410022E18</v>
      </c>
      <c r="M3272" s="9">
        <v>9.5000755474100224E17</v>
      </c>
    </row>
    <row r="3273" ht="15.75" customHeight="1">
      <c r="A3273" s="8"/>
      <c r="B3273" s="8"/>
      <c r="C3273" s="8"/>
      <c r="D3273" s="8">
        <v>63.217307546936</v>
      </c>
      <c r="E3273" s="9" t="s">
        <v>3070</v>
      </c>
      <c r="I3273" s="12" t="str">
        <f>IFERROR(__xludf.DUMMYFUNCTION("""COMPUTED_VALUE"""),"0xc9521468c622dc7591ea777138f9e3f866f28e26")</f>
        <v>0xc9521468c622dc7591ea777138f9e3f866f28e26</v>
      </c>
      <c r="J3273" s="11">
        <v>1.6971567065158</v>
      </c>
      <c r="K3273" s="12">
        <v>3.771459347812889</v>
      </c>
      <c r="L3273" s="13">
        <v>3.7714593478128886E18</v>
      </c>
      <c r="M3273" s="9">
        <v>3.771459347812889E17</v>
      </c>
    </row>
    <row r="3274" ht="15.75" customHeight="1">
      <c r="A3274" s="8"/>
      <c r="B3274" s="8"/>
      <c r="C3274" s="8"/>
      <c r="D3274" s="8">
        <v>63.217307546936</v>
      </c>
      <c r="E3274" s="9" t="s">
        <v>511</v>
      </c>
      <c r="I3274" s="12" t="str">
        <f>IFERROR(__xludf.DUMMYFUNCTION("""COMPUTED_VALUE"""),"0xca2b62b5e10f8f468b02f828d7df3917f24c0526")</f>
        <v>0xca2b62b5e10f8f468b02f828d7df3917f24c0526</v>
      </c>
      <c r="J3274" s="11">
        <v>1.98470614454594</v>
      </c>
      <c r="K3274" s="12">
        <v>4.410458098990977</v>
      </c>
      <c r="L3274" s="13">
        <v>4.4104580989909775E18</v>
      </c>
      <c r="M3274" s="9">
        <v>4.4104580989909779E17</v>
      </c>
    </row>
    <row r="3275" ht="15.75" customHeight="1">
      <c r="A3275" s="8"/>
      <c r="B3275" s="8"/>
      <c r="C3275" s="8"/>
      <c r="D3275" s="8">
        <v>55.2140408150906</v>
      </c>
      <c r="E3275" s="9" t="s">
        <v>512</v>
      </c>
      <c r="I3275" s="12" t="str">
        <f>IFERROR(__xludf.DUMMYFUNCTION("""COMPUTED_VALUE"""),"0xca927f005b5b8d333351c481ab3246689c9533be")</f>
        <v>0xca927f005b5b8d333351c481ab3246689c9533be</v>
      </c>
      <c r="J3275" s="11">
        <v>11.1588170228648</v>
      </c>
      <c r="K3275" s="12">
        <v>24.797371161921777</v>
      </c>
      <c r="L3275" s="13">
        <v>2.4797371161921778E19</v>
      </c>
      <c r="M3275" s="9">
        <v>2.4797371161921777E18</v>
      </c>
    </row>
    <row r="3276" ht="15.75" customHeight="1">
      <c r="A3276" s="8"/>
      <c r="B3276" s="8"/>
      <c r="C3276" s="8"/>
      <c r="D3276" s="8">
        <v>63.217307546936</v>
      </c>
      <c r="E3276" s="9" t="s">
        <v>514</v>
      </c>
      <c r="I3276" s="12" t="str">
        <f>IFERROR(__xludf.DUMMYFUNCTION("""COMPUTED_VALUE"""),"0xcb36a11fe3235124d10acba48c150617ad4e5952")</f>
        <v>0xcb36a11fe3235124d10acba48c150617ad4e5952</v>
      </c>
      <c r="J3276" s="11">
        <v>3.78643003057683</v>
      </c>
      <c r="K3276" s="12">
        <v>8.4142889568374</v>
      </c>
      <c r="L3276" s="13">
        <v>8.4142889568373996E18</v>
      </c>
      <c r="M3276" s="9">
        <v>8.4142889568374003E17</v>
      </c>
    </row>
    <row r="3277" ht="15.75" customHeight="1">
      <c r="A3277" s="8"/>
      <c r="B3277" s="8"/>
      <c r="C3277" s="8"/>
      <c r="D3277" s="8">
        <v>63.217307546936</v>
      </c>
      <c r="E3277" s="9" t="s">
        <v>516</v>
      </c>
      <c r="I3277" s="12" t="str">
        <f>IFERROR(__xludf.DUMMYFUNCTION("""COMPUTED_VALUE"""),"0xd0eea53f05082ea3e8c7c4528cbcf19b23dcd341")</f>
        <v>0xd0eea53f05082ea3e8c7c4528cbcf19b23dcd341</v>
      </c>
      <c r="J3277" s="11">
        <v>0.526773849516541</v>
      </c>
      <c r="K3277" s="12">
        <v>1.1706085544812024</v>
      </c>
      <c r="L3277" s="13">
        <v>1.17060855448120243E18</v>
      </c>
      <c r="M3277" s="9">
        <v>1.17060855448120256E17</v>
      </c>
    </row>
    <row r="3278" ht="15.75" customHeight="1">
      <c r="A3278" s="8"/>
      <c r="B3278" s="8"/>
      <c r="C3278" s="8"/>
      <c r="D3278" s="8">
        <v>63.217307546936</v>
      </c>
      <c r="E3278" s="9" t="s">
        <v>518</v>
      </c>
      <c r="I3278" s="12" t="str">
        <f>IFERROR(__xludf.DUMMYFUNCTION("""COMPUTED_VALUE"""),"0xd2150bdad2e4f2281192efc368d4806b7b9f602c")</f>
        <v>0xd2150bdad2e4f2281192efc368d4806b7b9f602c</v>
      </c>
      <c r="J3278" s="11">
        <v>387.479782908963</v>
      </c>
      <c r="K3278" s="12">
        <v>861.0661842421399</v>
      </c>
      <c r="L3278" s="13">
        <v>8.610661842421399E20</v>
      </c>
      <c r="M3278" s="9">
        <v>8.6106618424214E19</v>
      </c>
    </row>
    <row r="3279" ht="15.75" customHeight="1">
      <c r="A3279" s="8"/>
      <c r="B3279" s="8"/>
      <c r="C3279" s="8"/>
      <c r="D3279" s="8">
        <v>62.6712264018538</v>
      </c>
      <c r="E3279" s="9" t="s">
        <v>519</v>
      </c>
      <c r="I3279" s="12" t="str">
        <f>IFERROR(__xludf.DUMMYFUNCTION("""COMPUTED_VALUE"""),"0xd254e6ce7b56318a9cba69b814440ad273d40116")</f>
        <v>0xd254e6ce7b56318a9cba69b814440ad273d40116</v>
      </c>
      <c r="J3279" s="11">
        <v>23.5729713211456</v>
      </c>
      <c r="K3279" s="12">
        <v>52.38438071365689</v>
      </c>
      <c r="L3279" s="13">
        <v>5.2384380713656885E19</v>
      </c>
      <c r="M3279" s="9">
        <v>5.2384380713656883E18</v>
      </c>
    </row>
    <row r="3280" ht="15.75" customHeight="1">
      <c r="A3280" s="8"/>
      <c r="B3280" s="8"/>
      <c r="C3280" s="8"/>
      <c r="D3280" s="8">
        <v>37.9303845281616</v>
      </c>
      <c r="E3280" s="9" t="s">
        <v>521</v>
      </c>
      <c r="I3280" s="12" t="str">
        <f>IFERROR(__xludf.DUMMYFUNCTION("""COMPUTED_VALUE"""),"0xd2cc14b0628beaee4c8cd680d507252afcbb418e")</f>
        <v>0xd2cc14b0628beaee4c8cd680d507252afcbb418e</v>
      </c>
      <c r="J3280" s="11">
        <v>19.4691500460538</v>
      </c>
      <c r="K3280" s="12">
        <v>43.26477788011956</v>
      </c>
      <c r="L3280" s="13">
        <v>4.326477788011956E19</v>
      </c>
      <c r="M3280" s="9">
        <v>4.3264777880119562E18</v>
      </c>
    </row>
    <row r="3281" ht="15.75" customHeight="1">
      <c r="A3281" s="8"/>
      <c r="B3281" s="8"/>
      <c r="C3281" s="8"/>
      <c r="D3281" s="8">
        <v>24.3985221737938</v>
      </c>
      <c r="E3281" s="9" t="s">
        <v>3071</v>
      </c>
      <c r="I3281" s="12" t="str">
        <f>IFERROR(__xludf.DUMMYFUNCTION("""COMPUTED_VALUE"""),"0xd35065dd7dce6fa75df996b5fc020555492c8540")</f>
        <v>0xd35065dd7dce6fa75df996b5fc020555492c8540</v>
      </c>
      <c r="J3281" s="11">
        <v>1.93496079672908</v>
      </c>
      <c r="K3281" s="12">
        <v>4.299912881620178</v>
      </c>
      <c r="L3281" s="13">
        <v>4.2999128816201779E18</v>
      </c>
      <c r="M3281" s="9">
        <v>4.2999128816201779E17</v>
      </c>
    </row>
    <row r="3282" ht="15.75" customHeight="1">
      <c r="A3282" s="8"/>
      <c r="B3282" s="8"/>
      <c r="C3282" s="8"/>
      <c r="D3282" s="8">
        <v>27.0468411415523</v>
      </c>
      <c r="E3282" s="9" t="s">
        <v>3072</v>
      </c>
      <c r="I3282" s="12" t="str">
        <f>IFERROR(__xludf.DUMMYFUNCTION("""COMPUTED_VALUE"""),"0xd4ab109863feaedeefc38a4b307e6a25a7701320")</f>
        <v>0xd4ab109863feaedeefc38a4b307e6a25a7701320</v>
      </c>
      <c r="J3282" s="11">
        <v>0.972895168895072</v>
      </c>
      <c r="K3282" s="12">
        <v>2.1619892642112712</v>
      </c>
      <c r="L3282" s="13">
        <v>2.16198926421127117E18</v>
      </c>
      <c r="M3282" s="9">
        <v>2.16198926421127136E17</v>
      </c>
    </row>
    <row r="3283" ht="15.75" customHeight="1">
      <c r="A3283" s="8"/>
      <c r="B3283" s="8"/>
      <c r="C3283" s="8"/>
      <c r="D3283" s="8">
        <v>63.217307546936</v>
      </c>
      <c r="E3283" s="9" t="s">
        <v>527</v>
      </c>
      <c r="I3283" s="12" t="str">
        <f>IFERROR(__xludf.DUMMYFUNCTION("""COMPUTED_VALUE"""),"0xdb527a9f967d22b9a2801f21dcdaf819fcd9509e")</f>
        <v>0xdb527a9f967d22b9a2801f21dcdaf819fcd9509e</v>
      </c>
      <c r="J3283" s="11">
        <v>23.569008297898</v>
      </c>
      <c r="K3283" s="12">
        <v>52.37557399532889</v>
      </c>
      <c r="L3283" s="13">
        <v>5.237557399532889E19</v>
      </c>
      <c r="M3283" s="9">
        <v>5.2375573995328891E18</v>
      </c>
    </row>
    <row r="3284" ht="15.75" customHeight="1">
      <c r="A3284" s="8"/>
      <c r="B3284" s="8"/>
      <c r="C3284" s="8"/>
      <c r="D3284" s="8">
        <v>1.90785462001853</v>
      </c>
      <c r="E3284" s="9" t="s">
        <v>528</v>
      </c>
      <c r="I3284" s="12" t="str">
        <f>IFERROR(__xludf.DUMMYFUNCTION("""COMPUTED_VALUE"""),"0xde4f4015507cb53147edd0e2dfd3dcf991ae7f0c")</f>
        <v>0xde4f4015507cb53147edd0e2dfd3dcf991ae7f0c</v>
      </c>
      <c r="J3284" s="11">
        <v>1.94579033779014</v>
      </c>
      <c r="K3284" s="12">
        <v>4.323978528422534</v>
      </c>
      <c r="L3284" s="13">
        <v>4.3239785284225336E18</v>
      </c>
      <c r="M3284" s="9">
        <v>4.3239785284225338E17</v>
      </c>
    </row>
    <row r="3285" ht="15.75" customHeight="1">
      <c r="A3285" s="8"/>
      <c r="B3285" s="8"/>
      <c r="C3285" s="8"/>
      <c r="D3285" s="8">
        <v>63.217307546936</v>
      </c>
      <c r="E3285" s="9" t="s">
        <v>532</v>
      </c>
      <c r="I3285" s="12" t="str">
        <f>IFERROR(__xludf.DUMMYFUNCTION("""COMPUTED_VALUE"""),"0xdeca86a14f8d7a16a70f0dd92b17b265f5229a5a")</f>
        <v>0xdeca86a14f8d7a16a70f0dd92b17b265f5229a5a</v>
      </c>
      <c r="J3285" s="11">
        <v>1.05705823113607</v>
      </c>
      <c r="K3285" s="12">
        <v>2.3490182914134885</v>
      </c>
      <c r="L3285" s="13">
        <v>2.3490182914134886E18</v>
      </c>
      <c r="M3285" s="9">
        <v>2.34901829141348864E17</v>
      </c>
    </row>
    <row r="3286" ht="15.75" customHeight="1">
      <c r="A3286" s="8"/>
      <c r="B3286" s="8"/>
      <c r="C3286" s="8"/>
      <c r="D3286" s="8">
        <v>63.217307546936</v>
      </c>
      <c r="E3286" s="9" t="s">
        <v>540</v>
      </c>
      <c r="I3286" s="12" t="str">
        <f>IFERROR(__xludf.DUMMYFUNCTION("""COMPUTED_VALUE"""),"0xe03c71d9f4b2ccf8026b495cc01f3763b66f4cb6")</f>
        <v>0xe03c71d9f4b2ccf8026b495cc01f3763b66f4cb6</v>
      </c>
      <c r="J3286" s="11">
        <v>18.5748088330963</v>
      </c>
      <c r="K3286" s="12">
        <v>41.27735296243622</v>
      </c>
      <c r="L3286" s="13">
        <v>4.127735296243622E19</v>
      </c>
      <c r="M3286" s="9">
        <v>4.1277352962436219E18</v>
      </c>
    </row>
    <row r="3287" ht="15.75" customHeight="1">
      <c r="A3287" s="8"/>
      <c r="B3287" s="8"/>
      <c r="C3287" s="8"/>
      <c r="D3287" s="8">
        <v>25.2869230187744</v>
      </c>
      <c r="E3287" s="9" t="s">
        <v>542</v>
      </c>
      <c r="I3287" s="12" t="str">
        <f>IFERROR(__xludf.DUMMYFUNCTION("""COMPUTED_VALUE"""),"0xe181d36bce5fb8b6fa1c0a6d45f0f6a40c6d241a")</f>
        <v>0xe181d36bce5fb8b6fa1c0a6d45f0f6a40c6d241a</v>
      </c>
      <c r="J3287" s="11">
        <v>1.93819652379388</v>
      </c>
      <c r="K3287" s="12">
        <v>4.307103386208622</v>
      </c>
      <c r="L3287" s="13">
        <v>4.3071033862086221E18</v>
      </c>
      <c r="M3287" s="9">
        <v>4.3071033862086221E17</v>
      </c>
    </row>
    <row r="3288" ht="15.75" customHeight="1">
      <c r="A3288" s="8"/>
      <c r="B3288" s="8"/>
      <c r="C3288" s="8"/>
      <c r="D3288" s="8">
        <v>14.8767744493006</v>
      </c>
      <c r="E3288" s="9" t="s">
        <v>543</v>
      </c>
      <c r="I3288" s="12" t="str">
        <f>IFERROR(__xludf.DUMMYFUNCTION("""COMPUTED_VALUE"""),"0xe270e2b1275f2801eb67c8561a2e2ded1f8cfad4")</f>
        <v>0xe270e2b1275f2801eb67c8561a2e2ded1f8cfad4</v>
      </c>
      <c r="J3288" s="11">
        <v>10.3037024439563</v>
      </c>
      <c r="K3288" s="12">
        <v>22.89711654212511</v>
      </c>
      <c r="L3288" s="13">
        <v>2.2897116542125113E19</v>
      </c>
      <c r="M3288" s="9">
        <v>2.28971165421251149E18</v>
      </c>
    </row>
    <row r="3289" ht="15.75" customHeight="1">
      <c r="A3289" s="8"/>
      <c r="B3289" s="8"/>
      <c r="C3289" s="8"/>
      <c r="D3289" s="8">
        <v>63.217307546936</v>
      </c>
      <c r="E3289" s="9" t="s">
        <v>547</v>
      </c>
      <c r="I3289" s="12" t="str">
        <f>IFERROR(__xludf.DUMMYFUNCTION("""COMPUTED_VALUE"""),"0xe35202f344f3c0ad113c52f3317e8f72b4dc0d59")</f>
        <v>0xe35202f344f3c0ad113c52f3317e8f72b4dc0d59</v>
      </c>
      <c r="J3289" s="11">
        <v>21.5191994284375</v>
      </c>
      <c r="K3289" s="12">
        <v>47.82044317430555</v>
      </c>
      <c r="L3289" s="13">
        <v>4.7820443174305554E19</v>
      </c>
      <c r="M3289" s="9">
        <v>4.7820443174305556E18</v>
      </c>
    </row>
    <row r="3290" ht="15.75" customHeight="1">
      <c r="A3290" s="8"/>
      <c r="B3290" s="8"/>
      <c r="C3290" s="8"/>
      <c r="D3290" s="8">
        <v>56.0438434126665</v>
      </c>
      <c r="E3290" s="9" t="s">
        <v>548</v>
      </c>
      <c r="I3290" s="12" t="str">
        <f>IFERROR(__xludf.DUMMYFUNCTION("""COMPUTED_VALUE"""),"0xe737fcdb3b8aa98bba77ee8b972b676d88195d61")</f>
        <v>0xe737fcdb3b8aa98bba77ee8b972b676d88195d61</v>
      </c>
      <c r="J3290" s="11">
        <v>0.473101596834222</v>
      </c>
      <c r="K3290" s="12">
        <v>1.0513368818538267</v>
      </c>
      <c r="L3290" s="13">
        <v>1.05133688185382669E18</v>
      </c>
      <c r="M3290" s="9">
        <v>1.05133688185382672E17</v>
      </c>
    </row>
    <row r="3291" ht="15.75" customHeight="1">
      <c r="A3291" s="8"/>
      <c r="B3291" s="8"/>
      <c r="C3291" s="8"/>
      <c r="D3291" s="8">
        <v>63.217307546936</v>
      </c>
      <c r="E3291" s="9" t="s">
        <v>550</v>
      </c>
      <c r="I3291" s="12" t="str">
        <f>IFERROR(__xludf.DUMMYFUNCTION("""COMPUTED_VALUE"""),"0xe9a2660a745cafbe95a9b4bb0cac53be584a9e91")</f>
        <v>0xe9a2660a745cafbe95a9b4bb0cac53be584a9e91</v>
      </c>
      <c r="J3291" s="11">
        <v>25.6818613041641</v>
      </c>
      <c r="K3291" s="12">
        <v>57.070802898142446</v>
      </c>
      <c r="L3291" s="13">
        <v>5.7070802898142446E19</v>
      </c>
      <c r="M3291" s="9">
        <v>5.7070802898142454E18</v>
      </c>
    </row>
    <row r="3292" ht="15.75" customHeight="1">
      <c r="A3292" s="8"/>
      <c r="B3292" s="8"/>
      <c r="C3292" s="8"/>
      <c r="D3292" s="8">
        <v>63.217307546936</v>
      </c>
      <c r="E3292" s="9" t="s">
        <v>557</v>
      </c>
      <c r="I3292" s="12" t="str">
        <f>IFERROR(__xludf.DUMMYFUNCTION("""COMPUTED_VALUE"""),"0xecf8f4f151bd78cf73f2aa06720c0586a9ab741a")</f>
        <v>0xecf8f4f151bd78cf73f2aa06720c0586a9ab741a</v>
      </c>
      <c r="J3292" s="11">
        <v>1.59894792936142</v>
      </c>
      <c r="K3292" s="12">
        <v>3.553217620803155</v>
      </c>
      <c r="L3292" s="13">
        <v>3.5532176208031549E18</v>
      </c>
      <c r="M3292" s="9">
        <v>3.5532176208031552E17</v>
      </c>
    </row>
    <row r="3293" ht="15.75" customHeight="1">
      <c r="A3293" s="8"/>
      <c r="B3293" s="8"/>
      <c r="C3293" s="8"/>
      <c r="D3293" s="8">
        <v>19.3883407132044</v>
      </c>
      <c r="E3293" s="9" t="s">
        <v>3073</v>
      </c>
      <c r="I3293" s="12" t="str">
        <f>IFERROR(__xludf.DUMMYFUNCTION("""COMPUTED_VALUE"""),"0xef92d1638b63dd82bd744fffb96f9d46b0eec50e")</f>
        <v>0xef92d1638b63dd82bd744fffb96f9d46b0eec50e</v>
      </c>
      <c r="J3293" s="11">
        <v>11.7136578334966</v>
      </c>
      <c r="K3293" s="12">
        <v>26.030350741103554</v>
      </c>
      <c r="L3293" s="13">
        <v>2.6030350741103555E19</v>
      </c>
      <c r="M3293" s="9">
        <v>2.6030350741103555E18</v>
      </c>
    </row>
    <row r="3294" ht="15.75" customHeight="1">
      <c r="A3294" s="8"/>
      <c r="B3294" s="8"/>
      <c r="C3294" s="8"/>
      <c r="D3294" s="8">
        <v>7.06723839914776</v>
      </c>
      <c r="E3294" s="9" t="s">
        <v>3074</v>
      </c>
      <c r="I3294" s="12" t="str">
        <f>IFERROR(__xludf.DUMMYFUNCTION("""COMPUTED_VALUE"""),"0xf074e6121652e35c969aa297dbfe4b933ccda2c6")</f>
        <v>0xf074e6121652e35c969aa297dbfe4b933ccda2c6</v>
      </c>
      <c r="J3294" s="11">
        <v>14.9825856009841</v>
      </c>
      <c r="K3294" s="12">
        <v>33.294634668853554</v>
      </c>
      <c r="L3294" s="13">
        <v>3.3294634668853555E19</v>
      </c>
      <c r="M3294" s="9">
        <v>3.3294634668853555E18</v>
      </c>
    </row>
    <row r="3295" ht="15.75" customHeight="1">
      <c r="A3295" s="8"/>
      <c r="B3295" s="8"/>
      <c r="C3295" s="8"/>
      <c r="D3295" s="8">
        <v>63.217307546936</v>
      </c>
      <c r="E3295" s="9" t="s">
        <v>564</v>
      </c>
      <c r="I3295" s="12" t="str">
        <f>IFERROR(__xludf.DUMMYFUNCTION("""COMPUTED_VALUE"""),"0xf08cb829f7fbe4ee21f90f44ae5e49bd1a99fde1")</f>
        <v>0xf08cb829f7fbe4ee21f90f44ae5e49bd1a99fde1</v>
      </c>
      <c r="J3295" s="11">
        <v>10.0958505533025</v>
      </c>
      <c r="K3295" s="12">
        <v>22.435223451783333</v>
      </c>
      <c r="L3295" s="13">
        <v>2.243522345178333E19</v>
      </c>
      <c r="M3295" s="9">
        <v>2.24352234517833318E18</v>
      </c>
    </row>
    <row r="3296" ht="15.75" customHeight="1">
      <c r="A3296" s="8"/>
      <c r="B3296" s="8"/>
      <c r="C3296" s="8"/>
      <c r="D3296" s="8">
        <v>50.5738460375488</v>
      </c>
      <c r="E3296" s="9" t="s">
        <v>566</v>
      </c>
      <c r="I3296" s="12" t="str">
        <f>IFERROR(__xludf.DUMMYFUNCTION("""COMPUTED_VALUE"""),"0xf1c3604196ce8d756999599997767486bf756bf5")</f>
        <v>0xf1c3604196ce8d756999599997767486bf756bf5</v>
      </c>
      <c r="J3296" s="11">
        <v>10.7602689673403</v>
      </c>
      <c r="K3296" s="12">
        <v>23.911708816311776</v>
      </c>
      <c r="L3296" s="13">
        <v>2.3911708816311775E19</v>
      </c>
      <c r="M3296" s="9">
        <v>2.3911708816311777E18</v>
      </c>
    </row>
    <row r="3297" ht="15.75" customHeight="1">
      <c r="A3297" s="8"/>
      <c r="B3297" s="8"/>
      <c r="C3297" s="8"/>
      <c r="D3297" s="8">
        <v>63.217307546936</v>
      </c>
      <c r="E3297" s="9" t="s">
        <v>568</v>
      </c>
      <c r="I3297" s="12" t="str">
        <f>IFERROR(__xludf.DUMMYFUNCTION("""COMPUTED_VALUE"""),"0xf4a616612d95ffcc667f2cca19b41842cea78de6")</f>
        <v>0xf4a616612d95ffcc667f2cca19b41842cea78de6</v>
      </c>
      <c r="J3297" s="11">
        <v>175.957820246362</v>
      </c>
      <c r="K3297" s="12">
        <v>391.01737832524884</v>
      </c>
      <c r="L3297" s="13">
        <v>3.910173783252489E20</v>
      </c>
      <c r="M3297" s="9">
        <v>3.910173783252489E19</v>
      </c>
    </row>
    <row r="3298" ht="15.75" customHeight="1">
      <c r="A3298" s="8"/>
      <c r="B3298" s="8"/>
      <c r="C3298" s="8"/>
      <c r="D3298" s="8">
        <v>51.2608469040678</v>
      </c>
      <c r="E3298" s="9" t="s">
        <v>571</v>
      </c>
      <c r="I3298" s="12" t="str">
        <f>IFERROR(__xludf.DUMMYFUNCTION("""COMPUTED_VALUE"""),"0xfeb3e6a4b16c310c2dbb2d47232b9ff8e1a66c06")</f>
        <v>0xfeb3e6a4b16c310c2dbb2d47232b9ff8e1a66c06</v>
      </c>
      <c r="J3298" s="11">
        <v>1.75683190562606</v>
      </c>
      <c r="K3298" s="12">
        <v>3.9040709013912442</v>
      </c>
      <c r="L3298" s="13">
        <v>3.9040709013912443E18</v>
      </c>
      <c r="M3298" s="9">
        <v>3.9040709013912448E17</v>
      </c>
    </row>
    <row r="3299" ht="15.75" customHeight="1">
      <c r="A3299" s="8"/>
      <c r="B3299" s="8"/>
      <c r="C3299" s="8"/>
      <c r="D3299" s="8">
        <v>63.217307546936</v>
      </c>
      <c r="E3299" s="9" t="s">
        <v>572</v>
      </c>
      <c r="I3299" s="12" t="str">
        <f>IFERROR(__xludf.DUMMYFUNCTION("""COMPUTED_VALUE"""),"0xfedcc6ea3d083b2d85546176931ec28291a784d0")</f>
        <v>0xfedcc6ea3d083b2d85546176931ec28291a784d0</v>
      </c>
      <c r="J3299" s="11">
        <v>0.886136235184522</v>
      </c>
      <c r="K3299" s="22">
        <v>1.9691916337433821</v>
      </c>
      <c r="L3299" s="13">
        <v>1.96919163374338202E18</v>
      </c>
      <c r="M3299" s="9">
        <v>1.96919163374338208E17</v>
      </c>
    </row>
    <row r="3300" ht="15.75" customHeight="1">
      <c r="A3300" s="8"/>
      <c r="B3300" s="8"/>
      <c r="C3300" s="8"/>
      <c r="D3300" s="8">
        <v>50.5738460375488</v>
      </c>
      <c r="E3300" s="9" t="s">
        <v>574</v>
      </c>
      <c r="I3300" s="12"/>
      <c r="J3300" s="11">
        <v>0.0</v>
      </c>
      <c r="K3300" s="12" t="s">
        <v>3075</v>
      </c>
      <c r="L3300" s="13" t="s">
        <v>3075</v>
      </c>
      <c r="M3300" s="9" t="s">
        <v>3075</v>
      </c>
    </row>
    <row r="3301" ht="15.75" customHeight="1">
      <c r="A3301" s="8"/>
      <c r="B3301" s="8"/>
      <c r="C3301" s="8"/>
      <c r="D3301" s="8">
        <v>63.217307546936</v>
      </c>
      <c r="E3301" s="9" t="s">
        <v>576</v>
      </c>
      <c r="I3301" s="12"/>
      <c r="J3301" s="11">
        <v>0.0</v>
      </c>
      <c r="K3301" s="12" t="s">
        <v>3075</v>
      </c>
      <c r="L3301" s="13" t="s">
        <v>3075</v>
      </c>
      <c r="M3301" s="9" t="s">
        <v>3075</v>
      </c>
    </row>
    <row r="3302" ht="15.75" customHeight="1">
      <c r="A3302" s="8"/>
      <c r="B3302" s="8"/>
      <c r="C3302" s="8"/>
      <c r="D3302" s="8">
        <v>63.217307546936</v>
      </c>
      <c r="E3302" s="9" t="s">
        <v>577</v>
      </c>
      <c r="I3302" s="12"/>
      <c r="J3302" s="11">
        <v>0.0</v>
      </c>
      <c r="K3302" s="12" t="s">
        <v>3075</v>
      </c>
      <c r="L3302" s="13" t="s">
        <v>3075</v>
      </c>
      <c r="M3302" s="9" t="s">
        <v>3075</v>
      </c>
    </row>
    <row r="3303" ht="15.75" customHeight="1">
      <c r="A3303" s="8"/>
      <c r="B3303" s="8"/>
      <c r="C3303" s="8"/>
      <c r="D3303" s="8">
        <v>63.217307546936</v>
      </c>
      <c r="E3303" s="9" t="s">
        <v>579</v>
      </c>
      <c r="I3303" s="12"/>
      <c r="J3303" s="11">
        <v>0.0</v>
      </c>
      <c r="K3303" s="12" t="s">
        <v>3075</v>
      </c>
      <c r="L3303" s="13" t="s">
        <v>3075</v>
      </c>
      <c r="M3303" s="9" t="s">
        <v>3075</v>
      </c>
    </row>
    <row r="3304" ht="15.75" customHeight="1">
      <c r="A3304" s="8"/>
      <c r="B3304" s="8"/>
      <c r="C3304" s="8"/>
      <c r="D3304" s="8">
        <v>63.217307546936</v>
      </c>
      <c r="E3304" s="9" t="s">
        <v>580</v>
      </c>
      <c r="I3304" s="12"/>
      <c r="J3304" s="11">
        <v>0.0</v>
      </c>
      <c r="K3304" s="12" t="s">
        <v>3075</v>
      </c>
      <c r="L3304" s="13" t="s">
        <v>3075</v>
      </c>
      <c r="M3304" s="9" t="s">
        <v>3075</v>
      </c>
    </row>
    <row r="3305" ht="15.75" customHeight="1">
      <c r="A3305" s="8"/>
      <c r="B3305" s="8"/>
      <c r="C3305" s="8"/>
      <c r="D3305" s="8">
        <v>63.217307546936</v>
      </c>
      <c r="E3305" s="9" t="s">
        <v>582</v>
      </c>
      <c r="I3305" s="12"/>
      <c r="J3305" s="11">
        <v>0.0</v>
      </c>
      <c r="K3305" s="12" t="s">
        <v>3075</v>
      </c>
      <c r="L3305" s="13" t="s">
        <v>3075</v>
      </c>
      <c r="M3305" s="9" t="s">
        <v>3075</v>
      </c>
    </row>
    <row r="3306" ht="15.75" customHeight="1">
      <c r="A3306" s="8"/>
      <c r="B3306" s="8"/>
      <c r="C3306" s="8"/>
      <c r="D3306" s="8">
        <v>63.217307546936</v>
      </c>
      <c r="E3306" s="9" t="s">
        <v>583</v>
      </c>
      <c r="I3306" s="12"/>
      <c r="J3306" s="11">
        <v>0.0</v>
      </c>
      <c r="K3306" s="12" t="s">
        <v>3075</v>
      </c>
      <c r="L3306" s="13" t="s">
        <v>3075</v>
      </c>
      <c r="M3306" s="9" t="s">
        <v>3075</v>
      </c>
    </row>
    <row r="3307" ht="15.75" customHeight="1">
      <c r="A3307" s="8"/>
      <c r="B3307" s="8"/>
      <c r="C3307" s="8"/>
      <c r="D3307" s="8">
        <v>63.217307546936</v>
      </c>
      <c r="E3307" s="9" t="s">
        <v>585</v>
      </c>
      <c r="I3307" s="12"/>
      <c r="J3307" s="11">
        <v>0.0</v>
      </c>
      <c r="K3307" s="12" t="s">
        <v>3075</v>
      </c>
      <c r="L3307" s="13" t="s">
        <v>3075</v>
      </c>
      <c r="M3307" s="9" t="s">
        <v>3075</v>
      </c>
    </row>
    <row r="3308" ht="15.75" customHeight="1">
      <c r="A3308" s="8"/>
      <c r="B3308" s="8"/>
      <c r="C3308" s="8"/>
      <c r="D3308" s="8">
        <v>52.8965834317768</v>
      </c>
      <c r="E3308" s="9" t="s">
        <v>586</v>
      </c>
      <c r="I3308" s="12"/>
      <c r="J3308" s="11">
        <v>0.0</v>
      </c>
      <c r="K3308" s="12" t="s">
        <v>3075</v>
      </c>
      <c r="L3308" s="13" t="s">
        <v>3075</v>
      </c>
      <c r="M3308" s="9" t="s">
        <v>3075</v>
      </c>
    </row>
    <row r="3309" ht="15.75" customHeight="1">
      <c r="A3309" s="8"/>
      <c r="B3309" s="8"/>
      <c r="C3309" s="8"/>
      <c r="D3309" s="8">
        <v>63.217307546936</v>
      </c>
      <c r="E3309" s="9" t="s">
        <v>588</v>
      </c>
      <c r="I3309" s="12"/>
      <c r="J3309" s="11">
        <v>0.0</v>
      </c>
      <c r="K3309" s="12" t="s">
        <v>3075</v>
      </c>
      <c r="L3309" s="13" t="s">
        <v>3075</v>
      </c>
      <c r="M3309" s="9" t="s">
        <v>3075</v>
      </c>
    </row>
    <row r="3310" ht="15.75" customHeight="1">
      <c r="A3310" s="8"/>
      <c r="B3310" s="8"/>
      <c r="C3310" s="8"/>
      <c r="D3310" s="8">
        <v>1.550659056445</v>
      </c>
      <c r="E3310" s="9" t="s">
        <v>589</v>
      </c>
      <c r="I3310" s="12"/>
      <c r="J3310" s="11">
        <v>0.0</v>
      </c>
      <c r="K3310" s="12" t="s">
        <v>3075</v>
      </c>
      <c r="L3310" s="13" t="s">
        <v>3075</v>
      </c>
      <c r="M3310" s="9" t="s">
        <v>3075</v>
      </c>
    </row>
    <row r="3311" ht="15.75" customHeight="1">
      <c r="A3311" s="8"/>
      <c r="B3311" s="8"/>
      <c r="C3311" s="8"/>
      <c r="D3311" s="8">
        <v>63.217307546936</v>
      </c>
      <c r="E3311" s="9" t="s">
        <v>591</v>
      </c>
      <c r="I3311" s="12"/>
      <c r="J3311" s="11">
        <v>0.0</v>
      </c>
      <c r="K3311" s="12" t="s">
        <v>3075</v>
      </c>
      <c r="L3311" s="13" t="s">
        <v>3075</v>
      </c>
      <c r="M3311" s="9" t="s">
        <v>3075</v>
      </c>
    </row>
    <row r="3312" ht="15.75" customHeight="1">
      <c r="A3312" s="8"/>
      <c r="B3312" s="8"/>
      <c r="C3312" s="8"/>
      <c r="D3312" s="8">
        <v>63.217307546936</v>
      </c>
      <c r="E3312" s="9" t="s">
        <v>594</v>
      </c>
      <c r="I3312" s="12"/>
      <c r="J3312" s="11">
        <v>0.0</v>
      </c>
      <c r="K3312" s="12" t="s">
        <v>3075</v>
      </c>
      <c r="L3312" s="13" t="s">
        <v>3075</v>
      </c>
      <c r="M3312" s="9" t="s">
        <v>3075</v>
      </c>
    </row>
    <row r="3313" ht="15.75" customHeight="1">
      <c r="A3313" s="8"/>
      <c r="B3313" s="8"/>
      <c r="C3313" s="8"/>
      <c r="D3313" s="8">
        <v>63.217307546936</v>
      </c>
      <c r="E3313" s="9" t="s">
        <v>3076</v>
      </c>
      <c r="I3313" s="12"/>
      <c r="J3313" s="11">
        <v>0.0</v>
      </c>
      <c r="K3313" s="12" t="s">
        <v>3075</v>
      </c>
      <c r="L3313" s="13" t="s">
        <v>3075</v>
      </c>
      <c r="M3313" s="9" t="s">
        <v>3075</v>
      </c>
    </row>
    <row r="3314" ht="15.75" customHeight="1">
      <c r="A3314" s="8"/>
      <c r="B3314" s="8"/>
      <c r="C3314" s="8"/>
      <c r="D3314" s="8">
        <v>63.2008492028654</v>
      </c>
      <c r="E3314" s="9" t="s">
        <v>596</v>
      </c>
      <c r="I3314" s="12"/>
      <c r="J3314" s="11">
        <v>0.0</v>
      </c>
      <c r="K3314" s="12" t="s">
        <v>3075</v>
      </c>
      <c r="L3314" s="13" t="s">
        <v>3075</v>
      </c>
      <c r="M3314" s="9" t="s">
        <v>3075</v>
      </c>
    </row>
    <row r="3315" ht="15.75" customHeight="1">
      <c r="A3315" s="8"/>
      <c r="B3315" s="8"/>
      <c r="C3315" s="8"/>
      <c r="D3315" s="8">
        <v>63.217307546936</v>
      </c>
      <c r="E3315" s="9" t="s">
        <v>597</v>
      </c>
      <c r="I3315" s="12"/>
      <c r="J3315" s="11">
        <v>0.0</v>
      </c>
      <c r="K3315" s="12" t="s">
        <v>3075</v>
      </c>
      <c r="L3315" s="13" t="s">
        <v>3075</v>
      </c>
      <c r="M3315" s="9" t="s">
        <v>3075</v>
      </c>
    </row>
    <row r="3316" ht="15.75" customHeight="1">
      <c r="A3316" s="8"/>
      <c r="B3316" s="8"/>
      <c r="C3316" s="8"/>
      <c r="D3316" s="8">
        <v>63.217307546936</v>
      </c>
      <c r="E3316" s="9" t="s">
        <v>598</v>
      </c>
      <c r="I3316" s="12"/>
      <c r="J3316" s="11">
        <v>0.0</v>
      </c>
      <c r="K3316" s="12" t="s">
        <v>3075</v>
      </c>
      <c r="L3316" s="13" t="s">
        <v>3075</v>
      </c>
      <c r="M3316" s="9" t="s">
        <v>3075</v>
      </c>
    </row>
    <row r="3317" ht="15.75" customHeight="1">
      <c r="A3317" s="8"/>
      <c r="B3317" s="8"/>
      <c r="C3317" s="8"/>
      <c r="D3317" s="8">
        <v>63.217307546936</v>
      </c>
      <c r="E3317" s="9" t="s">
        <v>600</v>
      </c>
      <c r="I3317" s="12"/>
      <c r="J3317" s="11">
        <v>0.0</v>
      </c>
      <c r="K3317" s="12" t="s">
        <v>3075</v>
      </c>
      <c r="L3317" s="13" t="s">
        <v>3075</v>
      </c>
      <c r="M3317" s="9" t="s">
        <v>3075</v>
      </c>
    </row>
    <row r="3318" ht="15.75" customHeight="1">
      <c r="A3318" s="8"/>
      <c r="B3318" s="8"/>
      <c r="C3318" s="8"/>
      <c r="D3318" s="8">
        <v>63.217307546936</v>
      </c>
      <c r="E3318" s="9" t="s">
        <v>602</v>
      </c>
      <c r="I3318" s="12"/>
      <c r="J3318" s="11">
        <v>0.0</v>
      </c>
      <c r="K3318" s="12" t="s">
        <v>3075</v>
      </c>
      <c r="L3318" s="13" t="s">
        <v>3075</v>
      </c>
      <c r="M3318" s="9" t="s">
        <v>3075</v>
      </c>
    </row>
    <row r="3319" ht="15.75" customHeight="1">
      <c r="A3319" s="8"/>
      <c r="B3319" s="8"/>
      <c r="C3319" s="8"/>
      <c r="D3319" s="8">
        <v>51.734960593942</v>
      </c>
      <c r="E3319" s="9" t="s">
        <v>604</v>
      </c>
      <c r="I3319" s="12"/>
      <c r="J3319" s="11">
        <v>0.0</v>
      </c>
      <c r="K3319" s="12" t="s">
        <v>3075</v>
      </c>
      <c r="L3319" s="13" t="s">
        <v>3075</v>
      </c>
      <c r="M3319" s="9" t="s">
        <v>3075</v>
      </c>
    </row>
    <row r="3320" ht="15.75" customHeight="1">
      <c r="A3320" s="8"/>
      <c r="B3320" s="8"/>
      <c r="C3320" s="8"/>
      <c r="D3320" s="8">
        <v>54.6138353440358</v>
      </c>
      <c r="E3320" s="9" t="s">
        <v>3077</v>
      </c>
      <c r="I3320" s="12"/>
      <c r="J3320" s="11">
        <v>0.0</v>
      </c>
      <c r="K3320" s="12" t="s">
        <v>3075</v>
      </c>
      <c r="L3320" s="13" t="s">
        <v>3075</v>
      </c>
      <c r="M3320" s="9" t="s">
        <v>3075</v>
      </c>
    </row>
    <row r="3321" ht="15.75" customHeight="1">
      <c r="A3321" s="8"/>
      <c r="B3321" s="8"/>
      <c r="C3321" s="8"/>
      <c r="D3321" s="8">
        <v>63.217307546936</v>
      </c>
      <c r="E3321" s="9" t="s">
        <v>606</v>
      </c>
      <c r="I3321" s="12"/>
      <c r="J3321" s="11">
        <v>0.0</v>
      </c>
      <c r="K3321" s="12" t="s">
        <v>3075</v>
      </c>
      <c r="L3321" s="13" t="s">
        <v>3075</v>
      </c>
      <c r="M3321" s="9" t="s">
        <v>3075</v>
      </c>
    </row>
    <row r="3322" ht="15.75" customHeight="1">
      <c r="A3322" s="8"/>
      <c r="B3322" s="8"/>
      <c r="C3322" s="8"/>
      <c r="D3322" s="8">
        <v>63.217307546936</v>
      </c>
      <c r="E3322" s="9" t="s">
        <v>607</v>
      </c>
      <c r="I3322" s="12"/>
      <c r="J3322" s="11">
        <v>0.0</v>
      </c>
      <c r="K3322" s="12" t="s">
        <v>3075</v>
      </c>
      <c r="L3322" s="13" t="s">
        <v>3075</v>
      </c>
      <c r="M3322" s="9" t="s">
        <v>3075</v>
      </c>
    </row>
    <row r="3323" ht="15.75" customHeight="1">
      <c r="A3323" s="8"/>
      <c r="B3323" s="8"/>
      <c r="C3323" s="8"/>
      <c r="D3323" s="8">
        <v>59.8327208610605</v>
      </c>
      <c r="E3323" s="9" t="s">
        <v>608</v>
      </c>
      <c r="I3323" s="12"/>
      <c r="J3323" s="11">
        <v>0.0</v>
      </c>
      <c r="K3323" s="12" t="s">
        <v>3075</v>
      </c>
      <c r="L3323" s="13" t="s">
        <v>3075</v>
      </c>
      <c r="M3323" s="9" t="s">
        <v>3075</v>
      </c>
    </row>
    <row r="3324" ht="15.75" customHeight="1">
      <c r="A3324" s="8"/>
      <c r="B3324" s="8"/>
      <c r="C3324" s="8"/>
      <c r="D3324" s="8">
        <v>63.217307546936</v>
      </c>
      <c r="E3324" s="9" t="s">
        <v>610</v>
      </c>
      <c r="I3324" s="12"/>
      <c r="J3324" s="11">
        <v>0.0</v>
      </c>
      <c r="K3324" s="12" t="s">
        <v>3075</v>
      </c>
      <c r="L3324" s="13" t="s">
        <v>3075</v>
      </c>
      <c r="M3324" s="9" t="s">
        <v>3075</v>
      </c>
    </row>
    <row r="3325" ht="15.75" customHeight="1">
      <c r="A3325" s="8"/>
      <c r="B3325" s="8"/>
      <c r="C3325" s="8"/>
      <c r="D3325" s="8">
        <v>63.217307546936</v>
      </c>
      <c r="E3325" s="9" t="s">
        <v>611</v>
      </c>
      <c r="I3325" s="12"/>
      <c r="J3325" s="11">
        <v>0.0</v>
      </c>
      <c r="K3325" s="12" t="s">
        <v>3075</v>
      </c>
      <c r="L3325" s="13" t="s">
        <v>3075</v>
      </c>
      <c r="M3325" s="9" t="s">
        <v>3075</v>
      </c>
    </row>
    <row r="3326" ht="15.75" customHeight="1">
      <c r="A3326" s="8"/>
      <c r="B3326" s="8"/>
      <c r="C3326" s="8"/>
      <c r="D3326" s="8">
        <v>16.145295699065</v>
      </c>
      <c r="E3326" s="9" t="s">
        <v>612</v>
      </c>
      <c r="I3326" s="12"/>
      <c r="J3326" s="11">
        <v>0.0</v>
      </c>
      <c r="K3326" s="12" t="s">
        <v>3075</v>
      </c>
      <c r="L3326" s="13" t="s">
        <v>3075</v>
      </c>
      <c r="M3326" s="9" t="s">
        <v>3075</v>
      </c>
    </row>
    <row r="3327" ht="15.75" customHeight="1">
      <c r="A3327" s="8"/>
      <c r="B3327" s="8"/>
      <c r="C3327" s="8"/>
      <c r="D3327" s="8">
        <v>63.217307546936</v>
      </c>
      <c r="E3327" s="9" t="s">
        <v>3078</v>
      </c>
      <c r="I3327" s="12"/>
      <c r="J3327" s="11">
        <v>0.0</v>
      </c>
      <c r="K3327" s="12" t="s">
        <v>3075</v>
      </c>
      <c r="L3327" s="13" t="s">
        <v>3075</v>
      </c>
      <c r="M3327" s="9" t="s">
        <v>3075</v>
      </c>
    </row>
    <row r="3328" ht="15.75" customHeight="1">
      <c r="A3328" s="8"/>
      <c r="B3328" s="8"/>
      <c r="C3328" s="8"/>
      <c r="D3328" s="8">
        <v>63.217307546936</v>
      </c>
      <c r="E3328" s="9" t="s">
        <v>618</v>
      </c>
      <c r="I3328" s="12"/>
      <c r="J3328" s="11">
        <v>0.0</v>
      </c>
      <c r="K3328" s="12" t="s">
        <v>3075</v>
      </c>
      <c r="L3328" s="13" t="s">
        <v>3075</v>
      </c>
      <c r="M3328" s="9" t="s">
        <v>3075</v>
      </c>
    </row>
    <row r="3329" ht="15.75" customHeight="1">
      <c r="A3329" s="8"/>
      <c r="B3329" s="8"/>
      <c r="C3329" s="8"/>
      <c r="D3329" s="8">
        <v>63.217307546936</v>
      </c>
      <c r="E3329" s="9" t="s">
        <v>3079</v>
      </c>
      <c r="I3329" s="12"/>
      <c r="J3329" s="11">
        <v>0.0</v>
      </c>
      <c r="K3329" s="12" t="s">
        <v>3075</v>
      </c>
      <c r="L3329" s="13" t="s">
        <v>3075</v>
      </c>
      <c r="M3329" s="9" t="s">
        <v>3075</v>
      </c>
    </row>
    <row r="3330" ht="15.75" customHeight="1">
      <c r="A3330" s="8"/>
      <c r="B3330" s="8"/>
      <c r="C3330" s="8"/>
      <c r="D3330" s="8">
        <v>63.217307546936</v>
      </c>
      <c r="E3330" s="9" t="s">
        <v>620</v>
      </c>
      <c r="I3330" s="12"/>
      <c r="J3330" s="11">
        <v>0.0</v>
      </c>
      <c r="K3330" s="12" t="s">
        <v>3075</v>
      </c>
      <c r="L3330" s="13" t="s">
        <v>3075</v>
      </c>
      <c r="M3330" s="9" t="s">
        <v>3075</v>
      </c>
    </row>
    <row r="3331" ht="15.75" customHeight="1">
      <c r="A3331" s="8"/>
      <c r="B3331" s="8"/>
      <c r="C3331" s="8"/>
      <c r="D3331" s="8">
        <v>29.0453470152155</v>
      </c>
      <c r="E3331" s="9" t="s">
        <v>624</v>
      </c>
      <c r="I3331" s="12"/>
      <c r="J3331" s="11">
        <v>0.0</v>
      </c>
      <c r="K3331" s="12" t="s">
        <v>3075</v>
      </c>
      <c r="L3331" s="13" t="s">
        <v>3075</v>
      </c>
      <c r="M3331" s="9" t="s">
        <v>3075</v>
      </c>
    </row>
    <row r="3332" ht="15.75" customHeight="1">
      <c r="A3332" s="8"/>
      <c r="B3332" s="8"/>
      <c r="C3332" s="8"/>
      <c r="D3332" s="8">
        <v>63.217307546936</v>
      </c>
      <c r="E3332" s="9" t="s">
        <v>626</v>
      </c>
      <c r="I3332" s="12"/>
      <c r="J3332" s="11">
        <v>0.0</v>
      </c>
      <c r="K3332" s="12" t="s">
        <v>3075</v>
      </c>
      <c r="L3332" s="13" t="s">
        <v>3075</v>
      </c>
      <c r="M3332" s="9" t="s">
        <v>3075</v>
      </c>
    </row>
    <row r="3333" ht="15.75" customHeight="1">
      <c r="A3333" s="8"/>
      <c r="B3333" s="8"/>
      <c r="C3333" s="8"/>
      <c r="D3333" s="8">
        <v>11.1088432809353</v>
      </c>
      <c r="E3333" s="9" t="s">
        <v>627</v>
      </c>
      <c r="I3333" s="12"/>
      <c r="J3333" s="11">
        <v>0.0</v>
      </c>
      <c r="K3333" s="12" t="s">
        <v>3075</v>
      </c>
      <c r="L3333" s="13" t="s">
        <v>3075</v>
      </c>
      <c r="M3333" s="9" t="s">
        <v>3075</v>
      </c>
    </row>
    <row r="3334" ht="15.75" customHeight="1">
      <c r="A3334" s="8"/>
      <c r="B3334" s="8"/>
      <c r="C3334" s="8"/>
      <c r="D3334" s="8">
        <v>57.7989854178561</v>
      </c>
      <c r="E3334" s="9" t="s">
        <v>628</v>
      </c>
      <c r="I3334" s="12"/>
      <c r="J3334" s="11">
        <v>0.0</v>
      </c>
      <c r="K3334" s="12" t="s">
        <v>3075</v>
      </c>
      <c r="L3334" s="13" t="s">
        <v>3075</v>
      </c>
      <c r="M3334" s="9" t="s">
        <v>3075</v>
      </c>
    </row>
    <row r="3335" ht="15.75" customHeight="1">
      <c r="A3335" s="8"/>
      <c r="B3335" s="8"/>
      <c r="C3335" s="8"/>
      <c r="D3335" s="8">
        <v>63.217307546936</v>
      </c>
      <c r="E3335" s="9" t="s">
        <v>632</v>
      </c>
      <c r="I3335" s="12"/>
      <c r="J3335" s="11">
        <v>0.0</v>
      </c>
      <c r="K3335" s="12" t="s">
        <v>3075</v>
      </c>
      <c r="L3335" s="13" t="s">
        <v>3075</v>
      </c>
      <c r="M3335" s="9" t="s">
        <v>3075</v>
      </c>
    </row>
    <row r="3336" ht="15.75" customHeight="1">
      <c r="A3336" s="8"/>
      <c r="B3336" s="8"/>
      <c r="C3336" s="8"/>
      <c r="D3336" s="8">
        <v>63.217307546936</v>
      </c>
      <c r="E3336" s="9" t="s">
        <v>634</v>
      </c>
      <c r="I3336" s="12"/>
      <c r="J3336" s="11">
        <v>0.0</v>
      </c>
      <c r="K3336" s="12" t="s">
        <v>3075</v>
      </c>
      <c r="L3336" s="13" t="s">
        <v>3075</v>
      </c>
      <c r="M3336" s="9" t="s">
        <v>3075</v>
      </c>
    </row>
    <row r="3337" ht="15.75" customHeight="1">
      <c r="A3337" s="8"/>
      <c r="B3337" s="8"/>
      <c r="C3337" s="8"/>
      <c r="D3337" s="8">
        <v>63.217307546936</v>
      </c>
      <c r="E3337" s="9" t="s">
        <v>635</v>
      </c>
      <c r="I3337" s="12"/>
      <c r="J3337" s="11">
        <v>0.0</v>
      </c>
      <c r="K3337" s="12" t="s">
        <v>3075</v>
      </c>
      <c r="L3337" s="13" t="s">
        <v>3075</v>
      </c>
      <c r="M3337" s="9" t="s">
        <v>3075</v>
      </c>
    </row>
    <row r="3338" ht="15.75" customHeight="1">
      <c r="A3338" s="8"/>
      <c r="B3338" s="8"/>
      <c r="C3338" s="8"/>
      <c r="D3338" s="8">
        <v>63.217307546936</v>
      </c>
      <c r="E3338" s="9" t="s">
        <v>640</v>
      </c>
      <c r="I3338" s="12"/>
      <c r="J3338" s="11">
        <v>0.0</v>
      </c>
      <c r="K3338" s="12" t="s">
        <v>3075</v>
      </c>
      <c r="L3338" s="13" t="s">
        <v>3075</v>
      </c>
      <c r="M3338" s="9" t="s">
        <v>3075</v>
      </c>
    </row>
    <row r="3339" ht="15.75" customHeight="1">
      <c r="A3339" s="8"/>
      <c r="B3339" s="8"/>
      <c r="C3339" s="8"/>
      <c r="D3339" s="8">
        <v>63.217307546936</v>
      </c>
      <c r="E3339" s="9" t="s">
        <v>643</v>
      </c>
      <c r="I3339" s="12"/>
      <c r="J3339" s="11">
        <v>0.0</v>
      </c>
      <c r="K3339" s="12" t="s">
        <v>3075</v>
      </c>
      <c r="L3339" s="13" t="s">
        <v>3075</v>
      </c>
      <c r="M3339" s="9" t="s">
        <v>3075</v>
      </c>
    </row>
    <row r="3340" ht="15.75" customHeight="1">
      <c r="A3340" s="8"/>
      <c r="B3340" s="8"/>
      <c r="C3340" s="8"/>
      <c r="D3340" s="8">
        <v>50.2869818248922</v>
      </c>
      <c r="E3340" s="9" t="s">
        <v>3080</v>
      </c>
      <c r="I3340" s="12"/>
      <c r="J3340" s="11">
        <v>0.0</v>
      </c>
      <c r="K3340" s="12" t="s">
        <v>3075</v>
      </c>
      <c r="L3340" s="13" t="s">
        <v>3075</v>
      </c>
      <c r="M3340" s="9" t="s">
        <v>3075</v>
      </c>
    </row>
    <row r="3341" ht="15.75" customHeight="1">
      <c r="A3341" s="8"/>
      <c r="B3341" s="8"/>
      <c r="C3341" s="8"/>
      <c r="D3341" s="8">
        <v>63.217307546936</v>
      </c>
      <c r="E3341" s="9" t="s">
        <v>645</v>
      </c>
      <c r="I3341" s="12"/>
      <c r="J3341" s="11">
        <v>0.0</v>
      </c>
      <c r="K3341" s="12" t="s">
        <v>3075</v>
      </c>
      <c r="L3341" s="13" t="s">
        <v>3075</v>
      </c>
      <c r="M3341" s="9" t="s">
        <v>3075</v>
      </c>
    </row>
    <row r="3342" ht="15.75" customHeight="1">
      <c r="A3342" s="8"/>
      <c r="B3342" s="8"/>
      <c r="C3342" s="8"/>
      <c r="D3342" s="8">
        <v>63.217307546936</v>
      </c>
      <c r="E3342" s="9" t="s">
        <v>648</v>
      </c>
      <c r="I3342" s="12"/>
      <c r="J3342" s="11">
        <v>0.0</v>
      </c>
      <c r="K3342" s="12" t="s">
        <v>3075</v>
      </c>
      <c r="L3342" s="13" t="s">
        <v>3075</v>
      </c>
      <c r="M3342" s="9" t="s">
        <v>3075</v>
      </c>
    </row>
    <row r="3343" ht="15.75" customHeight="1">
      <c r="A3343" s="8"/>
      <c r="B3343" s="8"/>
      <c r="C3343" s="8"/>
      <c r="D3343" s="8">
        <v>63.217307546936</v>
      </c>
      <c r="E3343" s="9" t="s">
        <v>649</v>
      </c>
      <c r="I3343" s="12"/>
      <c r="J3343" s="11">
        <v>0.0</v>
      </c>
      <c r="K3343" s="12" t="s">
        <v>3075</v>
      </c>
      <c r="L3343" s="13" t="s">
        <v>3075</v>
      </c>
      <c r="M3343" s="9" t="s">
        <v>3075</v>
      </c>
    </row>
    <row r="3344" ht="15.75" customHeight="1">
      <c r="A3344" s="8"/>
      <c r="B3344" s="8"/>
      <c r="C3344" s="8"/>
      <c r="D3344" s="8">
        <v>63.217307546936</v>
      </c>
      <c r="E3344" s="9" t="s">
        <v>651</v>
      </c>
      <c r="I3344" s="12"/>
      <c r="J3344" s="11">
        <v>0.0</v>
      </c>
      <c r="K3344" s="12" t="s">
        <v>3075</v>
      </c>
      <c r="L3344" s="13" t="s">
        <v>3075</v>
      </c>
      <c r="M3344" s="9" t="s">
        <v>3075</v>
      </c>
    </row>
    <row r="3345" ht="15.75" customHeight="1">
      <c r="A3345" s="8"/>
      <c r="B3345" s="8"/>
      <c r="C3345" s="8"/>
      <c r="D3345" s="8">
        <v>60.9545236444302</v>
      </c>
      <c r="E3345" s="9" t="s">
        <v>653</v>
      </c>
      <c r="I3345" s="12"/>
      <c r="J3345" s="11">
        <v>0.0</v>
      </c>
      <c r="K3345" s="12" t="s">
        <v>3075</v>
      </c>
      <c r="L3345" s="13" t="s">
        <v>3075</v>
      </c>
      <c r="M3345" s="9" t="s">
        <v>3075</v>
      </c>
    </row>
    <row r="3346" ht="15.75" customHeight="1">
      <c r="A3346" s="8"/>
      <c r="B3346" s="8"/>
      <c r="C3346" s="8"/>
      <c r="D3346" s="8">
        <v>63.217307546936</v>
      </c>
      <c r="E3346" s="9" t="s">
        <v>658</v>
      </c>
      <c r="I3346" s="12"/>
      <c r="J3346" s="11">
        <v>0.0</v>
      </c>
      <c r="K3346" s="12" t="s">
        <v>3075</v>
      </c>
      <c r="L3346" s="13" t="s">
        <v>3075</v>
      </c>
      <c r="M3346" s="9" t="s">
        <v>3075</v>
      </c>
    </row>
    <row r="3347" ht="15.75" customHeight="1">
      <c r="A3347" s="8"/>
      <c r="B3347" s="8"/>
      <c r="C3347" s="8"/>
      <c r="D3347" s="8">
        <v>63.217307546936</v>
      </c>
      <c r="E3347" s="9" t="s">
        <v>659</v>
      </c>
      <c r="I3347" s="12"/>
      <c r="J3347" s="11">
        <v>0.0</v>
      </c>
      <c r="K3347" s="12" t="s">
        <v>3075</v>
      </c>
      <c r="L3347" s="13" t="s">
        <v>3075</v>
      </c>
      <c r="M3347" s="9" t="s">
        <v>3075</v>
      </c>
    </row>
    <row r="3348" ht="15.75" customHeight="1">
      <c r="A3348" s="8"/>
      <c r="B3348" s="8"/>
      <c r="C3348" s="8"/>
      <c r="D3348" s="8">
        <v>63.217307546936</v>
      </c>
      <c r="E3348" s="9" t="s">
        <v>663</v>
      </c>
      <c r="I3348" s="12"/>
      <c r="J3348" s="11">
        <v>0.0</v>
      </c>
      <c r="K3348" s="12" t="s">
        <v>3075</v>
      </c>
      <c r="L3348" s="13" t="s">
        <v>3075</v>
      </c>
      <c r="M3348" s="9" t="s">
        <v>3075</v>
      </c>
    </row>
    <row r="3349" ht="15.75" customHeight="1">
      <c r="A3349" s="8"/>
      <c r="B3349" s="8"/>
      <c r="C3349" s="8"/>
      <c r="D3349" s="8">
        <v>63.217307546936</v>
      </c>
      <c r="E3349" s="9" t="s">
        <v>667</v>
      </c>
      <c r="I3349" s="12"/>
      <c r="J3349" s="11">
        <v>0.0</v>
      </c>
      <c r="K3349" s="12" t="s">
        <v>3075</v>
      </c>
      <c r="L3349" s="13" t="s">
        <v>3075</v>
      </c>
      <c r="M3349" s="9" t="s">
        <v>3075</v>
      </c>
    </row>
    <row r="3350" ht="15.75" customHeight="1">
      <c r="A3350" s="8"/>
      <c r="B3350" s="8"/>
      <c r="C3350" s="8"/>
      <c r="D3350" s="8">
        <v>63.217307546936</v>
      </c>
      <c r="E3350" s="9" t="s">
        <v>668</v>
      </c>
      <c r="I3350" s="12"/>
      <c r="J3350" s="11">
        <v>0.0</v>
      </c>
      <c r="K3350" s="12" t="s">
        <v>3075</v>
      </c>
      <c r="L3350" s="13" t="s">
        <v>3075</v>
      </c>
      <c r="M3350" s="9" t="s">
        <v>3075</v>
      </c>
    </row>
    <row r="3351" ht="15.75" customHeight="1">
      <c r="A3351" s="8"/>
      <c r="B3351" s="8"/>
      <c r="C3351" s="8"/>
      <c r="D3351" s="8">
        <v>63.217307546936</v>
      </c>
      <c r="E3351" s="9" t="s">
        <v>669</v>
      </c>
      <c r="I3351" s="12"/>
      <c r="J3351" s="11">
        <v>0.0</v>
      </c>
      <c r="K3351" s="12" t="s">
        <v>3075</v>
      </c>
      <c r="L3351" s="13" t="s">
        <v>3075</v>
      </c>
      <c r="M3351" s="9" t="s">
        <v>3075</v>
      </c>
    </row>
    <row r="3352" ht="15.75" customHeight="1">
      <c r="A3352" s="8"/>
      <c r="B3352" s="8"/>
      <c r="C3352" s="8"/>
      <c r="D3352" s="8">
        <v>63.217307546936</v>
      </c>
      <c r="E3352" s="9" t="s">
        <v>671</v>
      </c>
      <c r="I3352" s="12"/>
      <c r="J3352" s="11">
        <v>0.0</v>
      </c>
      <c r="K3352" s="12" t="s">
        <v>3075</v>
      </c>
      <c r="L3352" s="13" t="s">
        <v>3075</v>
      </c>
      <c r="M3352" s="9" t="s">
        <v>3075</v>
      </c>
    </row>
    <row r="3353" ht="15.75" customHeight="1">
      <c r="A3353" s="8"/>
      <c r="B3353" s="8"/>
      <c r="C3353" s="8"/>
      <c r="D3353" s="8">
        <v>17.7008461131421</v>
      </c>
      <c r="E3353" s="9" t="s">
        <v>672</v>
      </c>
      <c r="I3353" s="12"/>
      <c r="J3353" s="11">
        <v>0.0</v>
      </c>
      <c r="K3353" s="12" t="s">
        <v>3075</v>
      </c>
      <c r="L3353" s="13" t="s">
        <v>3075</v>
      </c>
      <c r="M3353" s="9" t="s">
        <v>3075</v>
      </c>
    </row>
    <row r="3354" ht="15.75" customHeight="1">
      <c r="A3354" s="8"/>
      <c r="B3354" s="8"/>
      <c r="C3354" s="8"/>
      <c r="D3354" s="8">
        <v>11.5835452481536</v>
      </c>
      <c r="E3354" s="9" t="s">
        <v>3081</v>
      </c>
      <c r="I3354" s="12"/>
      <c r="J3354" s="11">
        <v>0.0</v>
      </c>
      <c r="K3354" s="12" t="s">
        <v>3075</v>
      </c>
      <c r="L3354" s="13" t="s">
        <v>3075</v>
      </c>
      <c r="M3354" s="9" t="s">
        <v>3075</v>
      </c>
    </row>
    <row r="3355" ht="15.75" customHeight="1">
      <c r="A3355" s="8"/>
      <c r="B3355" s="8"/>
      <c r="C3355" s="8"/>
      <c r="D3355" s="8">
        <v>63.217307546936</v>
      </c>
      <c r="E3355" s="9" t="s">
        <v>673</v>
      </c>
      <c r="I3355" s="12"/>
      <c r="J3355" s="11">
        <v>0.0</v>
      </c>
      <c r="K3355" s="12" t="s">
        <v>3075</v>
      </c>
      <c r="L3355" s="13" t="s">
        <v>3075</v>
      </c>
      <c r="M3355" s="9" t="s">
        <v>3075</v>
      </c>
    </row>
    <row r="3356" ht="15.75" customHeight="1">
      <c r="A3356" s="8"/>
      <c r="B3356" s="8"/>
      <c r="C3356" s="8"/>
      <c r="D3356" s="8">
        <v>63.217307546936</v>
      </c>
      <c r="E3356" s="9" t="s">
        <v>674</v>
      </c>
      <c r="I3356" s="12"/>
      <c r="J3356" s="11">
        <v>0.0</v>
      </c>
      <c r="K3356" s="12" t="s">
        <v>3075</v>
      </c>
      <c r="L3356" s="13" t="s">
        <v>3075</v>
      </c>
      <c r="M3356" s="9" t="s">
        <v>3075</v>
      </c>
    </row>
    <row r="3357" ht="15.75" customHeight="1">
      <c r="A3357" s="8"/>
      <c r="B3357" s="8"/>
      <c r="C3357" s="8"/>
      <c r="D3357" s="8">
        <v>7.23352589259528</v>
      </c>
      <c r="E3357" s="9" t="s">
        <v>676</v>
      </c>
      <c r="I3357" s="12"/>
      <c r="J3357" s="11">
        <v>0.0</v>
      </c>
      <c r="K3357" s="12" t="s">
        <v>3075</v>
      </c>
      <c r="L3357" s="13" t="s">
        <v>3075</v>
      </c>
      <c r="M3357" s="9" t="s">
        <v>3075</v>
      </c>
    </row>
    <row r="3358" ht="15.75" customHeight="1">
      <c r="A3358" s="8"/>
      <c r="B3358" s="8"/>
      <c r="C3358" s="8"/>
      <c r="D3358" s="8">
        <v>63.217307546936</v>
      </c>
      <c r="E3358" s="9" t="s">
        <v>677</v>
      </c>
      <c r="I3358" s="12"/>
      <c r="J3358" s="11">
        <v>0.0</v>
      </c>
      <c r="K3358" s="12" t="s">
        <v>3075</v>
      </c>
      <c r="L3358" s="13" t="s">
        <v>3075</v>
      </c>
      <c r="M3358" s="9" t="s">
        <v>3075</v>
      </c>
    </row>
    <row r="3359" ht="15.75" customHeight="1">
      <c r="A3359" s="8"/>
      <c r="B3359" s="8"/>
      <c r="C3359" s="8"/>
      <c r="D3359" s="8">
        <v>63.217307546936</v>
      </c>
      <c r="E3359" s="9" t="s">
        <v>3082</v>
      </c>
      <c r="I3359" s="12"/>
      <c r="J3359" s="11">
        <v>0.0</v>
      </c>
      <c r="K3359" s="12" t="s">
        <v>3075</v>
      </c>
      <c r="L3359" s="13" t="s">
        <v>3075</v>
      </c>
      <c r="M3359" s="9" t="s">
        <v>3075</v>
      </c>
    </row>
    <row r="3360" ht="15.75" customHeight="1">
      <c r="A3360" s="8"/>
      <c r="B3360" s="8"/>
      <c r="C3360" s="8"/>
      <c r="D3360" s="8">
        <v>63.217307546936</v>
      </c>
      <c r="E3360" s="9" t="s">
        <v>3083</v>
      </c>
      <c r="I3360" s="12"/>
      <c r="J3360" s="11">
        <v>0.0</v>
      </c>
      <c r="K3360" s="12" t="s">
        <v>3075</v>
      </c>
      <c r="L3360" s="13" t="s">
        <v>3075</v>
      </c>
      <c r="M3360" s="9" t="s">
        <v>3075</v>
      </c>
    </row>
    <row r="3361" ht="15.75" customHeight="1">
      <c r="A3361" s="8"/>
      <c r="B3361" s="8"/>
      <c r="C3361" s="8"/>
      <c r="D3361" s="8">
        <v>63.217307546936</v>
      </c>
      <c r="E3361" s="9" t="s">
        <v>680</v>
      </c>
      <c r="I3361" s="12"/>
      <c r="J3361" s="11">
        <v>0.0</v>
      </c>
      <c r="K3361" s="12" t="s">
        <v>3075</v>
      </c>
      <c r="L3361" s="13" t="s">
        <v>3075</v>
      </c>
      <c r="M3361" s="9" t="s">
        <v>3075</v>
      </c>
    </row>
    <row r="3362" ht="15.75" customHeight="1">
      <c r="A3362" s="8"/>
      <c r="B3362" s="8"/>
      <c r="C3362" s="8"/>
      <c r="D3362" s="8">
        <v>51.4221678625892</v>
      </c>
      <c r="E3362" s="9" t="s">
        <v>683</v>
      </c>
      <c r="I3362" s="12"/>
      <c r="J3362" s="11">
        <v>0.0</v>
      </c>
      <c r="K3362" s="12" t="s">
        <v>3075</v>
      </c>
      <c r="L3362" s="13" t="s">
        <v>3075</v>
      </c>
      <c r="M3362" s="9" t="s">
        <v>3075</v>
      </c>
    </row>
    <row r="3363" ht="15.75" customHeight="1">
      <c r="A3363" s="8"/>
      <c r="B3363" s="8"/>
      <c r="C3363" s="8"/>
      <c r="D3363" s="8">
        <v>63.217307546936</v>
      </c>
      <c r="E3363" s="9" t="s">
        <v>684</v>
      </c>
      <c r="I3363" s="12"/>
      <c r="J3363" s="11">
        <v>0.0</v>
      </c>
      <c r="K3363" s="12" t="s">
        <v>3075</v>
      </c>
      <c r="L3363" s="13" t="s">
        <v>3075</v>
      </c>
      <c r="M3363" s="9" t="s">
        <v>3075</v>
      </c>
    </row>
    <row r="3364" ht="15.75" customHeight="1">
      <c r="A3364" s="8"/>
      <c r="B3364" s="8"/>
      <c r="C3364" s="8"/>
      <c r="D3364" s="8">
        <v>63.217307546936</v>
      </c>
      <c r="E3364" s="9" t="s">
        <v>685</v>
      </c>
      <c r="I3364" s="12"/>
      <c r="J3364" s="11">
        <v>0.0</v>
      </c>
      <c r="K3364" s="12" t="s">
        <v>3075</v>
      </c>
      <c r="L3364" s="13" t="s">
        <v>3075</v>
      </c>
      <c r="M3364" s="9" t="s">
        <v>3075</v>
      </c>
    </row>
    <row r="3365" ht="15.75" customHeight="1">
      <c r="A3365" s="8"/>
      <c r="B3365" s="8"/>
      <c r="C3365" s="8"/>
      <c r="D3365" s="8">
        <v>63.217307546936</v>
      </c>
      <c r="E3365" s="9" t="s">
        <v>689</v>
      </c>
      <c r="I3365" s="12"/>
      <c r="J3365" s="11">
        <v>0.0</v>
      </c>
      <c r="K3365" s="12" t="s">
        <v>3075</v>
      </c>
      <c r="L3365" s="13" t="s">
        <v>3075</v>
      </c>
      <c r="M3365" s="9" t="s">
        <v>3075</v>
      </c>
    </row>
    <row r="3366" ht="15.75" customHeight="1">
      <c r="A3366" s="8"/>
      <c r="B3366" s="8"/>
      <c r="C3366" s="8"/>
      <c r="D3366" s="8">
        <v>63.217307546936</v>
      </c>
      <c r="E3366" s="9" t="s">
        <v>690</v>
      </c>
      <c r="I3366" s="12"/>
      <c r="J3366" s="11">
        <v>0.0</v>
      </c>
      <c r="K3366" s="12" t="s">
        <v>3075</v>
      </c>
      <c r="L3366" s="13" t="s">
        <v>3075</v>
      </c>
      <c r="M3366" s="9" t="s">
        <v>3075</v>
      </c>
    </row>
    <row r="3367" ht="15.75" customHeight="1">
      <c r="A3367" s="8"/>
      <c r="B3367" s="8"/>
      <c r="C3367" s="8"/>
      <c r="D3367" s="8">
        <v>63.0778304880231</v>
      </c>
      <c r="E3367" s="9" t="s">
        <v>691</v>
      </c>
      <c r="I3367" s="12"/>
      <c r="J3367" s="11">
        <v>0.0</v>
      </c>
      <c r="K3367" s="12" t="s">
        <v>3075</v>
      </c>
      <c r="L3367" s="13" t="s">
        <v>3075</v>
      </c>
      <c r="M3367" s="9" t="s">
        <v>3075</v>
      </c>
    </row>
    <row r="3368" ht="15.75" customHeight="1">
      <c r="A3368" s="8"/>
      <c r="B3368" s="8"/>
      <c r="C3368" s="8"/>
      <c r="D3368" s="8">
        <v>63.217307546936</v>
      </c>
      <c r="E3368" s="9" t="s">
        <v>697</v>
      </c>
      <c r="I3368" s="12"/>
      <c r="J3368" s="11">
        <v>0.0</v>
      </c>
      <c r="K3368" s="12" t="s">
        <v>3075</v>
      </c>
      <c r="L3368" s="13" t="s">
        <v>3075</v>
      </c>
      <c r="M3368" s="9" t="s">
        <v>3075</v>
      </c>
    </row>
    <row r="3369" ht="15.75" customHeight="1">
      <c r="A3369" s="8"/>
      <c r="B3369" s="8"/>
      <c r="C3369" s="8"/>
      <c r="D3369" s="8">
        <v>63.217307546936</v>
      </c>
      <c r="E3369" s="9" t="s">
        <v>699</v>
      </c>
      <c r="I3369" s="12"/>
      <c r="J3369" s="11">
        <v>0.0</v>
      </c>
      <c r="K3369" s="12" t="s">
        <v>3075</v>
      </c>
      <c r="L3369" s="13" t="s">
        <v>3075</v>
      </c>
      <c r="M3369" s="9" t="s">
        <v>3075</v>
      </c>
    </row>
    <row r="3370" ht="15.75" customHeight="1">
      <c r="A3370" s="8"/>
      <c r="B3370" s="8"/>
      <c r="C3370" s="8"/>
      <c r="D3370" s="8">
        <v>63.217307546936</v>
      </c>
      <c r="E3370" s="9" t="s">
        <v>704</v>
      </c>
      <c r="I3370" s="12"/>
      <c r="J3370" s="11">
        <v>0.0</v>
      </c>
      <c r="K3370" s="12" t="s">
        <v>3075</v>
      </c>
      <c r="L3370" s="13" t="s">
        <v>3075</v>
      </c>
      <c r="M3370" s="9" t="s">
        <v>3075</v>
      </c>
    </row>
    <row r="3371" ht="15.75" customHeight="1">
      <c r="A3371" s="8"/>
      <c r="B3371" s="8"/>
      <c r="C3371" s="8"/>
      <c r="D3371" s="8">
        <v>0.724053999780477</v>
      </c>
      <c r="E3371" s="9" t="s">
        <v>705</v>
      </c>
      <c r="I3371" s="12"/>
      <c r="J3371" s="11">
        <v>0.0</v>
      </c>
      <c r="K3371" s="12" t="s">
        <v>3075</v>
      </c>
      <c r="L3371" s="13" t="s">
        <v>3075</v>
      </c>
      <c r="M3371" s="9" t="s">
        <v>3075</v>
      </c>
    </row>
    <row r="3372" ht="15.75" customHeight="1">
      <c r="A3372" s="8"/>
      <c r="B3372" s="8"/>
      <c r="C3372" s="8"/>
      <c r="D3372" s="8">
        <v>63.217307546936</v>
      </c>
      <c r="E3372" s="9" t="s">
        <v>707</v>
      </c>
      <c r="I3372" s="12"/>
      <c r="J3372" s="11">
        <v>0.0</v>
      </c>
      <c r="K3372" s="12" t="s">
        <v>3075</v>
      </c>
      <c r="L3372" s="13" t="s">
        <v>3075</v>
      </c>
      <c r="M3372" s="9" t="s">
        <v>3075</v>
      </c>
    </row>
    <row r="3373" ht="15.75" customHeight="1">
      <c r="A3373" s="8"/>
      <c r="B3373" s="8"/>
      <c r="C3373" s="8"/>
      <c r="D3373" s="8">
        <v>63.217307546936</v>
      </c>
      <c r="E3373" s="9" t="s">
        <v>710</v>
      </c>
      <c r="I3373" s="12"/>
      <c r="J3373" s="11">
        <v>0.0</v>
      </c>
      <c r="K3373" s="12" t="s">
        <v>3075</v>
      </c>
      <c r="L3373" s="13" t="s">
        <v>3075</v>
      </c>
      <c r="M3373" s="9" t="s">
        <v>3075</v>
      </c>
    </row>
    <row r="3374" ht="15.75" customHeight="1">
      <c r="A3374" s="8"/>
      <c r="B3374" s="8"/>
      <c r="C3374" s="8"/>
      <c r="D3374" s="8">
        <v>63.217307546936</v>
      </c>
      <c r="E3374" s="9" t="s">
        <v>711</v>
      </c>
      <c r="I3374" s="12"/>
      <c r="J3374" s="11">
        <v>0.0</v>
      </c>
      <c r="K3374" s="12" t="s">
        <v>3075</v>
      </c>
      <c r="L3374" s="13" t="s">
        <v>3075</v>
      </c>
      <c r="M3374" s="9" t="s">
        <v>3075</v>
      </c>
    </row>
    <row r="3375" ht="15.75" customHeight="1">
      <c r="A3375" s="8"/>
      <c r="B3375" s="8"/>
      <c r="C3375" s="8"/>
      <c r="D3375" s="8">
        <v>19.5065721101911</v>
      </c>
      <c r="E3375" s="9" t="s">
        <v>714</v>
      </c>
      <c r="I3375" s="12"/>
      <c r="J3375" s="11">
        <v>0.0</v>
      </c>
      <c r="K3375" s="12" t="s">
        <v>3075</v>
      </c>
      <c r="L3375" s="13" t="s">
        <v>3075</v>
      </c>
      <c r="M3375" s="9" t="s">
        <v>3075</v>
      </c>
    </row>
    <row r="3376" ht="15.75" customHeight="1">
      <c r="A3376" s="8"/>
      <c r="B3376" s="8"/>
      <c r="C3376" s="8"/>
      <c r="D3376" s="8">
        <v>63.217307546936</v>
      </c>
      <c r="E3376" s="9" t="s">
        <v>721</v>
      </c>
      <c r="I3376" s="12"/>
      <c r="J3376" s="11">
        <v>0.0</v>
      </c>
      <c r="K3376" s="12" t="s">
        <v>3075</v>
      </c>
      <c r="L3376" s="13" t="s">
        <v>3075</v>
      </c>
      <c r="M3376" s="9" t="s">
        <v>3075</v>
      </c>
    </row>
    <row r="3377" ht="15.75" customHeight="1">
      <c r="A3377" s="8"/>
      <c r="B3377" s="8"/>
      <c r="C3377" s="8"/>
      <c r="D3377" s="8">
        <v>63.217307546936</v>
      </c>
      <c r="E3377" s="9" t="s">
        <v>722</v>
      </c>
      <c r="I3377" s="12"/>
      <c r="J3377" s="11">
        <v>0.0</v>
      </c>
      <c r="K3377" s="12" t="s">
        <v>3075</v>
      </c>
      <c r="L3377" s="13" t="s">
        <v>3075</v>
      </c>
      <c r="M3377" s="9" t="s">
        <v>3075</v>
      </c>
    </row>
    <row r="3378" ht="15.75" customHeight="1">
      <c r="A3378" s="8"/>
      <c r="B3378" s="8"/>
      <c r="C3378" s="8"/>
      <c r="D3378" s="8">
        <v>63.217307546936</v>
      </c>
      <c r="E3378" s="9" t="s">
        <v>723</v>
      </c>
      <c r="I3378" s="12"/>
      <c r="J3378" s="11">
        <v>0.0</v>
      </c>
      <c r="K3378" s="12" t="s">
        <v>3075</v>
      </c>
      <c r="L3378" s="13" t="s">
        <v>3075</v>
      </c>
      <c r="M3378" s="9" t="s">
        <v>3075</v>
      </c>
    </row>
    <row r="3379" ht="15.75" customHeight="1">
      <c r="A3379" s="8"/>
      <c r="B3379" s="8"/>
      <c r="C3379" s="8"/>
      <c r="D3379" s="8">
        <v>63.217307546936</v>
      </c>
      <c r="E3379" s="9" t="s">
        <v>725</v>
      </c>
      <c r="I3379" s="12"/>
      <c r="J3379" s="11">
        <v>0.0</v>
      </c>
      <c r="K3379" s="12" t="s">
        <v>3075</v>
      </c>
      <c r="L3379" s="13" t="s">
        <v>3075</v>
      </c>
      <c r="M3379" s="9" t="s">
        <v>3075</v>
      </c>
    </row>
    <row r="3380" ht="15.75" customHeight="1">
      <c r="A3380" s="8"/>
      <c r="B3380" s="8"/>
      <c r="C3380" s="8"/>
      <c r="D3380" s="8">
        <v>63.217307546936</v>
      </c>
      <c r="E3380" s="9" t="s">
        <v>726</v>
      </c>
      <c r="I3380" s="12"/>
      <c r="J3380" s="11">
        <v>0.0</v>
      </c>
      <c r="K3380" s="12" t="s">
        <v>3075</v>
      </c>
      <c r="L3380" s="13" t="s">
        <v>3075</v>
      </c>
      <c r="M3380" s="9" t="s">
        <v>3075</v>
      </c>
    </row>
    <row r="3381" ht="15.75" customHeight="1">
      <c r="A3381" s="8"/>
      <c r="B3381" s="8"/>
      <c r="C3381" s="8"/>
      <c r="D3381" s="8">
        <v>63.217307546936</v>
      </c>
      <c r="E3381" s="9" t="s">
        <v>727</v>
      </c>
      <c r="I3381" s="12"/>
      <c r="J3381" s="11">
        <v>0.0</v>
      </c>
      <c r="K3381" s="12" t="s">
        <v>3075</v>
      </c>
      <c r="L3381" s="13" t="s">
        <v>3075</v>
      </c>
      <c r="M3381" s="9" t="s">
        <v>3075</v>
      </c>
    </row>
    <row r="3382" ht="15.75" customHeight="1">
      <c r="A3382" s="8"/>
      <c r="B3382" s="8"/>
      <c r="C3382" s="8"/>
      <c r="D3382" s="8">
        <v>63.217307546936</v>
      </c>
      <c r="E3382" s="9" t="s">
        <v>728</v>
      </c>
      <c r="I3382" s="12"/>
      <c r="J3382" s="11">
        <v>0.0</v>
      </c>
      <c r="K3382" s="12" t="s">
        <v>3075</v>
      </c>
      <c r="L3382" s="13" t="s">
        <v>3075</v>
      </c>
      <c r="M3382" s="9" t="s">
        <v>3075</v>
      </c>
    </row>
    <row r="3383" ht="15.75" customHeight="1">
      <c r="A3383" s="8"/>
      <c r="B3383" s="8"/>
      <c r="C3383" s="8"/>
      <c r="D3383" s="8">
        <v>63.217307546936</v>
      </c>
      <c r="E3383" s="9" t="s">
        <v>729</v>
      </c>
      <c r="I3383" s="12"/>
      <c r="J3383" s="11">
        <v>0.0</v>
      </c>
      <c r="K3383" s="12" t="s">
        <v>3075</v>
      </c>
      <c r="L3383" s="13" t="s">
        <v>3075</v>
      </c>
      <c r="M3383" s="9" t="s">
        <v>3075</v>
      </c>
    </row>
    <row r="3384" ht="15.75" customHeight="1">
      <c r="A3384" s="8"/>
      <c r="B3384" s="8"/>
      <c r="C3384" s="8"/>
      <c r="D3384" s="8">
        <v>63.217307546936</v>
      </c>
      <c r="E3384" s="9" t="s">
        <v>730</v>
      </c>
      <c r="I3384" s="12"/>
      <c r="J3384" s="11">
        <v>0.0</v>
      </c>
      <c r="K3384" s="12" t="s">
        <v>3075</v>
      </c>
      <c r="L3384" s="13" t="s">
        <v>3075</v>
      </c>
      <c r="M3384" s="9" t="s">
        <v>3075</v>
      </c>
    </row>
    <row r="3385" ht="15.75" customHeight="1">
      <c r="A3385" s="8"/>
      <c r="B3385" s="8"/>
      <c r="C3385" s="8"/>
      <c r="D3385" s="8">
        <v>63.217307546936</v>
      </c>
      <c r="E3385" s="9" t="s">
        <v>732</v>
      </c>
      <c r="I3385" s="12"/>
      <c r="J3385" s="11">
        <v>0.0</v>
      </c>
      <c r="K3385" s="12" t="s">
        <v>3075</v>
      </c>
      <c r="L3385" s="13" t="s">
        <v>3075</v>
      </c>
      <c r="M3385" s="9" t="s">
        <v>3075</v>
      </c>
    </row>
    <row r="3386" ht="15.75" customHeight="1">
      <c r="A3386" s="8"/>
      <c r="B3386" s="8"/>
      <c r="C3386" s="8"/>
      <c r="D3386" s="8">
        <v>63.217307546936</v>
      </c>
      <c r="E3386" s="9" t="s">
        <v>734</v>
      </c>
      <c r="I3386" s="12"/>
      <c r="J3386" s="11">
        <v>0.0</v>
      </c>
      <c r="K3386" s="12" t="s">
        <v>3075</v>
      </c>
      <c r="L3386" s="13" t="s">
        <v>3075</v>
      </c>
      <c r="M3386" s="9" t="s">
        <v>3075</v>
      </c>
    </row>
    <row r="3387" ht="15.75" customHeight="1">
      <c r="A3387" s="8"/>
      <c r="B3387" s="8"/>
      <c r="C3387" s="8"/>
      <c r="D3387" s="8">
        <v>63.217307546936</v>
      </c>
      <c r="E3387" s="9" t="s">
        <v>739</v>
      </c>
      <c r="I3387" s="12"/>
      <c r="J3387" s="11">
        <v>0.0</v>
      </c>
      <c r="K3387" s="12" t="s">
        <v>3075</v>
      </c>
      <c r="L3387" s="13" t="s">
        <v>3075</v>
      </c>
      <c r="M3387" s="9" t="s">
        <v>3075</v>
      </c>
    </row>
    <row r="3388" ht="15.75" customHeight="1">
      <c r="A3388" s="8"/>
      <c r="B3388" s="8"/>
      <c r="C3388" s="8"/>
      <c r="D3388" s="8">
        <v>63.217307546936</v>
      </c>
      <c r="E3388" s="9" t="s">
        <v>3084</v>
      </c>
      <c r="I3388" s="12"/>
      <c r="J3388" s="11">
        <v>0.0</v>
      </c>
      <c r="K3388" s="12" t="s">
        <v>3075</v>
      </c>
      <c r="L3388" s="13" t="s">
        <v>3075</v>
      </c>
      <c r="M3388" s="9" t="s">
        <v>3075</v>
      </c>
    </row>
    <row r="3389" ht="15.75" customHeight="1">
      <c r="A3389" s="8"/>
      <c r="B3389" s="8"/>
      <c r="C3389" s="8"/>
      <c r="D3389" s="8">
        <v>24.8523425097611</v>
      </c>
      <c r="E3389" s="9" t="s">
        <v>740</v>
      </c>
      <c r="I3389" s="12"/>
      <c r="J3389" s="11">
        <v>0.0</v>
      </c>
      <c r="K3389" s="12" t="s">
        <v>3075</v>
      </c>
      <c r="L3389" s="13" t="s">
        <v>3075</v>
      </c>
      <c r="M3389" s="9" t="s">
        <v>3075</v>
      </c>
    </row>
    <row r="3390" ht="15.75" customHeight="1">
      <c r="A3390" s="8"/>
      <c r="B3390" s="8"/>
      <c r="C3390" s="8"/>
      <c r="D3390" s="8">
        <v>32.4664599938886</v>
      </c>
      <c r="E3390" s="9" t="s">
        <v>3085</v>
      </c>
      <c r="I3390" s="12"/>
      <c r="J3390" s="11">
        <v>0.0</v>
      </c>
      <c r="K3390" s="12" t="s">
        <v>3075</v>
      </c>
      <c r="L3390" s="13" t="s">
        <v>3075</v>
      </c>
      <c r="M3390" s="9" t="s">
        <v>3075</v>
      </c>
    </row>
    <row r="3391" ht="15.75" customHeight="1">
      <c r="A3391" s="8"/>
      <c r="B3391" s="8"/>
      <c r="C3391" s="8"/>
      <c r="D3391" s="8">
        <v>31.3090278548456</v>
      </c>
      <c r="E3391" s="9" t="s">
        <v>741</v>
      </c>
      <c r="I3391" s="12"/>
      <c r="J3391" s="11">
        <v>0.0</v>
      </c>
      <c r="K3391" s="12" t="s">
        <v>3075</v>
      </c>
      <c r="L3391" s="13" t="s">
        <v>3075</v>
      </c>
      <c r="M3391" s="9" t="s">
        <v>3075</v>
      </c>
    </row>
    <row r="3392" ht="15.75" customHeight="1">
      <c r="A3392" s="8"/>
      <c r="B3392" s="8"/>
      <c r="C3392" s="8"/>
      <c r="D3392" s="8">
        <v>63.217307546936</v>
      </c>
      <c r="E3392" s="9" t="s">
        <v>742</v>
      </c>
      <c r="I3392" s="12"/>
      <c r="J3392" s="11">
        <v>0.0</v>
      </c>
      <c r="K3392" s="12" t="s">
        <v>3075</v>
      </c>
      <c r="L3392" s="13" t="s">
        <v>3075</v>
      </c>
      <c r="M3392" s="9" t="s">
        <v>3075</v>
      </c>
    </row>
    <row r="3393" ht="15.75" customHeight="1">
      <c r="A3393" s="8"/>
      <c r="B3393" s="8"/>
      <c r="C3393" s="8"/>
      <c r="D3393" s="8">
        <v>63.217307546936</v>
      </c>
      <c r="E3393" s="9" t="s">
        <v>743</v>
      </c>
      <c r="I3393" s="12"/>
      <c r="J3393" s="11">
        <v>0.0</v>
      </c>
      <c r="K3393" s="12" t="s">
        <v>3075</v>
      </c>
      <c r="L3393" s="13" t="s">
        <v>3075</v>
      </c>
      <c r="M3393" s="9" t="s">
        <v>3075</v>
      </c>
    </row>
    <row r="3394" ht="15.75" customHeight="1">
      <c r="A3394" s="8"/>
      <c r="B3394" s="8"/>
      <c r="C3394" s="8"/>
      <c r="D3394" s="8">
        <v>34.943631141745</v>
      </c>
      <c r="E3394" s="9" t="s">
        <v>747</v>
      </c>
      <c r="I3394" s="12"/>
      <c r="J3394" s="11">
        <v>0.0</v>
      </c>
      <c r="K3394" s="12" t="s">
        <v>3075</v>
      </c>
      <c r="L3394" s="13" t="s">
        <v>3075</v>
      </c>
      <c r="M3394" s="9" t="s">
        <v>3075</v>
      </c>
    </row>
    <row r="3395" ht="15.75" customHeight="1">
      <c r="A3395" s="8"/>
      <c r="B3395" s="8"/>
      <c r="C3395" s="8"/>
      <c r="D3395" s="8">
        <v>63.217307546936</v>
      </c>
      <c r="E3395" s="9" t="s">
        <v>748</v>
      </c>
      <c r="I3395" s="12"/>
      <c r="J3395" s="11">
        <v>0.0</v>
      </c>
      <c r="K3395" s="12" t="s">
        <v>3075</v>
      </c>
      <c r="L3395" s="13" t="s">
        <v>3075</v>
      </c>
      <c r="M3395" s="9" t="s">
        <v>3075</v>
      </c>
    </row>
    <row r="3396" ht="15.75" customHeight="1">
      <c r="A3396" s="8"/>
      <c r="B3396" s="8"/>
      <c r="C3396" s="8"/>
      <c r="D3396" s="8">
        <v>63.217307546936</v>
      </c>
      <c r="E3396" s="9" t="s">
        <v>749</v>
      </c>
      <c r="I3396" s="12"/>
      <c r="J3396" s="11">
        <v>0.0</v>
      </c>
      <c r="K3396" s="12" t="s">
        <v>3075</v>
      </c>
      <c r="L3396" s="13" t="s">
        <v>3075</v>
      </c>
      <c r="M3396" s="9" t="s">
        <v>3075</v>
      </c>
    </row>
    <row r="3397" ht="15.75" customHeight="1">
      <c r="A3397" s="8"/>
      <c r="B3397" s="8"/>
      <c r="C3397" s="8"/>
      <c r="D3397" s="8">
        <v>18.9740504092497</v>
      </c>
      <c r="E3397" s="9" t="s">
        <v>750</v>
      </c>
      <c r="I3397" s="12"/>
      <c r="J3397" s="11">
        <v>0.0</v>
      </c>
      <c r="K3397" s="12" t="s">
        <v>3075</v>
      </c>
      <c r="L3397" s="13" t="s">
        <v>3075</v>
      </c>
      <c r="M3397" s="9" t="s">
        <v>3075</v>
      </c>
    </row>
    <row r="3398" ht="15.75" customHeight="1">
      <c r="A3398" s="8"/>
      <c r="B3398" s="8"/>
      <c r="C3398" s="8"/>
      <c r="D3398" s="8">
        <v>9.93955745002778</v>
      </c>
      <c r="E3398" s="9" t="s">
        <v>752</v>
      </c>
      <c r="I3398" s="12"/>
      <c r="J3398" s="11">
        <v>0.0</v>
      </c>
      <c r="K3398" s="12" t="s">
        <v>3075</v>
      </c>
      <c r="L3398" s="13" t="s">
        <v>3075</v>
      </c>
      <c r="M3398" s="9" t="s">
        <v>3075</v>
      </c>
    </row>
    <row r="3399" ht="15.75" customHeight="1">
      <c r="A3399" s="8"/>
      <c r="B3399" s="8"/>
      <c r="C3399" s="8"/>
      <c r="D3399" s="8">
        <v>63.217307546936</v>
      </c>
      <c r="E3399" s="9" t="s">
        <v>753</v>
      </c>
      <c r="I3399" s="12"/>
      <c r="J3399" s="11">
        <v>0.0</v>
      </c>
      <c r="K3399" s="12" t="s">
        <v>3075</v>
      </c>
      <c r="L3399" s="13" t="s">
        <v>3075</v>
      </c>
      <c r="M3399" s="9" t="s">
        <v>3075</v>
      </c>
    </row>
    <row r="3400" ht="15.75" customHeight="1">
      <c r="A3400" s="8"/>
      <c r="B3400" s="8"/>
      <c r="C3400" s="8"/>
      <c r="D3400" s="8">
        <v>63.217307546936</v>
      </c>
      <c r="E3400" s="9" t="s">
        <v>754</v>
      </c>
      <c r="I3400" s="12"/>
      <c r="J3400" s="11">
        <v>0.0</v>
      </c>
      <c r="K3400" s="12" t="s">
        <v>3075</v>
      </c>
      <c r="L3400" s="13" t="s">
        <v>3075</v>
      </c>
      <c r="M3400" s="9" t="s">
        <v>3075</v>
      </c>
    </row>
    <row r="3401" ht="15.75" customHeight="1">
      <c r="A3401" s="8"/>
      <c r="B3401" s="8"/>
      <c r="C3401" s="8"/>
      <c r="D3401" s="8">
        <v>63.217307546936</v>
      </c>
      <c r="E3401" s="9" t="s">
        <v>755</v>
      </c>
      <c r="I3401" s="12"/>
      <c r="J3401" s="11">
        <v>0.0</v>
      </c>
      <c r="K3401" s="12" t="s">
        <v>3075</v>
      </c>
      <c r="L3401" s="13" t="s">
        <v>3075</v>
      </c>
      <c r="M3401" s="9" t="s">
        <v>3075</v>
      </c>
    </row>
    <row r="3402" ht="15.75" customHeight="1">
      <c r="A3402" s="8"/>
      <c r="B3402" s="8"/>
      <c r="C3402" s="8"/>
      <c r="D3402" s="8">
        <v>63.217307546936</v>
      </c>
      <c r="E3402" s="9" t="s">
        <v>757</v>
      </c>
      <c r="I3402" s="12"/>
      <c r="J3402" s="11">
        <v>0.0</v>
      </c>
      <c r="K3402" s="12" t="s">
        <v>3075</v>
      </c>
      <c r="L3402" s="13" t="s">
        <v>3075</v>
      </c>
      <c r="M3402" s="9" t="s">
        <v>3075</v>
      </c>
    </row>
    <row r="3403" ht="15.75" customHeight="1">
      <c r="A3403" s="8"/>
      <c r="B3403" s="8"/>
      <c r="C3403" s="8"/>
      <c r="D3403" s="8">
        <v>50.9413469575199</v>
      </c>
      <c r="E3403" s="9" t="s">
        <v>758</v>
      </c>
      <c r="I3403" s="12"/>
      <c r="J3403" s="11">
        <v>0.0</v>
      </c>
      <c r="K3403" s="12" t="s">
        <v>3075</v>
      </c>
      <c r="L3403" s="13" t="s">
        <v>3075</v>
      </c>
      <c r="M3403" s="9" t="s">
        <v>3075</v>
      </c>
    </row>
    <row r="3404" ht="15.75" customHeight="1">
      <c r="A3404" s="8"/>
      <c r="B3404" s="8"/>
      <c r="C3404" s="8"/>
      <c r="D3404" s="8">
        <v>63.217307546936</v>
      </c>
      <c r="E3404" s="9" t="s">
        <v>761</v>
      </c>
      <c r="I3404" s="12"/>
      <c r="J3404" s="11">
        <v>0.0</v>
      </c>
      <c r="K3404" s="12" t="s">
        <v>3075</v>
      </c>
      <c r="L3404" s="13" t="s">
        <v>3075</v>
      </c>
      <c r="M3404" s="9" t="s">
        <v>3075</v>
      </c>
    </row>
    <row r="3405" ht="15.75" customHeight="1">
      <c r="A3405" s="8"/>
      <c r="B3405" s="8"/>
      <c r="C3405" s="8"/>
      <c r="D3405" s="8">
        <v>63.217307546936</v>
      </c>
      <c r="E3405" s="9" t="s">
        <v>764</v>
      </c>
      <c r="I3405" s="12"/>
      <c r="J3405" s="11">
        <v>0.0</v>
      </c>
      <c r="K3405" s="12" t="s">
        <v>3075</v>
      </c>
      <c r="L3405" s="13" t="s">
        <v>3075</v>
      </c>
      <c r="M3405" s="9" t="s">
        <v>3075</v>
      </c>
    </row>
    <row r="3406" ht="15.75" customHeight="1">
      <c r="A3406" s="8"/>
      <c r="B3406" s="8"/>
      <c r="C3406" s="8"/>
      <c r="D3406" s="8">
        <v>63.217307546936</v>
      </c>
      <c r="E3406" s="9" t="s">
        <v>3086</v>
      </c>
      <c r="I3406" s="12"/>
      <c r="J3406" s="11">
        <v>0.0</v>
      </c>
      <c r="K3406" s="12" t="s">
        <v>3075</v>
      </c>
      <c r="L3406" s="13" t="s">
        <v>3075</v>
      </c>
      <c r="M3406" s="9" t="s">
        <v>3075</v>
      </c>
    </row>
    <row r="3407" ht="15.75" customHeight="1">
      <c r="A3407" s="8"/>
      <c r="B3407" s="8"/>
      <c r="C3407" s="8"/>
      <c r="D3407" s="8">
        <v>63.217307546936</v>
      </c>
      <c r="E3407" s="9" t="s">
        <v>778</v>
      </c>
      <c r="I3407" s="12"/>
      <c r="J3407" s="11">
        <v>0.0</v>
      </c>
      <c r="K3407" s="12" t="s">
        <v>3075</v>
      </c>
      <c r="L3407" s="13" t="s">
        <v>3075</v>
      </c>
      <c r="M3407" s="9" t="s">
        <v>3075</v>
      </c>
    </row>
    <row r="3408" ht="15.75" customHeight="1">
      <c r="A3408" s="8"/>
      <c r="B3408" s="8"/>
      <c r="C3408" s="8"/>
      <c r="D3408" s="8">
        <v>63.217307546936</v>
      </c>
      <c r="E3408" s="9" t="s">
        <v>780</v>
      </c>
      <c r="I3408" s="12"/>
      <c r="J3408" s="11">
        <v>0.0</v>
      </c>
      <c r="K3408" s="12" t="s">
        <v>3075</v>
      </c>
      <c r="L3408" s="13" t="s">
        <v>3075</v>
      </c>
      <c r="M3408" s="9" t="s">
        <v>3075</v>
      </c>
    </row>
    <row r="3409" ht="15.75" customHeight="1">
      <c r="A3409" s="8"/>
      <c r="B3409" s="8"/>
      <c r="C3409" s="8"/>
      <c r="D3409" s="8">
        <v>63.217307546936</v>
      </c>
      <c r="E3409" s="9" t="s">
        <v>782</v>
      </c>
      <c r="I3409" s="12"/>
      <c r="J3409" s="11">
        <v>0.0</v>
      </c>
      <c r="K3409" s="12" t="s">
        <v>3075</v>
      </c>
      <c r="L3409" s="13" t="s">
        <v>3075</v>
      </c>
      <c r="M3409" s="9" t="s">
        <v>3075</v>
      </c>
    </row>
    <row r="3410" ht="15.75" customHeight="1">
      <c r="A3410" s="8"/>
      <c r="B3410" s="8"/>
      <c r="C3410" s="8"/>
      <c r="D3410" s="8">
        <v>63.217307546936</v>
      </c>
      <c r="E3410" s="9" t="s">
        <v>783</v>
      </c>
      <c r="I3410" s="12"/>
      <c r="J3410" s="11">
        <v>0.0</v>
      </c>
      <c r="K3410" s="12" t="s">
        <v>3075</v>
      </c>
      <c r="L3410" s="13" t="s">
        <v>3075</v>
      </c>
      <c r="M3410" s="9" t="s">
        <v>3075</v>
      </c>
    </row>
    <row r="3411" ht="15.75" customHeight="1">
      <c r="A3411" s="8"/>
      <c r="B3411" s="8"/>
      <c r="C3411" s="8"/>
      <c r="D3411" s="8">
        <v>31.608653773468</v>
      </c>
      <c r="E3411" s="9" t="s">
        <v>784</v>
      </c>
      <c r="I3411" s="12"/>
      <c r="J3411" s="11">
        <v>0.0</v>
      </c>
      <c r="K3411" s="12" t="s">
        <v>3075</v>
      </c>
      <c r="L3411" s="13" t="s">
        <v>3075</v>
      </c>
      <c r="M3411" s="9" t="s">
        <v>3075</v>
      </c>
    </row>
    <row r="3412" ht="15.75" customHeight="1">
      <c r="A3412" s="8"/>
      <c r="B3412" s="8"/>
      <c r="C3412" s="8"/>
      <c r="D3412" s="8">
        <v>63.217307546936</v>
      </c>
      <c r="E3412" s="9" t="s">
        <v>785</v>
      </c>
      <c r="I3412" s="12"/>
      <c r="J3412" s="11">
        <v>0.0</v>
      </c>
      <c r="K3412" s="12" t="s">
        <v>3075</v>
      </c>
      <c r="L3412" s="13" t="s">
        <v>3075</v>
      </c>
      <c r="M3412" s="9" t="s">
        <v>3075</v>
      </c>
    </row>
    <row r="3413" ht="15.75" customHeight="1">
      <c r="A3413" s="8"/>
      <c r="B3413" s="8"/>
      <c r="C3413" s="8"/>
      <c r="D3413" s="8">
        <v>15.7559178227422</v>
      </c>
      <c r="E3413" s="9" t="s">
        <v>787</v>
      </c>
      <c r="I3413" s="12"/>
      <c r="J3413" s="11">
        <v>0.0</v>
      </c>
      <c r="K3413" s="12" t="s">
        <v>3075</v>
      </c>
      <c r="L3413" s="13" t="s">
        <v>3075</v>
      </c>
      <c r="M3413" s="9" t="s">
        <v>3075</v>
      </c>
    </row>
    <row r="3414" ht="15.75" customHeight="1">
      <c r="A3414" s="8"/>
      <c r="B3414" s="8"/>
      <c r="C3414" s="8"/>
      <c r="D3414" s="8">
        <v>63.217307546936</v>
      </c>
      <c r="E3414" s="9" t="s">
        <v>788</v>
      </c>
      <c r="I3414" s="12"/>
      <c r="J3414" s="11">
        <v>0.0</v>
      </c>
      <c r="K3414" s="12" t="s">
        <v>3075</v>
      </c>
      <c r="L3414" s="13" t="s">
        <v>3075</v>
      </c>
      <c r="M3414" s="9" t="s">
        <v>3075</v>
      </c>
    </row>
    <row r="3415" ht="15.75" customHeight="1">
      <c r="A3415" s="8"/>
      <c r="B3415" s="8"/>
      <c r="C3415" s="8"/>
      <c r="D3415" s="8">
        <v>63.217307546936</v>
      </c>
      <c r="E3415" s="9" t="s">
        <v>789</v>
      </c>
      <c r="I3415" s="12"/>
      <c r="J3415" s="11">
        <v>0.0</v>
      </c>
      <c r="K3415" s="12" t="s">
        <v>3075</v>
      </c>
      <c r="L3415" s="13" t="s">
        <v>3075</v>
      </c>
      <c r="M3415" s="9" t="s">
        <v>3075</v>
      </c>
    </row>
    <row r="3416" ht="15.75" customHeight="1">
      <c r="A3416" s="8"/>
      <c r="B3416" s="8"/>
      <c r="C3416" s="8"/>
      <c r="D3416" s="8">
        <v>63.217307546936</v>
      </c>
      <c r="E3416" s="9" t="s">
        <v>3087</v>
      </c>
      <c r="I3416" s="12"/>
      <c r="J3416" s="11">
        <v>0.0</v>
      </c>
      <c r="K3416" s="12" t="s">
        <v>3075</v>
      </c>
      <c r="L3416" s="13" t="s">
        <v>3075</v>
      </c>
      <c r="M3416" s="9" t="s">
        <v>3075</v>
      </c>
    </row>
    <row r="3417" ht="15.75" customHeight="1">
      <c r="A3417" s="8"/>
      <c r="B3417" s="8"/>
      <c r="C3417" s="8"/>
      <c r="D3417" s="8">
        <v>63.217307546936</v>
      </c>
      <c r="E3417" s="9" t="s">
        <v>794</v>
      </c>
      <c r="I3417" s="12"/>
      <c r="J3417" s="11">
        <v>0.0</v>
      </c>
      <c r="K3417" s="12" t="s">
        <v>3075</v>
      </c>
      <c r="L3417" s="13" t="s">
        <v>3075</v>
      </c>
      <c r="M3417" s="9" t="s">
        <v>3075</v>
      </c>
    </row>
    <row r="3418" ht="15.75" customHeight="1">
      <c r="A3418" s="8"/>
      <c r="B3418" s="8"/>
      <c r="C3418" s="8"/>
      <c r="D3418" s="8">
        <v>63.217307546936</v>
      </c>
      <c r="E3418" s="9" t="s">
        <v>797</v>
      </c>
      <c r="I3418" s="12"/>
      <c r="J3418" s="11">
        <v>0.0</v>
      </c>
      <c r="K3418" s="12" t="s">
        <v>3075</v>
      </c>
      <c r="L3418" s="13" t="s">
        <v>3075</v>
      </c>
      <c r="M3418" s="9" t="s">
        <v>3075</v>
      </c>
    </row>
    <row r="3419" ht="15.75" customHeight="1">
      <c r="A3419" s="8"/>
      <c r="B3419" s="8"/>
      <c r="C3419" s="8"/>
      <c r="D3419" s="8">
        <v>63.217307546936</v>
      </c>
      <c r="E3419" s="9" t="s">
        <v>799</v>
      </c>
      <c r="I3419" s="12"/>
      <c r="J3419" s="11">
        <v>0.0</v>
      </c>
      <c r="K3419" s="12" t="s">
        <v>3075</v>
      </c>
      <c r="L3419" s="13" t="s">
        <v>3075</v>
      </c>
      <c r="M3419" s="9" t="s">
        <v>3075</v>
      </c>
    </row>
    <row r="3420" ht="15.75" customHeight="1">
      <c r="A3420" s="8"/>
      <c r="B3420" s="8"/>
      <c r="C3420" s="8"/>
      <c r="D3420" s="8">
        <v>63.217307546936</v>
      </c>
      <c r="E3420" s="9" t="s">
        <v>800</v>
      </c>
      <c r="I3420" s="12"/>
      <c r="J3420" s="11">
        <v>0.0</v>
      </c>
      <c r="K3420" s="12" t="s">
        <v>3075</v>
      </c>
      <c r="L3420" s="13" t="s">
        <v>3075</v>
      </c>
      <c r="M3420" s="9" t="s">
        <v>3075</v>
      </c>
    </row>
    <row r="3421" ht="15.75" customHeight="1">
      <c r="A3421" s="8"/>
      <c r="B3421" s="8"/>
      <c r="C3421" s="8"/>
      <c r="D3421" s="8">
        <v>63.217307546936</v>
      </c>
      <c r="E3421" s="9" t="s">
        <v>802</v>
      </c>
      <c r="I3421" s="12"/>
      <c r="J3421" s="11">
        <v>0.0</v>
      </c>
      <c r="K3421" s="12" t="s">
        <v>3075</v>
      </c>
      <c r="L3421" s="13" t="s">
        <v>3075</v>
      </c>
      <c r="M3421" s="9" t="s">
        <v>3075</v>
      </c>
    </row>
    <row r="3422" ht="15.75" customHeight="1">
      <c r="A3422" s="8"/>
      <c r="B3422" s="8"/>
      <c r="C3422" s="8"/>
      <c r="D3422" s="8">
        <v>63.217307546936</v>
      </c>
      <c r="E3422" s="9" t="s">
        <v>804</v>
      </c>
      <c r="I3422" s="12"/>
      <c r="J3422" s="11">
        <v>0.0</v>
      </c>
      <c r="K3422" s="12" t="s">
        <v>3075</v>
      </c>
      <c r="L3422" s="13" t="s">
        <v>3075</v>
      </c>
      <c r="M3422" s="9" t="s">
        <v>3075</v>
      </c>
    </row>
    <row r="3423" ht="15.75" customHeight="1">
      <c r="A3423" s="8"/>
      <c r="B3423" s="8"/>
      <c r="C3423" s="8"/>
      <c r="D3423" s="8">
        <v>63.217307546936</v>
      </c>
      <c r="E3423" s="9" t="s">
        <v>808</v>
      </c>
      <c r="I3423" s="12"/>
      <c r="J3423" s="11">
        <v>0.0</v>
      </c>
      <c r="K3423" s="12" t="s">
        <v>3075</v>
      </c>
      <c r="L3423" s="13" t="s">
        <v>3075</v>
      </c>
      <c r="M3423" s="9" t="s">
        <v>3075</v>
      </c>
    </row>
    <row r="3424" ht="15.75" customHeight="1">
      <c r="A3424" s="8"/>
      <c r="B3424" s="8"/>
      <c r="C3424" s="8"/>
      <c r="D3424" s="8">
        <v>63.217307546936</v>
      </c>
      <c r="E3424" s="9" t="s">
        <v>809</v>
      </c>
      <c r="I3424" s="12"/>
      <c r="J3424" s="11">
        <v>0.0</v>
      </c>
      <c r="K3424" s="12" t="s">
        <v>3075</v>
      </c>
      <c r="L3424" s="13" t="s">
        <v>3075</v>
      </c>
      <c r="M3424" s="9" t="s">
        <v>3075</v>
      </c>
    </row>
    <row r="3425" ht="15.75" customHeight="1">
      <c r="A3425" s="8"/>
      <c r="B3425" s="8"/>
      <c r="C3425" s="8"/>
      <c r="D3425" s="8">
        <v>63.217307546936</v>
      </c>
      <c r="E3425" s="9" t="s">
        <v>811</v>
      </c>
      <c r="I3425" s="12"/>
      <c r="J3425" s="11">
        <v>0.0</v>
      </c>
      <c r="K3425" s="12" t="s">
        <v>3075</v>
      </c>
      <c r="L3425" s="13" t="s">
        <v>3075</v>
      </c>
      <c r="M3425" s="9" t="s">
        <v>3075</v>
      </c>
    </row>
    <row r="3426" ht="15.75" customHeight="1">
      <c r="A3426" s="8"/>
      <c r="B3426" s="8"/>
      <c r="C3426" s="8"/>
      <c r="D3426" s="8">
        <v>63.217307546936</v>
      </c>
      <c r="E3426" s="9" t="s">
        <v>812</v>
      </c>
      <c r="I3426" s="12"/>
      <c r="J3426" s="11">
        <v>0.0</v>
      </c>
      <c r="K3426" s="12" t="s">
        <v>3075</v>
      </c>
      <c r="L3426" s="13" t="s">
        <v>3075</v>
      </c>
      <c r="M3426" s="9" t="s">
        <v>3075</v>
      </c>
    </row>
    <row r="3427" ht="15.75" customHeight="1">
      <c r="A3427" s="8"/>
      <c r="B3427" s="8"/>
      <c r="C3427" s="8"/>
      <c r="D3427" s="8">
        <v>63.217307546936</v>
      </c>
      <c r="E3427" s="9" t="s">
        <v>814</v>
      </c>
      <c r="I3427" s="12"/>
      <c r="J3427" s="11">
        <v>0.0</v>
      </c>
      <c r="K3427" s="12" t="s">
        <v>3075</v>
      </c>
      <c r="L3427" s="13" t="s">
        <v>3075</v>
      </c>
      <c r="M3427" s="9" t="s">
        <v>3075</v>
      </c>
    </row>
    <row r="3428" ht="15.75" customHeight="1">
      <c r="A3428" s="8"/>
      <c r="B3428" s="8"/>
      <c r="C3428" s="8"/>
      <c r="D3428" s="8">
        <v>41.8016503677089</v>
      </c>
      <c r="E3428" s="9" t="s">
        <v>3088</v>
      </c>
      <c r="I3428" s="12"/>
      <c r="J3428" s="11">
        <v>0.0</v>
      </c>
      <c r="K3428" s="12" t="s">
        <v>3075</v>
      </c>
      <c r="L3428" s="13" t="s">
        <v>3075</v>
      </c>
      <c r="M3428" s="9" t="s">
        <v>3075</v>
      </c>
    </row>
    <row r="3429" ht="15.75" customHeight="1">
      <c r="A3429" s="8"/>
      <c r="B3429" s="8"/>
      <c r="C3429" s="8"/>
      <c r="D3429" s="8">
        <v>63.217307546936</v>
      </c>
      <c r="E3429" s="9" t="s">
        <v>815</v>
      </c>
      <c r="I3429" s="12"/>
      <c r="J3429" s="11">
        <v>0.0</v>
      </c>
      <c r="K3429" s="12" t="s">
        <v>3075</v>
      </c>
      <c r="L3429" s="13" t="s">
        <v>3075</v>
      </c>
      <c r="M3429" s="9" t="s">
        <v>3075</v>
      </c>
    </row>
    <row r="3430" ht="15.75" customHeight="1">
      <c r="A3430" s="8"/>
      <c r="B3430" s="8"/>
      <c r="C3430" s="8"/>
      <c r="D3430" s="8">
        <v>63.217307546936</v>
      </c>
      <c r="E3430" s="9" t="s">
        <v>817</v>
      </c>
      <c r="I3430" s="12"/>
      <c r="J3430" s="11">
        <v>0.0</v>
      </c>
      <c r="K3430" s="12" t="s">
        <v>3075</v>
      </c>
      <c r="L3430" s="13" t="s">
        <v>3075</v>
      </c>
      <c r="M3430" s="9" t="s">
        <v>3075</v>
      </c>
    </row>
    <row r="3431" ht="15.75" customHeight="1">
      <c r="A3431" s="8"/>
      <c r="B3431" s="8"/>
      <c r="C3431" s="8"/>
      <c r="D3431" s="8">
        <v>59.7543265225488</v>
      </c>
      <c r="E3431" s="9" t="s">
        <v>819</v>
      </c>
      <c r="I3431" s="12"/>
      <c r="J3431" s="11">
        <v>0.0</v>
      </c>
      <c r="K3431" s="12" t="s">
        <v>3075</v>
      </c>
      <c r="L3431" s="13" t="s">
        <v>3075</v>
      </c>
      <c r="M3431" s="9" t="s">
        <v>3075</v>
      </c>
    </row>
    <row r="3432" ht="15.75" customHeight="1">
      <c r="A3432" s="8"/>
      <c r="B3432" s="8"/>
      <c r="C3432" s="8"/>
      <c r="D3432" s="8">
        <v>63.217307546936</v>
      </c>
      <c r="E3432" s="9" t="s">
        <v>820</v>
      </c>
      <c r="I3432" s="12"/>
      <c r="J3432" s="11">
        <v>0.0</v>
      </c>
      <c r="K3432" s="12" t="s">
        <v>3075</v>
      </c>
      <c r="L3432" s="13" t="s">
        <v>3075</v>
      </c>
      <c r="M3432" s="9" t="s">
        <v>3075</v>
      </c>
    </row>
    <row r="3433" ht="15.75" customHeight="1">
      <c r="A3433" s="8"/>
      <c r="B3433" s="8"/>
      <c r="C3433" s="8"/>
      <c r="D3433" s="8">
        <v>63.217307546936</v>
      </c>
      <c r="E3433" s="9" t="s">
        <v>821</v>
      </c>
      <c r="I3433" s="12"/>
      <c r="J3433" s="11">
        <v>0.0</v>
      </c>
      <c r="K3433" s="12" t="s">
        <v>3075</v>
      </c>
      <c r="L3433" s="13" t="s">
        <v>3075</v>
      </c>
      <c r="M3433" s="9" t="s">
        <v>3075</v>
      </c>
    </row>
    <row r="3434" ht="15.75" customHeight="1">
      <c r="A3434" s="8"/>
      <c r="B3434" s="8"/>
      <c r="C3434" s="8"/>
      <c r="D3434" s="8">
        <v>63.217307546936</v>
      </c>
      <c r="E3434" s="9" t="s">
        <v>823</v>
      </c>
      <c r="I3434" s="12"/>
      <c r="J3434" s="11">
        <v>0.0</v>
      </c>
      <c r="K3434" s="12" t="s">
        <v>3075</v>
      </c>
      <c r="L3434" s="13" t="s">
        <v>3075</v>
      </c>
      <c r="M3434" s="9" t="s">
        <v>3075</v>
      </c>
    </row>
    <row r="3435" ht="15.75" customHeight="1">
      <c r="A3435" s="8"/>
      <c r="B3435" s="8"/>
      <c r="C3435" s="8"/>
      <c r="D3435" s="8">
        <v>28.8505173433688</v>
      </c>
      <c r="E3435" s="9" t="s">
        <v>826</v>
      </c>
      <c r="I3435" s="12"/>
      <c r="J3435" s="11">
        <v>0.0</v>
      </c>
      <c r="K3435" s="12" t="s">
        <v>3075</v>
      </c>
      <c r="L3435" s="13" t="s">
        <v>3075</v>
      </c>
      <c r="M3435" s="9" t="s">
        <v>3075</v>
      </c>
    </row>
    <row r="3436" ht="15.75" customHeight="1">
      <c r="A3436" s="8"/>
      <c r="B3436" s="8"/>
      <c r="C3436" s="8"/>
      <c r="D3436" s="8">
        <v>63.217307546936</v>
      </c>
      <c r="E3436" s="9" t="s">
        <v>831</v>
      </c>
      <c r="I3436" s="12"/>
      <c r="J3436" s="11">
        <v>0.0</v>
      </c>
      <c r="K3436" s="12" t="s">
        <v>3075</v>
      </c>
      <c r="L3436" s="13" t="s">
        <v>3075</v>
      </c>
      <c r="M3436" s="9" t="s">
        <v>3075</v>
      </c>
    </row>
    <row r="3437" ht="15.75" customHeight="1">
      <c r="A3437" s="8"/>
      <c r="B3437" s="8"/>
      <c r="C3437" s="8"/>
      <c r="D3437" s="8">
        <v>60.7538082334706</v>
      </c>
      <c r="E3437" s="9" t="s">
        <v>3089</v>
      </c>
      <c r="I3437" s="12"/>
      <c r="J3437" s="11">
        <v>0.0</v>
      </c>
      <c r="K3437" s="12" t="s">
        <v>3075</v>
      </c>
      <c r="L3437" s="13" t="s">
        <v>3075</v>
      </c>
      <c r="M3437" s="9" t="s">
        <v>3075</v>
      </c>
    </row>
    <row r="3438" ht="15.75" customHeight="1">
      <c r="A3438" s="8"/>
      <c r="B3438" s="8"/>
      <c r="C3438" s="8"/>
      <c r="D3438" s="8">
        <v>17.1853446006357</v>
      </c>
      <c r="E3438" s="9" t="s">
        <v>837</v>
      </c>
      <c r="I3438" s="12"/>
      <c r="J3438" s="11">
        <v>0.0</v>
      </c>
      <c r="K3438" s="12" t="s">
        <v>3075</v>
      </c>
      <c r="L3438" s="13" t="s">
        <v>3075</v>
      </c>
      <c r="M3438" s="9" t="s">
        <v>3075</v>
      </c>
    </row>
    <row r="3439" ht="15.75" customHeight="1">
      <c r="A3439" s="8"/>
      <c r="B3439" s="8"/>
      <c r="C3439" s="8"/>
      <c r="D3439" s="8">
        <v>63.217307546936</v>
      </c>
      <c r="E3439" s="9" t="s">
        <v>838</v>
      </c>
      <c r="I3439" s="12"/>
      <c r="J3439" s="11">
        <v>0.0</v>
      </c>
      <c r="K3439" s="12" t="s">
        <v>3075</v>
      </c>
      <c r="L3439" s="13" t="s">
        <v>3075</v>
      </c>
      <c r="M3439" s="9" t="s">
        <v>3075</v>
      </c>
    </row>
    <row r="3440" ht="15.75" customHeight="1">
      <c r="A3440" s="8"/>
      <c r="B3440" s="8"/>
      <c r="C3440" s="8"/>
      <c r="D3440" s="8">
        <v>60.6067529635991</v>
      </c>
      <c r="E3440" s="9" t="s">
        <v>840</v>
      </c>
      <c r="I3440" s="12"/>
      <c r="J3440" s="11">
        <v>0.0</v>
      </c>
      <c r="K3440" s="12" t="s">
        <v>3075</v>
      </c>
      <c r="L3440" s="13" t="s">
        <v>3075</v>
      </c>
      <c r="M3440" s="9" t="s">
        <v>3075</v>
      </c>
    </row>
    <row r="3441" ht="15.75" customHeight="1">
      <c r="A3441" s="8"/>
      <c r="B3441" s="8"/>
      <c r="C3441" s="8"/>
      <c r="D3441" s="8">
        <v>44.5816167451959</v>
      </c>
      <c r="E3441" s="9" t="s">
        <v>3090</v>
      </c>
      <c r="I3441" s="12"/>
      <c r="J3441" s="11">
        <v>0.0</v>
      </c>
      <c r="K3441" s="12" t="s">
        <v>3075</v>
      </c>
      <c r="L3441" s="13" t="s">
        <v>3075</v>
      </c>
      <c r="M3441" s="9" t="s">
        <v>3075</v>
      </c>
    </row>
    <row r="3442" ht="15.75" customHeight="1">
      <c r="A3442" s="8"/>
      <c r="B3442" s="8"/>
      <c r="C3442" s="8"/>
      <c r="D3442" s="8">
        <v>63.217307546936</v>
      </c>
      <c r="E3442" s="9" t="s">
        <v>842</v>
      </c>
      <c r="I3442" s="12"/>
      <c r="J3442" s="11">
        <v>0.0</v>
      </c>
      <c r="K3442" s="12" t="s">
        <v>3075</v>
      </c>
      <c r="L3442" s="13" t="s">
        <v>3075</v>
      </c>
      <c r="M3442" s="9" t="s">
        <v>3075</v>
      </c>
    </row>
    <row r="3443" ht="15.75" customHeight="1">
      <c r="A3443" s="8"/>
      <c r="B3443" s="8"/>
      <c r="C3443" s="8"/>
      <c r="D3443" s="8">
        <v>63.217307546936</v>
      </c>
      <c r="E3443" s="9" t="s">
        <v>848</v>
      </c>
      <c r="I3443" s="12"/>
      <c r="J3443" s="11">
        <v>0.0</v>
      </c>
      <c r="K3443" s="12" t="s">
        <v>3075</v>
      </c>
      <c r="L3443" s="13" t="s">
        <v>3075</v>
      </c>
      <c r="M3443" s="9" t="s">
        <v>3075</v>
      </c>
    </row>
    <row r="3444" ht="15.75" customHeight="1">
      <c r="A3444" s="8"/>
      <c r="B3444" s="8"/>
      <c r="C3444" s="8"/>
      <c r="D3444" s="8">
        <v>52.4972643511938</v>
      </c>
      <c r="E3444" s="9" t="s">
        <v>851</v>
      </c>
      <c r="I3444" s="12"/>
      <c r="J3444" s="11">
        <v>0.0</v>
      </c>
      <c r="K3444" s="12" t="s">
        <v>3075</v>
      </c>
      <c r="L3444" s="13" t="s">
        <v>3075</v>
      </c>
      <c r="M3444" s="9" t="s">
        <v>3075</v>
      </c>
    </row>
    <row r="3445" ht="15.75" customHeight="1">
      <c r="A3445" s="8"/>
      <c r="B3445" s="8"/>
      <c r="C3445" s="8"/>
      <c r="D3445" s="8">
        <v>63.217307546936</v>
      </c>
      <c r="E3445" s="9" t="s">
        <v>852</v>
      </c>
      <c r="I3445" s="12"/>
      <c r="J3445" s="11">
        <v>0.0</v>
      </c>
      <c r="K3445" s="12" t="s">
        <v>3075</v>
      </c>
      <c r="L3445" s="13" t="s">
        <v>3075</v>
      </c>
      <c r="M3445" s="9" t="s">
        <v>3075</v>
      </c>
    </row>
    <row r="3446" ht="15.75" customHeight="1">
      <c r="A3446" s="8"/>
      <c r="B3446" s="8"/>
      <c r="C3446" s="8"/>
      <c r="D3446" s="8">
        <v>63.217307546936</v>
      </c>
      <c r="E3446" s="9" t="s">
        <v>853</v>
      </c>
      <c r="I3446" s="12"/>
      <c r="J3446" s="11">
        <v>0.0</v>
      </c>
      <c r="K3446" s="12" t="s">
        <v>3075</v>
      </c>
      <c r="L3446" s="13" t="s">
        <v>3075</v>
      </c>
      <c r="M3446" s="9" t="s">
        <v>3075</v>
      </c>
    </row>
    <row r="3447" ht="15.75" customHeight="1">
      <c r="A3447" s="8"/>
      <c r="B3447" s="8"/>
      <c r="C3447" s="8"/>
      <c r="D3447" s="8">
        <v>63.217307546936</v>
      </c>
      <c r="E3447" s="9" t="s">
        <v>855</v>
      </c>
      <c r="I3447" s="12"/>
      <c r="J3447" s="11">
        <v>0.0</v>
      </c>
      <c r="K3447" s="12" t="s">
        <v>3075</v>
      </c>
      <c r="L3447" s="13" t="s">
        <v>3075</v>
      </c>
      <c r="M3447" s="9" t="s">
        <v>3075</v>
      </c>
    </row>
    <row r="3448" ht="15.75" customHeight="1">
      <c r="A3448" s="8"/>
      <c r="B3448" s="8"/>
      <c r="C3448" s="8"/>
      <c r="D3448" s="8">
        <v>63.217307546936</v>
      </c>
      <c r="E3448" s="9" t="s">
        <v>856</v>
      </c>
      <c r="I3448" s="12"/>
      <c r="J3448" s="11">
        <v>0.0</v>
      </c>
      <c r="K3448" s="12" t="s">
        <v>3075</v>
      </c>
      <c r="L3448" s="13" t="s">
        <v>3075</v>
      </c>
      <c r="M3448" s="9" t="s">
        <v>3075</v>
      </c>
    </row>
    <row r="3449" ht="15.75" customHeight="1">
      <c r="A3449" s="8"/>
      <c r="B3449" s="8"/>
      <c r="C3449" s="8"/>
      <c r="D3449" s="8">
        <v>23.6579955792049</v>
      </c>
      <c r="E3449" s="9" t="s">
        <v>860</v>
      </c>
      <c r="I3449" s="12"/>
      <c r="J3449" s="11">
        <v>0.0</v>
      </c>
      <c r="K3449" s="12" t="s">
        <v>3075</v>
      </c>
      <c r="L3449" s="13" t="s">
        <v>3075</v>
      </c>
      <c r="M3449" s="9" t="s">
        <v>3075</v>
      </c>
    </row>
    <row r="3450" ht="15.75" customHeight="1">
      <c r="A3450" s="8"/>
      <c r="B3450" s="8"/>
      <c r="C3450" s="8"/>
      <c r="D3450" s="8">
        <v>18.3534026688026</v>
      </c>
      <c r="E3450" s="9" t="s">
        <v>864</v>
      </c>
      <c r="I3450" s="12"/>
      <c r="J3450" s="11">
        <v>0.0</v>
      </c>
      <c r="K3450" s="12" t="s">
        <v>3075</v>
      </c>
      <c r="L3450" s="13" t="s">
        <v>3075</v>
      </c>
      <c r="M3450" s="9" t="s">
        <v>3075</v>
      </c>
    </row>
    <row r="3451" ht="15.75" customHeight="1">
      <c r="A3451" s="8"/>
      <c r="B3451" s="8"/>
      <c r="C3451" s="8"/>
      <c r="D3451" s="8">
        <v>63.217307546936</v>
      </c>
      <c r="E3451" s="9" t="s">
        <v>866</v>
      </c>
      <c r="I3451" s="12"/>
      <c r="J3451" s="11">
        <v>0.0</v>
      </c>
      <c r="K3451" s="12" t="s">
        <v>3075</v>
      </c>
      <c r="L3451" s="13" t="s">
        <v>3075</v>
      </c>
      <c r="M3451" s="9" t="s">
        <v>3075</v>
      </c>
    </row>
    <row r="3452" ht="15.75" customHeight="1">
      <c r="A3452" s="8"/>
      <c r="B3452" s="8"/>
      <c r="C3452" s="8"/>
      <c r="D3452" s="8">
        <v>40.8388427708277</v>
      </c>
      <c r="E3452" s="9" t="s">
        <v>868</v>
      </c>
      <c r="I3452" s="12"/>
      <c r="J3452" s="11">
        <v>0.0</v>
      </c>
      <c r="K3452" s="12" t="s">
        <v>3075</v>
      </c>
      <c r="L3452" s="13" t="s">
        <v>3075</v>
      </c>
      <c r="M3452" s="9" t="s">
        <v>3075</v>
      </c>
    </row>
    <row r="3453" ht="15.75" customHeight="1">
      <c r="A3453" s="8"/>
      <c r="B3453" s="8"/>
      <c r="C3453" s="8"/>
      <c r="D3453" s="8">
        <v>63.217307546936</v>
      </c>
      <c r="E3453" s="9" t="s">
        <v>871</v>
      </c>
      <c r="I3453" s="12"/>
      <c r="J3453" s="11">
        <v>0.0</v>
      </c>
      <c r="K3453" s="12" t="s">
        <v>3075</v>
      </c>
      <c r="L3453" s="13" t="s">
        <v>3075</v>
      </c>
      <c r="M3453" s="9" t="s">
        <v>3075</v>
      </c>
    </row>
    <row r="3454" ht="15.75" customHeight="1">
      <c r="A3454" s="8"/>
      <c r="B3454" s="8"/>
      <c r="C3454" s="8"/>
      <c r="D3454" s="8">
        <v>19.0306140888658</v>
      </c>
      <c r="E3454" s="9" t="s">
        <v>872</v>
      </c>
      <c r="I3454" s="12"/>
      <c r="J3454" s="11">
        <v>0.0</v>
      </c>
      <c r="K3454" s="12" t="s">
        <v>3075</v>
      </c>
      <c r="L3454" s="13" t="s">
        <v>3075</v>
      </c>
      <c r="M3454" s="9" t="s">
        <v>3075</v>
      </c>
    </row>
    <row r="3455" ht="15.75" customHeight="1">
      <c r="A3455" s="8"/>
      <c r="B3455" s="8"/>
      <c r="C3455" s="8"/>
      <c r="D3455" s="8">
        <v>63.217307546936</v>
      </c>
      <c r="E3455" s="9" t="s">
        <v>878</v>
      </c>
      <c r="I3455" s="12"/>
      <c r="J3455" s="11">
        <v>0.0</v>
      </c>
      <c r="K3455" s="12" t="s">
        <v>3075</v>
      </c>
      <c r="L3455" s="13" t="s">
        <v>3075</v>
      </c>
      <c r="M3455" s="9" t="s">
        <v>3075</v>
      </c>
    </row>
    <row r="3456" ht="15.75" customHeight="1">
      <c r="A3456" s="8"/>
      <c r="B3456" s="8"/>
      <c r="C3456" s="8"/>
      <c r="D3456" s="8">
        <v>41.4899682451482</v>
      </c>
      <c r="E3456" s="9" t="s">
        <v>3091</v>
      </c>
      <c r="I3456" s="12"/>
      <c r="J3456" s="11">
        <v>0.0</v>
      </c>
      <c r="K3456" s="12" t="s">
        <v>3075</v>
      </c>
      <c r="L3456" s="13" t="s">
        <v>3075</v>
      </c>
      <c r="M3456" s="9" t="s">
        <v>3075</v>
      </c>
    </row>
    <row r="3457" ht="15.75" customHeight="1">
      <c r="A3457" s="8"/>
      <c r="B3457" s="8"/>
      <c r="C3457" s="8"/>
      <c r="D3457" s="8">
        <v>63.217307546936</v>
      </c>
      <c r="E3457" s="9" t="s">
        <v>881</v>
      </c>
      <c r="I3457" s="12"/>
      <c r="J3457" s="11">
        <v>0.0</v>
      </c>
      <c r="K3457" s="12" t="s">
        <v>3075</v>
      </c>
      <c r="L3457" s="13" t="s">
        <v>3075</v>
      </c>
      <c r="M3457" s="9" t="s">
        <v>3075</v>
      </c>
    </row>
    <row r="3458" ht="15.75" customHeight="1">
      <c r="A3458" s="8"/>
      <c r="B3458" s="8"/>
      <c r="C3458" s="8"/>
      <c r="D3458" s="8">
        <v>63.217307546936</v>
      </c>
      <c r="E3458" s="9" t="s">
        <v>883</v>
      </c>
      <c r="I3458" s="12"/>
      <c r="J3458" s="11">
        <v>0.0</v>
      </c>
      <c r="K3458" s="12" t="s">
        <v>3075</v>
      </c>
      <c r="L3458" s="13" t="s">
        <v>3075</v>
      </c>
      <c r="M3458" s="9" t="s">
        <v>3075</v>
      </c>
    </row>
    <row r="3459" ht="15.75" customHeight="1">
      <c r="A3459" s="8"/>
      <c r="B3459" s="8"/>
      <c r="C3459" s="8"/>
      <c r="D3459" s="8">
        <v>63.217307546936</v>
      </c>
      <c r="E3459" s="9" t="s">
        <v>884</v>
      </c>
      <c r="I3459" s="12"/>
      <c r="J3459" s="11">
        <v>0.0</v>
      </c>
      <c r="K3459" s="12" t="s">
        <v>3075</v>
      </c>
      <c r="L3459" s="13" t="s">
        <v>3075</v>
      </c>
      <c r="M3459" s="9" t="s">
        <v>3075</v>
      </c>
    </row>
    <row r="3460" ht="15.75" customHeight="1">
      <c r="A3460" s="8"/>
      <c r="B3460" s="8"/>
      <c r="C3460" s="8"/>
      <c r="D3460" s="8">
        <v>50.4875126621492</v>
      </c>
      <c r="E3460" s="9" t="s">
        <v>886</v>
      </c>
      <c r="I3460" s="12"/>
      <c r="J3460" s="11">
        <v>0.0</v>
      </c>
      <c r="K3460" s="12" t="s">
        <v>3075</v>
      </c>
      <c r="L3460" s="13" t="s">
        <v>3075</v>
      </c>
      <c r="M3460" s="9" t="s">
        <v>3075</v>
      </c>
    </row>
    <row r="3461" ht="15.75" customHeight="1">
      <c r="A3461" s="8"/>
      <c r="B3461" s="8"/>
      <c r="C3461" s="8"/>
      <c r="D3461" s="8">
        <v>12.6434615093872</v>
      </c>
      <c r="E3461" s="9" t="s">
        <v>887</v>
      </c>
      <c r="I3461" s="12"/>
      <c r="J3461" s="11">
        <v>0.0</v>
      </c>
      <c r="K3461" s="12" t="s">
        <v>3075</v>
      </c>
      <c r="L3461" s="13" t="s">
        <v>3075</v>
      </c>
      <c r="M3461" s="9" t="s">
        <v>3075</v>
      </c>
    </row>
    <row r="3462" ht="15.75" customHeight="1">
      <c r="A3462" s="8"/>
      <c r="B3462" s="8"/>
      <c r="C3462" s="8"/>
      <c r="D3462" s="8">
        <v>63.217307546936</v>
      </c>
      <c r="E3462" s="9" t="s">
        <v>888</v>
      </c>
      <c r="I3462" s="12"/>
      <c r="J3462" s="11">
        <v>0.0</v>
      </c>
      <c r="K3462" s="12" t="s">
        <v>3075</v>
      </c>
      <c r="L3462" s="13" t="s">
        <v>3075</v>
      </c>
      <c r="M3462" s="9" t="s">
        <v>3075</v>
      </c>
    </row>
    <row r="3463" ht="15.75" customHeight="1">
      <c r="A3463" s="8"/>
      <c r="B3463" s="8"/>
      <c r="C3463" s="8"/>
      <c r="D3463" s="8">
        <v>13.7326910900865</v>
      </c>
      <c r="E3463" s="9" t="s">
        <v>897</v>
      </c>
      <c r="I3463" s="12"/>
      <c r="J3463" s="11">
        <v>0.0</v>
      </c>
      <c r="K3463" s="12" t="s">
        <v>3075</v>
      </c>
      <c r="L3463" s="13" t="s">
        <v>3075</v>
      </c>
      <c r="M3463" s="9" t="s">
        <v>3075</v>
      </c>
    </row>
    <row r="3464" ht="15.75" customHeight="1">
      <c r="A3464" s="8"/>
      <c r="B3464" s="8"/>
      <c r="C3464" s="8"/>
      <c r="D3464" s="8">
        <v>63.217307546936</v>
      </c>
      <c r="E3464" s="9" t="s">
        <v>3092</v>
      </c>
      <c r="I3464" s="12"/>
      <c r="J3464" s="11">
        <v>0.0</v>
      </c>
      <c r="K3464" s="12" t="s">
        <v>3075</v>
      </c>
      <c r="L3464" s="13" t="s">
        <v>3075</v>
      </c>
      <c r="M3464" s="9" t="s">
        <v>3075</v>
      </c>
    </row>
    <row r="3465" ht="15.75" customHeight="1">
      <c r="A3465" s="8"/>
      <c r="B3465" s="8"/>
      <c r="C3465" s="8"/>
      <c r="D3465" s="8">
        <v>61.8083347916025</v>
      </c>
      <c r="E3465" s="9" t="s">
        <v>899</v>
      </c>
      <c r="I3465" s="12"/>
      <c r="J3465" s="11">
        <v>0.0</v>
      </c>
      <c r="K3465" s="12" t="s">
        <v>3075</v>
      </c>
      <c r="L3465" s="13" t="s">
        <v>3075</v>
      </c>
      <c r="M3465" s="9" t="s">
        <v>3075</v>
      </c>
    </row>
    <row r="3466" ht="15.75" customHeight="1">
      <c r="A3466" s="8"/>
      <c r="B3466" s="8"/>
      <c r="C3466" s="8"/>
      <c r="D3466" s="8">
        <v>26.7952391971054</v>
      </c>
      <c r="E3466" s="9" t="s">
        <v>900</v>
      </c>
      <c r="I3466" s="12"/>
      <c r="J3466" s="11">
        <v>0.0</v>
      </c>
      <c r="K3466" s="12" t="s">
        <v>3075</v>
      </c>
      <c r="L3466" s="13" t="s">
        <v>3075</v>
      </c>
      <c r="M3466" s="9" t="s">
        <v>3075</v>
      </c>
    </row>
    <row r="3467" ht="15.75" customHeight="1">
      <c r="A3467" s="8"/>
      <c r="B3467" s="8"/>
      <c r="C3467" s="8"/>
      <c r="D3467" s="8">
        <v>63.217307546936</v>
      </c>
      <c r="E3467" s="9" t="s">
        <v>901</v>
      </c>
      <c r="I3467" s="12"/>
      <c r="J3467" s="11">
        <v>0.0</v>
      </c>
      <c r="K3467" s="12" t="s">
        <v>3075</v>
      </c>
      <c r="L3467" s="13" t="s">
        <v>3075</v>
      </c>
      <c r="M3467" s="9" t="s">
        <v>3075</v>
      </c>
    </row>
    <row r="3468" ht="15.75" customHeight="1">
      <c r="A3468" s="8"/>
      <c r="B3468" s="8"/>
      <c r="C3468" s="8"/>
      <c r="D3468" s="8">
        <v>63.217307546936</v>
      </c>
      <c r="E3468" s="9" t="s">
        <v>902</v>
      </c>
      <c r="I3468" s="12"/>
      <c r="J3468" s="11">
        <v>0.0</v>
      </c>
      <c r="K3468" s="12" t="s">
        <v>3075</v>
      </c>
      <c r="L3468" s="13" t="s">
        <v>3075</v>
      </c>
      <c r="M3468" s="9" t="s">
        <v>3075</v>
      </c>
    </row>
    <row r="3469" ht="15.75" customHeight="1">
      <c r="A3469" s="8"/>
      <c r="B3469" s="8"/>
      <c r="C3469" s="8"/>
      <c r="D3469" s="8">
        <v>63.217307546936</v>
      </c>
      <c r="E3469" s="9" t="s">
        <v>906</v>
      </c>
      <c r="I3469" s="12"/>
      <c r="J3469" s="11">
        <v>0.0</v>
      </c>
      <c r="K3469" s="12" t="s">
        <v>3075</v>
      </c>
      <c r="L3469" s="13" t="s">
        <v>3075</v>
      </c>
      <c r="M3469" s="9" t="s">
        <v>3075</v>
      </c>
    </row>
    <row r="3470" ht="15.75" customHeight="1">
      <c r="A3470" s="8"/>
      <c r="B3470" s="8"/>
      <c r="C3470" s="8"/>
      <c r="D3470" s="8">
        <v>63.217307546936</v>
      </c>
      <c r="E3470" s="9" t="s">
        <v>910</v>
      </c>
      <c r="I3470" s="12"/>
      <c r="J3470" s="11">
        <v>0.0</v>
      </c>
      <c r="K3470" s="12" t="s">
        <v>3075</v>
      </c>
      <c r="L3470" s="13" t="s">
        <v>3075</v>
      </c>
      <c r="M3470" s="9" t="s">
        <v>3075</v>
      </c>
    </row>
    <row r="3471" ht="15.75" customHeight="1">
      <c r="A3471" s="8"/>
      <c r="B3471" s="8"/>
      <c r="C3471" s="8"/>
      <c r="D3471" s="8">
        <v>63.217307546936</v>
      </c>
      <c r="E3471" s="9" t="s">
        <v>912</v>
      </c>
      <c r="I3471" s="12"/>
      <c r="J3471" s="11">
        <v>0.0</v>
      </c>
      <c r="K3471" s="12" t="s">
        <v>3075</v>
      </c>
      <c r="L3471" s="13" t="s">
        <v>3075</v>
      </c>
      <c r="M3471" s="9" t="s">
        <v>3075</v>
      </c>
    </row>
    <row r="3472" ht="15.75" customHeight="1">
      <c r="A3472" s="8"/>
      <c r="B3472" s="8"/>
      <c r="C3472" s="8"/>
      <c r="D3472" s="8">
        <v>61.7514762412223</v>
      </c>
      <c r="E3472" s="9" t="s">
        <v>913</v>
      </c>
      <c r="I3472" s="12"/>
      <c r="J3472" s="11">
        <v>0.0</v>
      </c>
      <c r="K3472" s="12" t="s">
        <v>3075</v>
      </c>
      <c r="L3472" s="13" t="s">
        <v>3075</v>
      </c>
      <c r="M3472" s="9" t="s">
        <v>3075</v>
      </c>
    </row>
    <row r="3473" ht="15.75" customHeight="1">
      <c r="A3473" s="8"/>
      <c r="B3473" s="8"/>
      <c r="C3473" s="8"/>
      <c r="D3473" s="8">
        <v>63.217307546936</v>
      </c>
      <c r="E3473" s="9" t="s">
        <v>914</v>
      </c>
      <c r="I3473" s="12"/>
      <c r="J3473" s="11">
        <v>0.0</v>
      </c>
      <c r="K3473" s="12" t="s">
        <v>3075</v>
      </c>
      <c r="L3473" s="13" t="s">
        <v>3075</v>
      </c>
      <c r="M3473" s="9" t="s">
        <v>3075</v>
      </c>
    </row>
    <row r="3474" ht="15.75" customHeight="1">
      <c r="A3474" s="8"/>
      <c r="B3474" s="8"/>
      <c r="C3474" s="8"/>
      <c r="D3474" s="8">
        <v>63.217307546936</v>
      </c>
      <c r="E3474" s="9" t="s">
        <v>916</v>
      </c>
      <c r="I3474" s="12"/>
      <c r="J3474" s="11">
        <v>0.0</v>
      </c>
      <c r="K3474" s="12" t="s">
        <v>3075</v>
      </c>
      <c r="L3474" s="13" t="s">
        <v>3075</v>
      </c>
      <c r="M3474" s="9" t="s">
        <v>3075</v>
      </c>
    </row>
    <row r="3475" ht="15.75" customHeight="1">
      <c r="A3475" s="8"/>
      <c r="B3475" s="8"/>
      <c r="C3475" s="8"/>
      <c r="D3475" s="8">
        <v>63.217307546936</v>
      </c>
      <c r="E3475" s="9" t="s">
        <v>918</v>
      </c>
      <c r="I3475" s="12"/>
      <c r="J3475" s="11">
        <v>0.0</v>
      </c>
      <c r="K3475" s="12" t="s">
        <v>3075</v>
      </c>
      <c r="L3475" s="13" t="s">
        <v>3075</v>
      </c>
      <c r="M3475" s="9" t="s">
        <v>3075</v>
      </c>
    </row>
    <row r="3476" ht="15.75" customHeight="1">
      <c r="A3476" s="8"/>
      <c r="B3476" s="8"/>
      <c r="C3476" s="8"/>
      <c r="D3476" s="8">
        <v>63.217307546936</v>
      </c>
      <c r="E3476" s="9" t="s">
        <v>922</v>
      </c>
      <c r="I3476" s="12"/>
      <c r="J3476" s="11">
        <v>0.0</v>
      </c>
      <c r="K3476" s="12" t="s">
        <v>3075</v>
      </c>
      <c r="L3476" s="13" t="s">
        <v>3075</v>
      </c>
      <c r="M3476" s="9" t="s">
        <v>3075</v>
      </c>
    </row>
    <row r="3477" ht="15.75" customHeight="1">
      <c r="A3477" s="8"/>
      <c r="B3477" s="8"/>
      <c r="C3477" s="8"/>
      <c r="D3477" s="8">
        <v>20.7548393455394</v>
      </c>
      <c r="E3477" s="9" t="s">
        <v>929</v>
      </c>
      <c r="I3477" s="12"/>
      <c r="J3477" s="11">
        <v>0.0</v>
      </c>
      <c r="K3477" s="12" t="s">
        <v>3075</v>
      </c>
      <c r="L3477" s="13" t="s">
        <v>3075</v>
      </c>
      <c r="M3477" s="9" t="s">
        <v>3075</v>
      </c>
    </row>
    <row r="3478" ht="15.75" customHeight="1">
      <c r="A3478" s="8"/>
      <c r="B3478" s="8"/>
      <c r="C3478" s="8"/>
      <c r="D3478" s="8">
        <v>63.217307546936</v>
      </c>
      <c r="E3478" s="9" t="s">
        <v>931</v>
      </c>
      <c r="I3478" s="12"/>
      <c r="J3478" s="11">
        <v>0.0</v>
      </c>
      <c r="K3478" s="12" t="s">
        <v>3075</v>
      </c>
      <c r="L3478" s="13" t="s">
        <v>3075</v>
      </c>
      <c r="M3478" s="9" t="s">
        <v>3075</v>
      </c>
    </row>
    <row r="3479" ht="15.75" customHeight="1">
      <c r="A3479" s="8"/>
      <c r="B3479" s="8"/>
      <c r="C3479" s="8"/>
      <c r="D3479" s="8">
        <v>63.217307546936</v>
      </c>
      <c r="E3479" s="9" t="s">
        <v>933</v>
      </c>
      <c r="I3479" s="12"/>
      <c r="J3479" s="11">
        <v>0.0</v>
      </c>
      <c r="K3479" s="12" t="s">
        <v>3075</v>
      </c>
      <c r="L3479" s="13" t="s">
        <v>3075</v>
      </c>
      <c r="M3479" s="9" t="s">
        <v>3075</v>
      </c>
    </row>
    <row r="3480" ht="15.75" customHeight="1">
      <c r="A3480" s="8"/>
      <c r="B3480" s="8"/>
      <c r="C3480" s="8"/>
      <c r="D3480" s="8">
        <v>12.4903188152063</v>
      </c>
      <c r="E3480" s="9" t="s">
        <v>937</v>
      </c>
      <c r="I3480" s="12"/>
      <c r="J3480" s="11">
        <v>0.0</v>
      </c>
      <c r="K3480" s="12" t="s">
        <v>3075</v>
      </c>
      <c r="L3480" s="13" t="s">
        <v>3075</v>
      </c>
      <c r="M3480" s="9" t="s">
        <v>3075</v>
      </c>
    </row>
    <row r="3481" ht="15.75" customHeight="1">
      <c r="A3481" s="8"/>
      <c r="B3481" s="8"/>
      <c r="C3481" s="8"/>
      <c r="D3481" s="8">
        <v>63.217307546936</v>
      </c>
      <c r="E3481" s="9" t="s">
        <v>940</v>
      </c>
      <c r="I3481" s="12"/>
      <c r="J3481" s="11">
        <v>0.0</v>
      </c>
      <c r="K3481" s="12" t="s">
        <v>3075</v>
      </c>
      <c r="L3481" s="13" t="s">
        <v>3075</v>
      </c>
      <c r="M3481" s="9" t="s">
        <v>3075</v>
      </c>
    </row>
    <row r="3482" ht="15.75" customHeight="1">
      <c r="A3482" s="8"/>
      <c r="B3482" s="8"/>
      <c r="C3482" s="8"/>
      <c r="D3482" s="8">
        <v>63.217307546936</v>
      </c>
      <c r="E3482" s="9" t="s">
        <v>941</v>
      </c>
      <c r="I3482" s="12"/>
      <c r="J3482" s="11">
        <v>0.0</v>
      </c>
      <c r="K3482" s="12" t="s">
        <v>3075</v>
      </c>
      <c r="L3482" s="13" t="s">
        <v>3075</v>
      </c>
      <c r="M3482" s="9" t="s">
        <v>3075</v>
      </c>
    </row>
    <row r="3483" ht="15.75" customHeight="1">
      <c r="A3483" s="8"/>
      <c r="B3483" s="8"/>
      <c r="C3483" s="8"/>
      <c r="D3483" s="8">
        <v>63.217307546936</v>
      </c>
      <c r="E3483" s="9" t="s">
        <v>3093</v>
      </c>
      <c r="I3483" s="12"/>
      <c r="J3483" s="11">
        <v>0.0</v>
      </c>
      <c r="K3483" s="12" t="s">
        <v>3075</v>
      </c>
      <c r="L3483" s="13" t="s">
        <v>3075</v>
      </c>
      <c r="M3483" s="9" t="s">
        <v>3075</v>
      </c>
    </row>
    <row r="3484" ht="15.75" customHeight="1">
      <c r="A3484" s="8"/>
      <c r="B3484" s="8"/>
      <c r="C3484" s="8"/>
      <c r="D3484" s="8">
        <v>60.7828209807599</v>
      </c>
      <c r="E3484" s="9" t="s">
        <v>944</v>
      </c>
      <c r="I3484" s="12"/>
      <c r="J3484" s="11">
        <v>0.0</v>
      </c>
      <c r="K3484" s="12" t="s">
        <v>3075</v>
      </c>
      <c r="L3484" s="13" t="s">
        <v>3075</v>
      </c>
      <c r="M3484" s="9" t="s">
        <v>3075</v>
      </c>
    </row>
    <row r="3485" ht="15.75" customHeight="1">
      <c r="A3485" s="8"/>
      <c r="B3485" s="8"/>
      <c r="C3485" s="8"/>
      <c r="D3485" s="8">
        <v>63.217307546936</v>
      </c>
      <c r="E3485" s="9" t="s">
        <v>945</v>
      </c>
      <c r="I3485" s="12"/>
      <c r="J3485" s="11">
        <v>0.0</v>
      </c>
      <c r="K3485" s="12" t="s">
        <v>3075</v>
      </c>
      <c r="L3485" s="13" t="s">
        <v>3075</v>
      </c>
      <c r="M3485" s="9" t="s">
        <v>3075</v>
      </c>
    </row>
    <row r="3486" ht="15.75" customHeight="1">
      <c r="A3486" s="8"/>
      <c r="B3486" s="8"/>
      <c r="C3486" s="8"/>
      <c r="D3486" s="8">
        <v>63.217307546936</v>
      </c>
      <c r="E3486" s="9" t="s">
        <v>946</v>
      </c>
      <c r="I3486" s="12"/>
      <c r="J3486" s="11">
        <v>0.0</v>
      </c>
      <c r="K3486" s="12" t="s">
        <v>3075</v>
      </c>
      <c r="L3486" s="13" t="s">
        <v>3075</v>
      </c>
      <c r="M3486" s="9" t="s">
        <v>3075</v>
      </c>
    </row>
    <row r="3487" ht="15.75" customHeight="1">
      <c r="A3487" s="8"/>
      <c r="B3487" s="8"/>
      <c r="C3487" s="8"/>
      <c r="D3487" s="8">
        <v>63.217307546936</v>
      </c>
      <c r="E3487" s="9" t="s">
        <v>949</v>
      </c>
      <c r="I3487" s="12"/>
      <c r="J3487" s="11">
        <v>0.0</v>
      </c>
      <c r="K3487" s="12" t="s">
        <v>3075</v>
      </c>
      <c r="L3487" s="13" t="s">
        <v>3075</v>
      </c>
      <c r="M3487" s="9" t="s">
        <v>3075</v>
      </c>
    </row>
    <row r="3488" ht="15.75" customHeight="1">
      <c r="A3488" s="8"/>
      <c r="B3488" s="8"/>
      <c r="C3488" s="8"/>
      <c r="D3488" s="8">
        <v>63.217307546936</v>
      </c>
      <c r="E3488" s="9" t="s">
        <v>950</v>
      </c>
      <c r="I3488" s="12"/>
      <c r="J3488" s="11">
        <v>0.0</v>
      </c>
      <c r="K3488" s="12" t="s">
        <v>3075</v>
      </c>
      <c r="L3488" s="13" t="s">
        <v>3075</v>
      </c>
      <c r="M3488" s="9" t="s">
        <v>3075</v>
      </c>
    </row>
    <row r="3489" ht="15.75" customHeight="1">
      <c r="A3489" s="8"/>
      <c r="B3489" s="8"/>
      <c r="C3489" s="8"/>
      <c r="D3489" s="8">
        <v>63.217307546936</v>
      </c>
      <c r="E3489" s="9" t="s">
        <v>3094</v>
      </c>
      <c r="I3489" s="12"/>
      <c r="J3489" s="11">
        <v>0.0</v>
      </c>
      <c r="K3489" s="12" t="s">
        <v>3075</v>
      </c>
      <c r="L3489" s="13" t="s">
        <v>3075</v>
      </c>
      <c r="M3489" s="9" t="s">
        <v>3075</v>
      </c>
    </row>
    <row r="3490" ht="15.75" customHeight="1">
      <c r="A3490" s="8"/>
      <c r="B3490" s="8"/>
      <c r="C3490" s="8"/>
      <c r="D3490" s="8">
        <v>12.6434615093872</v>
      </c>
      <c r="E3490" s="9" t="s">
        <v>951</v>
      </c>
      <c r="I3490" s="12"/>
      <c r="J3490" s="11">
        <v>0.0</v>
      </c>
      <c r="K3490" s="12" t="s">
        <v>3075</v>
      </c>
      <c r="L3490" s="13" t="s">
        <v>3075</v>
      </c>
      <c r="M3490" s="9" t="s">
        <v>3075</v>
      </c>
    </row>
    <row r="3491" ht="15.75" customHeight="1">
      <c r="A3491" s="8"/>
      <c r="B3491" s="8"/>
      <c r="C3491" s="8"/>
      <c r="D3491" s="8">
        <v>63.217307546936</v>
      </c>
      <c r="E3491" s="9" t="s">
        <v>952</v>
      </c>
      <c r="I3491" s="12"/>
      <c r="J3491" s="11">
        <v>0.0</v>
      </c>
      <c r="K3491" s="12" t="s">
        <v>3075</v>
      </c>
      <c r="L3491" s="13" t="s">
        <v>3075</v>
      </c>
      <c r="M3491" s="9" t="s">
        <v>3075</v>
      </c>
    </row>
    <row r="3492" ht="15.75" customHeight="1">
      <c r="A3492" s="8"/>
      <c r="B3492" s="8"/>
      <c r="C3492" s="8"/>
      <c r="D3492" s="8">
        <v>43.6542502406691</v>
      </c>
      <c r="E3492" s="9" t="s">
        <v>953</v>
      </c>
      <c r="I3492" s="12"/>
      <c r="J3492" s="11">
        <v>0.0</v>
      </c>
      <c r="K3492" s="12" t="s">
        <v>3075</v>
      </c>
      <c r="L3492" s="13" t="s">
        <v>3075</v>
      </c>
      <c r="M3492" s="9" t="s">
        <v>3075</v>
      </c>
    </row>
    <row r="3493" ht="15.75" customHeight="1">
      <c r="A3493" s="8"/>
      <c r="B3493" s="8"/>
      <c r="C3493" s="8"/>
      <c r="D3493" s="8">
        <v>40.0543438409199</v>
      </c>
      <c r="E3493" s="9" t="s">
        <v>956</v>
      </c>
      <c r="I3493" s="12"/>
      <c r="J3493" s="11">
        <v>0.0</v>
      </c>
      <c r="K3493" s="12" t="s">
        <v>3075</v>
      </c>
      <c r="L3493" s="13" t="s">
        <v>3075</v>
      </c>
      <c r="M3493" s="9" t="s">
        <v>3075</v>
      </c>
    </row>
    <row r="3494" ht="15.75" customHeight="1">
      <c r="A3494" s="8"/>
      <c r="B3494" s="8"/>
      <c r="C3494" s="8"/>
      <c r="D3494" s="8">
        <v>63.217307546936</v>
      </c>
      <c r="E3494" s="9" t="s">
        <v>957</v>
      </c>
      <c r="I3494" s="12"/>
      <c r="J3494" s="11">
        <v>0.0</v>
      </c>
      <c r="K3494" s="12" t="s">
        <v>3075</v>
      </c>
      <c r="L3494" s="13" t="s">
        <v>3075</v>
      </c>
      <c r="M3494" s="9" t="s">
        <v>3075</v>
      </c>
    </row>
    <row r="3495" ht="15.75" customHeight="1">
      <c r="A3495" s="8"/>
      <c r="B3495" s="8"/>
      <c r="C3495" s="8"/>
      <c r="D3495" s="8">
        <v>48.4100905444419</v>
      </c>
      <c r="E3495" s="9" t="s">
        <v>958</v>
      </c>
      <c r="I3495" s="12"/>
      <c r="J3495" s="11">
        <v>0.0</v>
      </c>
      <c r="K3495" s="12" t="s">
        <v>3075</v>
      </c>
      <c r="L3495" s="13" t="s">
        <v>3075</v>
      </c>
      <c r="M3495" s="9" t="s">
        <v>3075</v>
      </c>
    </row>
    <row r="3496" ht="15.75" customHeight="1">
      <c r="A3496" s="8"/>
      <c r="B3496" s="8"/>
      <c r="C3496" s="8"/>
      <c r="D3496" s="8">
        <v>34.5931290600367</v>
      </c>
      <c r="E3496" s="9" t="s">
        <v>3095</v>
      </c>
      <c r="I3496" s="12"/>
      <c r="J3496" s="11">
        <v>0.0</v>
      </c>
      <c r="K3496" s="12" t="s">
        <v>3075</v>
      </c>
      <c r="L3496" s="13" t="s">
        <v>3075</v>
      </c>
      <c r="M3496" s="9" t="s">
        <v>3075</v>
      </c>
    </row>
    <row r="3497" ht="15.75" customHeight="1">
      <c r="A3497" s="8"/>
      <c r="B3497" s="8"/>
      <c r="C3497" s="8"/>
      <c r="D3497" s="8">
        <v>63.217307546936</v>
      </c>
      <c r="E3497" s="9" t="s">
        <v>959</v>
      </c>
      <c r="I3497" s="12"/>
      <c r="J3497" s="11">
        <v>0.0</v>
      </c>
      <c r="K3497" s="12" t="s">
        <v>3075</v>
      </c>
      <c r="L3497" s="13" t="s">
        <v>3075</v>
      </c>
      <c r="M3497" s="9" t="s">
        <v>3075</v>
      </c>
    </row>
    <row r="3498" ht="15.75" customHeight="1">
      <c r="A3498" s="8"/>
      <c r="B3498" s="8"/>
      <c r="C3498" s="8"/>
      <c r="D3498" s="8">
        <v>63.217307546936</v>
      </c>
      <c r="E3498" s="9" t="s">
        <v>960</v>
      </c>
      <c r="I3498" s="12"/>
      <c r="J3498" s="11">
        <v>0.0</v>
      </c>
      <c r="K3498" s="12" t="s">
        <v>3075</v>
      </c>
      <c r="L3498" s="13" t="s">
        <v>3075</v>
      </c>
      <c r="M3498" s="9" t="s">
        <v>3075</v>
      </c>
    </row>
    <row r="3499" ht="15.75" customHeight="1">
      <c r="A3499" s="8"/>
      <c r="B3499" s="8"/>
      <c r="C3499" s="8"/>
      <c r="D3499" s="8">
        <v>63.217307546936</v>
      </c>
      <c r="E3499" s="9" t="s">
        <v>964</v>
      </c>
      <c r="I3499" s="12"/>
      <c r="J3499" s="11">
        <v>0.0</v>
      </c>
      <c r="K3499" s="12" t="s">
        <v>3075</v>
      </c>
      <c r="L3499" s="13" t="s">
        <v>3075</v>
      </c>
      <c r="M3499" s="9" t="s">
        <v>3075</v>
      </c>
    </row>
    <row r="3500" ht="15.75" customHeight="1">
      <c r="A3500" s="8"/>
      <c r="B3500" s="8"/>
      <c r="C3500" s="8"/>
      <c r="D3500" s="8">
        <v>63.217307546936</v>
      </c>
      <c r="E3500" s="9" t="s">
        <v>969</v>
      </c>
      <c r="I3500" s="12"/>
      <c r="J3500" s="11">
        <v>0.0</v>
      </c>
      <c r="K3500" s="12" t="s">
        <v>3075</v>
      </c>
      <c r="L3500" s="13" t="s">
        <v>3075</v>
      </c>
      <c r="M3500" s="9" t="s">
        <v>3075</v>
      </c>
    </row>
    <row r="3501" ht="15.75" customHeight="1">
      <c r="A3501" s="8"/>
      <c r="B3501" s="8"/>
      <c r="C3501" s="8"/>
      <c r="D3501" s="8">
        <v>63.217307546936</v>
      </c>
      <c r="E3501" s="9" t="s">
        <v>970</v>
      </c>
      <c r="I3501" s="12"/>
      <c r="J3501" s="11">
        <v>0.0</v>
      </c>
      <c r="K3501" s="12" t="s">
        <v>3075</v>
      </c>
      <c r="L3501" s="13" t="s">
        <v>3075</v>
      </c>
      <c r="M3501" s="9" t="s">
        <v>3075</v>
      </c>
    </row>
    <row r="3502" ht="15.75" customHeight="1">
      <c r="A3502" s="8"/>
      <c r="B3502" s="8"/>
      <c r="C3502" s="8"/>
      <c r="D3502" s="8">
        <v>12.5831680856076</v>
      </c>
      <c r="E3502" s="9" t="s">
        <v>973</v>
      </c>
      <c r="I3502" s="12"/>
      <c r="J3502" s="11">
        <v>0.0</v>
      </c>
      <c r="K3502" s="12" t="s">
        <v>3075</v>
      </c>
      <c r="L3502" s="13" t="s">
        <v>3075</v>
      </c>
      <c r="M3502" s="9" t="s">
        <v>3075</v>
      </c>
    </row>
    <row r="3503" ht="15.75" customHeight="1">
      <c r="A3503" s="8"/>
      <c r="B3503" s="8"/>
      <c r="C3503" s="8"/>
      <c r="D3503" s="8">
        <v>24.6453955817906</v>
      </c>
      <c r="E3503" s="9" t="s">
        <v>3096</v>
      </c>
      <c r="I3503" s="12"/>
      <c r="J3503" s="11">
        <v>0.0</v>
      </c>
      <c r="K3503" s="12" t="s">
        <v>3075</v>
      </c>
      <c r="L3503" s="13" t="s">
        <v>3075</v>
      </c>
      <c r="M3503" s="9" t="s">
        <v>3075</v>
      </c>
    </row>
    <row r="3504" ht="15.75" customHeight="1">
      <c r="A3504" s="8"/>
      <c r="B3504" s="8"/>
      <c r="C3504" s="8"/>
      <c r="D3504" s="8">
        <v>43.5918544397861</v>
      </c>
      <c r="E3504" s="9" t="s">
        <v>983</v>
      </c>
      <c r="I3504" s="12"/>
      <c r="J3504" s="11">
        <v>0.0</v>
      </c>
      <c r="K3504" s="12" t="s">
        <v>3075</v>
      </c>
      <c r="L3504" s="13" t="s">
        <v>3075</v>
      </c>
      <c r="M3504" s="9" t="s">
        <v>3075</v>
      </c>
    </row>
    <row r="3505" ht="15.75" customHeight="1">
      <c r="A3505" s="8"/>
      <c r="B3505" s="8"/>
      <c r="C3505" s="8"/>
      <c r="D3505" s="8">
        <v>7.25487744819781</v>
      </c>
      <c r="E3505" s="9" t="s">
        <v>984</v>
      </c>
      <c r="I3505" s="12"/>
      <c r="J3505" s="11">
        <v>0.0</v>
      </c>
      <c r="K3505" s="12" t="s">
        <v>3075</v>
      </c>
      <c r="L3505" s="13" t="s">
        <v>3075</v>
      </c>
      <c r="M3505" s="9" t="s">
        <v>3075</v>
      </c>
    </row>
    <row r="3506" ht="15.75" customHeight="1">
      <c r="A3506" s="8"/>
      <c r="B3506" s="8"/>
      <c r="C3506" s="8"/>
      <c r="D3506" s="8">
        <v>63.217307546936</v>
      </c>
      <c r="E3506" s="9" t="s">
        <v>985</v>
      </c>
      <c r="I3506" s="12"/>
      <c r="J3506" s="11">
        <v>0.0</v>
      </c>
      <c r="K3506" s="12" t="s">
        <v>3075</v>
      </c>
      <c r="L3506" s="13" t="s">
        <v>3075</v>
      </c>
      <c r="M3506" s="9" t="s">
        <v>3075</v>
      </c>
    </row>
    <row r="3507" ht="15.75" customHeight="1">
      <c r="A3507" s="8"/>
      <c r="B3507" s="8"/>
      <c r="C3507" s="8"/>
      <c r="D3507" s="8">
        <v>63.217307546936</v>
      </c>
      <c r="E3507" s="9" t="s">
        <v>986</v>
      </c>
      <c r="I3507" s="12"/>
      <c r="J3507" s="11">
        <v>0.0</v>
      </c>
      <c r="K3507" s="12" t="s">
        <v>3075</v>
      </c>
      <c r="L3507" s="13" t="s">
        <v>3075</v>
      </c>
      <c r="M3507" s="9" t="s">
        <v>3075</v>
      </c>
    </row>
    <row r="3508" ht="15.75" customHeight="1">
      <c r="A3508" s="8"/>
      <c r="B3508" s="8"/>
      <c r="C3508" s="8"/>
      <c r="D3508" s="8">
        <v>63.217307546936</v>
      </c>
      <c r="E3508" s="9" t="s">
        <v>989</v>
      </c>
      <c r="I3508" s="12"/>
      <c r="J3508" s="11">
        <v>0.0</v>
      </c>
      <c r="K3508" s="12" t="s">
        <v>3075</v>
      </c>
      <c r="L3508" s="13" t="s">
        <v>3075</v>
      </c>
      <c r="M3508" s="9" t="s">
        <v>3075</v>
      </c>
    </row>
    <row r="3509" ht="15.75" customHeight="1">
      <c r="A3509" s="8"/>
      <c r="B3509" s="8"/>
      <c r="C3509" s="8"/>
      <c r="D3509" s="8">
        <v>63.217307546936</v>
      </c>
      <c r="E3509" s="9" t="s">
        <v>990</v>
      </c>
      <c r="I3509" s="12"/>
      <c r="J3509" s="11">
        <v>0.0</v>
      </c>
      <c r="K3509" s="12" t="s">
        <v>3075</v>
      </c>
      <c r="L3509" s="13" t="s">
        <v>3075</v>
      </c>
      <c r="M3509" s="9" t="s">
        <v>3075</v>
      </c>
    </row>
    <row r="3510" ht="15.75" customHeight="1">
      <c r="A3510" s="8"/>
      <c r="B3510" s="8"/>
      <c r="C3510" s="8"/>
      <c r="D3510" s="8">
        <v>61.4012113491995</v>
      </c>
      <c r="E3510" s="9" t="s">
        <v>995</v>
      </c>
      <c r="I3510" s="12"/>
      <c r="J3510" s="11">
        <v>0.0</v>
      </c>
      <c r="K3510" s="12" t="s">
        <v>3075</v>
      </c>
      <c r="L3510" s="13" t="s">
        <v>3075</v>
      </c>
      <c r="M3510" s="9" t="s">
        <v>3075</v>
      </c>
    </row>
    <row r="3511" ht="15.75" customHeight="1">
      <c r="A3511" s="8"/>
      <c r="B3511" s="8"/>
      <c r="C3511" s="8"/>
      <c r="D3511" s="8">
        <v>62.9809008050927</v>
      </c>
      <c r="E3511" s="9" t="s">
        <v>1000</v>
      </c>
      <c r="I3511" s="12"/>
      <c r="J3511" s="11">
        <v>0.0</v>
      </c>
      <c r="K3511" s="12" t="s">
        <v>3075</v>
      </c>
      <c r="L3511" s="13" t="s">
        <v>3075</v>
      </c>
      <c r="M3511" s="9" t="s">
        <v>3075</v>
      </c>
    </row>
    <row r="3512" ht="15.75" customHeight="1">
      <c r="A3512" s="8"/>
      <c r="B3512" s="8"/>
      <c r="C3512" s="8"/>
      <c r="D3512" s="8">
        <v>63.217307546936</v>
      </c>
      <c r="E3512" s="9" t="s">
        <v>1001</v>
      </c>
      <c r="I3512" s="12"/>
      <c r="J3512" s="11">
        <v>0.0</v>
      </c>
      <c r="K3512" s="12" t="s">
        <v>3075</v>
      </c>
      <c r="L3512" s="13" t="s">
        <v>3075</v>
      </c>
      <c r="M3512" s="9" t="s">
        <v>3075</v>
      </c>
    </row>
    <row r="3513" ht="15.75" customHeight="1">
      <c r="A3513" s="8"/>
      <c r="B3513" s="8"/>
      <c r="C3513" s="8"/>
      <c r="D3513" s="8">
        <v>63.217307546936</v>
      </c>
      <c r="E3513" s="9" t="s">
        <v>1003</v>
      </c>
      <c r="I3513" s="12"/>
      <c r="J3513" s="11">
        <v>0.0</v>
      </c>
      <c r="K3513" s="12" t="s">
        <v>3075</v>
      </c>
      <c r="L3513" s="13" t="s">
        <v>3075</v>
      </c>
      <c r="M3513" s="9" t="s">
        <v>3075</v>
      </c>
    </row>
    <row r="3514" ht="15.75" customHeight="1">
      <c r="A3514" s="8"/>
      <c r="B3514" s="8"/>
      <c r="C3514" s="8"/>
      <c r="D3514" s="8">
        <v>63.217307546936</v>
      </c>
      <c r="E3514" s="9" t="s">
        <v>1004</v>
      </c>
      <c r="I3514" s="12"/>
      <c r="J3514" s="11">
        <v>0.0</v>
      </c>
      <c r="K3514" s="12" t="s">
        <v>3075</v>
      </c>
      <c r="L3514" s="13" t="s">
        <v>3075</v>
      </c>
      <c r="M3514" s="9" t="s">
        <v>3075</v>
      </c>
    </row>
    <row r="3515" ht="15.75" customHeight="1">
      <c r="A3515" s="8"/>
      <c r="B3515" s="8"/>
      <c r="C3515" s="8"/>
      <c r="D3515" s="8">
        <v>62.1744776068262</v>
      </c>
      <c r="E3515" s="9" t="s">
        <v>1005</v>
      </c>
      <c r="I3515" s="12"/>
      <c r="J3515" s="11">
        <v>0.0</v>
      </c>
      <c r="K3515" s="12" t="s">
        <v>3075</v>
      </c>
      <c r="L3515" s="13" t="s">
        <v>3075</v>
      </c>
      <c r="M3515" s="9" t="s">
        <v>3075</v>
      </c>
    </row>
    <row r="3516" ht="15.75" customHeight="1">
      <c r="A3516" s="8"/>
      <c r="B3516" s="8"/>
      <c r="C3516" s="8"/>
      <c r="D3516" s="8">
        <v>59.3868979956403</v>
      </c>
      <c r="E3516" s="9" t="s">
        <v>1006</v>
      </c>
      <c r="I3516" s="12"/>
      <c r="J3516" s="11">
        <v>0.0</v>
      </c>
      <c r="K3516" s="12" t="s">
        <v>3075</v>
      </c>
      <c r="L3516" s="13" t="s">
        <v>3075</v>
      </c>
      <c r="M3516" s="9" t="s">
        <v>3075</v>
      </c>
    </row>
    <row r="3517" ht="15.75" customHeight="1">
      <c r="A3517" s="8"/>
      <c r="B3517" s="8"/>
      <c r="C3517" s="8"/>
      <c r="D3517" s="8">
        <v>63.217307546936</v>
      </c>
      <c r="E3517" s="9" t="s">
        <v>1007</v>
      </c>
      <c r="I3517" s="12"/>
      <c r="J3517" s="11">
        <v>0.0</v>
      </c>
      <c r="K3517" s="12" t="s">
        <v>3075</v>
      </c>
      <c r="L3517" s="13" t="s">
        <v>3075</v>
      </c>
      <c r="M3517" s="9" t="s">
        <v>3075</v>
      </c>
    </row>
    <row r="3518" ht="15.75" customHeight="1">
      <c r="A3518" s="8"/>
      <c r="B3518" s="8"/>
      <c r="C3518" s="8"/>
      <c r="D3518" s="8">
        <v>25.2869230187744</v>
      </c>
      <c r="E3518" s="9" t="s">
        <v>1008</v>
      </c>
      <c r="I3518" s="12"/>
      <c r="J3518" s="11">
        <v>0.0</v>
      </c>
      <c r="K3518" s="12" t="s">
        <v>3075</v>
      </c>
      <c r="L3518" s="13" t="s">
        <v>3075</v>
      </c>
      <c r="M3518" s="9" t="s">
        <v>3075</v>
      </c>
    </row>
    <row r="3519" ht="15.75" customHeight="1">
      <c r="A3519" s="8"/>
      <c r="B3519" s="8"/>
      <c r="C3519" s="8"/>
      <c r="D3519" s="8">
        <v>63.217307546936</v>
      </c>
      <c r="E3519" s="9" t="s">
        <v>1009</v>
      </c>
      <c r="I3519" s="12"/>
      <c r="J3519" s="11">
        <v>0.0</v>
      </c>
      <c r="K3519" s="12" t="s">
        <v>3075</v>
      </c>
      <c r="L3519" s="13" t="s">
        <v>3075</v>
      </c>
      <c r="M3519" s="9" t="s">
        <v>3075</v>
      </c>
    </row>
    <row r="3520" ht="15.75" customHeight="1">
      <c r="A3520" s="8"/>
      <c r="B3520" s="8"/>
      <c r="C3520" s="8"/>
      <c r="D3520" s="8">
        <v>63.217307546936</v>
      </c>
      <c r="E3520" s="9" t="s">
        <v>1010</v>
      </c>
      <c r="I3520" s="12"/>
      <c r="J3520" s="11">
        <v>0.0</v>
      </c>
      <c r="K3520" s="12" t="s">
        <v>3075</v>
      </c>
      <c r="L3520" s="13" t="s">
        <v>3075</v>
      </c>
      <c r="M3520" s="9" t="s">
        <v>3075</v>
      </c>
    </row>
    <row r="3521" ht="15.75" customHeight="1">
      <c r="A3521" s="8"/>
      <c r="B3521" s="8"/>
      <c r="C3521" s="8"/>
      <c r="D3521" s="8">
        <v>63.217307546936</v>
      </c>
      <c r="E3521" s="9" t="s">
        <v>1012</v>
      </c>
      <c r="I3521" s="12"/>
      <c r="J3521" s="11">
        <v>0.0</v>
      </c>
      <c r="K3521" s="12" t="s">
        <v>3075</v>
      </c>
      <c r="L3521" s="13" t="s">
        <v>3075</v>
      </c>
      <c r="M3521" s="9" t="s">
        <v>3075</v>
      </c>
    </row>
    <row r="3522" ht="15.75" customHeight="1">
      <c r="A3522" s="8"/>
      <c r="B3522" s="8"/>
      <c r="C3522" s="8"/>
      <c r="D3522" s="8">
        <v>38.1941587439012</v>
      </c>
      <c r="E3522" s="9" t="s">
        <v>1017</v>
      </c>
      <c r="I3522" s="12"/>
      <c r="J3522" s="11">
        <v>0.0</v>
      </c>
      <c r="K3522" s="12" t="s">
        <v>3075</v>
      </c>
      <c r="L3522" s="13" t="s">
        <v>3075</v>
      </c>
      <c r="M3522" s="9" t="s">
        <v>3075</v>
      </c>
    </row>
    <row r="3523" ht="15.75" customHeight="1">
      <c r="A3523" s="8"/>
      <c r="B3523" s="8"/>
      <c r="C3523" s="8"/>
      <c r="D3523" s="8">
        <v>63.217307546936</v>
      </c>
      <c r="E3523" s="9" t="s">
        <v>1019</v>
      </c>
      <c r="I3523" s="12"/>
      <c r="J3523" s="11">
        <v>0.0</v>
      </c>
      <c r="K3523" s="12" t="s">
        <v>3075</v>
      </c>
      <c r="L3523" s="13" t="s">
        <v>3075</v>
      </c>
      <c r="M3523" s="9" t="s">
        <v>3075</v>
      </c>
    </row>
    <row r="3524" ht="15.75" customHeight="1">
      <c r="A3524" s="8"/>
      <c r="B3524" s="8"/>
      <c r="C3524" s="8"/>
      <c r="D3524" s="8">
        <v>63.217307546936</v>
      </c>
      <c r="E3524" s="9" t="s">
        <v>1020</v>
      </c>
      <c r="I3524" s="12"/>
      <c r="J3524" s="11">
        <v>0.0</v>
      </c>
      <c r="K3524" s="12" t="s">
        <v>3075</v>
      </c>
      <c r="L3524" s="13" t="s">
        <v>3075</v>
      </c>
      <c r="M3524" s="9" t="s">
        <v>3075</v>
      </c>
    </row>
    <row r="3525" ht="15.75" customHeight="1">
      <c r="A3525" s="8"/>
      <c r="B3525" s="8"/>
      <c r="C3525" s="8"/>
      <c r="D3525" s="8">
        <v>18.4103244926161</v>
      </c>
      <c r="E3525" s="9" t="s">
        <v>1021</v>
      </c>
      <c r="I3525" s="12"/>
      <c r="J3525" s="11">
        <v>0.0</v>
      </c>
      <c r="K3525" s="12" t="s">
        <v>3075</v>
      </c>
      <c r="L3525" s="13" t="s">
        <v>3075</v>
      </c>
      <c r="M3525" s="9" t="s">
        <v>3075</v>
      </c>
    </row>
    <row r="3526" ht="15.75" customHeight="1">
      <c r="A3526" s="8"/>
      <c r="B3526" s="8"/>
      <c r="C3526" s="8"/>
      <c r="D3526" s="8">
        <v>63.2043481383441</v>
      </c>
      <c r="E3526" s="9" t="s">
        <v>1026</v>
      </c>
      <c r="I3526" s="12"/>
      <c r="J3526" s="11">
        <v>0.0</v>
      </c>
      <c r="K3526" s="12" t="s">
        <v>3075</v>
      </c>
      <c r="L3526" s="13" t="s">
        <v>3075</v>
      </c>
      <c r="M3526" s="9" t="s">
        <v>3075</v>
      </c>
    </row>
    <row r="3527" ht="15.75" customHeight="1">
      <c r="A3527" s="8"/>
      <c r="B3527" s="8"/>
      <c r="C3527" s="8"/>
      <c r="D3527" s="8">
        <v>52.5154189549521</v>
      </c>
      <c r="E3527" s="9" t="s">
        <v>1029</v>
      </c>
      <c r="I3527" s="12"/>
      <c r="J3527" s="11">
        <v>0.0</v>
      </c>
      <c r="K3527" s="12" t="s">
        <v>3075</v>
      </c>
      <c r="L3527" s="13" t="s">
        <v>3075</v>
      </c>
      <c r="M3527" s="9" t="s">
        <v>3075</v>
      </c>
    </row>
    <row r="3528" ht="15.75" customHeight="1">
      <c r="A3528" s="8"/>
      <c r="B3528" s="8"/>
      <c r="C3528" s="8"/>
      <c r="D3528" s="8">
        <v>63.217307546936</v>
      </c>
      <c r="E3528" s="9" t="s">
        <v>1031</v>
      </c>
      <c r="I3528" s="12"/>
      <c r="J3528" s="11">
        <v>0.0</v>
      </c>
      <c r="K3528" s="12" t="s">
        <v>3075</v>
      </c>
      <c r="L3528" s="13" t="s">
        <v>3075</v>
      </c>
      <c r="M3528" s="9" t="s">
        <v>3075</v>
      </c>
    </row>
    <row r="3529" ht="15.75" customHeight="1">
      <c r="A3529" s="8"/>
      <c r="B3529" s="8"/>
      <c r="C3529" s="8"/>
      <c r="D3529" s="8">
        <v>61.9684036756591</v>
      </c>
      <c r="E3529" s="9" t="s">
        <v>3097</v>
      </c>
      <c r="I3529" s="12"/>
      <c r="J3529" s="11">
        <v>0.0</v>
      </c>
      <c r="K3529" s="12" t="s">
        <v>3075</v>
      </c>
      <c r="L3529" s="13" t="s">
        <v>3075</v>
      </c>
      <c r="M3529" s="9" t="s">
        <v>3075</v>
      </c>
    </row>
    <row r="3530" ht="15.75" customHeight="1">
      <c r="A3530" s="8"/>
      <c r="B3530" s="8"/>
      <c r="C3530" s="8"/>
      <c r="D3530" s="8">
        <v>63.217307546936</v>
      </c>
      <c r="E3530" s="9" t="s">
        <v>1033</v>
      </c>
      <c r="I3530" s="12"/>
      <c r="J3530" s="11">
        <v>0.0</v>
      </c>
      <c r="K3530" s="12" t="s">
        <v>3075</v>
      </c>
      <c r="L3530" s="13" t="s">
        <v>3075</v>
      </c>
      <c r="M3530" s="9" t="s">
        <v>3075</v>
      </c>
    </row>
    <row r="3531" ht="15.75" customHeight="1">
      <c r="A3531" s="8"/>
      <c r="B3531" s="8"/>
      <c r="C3531" s="8"/>
      <c r="D3531" s="8">
        <v>19.7152835613425</v>
      </c>
      <c r="E3531" s="9" t="s">
        <v>1034</v>
      </c>
      <c r="I3531" s="12"/>
      <c r="J3531" s="11">
        <v>0.0</v>
      </c>
      <c r="K3531" s="12" t="s">
        <v>3075</v>
      </c>
      <c r="L3531" s="13" t="s">
        <v>3075</v>
      </c>
      <c r="M3531" s="9" t="s">
        <v>3075</v>
      </c>
    </row>
    <row r="3532" ht="15.75" customHeight="1">
      <c r="A3532" s="8"/>
      <c r="B3532" s="8"/>
      <c r="C3532" s="8"/>
      <c r="D3532" s="8">
        <v>41.9247008016448</v>
      </c>
      <c r="E3532" s="9" t="s">
        <v>3098</v>
      </c>
      <c r="I3532" s="12"/>
      <c r="J3532" s="11">
        <v>0.0</v>
      </c>
      <c r="K3532" s="12" t="s">
        <v>3075</v>
      </c>
      <c r="L3532" s="13" t="s">
        <v>3075</v>
      </c>
      <c r="M3532" s="9" t="s">
        <v>3075</v>
      </c>
    </row>
    <row r="3533" ht="15.75" customHeight="1">
      <c r="A3533" s="8"/>
      <c r="B3533" s="8"/>
      <c r="C3533" s="8"/>
      <c r="D3533" s="8">
        <v>63.217307546936</v>
      </c>
      <c r="E3533" s="9" t="s">
        <v>1035</v>
      </c>
      <c r="I3533" s="12"/>
      <c r="J3533" s="11">
        <v>0.0</v>
      </c>
      <c r="K3533" s="12" t="s">
        <v>3075</v>
      </c>
      <c r="L3533" s="13" t="s">
        <v>3075</v>
      </c>
      <c r="M3533" s="9" t="s">
        <v>3075</v>
      </c>
    </row>
    <row r="3534" ht="15.75" customHeight="1">
      <c r="A3534" s="8"/>
      <c r="B3534" s="8"/>
      <c r="C3534" s="8"/>
      <c r="D3534" s="8">
        <v>63.217307546936</v>
      </c>
      <c r="E3534" s="9" t="s">
        <v>1036</v>
      </c>
      <c r="I3534" s="12"/>
      <c r="J3534" s="11">
        <v>0.0</v>
      </c>
      <c r="K3534" s="12" t="s">
        <v>3075</v>
      </c>
      <c r="L3534" s="13" t="s">
        <v>3075</v>
      </c>
      <c r="M3534" s="9" t="s">
        <v>3075</v>
      </c>
    </row>
    <row r="3535" ht="15.75" customHeight="1">
      <c r="A3535" s="8"/>
      <c r="B3535" s="8"/>
      <c r="C3535" s="8"/>
      <c r="D3535" s="8">
        <v>63.217307546936</v>
      </c>
      <c r="E3535" s="9" t="s">
        <v>1038</v>
      </c>
      <c r="I3535" s="12"/>
      <c r="J3535" s="11">
        <v>0.0</v>
      </c>
      <c r="K3535" s="12" t="s">
        <v>3075</v>
      </c>
      <c r="L3535" s="13" t="s">
        <v>3075</v>
      </c>
      <c r="M3535" s="9" t="s">
        <v>3075</v>
      </c>
    </row>
    <row r="3536" ht="15.75" customHeight="1">
      <c r="A3536" s="8"/>
      <c r="B3536" s="8"/>
      <c r="C3536" s="8"/>
      <c r="D3536" s="8">
        <v>63.217307546936</v>
      </c>
      <c r="E3536" s="9" t="s">
        <v>1040</v>
      </c>
      <c r="I3536" s="12"/>
      <c r="J3536" s="11">
        <v>0.0</v>
      </c>
      <c r="K3536" s="12" t="s">
        <v>3075</v>
      </c>
      <c r="L3536" s="13" t="s">
        <v>3075</v>
      </c>
      <c r="M3536" s="9" t="s">
        <v>3075</v>
      </c>
    </row>
    <row r="3537" ht="15.75" customHeight="1">
      <c r="A3537" s="8"/>
      <c r="B3537" s="8"/>
      <c r="C3537" s="8"/>
      <c r="D3537" s="8">
        <v>6.67831295781209</v>
      </c>
      <c r="E3537" s="9" t="s">
        <v>1042</v>
      </c>
      <c r="I3537" s="12"/>
      <c r="J3537" s="11">
        <v>0.0</v>
      </c>
      <c r="K3537" s="12" t="s">
        <v>3075</v>
      </c>
      <c r="L3537" s="13" t="s">
        <v>3075</v>
      </c>
      <c r="M3537" s="9" t="s">
        <v>3075</v>
      </c>
    </row>
    <row r="3538" ht="15.75" customHeight="1">
      <c r="A3538" s="8"/>
      <c r="B3538" s="8"/>
      <c r="C3538" s="8"/>
      <c r="D3538" s="8">
        <v>24.0835104850434</v>
      </c>
      <c r="E3538" s="9" t="s">
        <v>1043</v>
      </c>
      <c r="I3538" s="12"/>
      <c r="J3538" s="11">
        <v>0.0</v>
      </c>
      <c r="K3538" s="12" t="s">
        <v>3075</v>
      </c>
      <c r="L3538" s="13" t="s">
        <v>3075</v>
      </c>
      <c r="M3538" s="9" t="s">
        <v>3075</v>
      </c>
    </row>
    <row r="3539" ht="15.75" customHeight="1">
      <c r="A3539" s="8"/>
      <c r="B3539" s="8"/>
      <c r="C3539" s="8"/>
      <c r="D3539" s="8">
        <v>63.1868989460474</v>
      </c>
      <c r="E3539" s="9" t="s">
        <v>1044</v>
      </c>
      <c r="I3539" s="12"/>
      <c r="J3539" s="11">
        <v>0.0</v>
      </c>
      <c r="K3539" s="12" t="s">
        <v>3075</v>
      </c>
      <c r="L3539" s="13" t="s">
        <v>3075</v>
      </c>
      <c r="M3539" s="9" t="s">
        <v>3075</v>
      </c>
    </row>
    <row r="3540" ht="15.75" customHeight="1">
      <c r="A3540" s="8"/>
      <c r="B3540" s="8"/>
      <c r="C3540" s="8"/>
      <c r="D3540" s="8">
        <v>4.64749163651701</v>
      </c>
      <c r="E3540" s="9" t="s">
        <v>1048</v>
      </c>
      <c r="I3540" s="12"/>
      <c r="J3540" s="11">
        <v>0.0</v>
      </c>
      <c r="K3540" s="12" t="s">
        <v>3075</v>
      </c>
      <c r="L3540" s="13" t="s">
        <v>3075</v>
      </c>
      <c r="M3540" s="9" t="s">
        <v>3075</v>
      </c>
    </row>
    <row r="3541" ht="15.75" customHeight="1">
      <c r="A3541" s="8"/>
      <c r="B3541" s="8"/>
      <c r="C3541" s="8"/>
      <c r="D3541" s="8">
        <v>63.217307546936</v>
      </c>
      <c r="E3541" s="9" t="s">
        <v>1049</v>
      </c>
      <c r="I3541" s="12"/>
      <c r="J3541" s="11">
        <v>0.0</v>
      </c>
      <c r="K3541" s="12" t="s">
        <v>3075</v>
      </c>
      <c r="L3541" s="13" t="s">
        <v>3075</v>
      </c>
      <c r="M3541" s="9" t="s">
        <v>3075</v>
      </c>
    </row>
    <row r="3542" ht="15.75" customHeight="1">
      <c r="A3542" s="8"/>
      <c r="B3542" s="8"/>
      <c r="C3542" s="8"/>
      <c r="D3542" s="8">
        <v>59.9314554059384</v>
      </c>
      <c r="E3542" s="9" t="s">
        <v>1052</v>
      </c>
      <c r="I3542" s="12"/>
      <c r="J3542" s="11">
        <v>0.0</v>
      </c>
      <c r="K3542" s="12" t="s">
        <v>3075</v>
      </c>
      <c r="L3542" s="13" t="s">
        <v>3075</v>
      </c>
      <c r="M3542" s="9" t="s">
        <v>3075</v>
      </c>
    </row>
    <row r="3543" ht="15.75" customHeight="1">
      <c r="A3543" s="8"/>
      <c r="B3543" s="8"/>
      <c r="C3543" s="8"/>
      <c r="D3543" s="8">
        <v>63.217307546936</v>
      </c>
      <c r="E3543" s="9" t="s">
        <v>1055</v>
      </c>
      <c r="I3543" s="12"/>
      <c r="J3543" s="11">
        <v>0.0</v>
      </c>
      <c r="K3543" s="12" t="s">
        <v>3075</v>
      </c>
      <c r="L3543" s="13" t="s">
        <v>3075</v>
      </c>
      <c r="M3543" s="9" t="s">
        <v>3075</v>
      </c>
    </row>
    <row r="3544" ht="15.75" customHeight="1">
      <c r="A3544" s="8"/>
      <c r="B3544" s="8"/>
      <c r="C3544" s="8"/>
      <c r="D3544" s="8">
        <v>63.217307546936</v>
      </c>
      <c r="E3544" s="9" t="s">
        <v>1056</v>
      </c>
      <c r="I3544" s="12"/>
      <c r="J3544" s="11">
        <v>0.0</v>
      </c>
      <c r="K3544" s="12" t="s">
        <v>3075</v>
      </c>
      <c r="L3544" s="13" t="s">
        <v>3075</v>
      </c>
      <c r="M3544" s="9" t="s">
        <v>3075</v>
      </c>
    </row>
    <row r="3545" ht="15.75" customHeight="1">
      <c r="A3545" s="8"/>
      <c r="B3545" s="8"/>
      <c r="C3545" s="8"/>
      <c r="D3545" s="8">
        <v>63.217307546936</v>
      </c>
      <c r="E3545" s="9" t="s">
        <v>1063</v>
      </c>
      <c r="I3545" s="12"/>
      <c r="J3545" s="11">
        <v>0.0</v>
      </c>
      <c r="K3545" s="12" t="s">
        <v>3075</v>
      </c>
      <c r="L3545" s="13" t="s">
        <v>3075</v>
      </c>
      <c r="M3545" s="9" t="s">
        <v>3075</v>
      </c>
    </row>
    <row r="3546" ht="15.75" customHeight="1">
      <c r="A3546" s="8"/>
      <c r="B3546" s="8"/>
      <c r="C3546" s="8"/>
      <c r="D3546" s="8">
        <v>63.217307546936</v>
      </c>
      <c r="E3546" s="9" t="s">
        <v>1064</v>
      </c>
      <c r="I3546" s="12"/>
      <c r="J3546" s="11">
        <v>0.0</v>
      </c>
      <c r="K3546" s="12" t="s">
        <v>3075</v>
      </c>
      <c r="L3546" s="13" t="s">
        <v>3075</v>
      </c>
      <c r="M3546" s="9" t="s">
        <v>3075</v>
      </c>
    </row>
    <row r="3547" ht="15.75" customHeight="1">
      <c r="A3547" s="8"/>
      <c r="B3547" s="8"/>
      <c r="C3547" s="8"/>
      <c r="D3547" s="8">
        <v>12.7686557682868</v>
      </c>
      <c r="E3547" s="9" t="s">
        <v>1065</v>
      </c>
      <c r="I3547" s="12"/>
      <c r="J3547" s="11">
        <v>0.0</v>
      </c>
      <c r="K3547" s="12" t="s">
        <v>3075</v>
      </c>
      <c r="L3547" s="13" t="s">
        <v>3075</v>
      </c>
      <c r="M3547" s="9" t="s">
        <v>3075</v>
      </c>
    </row>
    <row r="3548" ht="15.75" customHeight="1">
      <c r="A3548" s="8"/>
      <c r="B3548" s="8"/>
      <c r="C3548" s="8"/>
      <c r="D3548" s="8">
        <v>63.217307546936</v>
      </c>
      <c r="E3548" s="9" t="s">
        <v>1069</v>
      </c>
      <c r="I3548" s="12"/>
      <c r="J3548" s="11">
        <v>0.0</v>
      </c>
      <c r="K3548" s="12" t="s">
        <v>3075</v>
      </c>
      <c r="L3548" s="13" t="s">
        <v>3075</v>
      </c>
      <c r="M3548" s="9" t="s">
        <v>3075</v>
      </c>
    </row>
    <row r="3549" ht="15.75" customHeight="1">
      <c r="A3549" s="8"/>
      <c r="B3549" s="8"/>
      <c r="C3549" s="8"/>
      <c r="D3549" s="8">
        <v>63.217307546936</v>
      </c>
      <c r="E3549" s="9" t="s">
        <v>1074</v>
      </c>
      <c r="I3549" s="12"/>
      <c r="J3549" s="11">
        <v>0.0</v>
      </c>
      <c r="K3549" s="12" t="s">
        <v>3075</v>
      </c>
      <c r="L3549" s="13" t="s">
        <v>3075</v>
      </c>
      <c r="M3549" s="9" t="s">
        <v>3075</v>
      </c>
    </row>
    <row r="3550" ht="15.75" customHeight="1">
      <c r="A3550" s="8"/>
      <c r="B3550" s="8"/>
      <c r="C3550" s="8"/>
      <c r="D3550" s="8">
        <v>63.217307546936</v>
      </c>
      <c r="E3550" s="9" t="s">
        <v>1080</v>
      </c>
      <c r="I3550" s="12"/>
      <c r="J3550" s="11">
        <v>0.0</v>
      </c>
      <c r="K3550" s="12" t="s">
        <v>3075</v>
      </c>
      <c r="L3550" s="13" t="s">
        <v>3075</v>
      </c>
      <c r="M3550" s="9" t="s">
        <v>3075</v>
      </c>
    </row>
    <row r="3551" ht="15.75" customHeight="1">
      <c r="A3551" s="8"/>
      <c r="B3551" s="8"/>
      <c r="C3551" s="8"/>
      <c r="D3551" s="8">
        <v>55.1937356248038</v>
      </c>
      <c r="E3551" s="9" t="s">
        <v>1088</v>
      </c>
      <c r="I3551" s="12"/>
      <c r="J3551" s="11">
        <v>0.0</v>
      </c>
      <c r="K3551" s="12" t="s">
        <v>3075</v>
      </c>
      <c r="L3551" s="13" t="s">
        <v>3075</v>
      </c>
      <c r="M3551" s="9" t="s">
        <v>3075</v>
      </c>
    </row>
    <row r="3552" ht="15.75" customHeight="1">
      <c r="A3552" s="8"/>
      <c r="B3552" s="8"/>
      <c r="C3552" s="8"/>
      <c r="D3552" s="8">
        <v>57.7233682391616</v>
      </c>
      <c r="E3552" s="9" t="s">
        <v>1089</v>
      </c>
      <c r="I3552" s="12"/>
      <c r="J3552" s="11">
        <v>0.0</v>
      </c>
      <c r="K3552" s="12" t="s">
        <v>3075</v>
      </c>
      <c r="L3552" s="13" t="s">
        <v>3075</v>
      </c>
      <c r="M3552" s="9" t="s">
        <v>3075</v>
      </c>
    </row>
    <row r="3553" ht="15.75" customHeight="1">
      <c r="A3553" s="8"/>
      <c r="B3553" s="8"/>
      <c r="C3553" s="8"/>
      <c r="D3553" s="8">
        <v>63.217307546936</v>
      </c>
      <c r="E3553" s="9" t="s">
        <v>1091</v>
      </c>
      <c r="I3553" s="12"/>
      <c r="J3553" s="11">
        <v>0.0</v>
      </c>
      <c r="K3553" s="12" t="s">
        <v>3075</v>
      </c>
      <c r="L3553" s="13" t="s">
        <v>3075</v>
      </c>
      <c r="M3553" s="9" t="s">
        <v>3075</v>
      </c>
    </row>
    <row r="3554" ht="15.75" customHeight="1">
      <c r="A3554" s="8"/>
      <c r="B3554" s="8"/>
      <c r="C3554" s="8"/>
      <c r="D3554" s="8">
        <v>55.5233267413101</v>
      </c>
      <c r="E3554" s="9" t="s">
        <v>1092</v>
      </c>
      <c r="I3554" s="12"/>
      <c r="J3554" s="11">
        <v>0.0</v>
      </c>
      <c r="K3554" s="12" t="s">
        <v>3075</v>
      </c>
      <c r="L3554" s="13" t="s">
        <v>3075</v>
      </c>
      <c r="M3554" s="9" t="s">
        <v>3075</v>
      </c>
    </row>
    <row r="3555" ht="15.75" customHeight="1">
      <c r="A3555" s="8"/>
      <c r="B3555" s="8"/>
      <c r="C3555" s="8"/>
      <c r="D3555" s="8">
        <v>63.217307546936</v>
      </c>
      <c r="E3555" s="9" t="s">
        <v>1094</v>
      </c>
      <c r="I3555" s="12"/>
      <c r="J3555" s="11">
        <v>0.0</v>
      </c>
      <c r="K3555" s="12" t="s">
        <v>3075</v>
      </c>
      <c r="L3555" s="13" t="s">
        <v>3075</v>
      </c>
      <c r="M3555" s="9" t="s">
        <v>3075</v>
      </c>
    </row>
    <row r="3556" ht="15.75" customHeight="1">
      <c r="A3556" s="8"/>
      <c r="B3556" s="8"/>
      <c r="C3556" s="8"/>
      <c r="D3556" s="8">
        <v>60.1828767846831</v>
      </c>
      <c r="E3556" s="9" t="s">
        <v>3099</v>
      </c>
      <c r="I3556" s="12"/>
      <c r="J3556" s="11">
        <v>0.0</v>
      </c>
      <c r="K3556" s="12" t="s">
        <v>3075</v>
      </c>
      <c r="L3556" s="13" t="s">
        <v>3075</v>
      </c>
      <c r="M3556" s="9" t="s">
        <v>3075</v>
      </c>
    </row>
    <row r="3557" ht="15.75" customHeight="1">
      <c r="A3557" s="8"/>
      <c r="B3557" s="8"/>
      <c r="C3557" s="8"/>
      <c r="D3557" s="8">
        <v>63.217307546936</v>
      </c>
      <c r="E3557" s="9" t="s">
        <v>1098</v>
      </c>
      <c r="I3557" s="12"/>
      <c r="J3557" s="11">
        <v>0.0</v>
      </c>
      <c r="K3557" s="12" t="s">
        <v>3075</v>
      </c>
      <c r="L3557" s="13" t="s">
        <v>3075</v>
      </c>
      <c r="M3557" s="9" t="s">
        <v>3075</v>
      </c>
    </row>
    <row r="3558" ht="15.75" customHeight="1">
      <c r="A3558" s="8"/>
      <c r="B3558" s="8"/>
      <c r="C3558" s="8"/>
      <c r="D3558" s="8">
        <v>62.6896593803795</v>
      </c>
      <c r="E3558" s="9" t="s">
        <v>1099</v>
      </c>
      <c r="I3558" s="12"/>
      <c r="J3558" s="11">
        <v>0.0</v>
      </c>
      <c r="K3558" s="12" t="s">
        <v>3075</v>
      </c>
      <c r="L3558" s="13" t="s">
        <v>3075</v>
      </c>
      <c r="M3558" s="9" t="s">
        <v>3075</v>
      </c>
    </row>
    <row r="3559" ht="15.75" customHeight="1">
      <c r="A3559" s="8"/>
      <c r="B3559" s="8"/>
      <c r="C3559" s="8"/>
      <c r="D3559" s="8">
        <v>63.217307546936</v>
      </c>
      <c r="E3559" s="9" t="s">
        <v>1101</v>
      </c>
      <c r="I3559" s="12"/>
      <c r="J3559" s="11">
        <v>0.0</v>
      </c>
      <c r="K3559" s="12" t="s">
        <v>3075</v>
      </c>
      <c r="L3559" s="13" t="s">
        <v>3075</v>
      </c>
      <c r="M3559" s="9" t="s">
        <v>3075</v>
      </c>
    </row>
    <row r="3560" ht="15.75" customHeight="1">
      <c r="A3560" s="8"/>
      <c r="B3560" s="8"/>
      <c r="C3560" s="8"/>
      <c r="D3560" s="8">
        <v>63.217307546936</v>
      </c>
      <c r="E3560" s="9" t="s">
        <v>1105</v>
      </c>
      <c r="I3560" s="12"/>
      <c r="J3560" s="11">
        <v>0.0</v>
      </c>
      <c r="K3560" s="12" t="s">
        <v>3075</v>
      </c>
      <c r="L3560" s="13" t="s">
        <v>3075</v>
      </c>
      <c r="M3560" s="9" t="s">
        <v>3075</v>
      </c>
    </row>
    <row r="3561" ht="15.75" customHeight="1">
      <c r="A3561" s="8"/>
      <c r="B3561" s="8"/>
      <c r="C3561" s="8"/>
      <c r="D3561" s="8">
        <v>63.217307546936</v>
      </c>
      <c r="E3561" s="9" t="s">
        <v>1106</v>
      </c>
      <c r="I3561" s="12"/>
      <c r="J3561" s="11">
        <v>0.0</v>
      </c>
      <c r="K3561" s="12" t="s">
        <v>3075</v>
      </c>
      <c r="L3561" s="13" t="s">
        <v>3075</v>
      </c>
      <c r="M3561" s="9" t="s">
        <v>3075</v>
      </c>
    </row>
    <row r="3562" ht="15.75" customHeight="1">
      <c r="A3562" s="8"/>
      <c r="B3562" s="8"/>
      <c r="C3562" s="8"/>
      <c r="D3562" s="8">
        <v>63.217307546936</v>
      </c>
      <c r="E3562" s="9" t="s">
        <v>1108</v>
      </c>
      <c r="I3562" s="12"/>
      <c r="J3562" s="11">
        <v>0.0</v>
      </c>
      <c r="K3562" s="12" t="s">
        <v>3075</v>
      </c>
      <c r="L3562" s="13" t="s">
        <v>3075</v>
      </c>
      <c r="M3562" s="9" t="s">
        <v>3075</v>
      </c>
    </row>
    <row r="3563" ht="15.75" customHeight="1">
      <c r="A3563" s="8"/>
      <c r="B3563" s="8"/>
      <c r="C3563" s="8"/>
      <c r="D3563" s="8">
        <v>63.217307546936</v>
      </c>
      <c r="E3563" s="9" t="s">
        <v>1111</v>
      </c>
      <c r="I3563" s="12"/>
      <c r="J3563" s="11">
        <v>0.0</v>
      </c>
      <c r="K3563" s="12" t="s">
        <v>3075</v>
      </c>
      <c r="L3563" s="13" t="s">
        <v>3075</v>
      </c>
      <c r="M3563" s="9" t="s">
        <v>3075</v>
      </c>
    </row>
    <row r="3564" ht="15.75" customHeight="1">
      <c r="A3564" s="8"/>
      <c r="B3564" s="8"/>
      <c r="C3564" s="8"/>
      <c r="D3564" s="8">
        <v>57.1063946202964</v>
      </c>
      <c r="E3564" s="9" t="s">
        <v>1114</v>
      </c>
      <c r="I3564" s="12"/>
      <c r="J3564" s="11">
        <v>0.0</v>
      </c>
      <c r="K3564" s="12" t="s">
        <v>3075</v>
      </c>
      <c r="L3564" s="13" t="s">
        <v>3075</v>
      </c>
      <c r="M3564" s="9" t="s">
        <v>3075</v>
      </c>
    </row>
    <row r="3565" ht="15.75" customHeight="1">
      <c r="A3565" s="8"/>
      <c r="B3565" s="8"/>
      <c r="C3565" s="8"/>
      <c r="D3565" s="8">
        <v>63.217307546936</v>
      </c>
      <c r="E3565" s="9" t="s">
        <v>1117</v>
      </c>
      <c r="I3565" s="12"/>
      <c r="J3565" s="11">
        <v>0.0</v>
      </c>
      <c r="K3565" s="12" t="s">
        <v>3075</v>
      </c>
      <c r="L3565" s="13" t="s">
        <v>3075</v>
      </c>
      <c r="M3565" s="9" t="s">
        <v>3075</v>
      </c>
    </row>
    <row r="3566" ht="15.75" customHeight="1">
      <c r="A3566" s="8"/>
      <c r="B3566" s="8"/>
      <c r="C3566" s="8"/>
      <c r="D3566" s="8">
        <v>63.217307546936</v>
      </c>
      <c r="E3566" s="9" t="s">
        <v>1118</v>
      </c>
      <c r="I3566" s="12"/>
      <c r="J3566" s="11">
        <v>0.0</v>
      </c>
      <c r="K3566" s="12" t="s">
        <v>3075</v>
      </c>
      <c r="L3566" s="13" t="s">
        <v>3075</v>
      </c>
      <c r="M3566" s="9" t="s">
        <v>3075</v>
      </c>
    </row>
    <row r="3567" ht="15.75" customHeight="1">
      <c r="A3567" s="8"/>
      <c r="B3567" s="8"/>
      <c r="C3567" s="8"/>
      <c r="D3567" s="8">
        <v>45.9034559979113</v>
      </c>
      <c r="E3567" s="9" t="s">
        <v>1121</v>
      </c>
      <c r="I3567" s="12"/>
      <c r="J3567" s="11">
        <v>0.0</v>
      </c>
      <c r="K3567" s="12" t="s">
        <v>3075</v>
      </c>
      <c r="L3567" s="13" t="s">
        <v>3075</v>
      </c>
      <c r="M3567" s="9" t="s">
        <v>3075</v>
      </c>
    </row>
    <row r="3568" ht="15.75" customHeight="1">
      <c r="A3568" s="8"/>
      <c r="B3568" s="8"/>
      <c r="C3568" s="8"/>
      <c r="D3568" s="8">
        <v>40.6387890604018</v>
      </c>
      <c r="E3568" s="9" t="s">
        <v>1123</v>
      </c>
      <c r="I3568" s="12"/>
      <c r="J3568" s="11">
        <v>0.0</v>
      </c>
      <c r="K3568" s="12" t="s">
        <v>3075</v>
      </c>
      <c r="L3568" s="13" t="s">
        <v>3075</v>
      </c>
      <c r="M3568" s="9" t="s">
        <v>3075</v>
      </c>
    </row>
    <row r="3569" ht="15.75" customHeight="1">
      <c r="A3569" s="8"/>
      <c r="B3569" s="8"/>
      <c r="C3569" s="8"/>
      <c r="D3569" s="8">
        <v>63.217307546936</v>
      </c>
      <c r="E3569" s="9" t="s">
        <v>1128</v>
      </c>
      <c r="I3569" s="12"/>
      <c r="J3569" s="11">
        <v>0.0</v>
      </c>
      <c r="K3569" s="12" t="s">
        <v>3075</v>
      </c>
      <c r="L3569" s="13" t="s">
        <v>3075</v>
      </c>
      <c r="M3569" s="9" t="s">
        <v>3075</v>
      </c>
    </row>
    <row r="3570" ht="15.75" customHeight="1">
      <c r="A3570" s="8"/>
      <c r="B3570" s="8"/>
      <c r="C3570" s="8"/>
      <c r="D3570" s="8">
        <v>63.217307546936</v>
      </c>
      <c r="E3570" s="9" t="s">
        <v>1135</v>
      </c>
      <c r="I3570" s="12"/>
      <c r="J3570" s="11">
        <v>0.0</v>
      </c>
      <c r="K3570" s="12" t="s">
        <v>3075</v>
      </c>
      <c r="L3570" s="13" t="s">
        <v>3075</v>
      </c>
      <c r="M3570" s="9" t="s">
        <v>3075</v>
      </c>
    </row>
    <row r="3571" ht="15.75" customHeight="1">
      <c r="A3571" s="8"/>
      <c r="B3571" s="8"/>
      <c r="C3571" s="8"/>
      <c r="D3571" s="8">
        <v>63.217307546936</v>
      </c>
      <c r="E3571" s="9" t="s">
        <v>1136</v>
      </c>
      <c r="I3571" s="12"/>
      <c r="J3571" s="11">
        <v>0.0</v>
      </c>
      <c r="K3571" s="12" t="s">
        <v>3075</v>
      </c>
      <c r="L3571" s="13" t="s">
        <v>3075</v>
      </c>
      <c r="M3571" s="9" t="s">
        <v>3075</v>
      </c>
    </row>
    <row r="3572" ht="15.75" customHeight="1">
      <c r="A3572" s="8"/>
      <c r="B3572" s="8"/>
      <c r="C3572" s="8"/>
      <c r="D3572" s="8">
        <v>63.217307546936</v>
      </c>
      <c r="E3572" s="9" t="s">
        <v>1137</v>
      </c>
      <c r="I3572" s="12"/>
      <c r="J3572" s="11">
        <v>0.0</v>
      </c>
      <c r="K3572" s="12" t="s">
        <v>3075</v>
      </c>
      <c r="L3572" s="13" t="s">
        <v>3075</v>
      </c>
      <c r="M3572" s="9" t="s">
        <v>3075</v>
      </c>
    </row>
    <row r="3573" ht="15.75" customHeight="1">
      <c r="A3573" s="8"/>
      <c r="B3573" s="8"/>
      <c r="C3573" s="8"/>
      <c r="D3573" s="8">
        <v>54.068481065017</v>
      </c>
      <c r="E3573" s="9" t="s">
        <v>1139</v>
      </c>
      <c r="I3573" s="12"/>
      <c r="J3573" s="11">
        <v>0.0</v>
      </c>
      <c r="K3573" s="12" t="s">
        <v>3075</v>
      </c>
      <c r="L3573" s="13" t="s">
        <v>3075</v>
      </c>
      <c r="M3573" s="9" t="s">
        <v>3075</v>
      </c>
    </row>
    <row r="3574" ht="15.75" customHeight="1">
      <c r="A3574" s="8"/>
      <c r="B3574" s="8"/>
      <c r="C3574" s="8"/>
      <c r="D3574" s="8">
        <v>39.0943915009871</v>
      </c>
      <c r="E3574" s="9" t="s">
        <v>1141</v>
      </c>
      <c r="I3574" s="12"/>
      <c r="J3574" s="11">
        <v>0.0</v>
      </c>
      <c r="K3574" s="12" t="s">
        <v>3075</v>
      </c>
      <c r="L3574" s="13" t="s">
        <v>3075</v>
      </c>
      <c r="M3574" s="9" t="s">
        <v>3075</v>
      </c>
    </row>
    <row r="3575" ht="15.75" customHeight="1">
      <c r="A3575" s="8"/>
      <c r="B3575" s="8"/>
      <c r="C3575" s="8"/>
      <c r="D3575" s="8">
        <v>63.217307546936</v>
      </c>
      <c r="E3575" s="9" t="s">
        <v>1148</v>
      </c>
      <c r="I3575" s="12"/>
      <c r="J3575" s="11">
        <v>0.0</v>
      </c>
      <c r="K3575" s="12" t="s">
        <v>3075</v>
      </c>
      <c r="L3575" s="13" t="s">
        <v>3075</v>
      </c>
      <c r="M3575" s="9" t="s">
        <v>3075</v>
      </c>
    </row>
    <row r="3576" ht="15.75" customHeight="1">
      <c r="A3576" s="8"/>
      <c r="B3576" s="8"/>
      <c r="C3576" s="8"/>
      <c r="D3576" s="8">
        <v>63.217307546936</v>
      </c>
      <c r="E3576" s="9" t="s">
        <v>1150</v>
      </c>
      <c r="I3576" s="12"/>
      <c r="J3576" s="11">
        <v>0.0</v>
      </c>
      <c r="K3576" s="12" t="s">
        <v>3075</v>
      </c>
      <c r="L3576" s="13" t="s">
        <v>3075</v>
      </c>
      <c r="M3576" s="9" t="s">
        <v>3075</v>
      </c>
    </row>
    <row r="3577" ht="15.75" customHeight="1">
      <c r="A3577" s="8"/>
      <c r="B3577" s="8"/>
      <c r="C3577" s="8"/>
      <c r="D3577" s="8">
        <v>63.217307546936</v>
      </c>
      <c r="E3577" s="9" t="s">
        <v>1151</v>
      </c>
      <c r="I3577" s="12"/>
      <c r="J3577" s="11">
        <v>0.0</v>
      </c>
      <c r="K3577" s="12" t="s">
        <v>3075</v>
      </c>
      <c r="L3577" s="13" t="s">
        <v>3075</v>
      </c>
      <c r="M3577" s="9" t="s">
        <v>3075</v>
      </c>
    </row>
    <row r="3578" ht="15.75" customHeight="1">
      <c r="A3578" s="8"/>
      <c r="B3578" s="8"/>
      <c r="C3578" s="8"/>
      <c r="D3578" s="8">
        <v>63.217307546936</v>
      </c>
      <c r="E3578" s="9" t="s">
        <v>1157</v>
      </c>
      <c r="I3578" s="12"/>
      <c r="J3578" s="11">
        <v>0.0</v>
      </c>
      <c r="K3578" s="12" t="s">
        <v>3075</v>
      </c>
      <c r="L3578" s="13" t="s">
        <v>3075</v>
      </c>
      <c r="M3578" s="9" t="s">
        <v>3075</v>
      </c>
    </row>
    <row r="3579" ht="15.75" customHeight="1">
      <c r="A3579" s="8"/>
      <c r="B3579" s="8"/>
      <c r="C3579" s="8"/>
      <c r="D3579" s="8">
        <v>18.2798464897123</v>
      </c>
      <c r="E3579" s="9" t="s">
        <v>1160</v>
      </c>
      <c r="I3579" s="12"/>
      <c r="J3579" s="11">
        <v>0.0</v>
      </c>
      <c r="K3579" s="12" t="s">
        <v>3075</v>
      </c>
      <c r="L3579" s="13" t="s">
        <v>3075</v>
      </c>
      <c r="M3579" s="9" t="s">
        <v>3075</v>
      </c>
    </row>
    <row r="3580" ht="15.75" customHeight="1">
      <c r="A3580" s="8"/>
      <c r="B3580" s="8"/>
      <c r="C3580" s="8"/>
      <c r="D3580" s="8">
        <v>63.217307546936</v>
      </c>
      <c r="E3580" s="9" t="s">
        <v>1161</v>
      </c>
      <c r="I3580" s="12"/>
      <c r="J3580" s="11">
        <v>0.0</v>
      </c>
      <c r="K3580" s="12" t="s">
        <v>3075</v>
      </c>
      <c r="L3580" s="13" t="s">
        <v>3075</v>
      </c>
      <c r="M3580" s="9" t="s">
        <v>3075</v>
      </c>
    </row>
    <row r="3581" ht="15.75" customHeight="1">
      <c r="A3581" s="8"/>
      <c r="B3581" s="8"/>
      <c r="C3581" s="8"/>
      <c r="D3581" s="8">
        <v>63.217307546936</v>
      </c>
      <c r="E3581" s="9" t="s">
        <v>1162</v>
      </c>
      <c r="I3581" s="12"/>
      <c r="J3581" s="11">
        <v>0.0</v>
      </c>
      <c r="K3581" s="12" t="s">
        <v>3075</v>
      </c>
      <c r="L3581" s="13" t="s">
        <v>3075</v>
      </c>
      <c r="M3581" s="9" t="s">
        <v>3075</v>
      </c>
    </row>
    <row r="3582" ht="15.75" customHeight="1">
      <c r="A3582" s="8"/>
      <c r="B3582" s="8"/>
      <c r="C3582" s="8"/>
      <c r="D3582" s="8">
        <v>62.5225316263769</v>
      </c>
      <c r="E3582" s="9" t="s">
        <v>1163</v>
      </c>
      <c r="I3582" s="12"/>
      <c r="J3582" s="11">
        <v>0.0</v>
      </c>
      <c r="K3582" s="12" t="s">
        <v>3075</v>
      </c>
      <c r="L3582" s="13" t="s">
        <v>3075</v>
      </c>
      <c r="M3582" s="9" t="s">
        <v>3075</v>
      </c>
    </row>
    <row r="3583" ht="15.75" customHeight="1">
      <c r="A3583" s="8"/>
      <c r="B3583" s="8"/>
      <c r="C3583" s="8"/>
      <c r="D3583" s="8">
        <v>63.217307546936</v>
      </c>
      <c r="E3583" s="9" t="s">
        <v>1164</v>
      </c>
      <c r="I3583" s="12"/>
      <c r="J3583" s="11">
        <v>0.0</v>
      </c>
      <c r="K3583" s="12" t="s">
        <v>3075</v>
      </c>
      <c r="L3583" s="13" t="s">
        <v>3075</v>
      </c>
      <c r="M3583" s="9" t="s">
        <v>3075</v>
      </c>
    </row>
    <row r="3584" ht="15.75" customHeight="1">
      <c r="A3584" s="8"/>
      <c r="B3584" s="8"/>
      <c r="C3584" s="8"/>
      <c r="D3584" s="8">
        <v>63.217307546936</v>
      </c>
      <c r="E3584" s="9" t="s">
        <v>1165</v>
      </c>
      <c r="I3584" s="12"/>
      <c r="J3584" s="11">
        <v>0.0</v>
      </c>
      <c r="K3584" s="12" t="s">
        <v>3075</v>
      </c>
      <c r="L3584" s="13" t="s">
        <v>3075</v>
      </c>
      <c r="M3584" s="9" t="s">
        <v>3075</v>
      </c>
    </row>
    <row r="3585" ht="15.75" customHeight="1">
      <c r="A3585" s="8"/>
      <c r="B3585" s="8"/>
      <c r="C3585" s="8"/>
      <c r="D3585" s="8">
        <v>63.217307546936</v>
      </c>
      <c r="E3585" s="9" t="s">
        <v>1166</v>
      </c>
      <c r="I3585" s="12"/>
      <c r="J3585" s="11">
        <v>0.0</v>
      </c>
      <c r="K3585" s="12" t="s">
        <v>3075</v>
      </c>
      <c r="L3585" s="13" t="s">
        <v>3075</v>
      </c>
      <c r="M3585" s="9" t="s">
        <v>3075</v>
      </c>
    </row>
    <row r="3586" ht="15.75" customHeight="1">
      <c r="A3586" s="8"/>
      <c r="B3586" s="8"/>
      <c r="C3586" s="8"/>
      <c r="D3586" s="8">
        <v>63.217307546936</v>
      </c>
      <c r="E3586" s="9" t="s">
        <v>1168</v>
      </c>
      <c r="I3586" s="12"/>
      <c r="J3586" s="11">
        <v>0.0</v>
      </c>
      <c r="K3586" s="12" t="s">
        <v>3075</v>
      </c>
      <c r="L3586" s="13" t="s">
        <v>3075</v>
      </c>
      <c r="M3586" s="9" t="s">
        <v>3075</v>
      </c>
    </row>
    <row r="3587" ht="15.75" customHeight="1">
      <c r="A3587" s="8"/>
      <c r="B3587" s="8"/>
      <c r="C3587" s="8"/>
      <c r="D3587" s="8">
        <v>63.217307546936</v>
      </c>
      <c r="E3587" s="9" t="s">
        <v>1170</v>
      </c>
      <c r="I3587" s="12"/>
      <c r="J3587" s="11">
        <v>0.0</v>
      </c>
      <c r="K3587" s="12" t="s">
        <v>3075</v>
      </c>
      <c r="L3587" s="13" t="s">
        <v>3075</v>
      </c>
      <c r="M3587" s="9" t="s">
        <v>3075</v>
      </c>
    </row>
    <row r="3588" ht="15.75" customHeight="1">
      <c r="A3588" s="8"/>
      <c r="B3588" s="8"/>
      <c r="C3588" s="8"/>
      <c r="D3588" s="8">
        <v>52.5611135347598</v>
      </c>
      <c r="E3588" s="9" t="s">
        <v>1171</v>
      </c>
      <c r="I3588" s="12"/>
      <c r="J3588" s="11">
        <v>0.0</v>
      </c>
      <c r="K3588" s="12" t="s">
        <v>3075</v>
      </c>
      <c r="L3588" s="13" t="s">
        <v>3075</v>
      </c>
      <c r="M3588" s="9" t="s">
        <v>3075</v>
      </c>
    </row>
    <row r="3589" ht="15.75" customHeight="1">
      <c r="A3589" s="8"/>
      <c r="B3589" s="8"/>
      <c r="C3589" s="8"/>
      <c r="D3589" s="8">
        <v>63.217307546936</v>
      </c>
      <c r="E3589" s="9" t="s">
        <v>1175</v>
      </c>
      <c r="I3589" s="12"/>
      <c r="J3589" s="11">
        <v>0.0</v>
      </c>
      <c r="K3589" s="12" t="s">
        <v>3075</v>
      </c>
      <c r="L3589" s="13" t="s">
        <v>3075</v>
      </c>
      <c r="M3589" s="9" t="s">
        <v>3075</v>
      </c>
    </row>
    <row r="3590" ht="15.75" customHeight="1">
      <c r="A3590" s="8"/>
      <c r="B3590" s="8"/>
      <c r="C3590" s="8"/>
      <c r="D3590" s="8">
        <v>63.217307546936</v>
      </c>
      <c r="E3590" s="9" t="s">
        <v>1177</v>
      </c>
      <c r="I3590" s="12"/>
      <c r="J3590" s="11">
        <v>0.0</v>
      </c>
      <c r="K3590" s="12" t="s">
        <v>3075</v>
      </c>
      <c r="L3590" s="13" t="s">
        <v>3075</v>
      </c>
      <c r="M3590" s="9" t="s">
        <v>3075</v>
      </c>
    </row>
    <row r="3591" ht="15.75" customHeight="1">
      <c r="A3591" s="8"/>
      <c r="B3591" s="8"/>
      <c r="C3591" s="8"/>
      <c r="D3591" s="8">
        <v>63.217307546936</v>
      </c>
      <c r="E3591" s="9" t="s">
        <v>1181</v>
      </c>
      <c r="I3591" s="12"/>
      <c r="J3591" s="11">
        <v>0.0</v>
      </c>
      <c r="K3591" s="12" t="s">
        <v>3075</v>
      </c>
      <c r="L3591" s="13" t="s">
        <v>3075</v>
      </c>
      <c r="M3591" s="9" t="s">
        <v>3075</v>
      </c>
    </row>
    <row r="3592" ht="15.75" customHeight="1">
      <c r="A3592" s="8"/>
      <c r="B3592" s="8"/>
      <c r="C3592" s="8"/>
      <c r="D3592" s="8">
        <v>45.559338781094</v>
      </c>
      <c r="E3592" s="9" t="s">
        <v>1185</v>
      </c>
      <c r="I3592" s="12"/>
      <c r="J3592" s="11">
        <v>0.0</v>
      </c>
      <c r="K3592" s="12" t="s">
        <v>3075</v>
      </c>
      <c r="L3592" s="13" t="s">
        <v>3075</v>
      </c>
      <c r="M3592" s="9" t="s">
        <v>3075</v>
      </c>
    </row>
    <row r="3593" ht="15.75" customHeight="1">
      <c r="A3593" s="8"/>
      <c r="B3593" s="8"/>
      <c r="C3593" s="8"/>
      <c r="D3593" s="8">
        <v>63.217307546936</v>
      </c>
      <c r="E3593" s="9" t="s">
        <v>1186</v>
      </c>
      <c r="I3593" s="12"/>
      <c r="J3593" s="11">
        <v>0.0</v>
      </c>
      <c r="K3593" s="12" t="s">
        <v>3075</v>
      </c>
      <c r="L3593" s="13" t="s">
        <v>3075</v>
      </c>
      <c r="M3593" s="9" t="s">
        <v>3075</v>
      </c>
    </row>
    <row r="3594" ht="15.75" customHeight="1">
      <c r="A3594" s="8"/>
      <c r="B3594" s="8"/>
      <c r="C3594" s="8"/>
      <c r="D3594" s="8">
        <v>63.217307546936</v>
      </c>
      <c r="E3594" s="9" t="s">
        <v>1188</v>
      </c>
      <c r="I3594" s="12"/>
      <c r="J3594" s="11">
        <v>0.0</v>
      </c>
      <c r="K3594" s="12" t="s">
        <v>3075</v>
      </c>
      <c r="L3594" s="13" t="s">
        <v>3075</v>
      </c>
      <c r="M3594" s="9" t="s">
        <v>3075</v>
      </c>
    </row>
    <row r="3595" ht="15.75" customHeight="1">
      <c r="A3595" s="8"/>
      <c r="B3595" s="8"/>
      <c r="C3595" s="8"/>
      <c r="D3595" s="8">
        <v>63.217307546936</v>
      </c>
      <c r="E3595" s="9" t="s">
        <v>1192</v>
      </c>
      <c r="I3595" s="12"/>
      <c r="J3595" s="11">
        <v>0.0</v>
      </c>
      <c r="K3595" s="12" t="s">
        <v>3075</v>
      </c>
      <c r="L3595" s="13" t="s">
        <v>3075</v>
      </c>
      <c r="M3595" s="9" t="s">
        <v>3075</v>
      </c>
    </row>
    <row r="3596" ht="15.75" customHeight="1">
      <c r="A3596" s="8"/>
      <c r="B3596" s="8"/>
      <c r="C3596" s="8"/>
      <c r="D3596" s="8">
        <v>63.217307546936</v>
      </c>
      <c r="E3596" s="9" t="s">
        <v>1193</v>
      </c>
      <c r="I3596" s="12"/>
      <c r="J3596" s="11">
        <v>0.0</v>
      </c>
      <c r="K3596" s="12" t="s">
        <v>3075</v>
      </c>
      <c r="L3596" s="13" t="s">
        <v>3075</v>
      </c>
      <c r="M3596" s="9" t="s">
        <v>3075</v>
      </c>
    </row>
    <row r="3597" ht="15.75" customHeight="1">
      <c r="A3597" s="8"/>
      <c r="B3597" s="8"/>
      <c r="C3597" s="8"/>
      <c r="D3597" s="8">
        <v>34.7559927068241</v>
      </c>
      <c r="E3597" s="9" t="s">
        <v>1196</v>
      </c>
      <c r="I3597" s="12"/>
      <c r="J3597" s="11">
        <v>0.0</v>
      </c>
      <c r="K3597" s="12" t="s">
        <v>3075</v>
      </c>
      <c r="L3597" s="13" t="s">
        <v>3075</v>
      </c>
      <c r="M3597" s="9" t="s">
        <v>3075</v>
      </c>
    </row>
    <row r="3598" ht="15.75" customHeight="1">
      <c r="A3598" s="8"/>
      <c r="B3598" s="8"/>
      <c r="C3598" s="8"/>
      <c r="D3598" s="8">
        <v>39.4589231850054</v>
      </c>
      <c r="E3598" s="9" t="s">
        <v>3100</v>
      </c>
      <c r="I3598" s="12"/>
      <c r="J3598" s="11">
        <v>0.0</v>
      </c>
      <c r="K3598" s="12" t="s">
        <v>3075</v>
      </c>
      <c r="L3598" s="13" t="s">
        <v>3075</v>
      </c>
      <c r="M3598" s="9" t="s">
        <v>3075</v>
      </c>
    </row>
    <row r="3599" ht="15.75" customHeight="1">
      <c r="A3599" s="8"/>
      <c r="B3599" s="8"/>
      <c r="C3599" s="8"/>
      <c r="D3599" s="8">
        <v>63.217307546936</v>
      </c>
      <c r="E3599" s="9" t="s">
        <v>3101</v>
      </c>
      <c r="I3599" s="12"/>
      <c r="J3599" s="11">
        <v>0.0</v>
      </c>
      <c r="K3599" s="12" t="s">
        <v>3075</v>
      </c>
      <c r="L3599" s="13" t="s">
        <v>3075</v>
      </c>
      <c r="M3599" s="9" t="s">
        <v>3075</v>
      </c>
    </row>
    <row r="3600" ht="15.75" customHeight="1">
      <c r="A3600" s="8"/>
      <c r="B3600" s="8"/>
      <c r="C3600" s="8"/>
      <c r="D3600" s="8">
        <v>55.2054071188006</v>
      </c>
      <c r="E3600" s="9" t="s">
        <v>3102</v>
      </c>
      <c r="I3600" s="12"/>
      <c r="J3600" s="11">
        <v>0.0</v>
      </c>
      <c r="K3600" s="12" t="s">
        <v>3075</v>
      </c>
      <c r="L3600" s="13" t="s">
        <v>3075</v>
      </c>
      <c r="M3600" s="9" t="s">
        <v>3075</v>
      </c>
    </row>
    <row r="3601" ht="15.75" customHeight="1">
      <c r="A3601" s="8"/>
      <c r="B3601" s="8"/>
      <c r="C3601" s="8"/>
      <c r="D3601" s="8">
        <v>63.217307546936</v>
      </c>
      <c r="E3601" s="9" t="s">
        <v>1203</v>
      </c>
      <c r="I3601" s="12"/>
      <c r="J3601" s="11">
        <v>0.0</v>
      </c>
      <c r="K3601" s="12" t="s">
        <v>3075</v>
      </c>
      <c r="L3601" s="13" t="s">
        <v>3075</v>
      </c>
      <c r="M3601" s="9" t="s">
        <v>3075</v>
      </c>
    </row>
    <row r="3602" ht="15.75" customHeight="1">
      <c r="A3602" s="8"/>
      <c r="B3602" s="8"/>
      <c r="C3602" s="8"/>
      <c r="D3602" s="8">
        <v>63.217307546936</v>
      </c>
      <c r="E3602" s="9" t="s">
        <v>1204</v>
      </c>
      <c r="I3602" s="12"/>
      <c r="J3602" s="11">
        <v>0.0</v>
      </c>
      <c r="K3602" s="12" t="s">
        <v>3075</v>
      </c>
      <c r="L3602" s="13" t="s">
        <v>3075</v>
      </c>
      <c r="M3602" s="9" t="s">
        <v>3075</v>
      </c>
    </row>
    <row r="3603" ht="15.75" customHeight="1">
      <c r="A3603" s="8"/>
      <c r="B3603" s="8"/>
      <c r="C3603" s="8"/>
      <c r="D3603" s="8">
        <v>60.6448345356266</v>
      </c>
      <c r="E3603" s="9" t="s">
        <v>3103</v>
      </c>
      <c r="I3603" s="12"/>
      <c r="J3603" s="11">
        <v>0.0</v>
      </c>
      <c r="K3603" s="12" t="s">
        <v>3075</v>
      </c>
      <c r="L3603" s="13" t="s">
        <v>3075</v>
      </c>
      <c r="M3603" s="9" t="s">
        <v>3075</v>
      </c>
    </row>
    <row r="3604" ht="15.75" customHeight="1">
      <c r="A3604" s="8"/>
      <c r="B3604" s="8"/>
      <c r="C3604" s="8"/>
      <c r="D3604" s="8">
        <v>63.217307546936</v>
      </c>
      <c r="E3604" s="9" t="s">
        <v>1205</v>
      </c>
      <c r="I3604" s="12"/>
      <c r="J3604" s="11">
        <v>0.0</v>
      </c>
      <c r="K3604" s="12" t="s">
        <v>3075</v>
      </c>
      <c r="L3604" s="13" t="s">
        <v>3075</v>
      </c>
      <c r="M3604" s="9" t="s">
        <v>3075</v>
      </c>
    </row>
    <row r="3605" ht="15.75" customHeight="1">
      <c r="A3605" s="8"/>
      <c r="B3605" s="8"/>
      <c r="C3605" s="8"/>
      <c r="D3605" s="8">
        <v>63.217307546936</v>
      </c>
      <c r="E3605" s="9" t="s">
        <v>1209</v>
      </c>
      <c r="I3605" s="12"/>
      <c r="J3605" s="11">
        <v>0.0</v>
      </c>
      <c r="K3605" s="12" t="s">
        <v>3075</v>
      </c>
      <c r="L3605" s="13" t="s">
        <v>3075</v>
      </c>
      <c r="M3605" s="9" t="s">
        <v>3075</v>
      </c>
    </row>
    <row r="3606" ht="15.75" customHeight="1">
      <c r="A3606" s="8"/>
      <c r="B3606" s="8"/>
      <c r="C3606" s="8"/>
      <c r="D3606" s="8">
        <v>47.1137959663416</v>
      </c>
      <c r="E3606" s="9" t="s">
        <v>1210</v>
      </c>
      <c r="I3606" s="12"/>
      <c r="J3606" s="11">
        <v>0.0</v>
      </c>
      <c r="K3606" s="12" t="s">
        <v>3075</v>
      </c>
      <c r="L3606" s="13" t="s">
        <v>3075</v>
      </c>
      <c r="M3606" s="9" t="s">
        <v>3075</v>
      </c>
    </row>
    <row r="3607" ht="15.75" customHeight="1">
      <c r="A3607" s="8"/>
      <c r="B3607" s="8"/>
      <c r="C3607" s="8"/>
      <c r="D3607" s="8">
        <v>63.217307546936</v>
      </c>
      <c r="E3607" s="9" t="s">
        <v>1212</v>
      </c>
      <c r="I3607" s="12"/>
      <c r="J3607" s="11">
        <v>0.0</v>
      </c>
      <c r="K3607" s="12" t="s">
        <v>3075</v>
      </c>
      <c r="L3607" s="13" t="s">
        <v>3075</v>
      </c>
      <c r="M3607" s="9" t="s">
        <v>3075</v>
      </c>
    </row>
    <row r="3608" ht="15.75" customHeight="1">
      <c r="A3608" s="8"/>
      <c r="B3608" s="8"/>
      <c r="C3608" s="8"/>
      <c r="D3608" s="8">
        <v>63.217307546936</v>
      </c>
      <c r="E3608" s="9" t="s">
        <v>1214</v>
      </c>
      <c r="I3608" s="12"/>
      <c r="J3608" s="11">
        <v>0.0</v>
      </c>
      <c r="K3608" s="12" t="s">
        <v>3075</v>
      </c>
      <c r="L3608" s="13" t="s">
        <v>3075</v>
      </c>
      <c r="M3608" s="9" t="s">
        <v>3075</v>
      </c>
    </row>
    <row r="3609" ht="15.75" customHeight="1">
      <c r="A3609" s="8"/>
      <c r="B3609" s="8"/>
      <c r="C3609" s="8"/>
      <c r="D3609" s="8">
        <v>63.217307546936</v>
      </c>
      <c r="E3609" s="9" t="s">
        <v>1216</v>
      </c>
      <c r="I3609" s="12"/>
      <c r="J3609" s="11">
        <v>0.0</v>
      </c>
      <c r="K3609" s="12" t="s">
        <v>3075</v>
      </c>
      <c r="L3609" s="13" t="s">
        <v>3075</v>
      </c>
      <c r="M3609" s="9" t="s">
        <v>3075</v>
      </c>
    </row>
    <row r="3610" ht="15.75" customHeight="1">
      <c r="A3610" s="8"/>
      <c r="B3610" s="8"/>
      <c r="C3610" s="8"/>
      <c r="D3610" s="8">
        <v>55.732516896395</v>
      </c>
      <c r="E3610" s="9" t="s">
        <v>1219</v>
      </c>
      <c r="I3610" s="12"/>
      <c r="J3610" s="11">
        <v>0.0</v>
      </c>
      <c r="K3610" s="12" t="s">
        <v>3075</v>
      </c>
      <c r="L3610" s="13" t="s">
        <v>3075</v>
      </c>
      <c r="M3610" s="9" t="s">
        <v>3075</v>
      </c>
    </row>
    <row r="3611" ht="15.75" customHeight="1">
      <c r="A3611" s="8"/>
      <c r="B3611" s="8"/>
      <c r="C3611" s="8"/>
      <c r="D3611" s="8">
        <v>63.217307546936</v>
      </c>
      <c r="E3611" s="9" t="s">
        <v>1222</v>
      </c>
      <c r="I3611" s="12"/>
      <c r="J3611" s="11">
        <v>0.0</v>
      </c>
      <c r="K3611" s="12" t="s">
        <v>3075</v>
      </c>
      <c r="L3611" s="13" t="s">
        <v>3075</v>
      </c>
      <c r="M3611" s="9" t="s">
        <v>3075</v>
      </c>
    </row>
    <row r="3612" ht="15.75" customHeight="1">
      <c r="A3612" s="8"/>
      <c r="B3612" s="8"/>
      <c r="C3612" s="8"/>
      <c r="D3612" s="8">
        <v>63.217307546936</v>
      </c>
      <c r="E3612" s="9" t="s">
        <v>1223</v>
      </c>
      <c r="I3612" s="12"/>
      <c r="J3612" s="11">
        <v>0.0</v>
      </c>
      <c r="K3612" s="12" t="s">
        <v>3075</v>
      </c>
      <c r="L3612" s="13" t="s">
        <v>3075</v>
      </c>
      <c r="M3612" s="9" t="s">
        <v>3075</v>
      </c>
    </row>
    <row r="3613" ht="15.75" customHeight="1">
      <c r="A3613" s="8"/>
      <c r="B3613" s="8"/>
      <c r="C3613" s="8"/>
      <c r="D3613" s="8">
        <v>45.4413232484239</v>
      </c>
      <c r="E3613" s="9" t="s">
        <v>1228</v>
      </c>
      <c r="I3613" s="12"/>
      <c r="J3613" s="11">
        <v>0.0</v>
      </c>
      <c r="K3613" s="12" t="s">
        <v>3075</v>
      </c>
      <c r="L3613" s="13" t="s">
        <v>3075</v>
      </c>
      <c r="M3613" s="9" t="s">
        <v>3075</v>
      </c>
    </row>
    <row r="3614" ht="15.75" customHeight="1">
      <c r="A3614" s="8"/>
      <c r="B3614" s="8"/>
      <c r="C3614" s="8"/>
      <c r="D3614" s="8">
        <v>63.217307546936</v>
      </c>
      <c r="E3614" s="9" t="s">
        <v>1229</v>
      </c>
      <c r="I3614" s="12"/>
      <c r="J3614" s="11">
        <v>0.0</v>
      </c>
      <c r="K3614" s="12" t="s">
        <v>3075</v>
      </c>
      <c r="L3614" s="13" t="s">
        <v>3075</v>
      </c>
      <c r="M3614" s="9" t="s">
        <v>3075</v>
      </c>
    </row>
    <row r="3615" ht="15.75" customHeight="1">
      <c r="A3615" s="8"/>
      <c r="B3615" s="8"/>
      <c r="C3615" s="8"/>
      <c r="D3615" s="8">
        <v>4.86605953391921</v>
      </c>
      <c r="E3615" s="9" t="s">
        <v>1234</v>
      </c>
      <c r="I3615" s="12"/>
      <c r="J3615" s="11">
        <v>0.0</v>
      </c>
      <c r="K3615" s="12" t="s">
        <v>3075</v>
      </c>
      <c r="L3615" s="13" t="s">
        <v>3075</v>
      </c>
      <c r="M3615" s="9" t="s">
        <v>3075</v>
      </c>
    </row>
    <row r="3616" ht="15.75" customHeight="1">
      <c r="A3616" s="8"/>
      <c r="B3616" s="8"/>
      <c r="C3616" s="8"/>
      <c r="D3616" s="8">
        <v>31.8973460081554</v>
      </c>
      <c r="E3616" s="9" t="s">
        <v>1235</v>
      </c>
      <c r="I3616" s="12"/>
      <c r="J3616" s="11">
        <v>0.0</v>
      </c>
      <c r="K3616" s="12" t="s">
        <v>3075</v>
      </c>
      <c r="L3616" s="13" t="s">
        <v>3075</v>
      </c>
      <c r="M3616" s="9" t="s">
        <v>3075</v>
      </c>
    </row>
    <row r="3617" ht="15.75" customHeight="1">
      <c r="A3617" s="8"/>
      <c r="B3617" s="8"/>
      <c r="C3617" s="8"/>
      <c r="D3617" s="8">
        <v>63.217307546936</v>
      </c>
      <c r="E3617" s="9" t="s">
        <v>1236</v>
      </c>
      <c r="I3617" s="12"/>
      <c r="J3617" s="11">
        <v>0.0</v>
      </c>
      <c r="K3617" s="12" t="s">
        <v>3075</v>
      </c>
      <c r="L3617" s="13" t="s">
        <v>3075</v>
      </c>
      <c r="M3617" s="9" t="s">
        <v>3075</v>
      </c>
    </row>
    <row r="3618" ht="15.75" customHeight="1">
      <c r="A3618" s="8"/>
      <c r="B3618" s="8"/>
      <c r="C3618" s="8"/>
      <c r="D3618" s="8">
        <v>63.217307546936</v>
      </c>
      <c r="E3618" s="9" t="s">
        <v>1240</v>
      </c>
      <c r="I3618" s="12"/>
      <c r="J3618" s="11">
        <v>0.0</v>
      </c>
      <c r="K3618" s="12" t="s">
        <v>3075</v>
      </c>
      <c r="L3618" s="13" t="s">
        <v>3075</v>
      </c>
      <c r="M3618" s="9" t="s">
        <v>3075</v>
      </c>
    </row>
    <row r="3619" ht="15.75" customHeight="1">
      <c r="A3619" s="8"/>
      <c r="B3619" s="8"/>
      <c r="C3619" s="8"/>
      <c r="D3619" s="8">
        <v>63.217307546936</v>
      </c>
      <c r="E3619" s="9" t="s">
        <v>1241</v>
      </c>
      <c r="I3619" s="12"/>
      <c r="J3619" s="11">
        <v>0.0</v>
      </c>
      <c r="K3619" s="12" t="s">
        <v>3075</v>
      </c>
      <c r="L3619" s="13" t="s">
        <v>3075</v>
      </c>
      <c r="M3619" s="9" t="s">
        <v>3075</v>
      </c>
    </row>
    <row r="3620" ht="15.75" customHeight="1">
      <c r="A3620" s="8"/>
      <c r="B3620" s="8"/>
      <c r="C3620" s="8"/>
      <c r="D3620" s="8">
        <v>33.3945822234976</v>
      </c>
      <c r="E3620" s="9" t="s">
        <v>1242</v>
      </c>
      <c r="I3620" s="12"/>
      <c r="J3620" s="11">
        <v>0.0</v>
      </c>
      <c r="K3620" s="12" t="s">
        <v>3075</v>
      </c>
      <c r="L3620" s="13" t="s">
        <v>3075</v>
      </c>
      <c r="M3620" s="9" t="s">
        <v>3075</v>
      </c>
    </row>
    <row r="3621" ht="15.75" customHeight="1">
      <c r="A3621" s="8"/>
      <c r="B3621" s="8"/>
      <c r="C3621" s="8"/>
      <c r="D3621" s="8">
        <v>63.217307546936</v>
      </c>
      <c r="E3621" s="9" t="s">
        <v>1243</v>
      </c>
      <c r="I3621" s="12"/>
      <c r="J3621" s="11">
        <v>0.0</v>
      </c>
      <c r="K3621" s="12" t="s">
        <v>3075</v>
      </c>
      <c r="L3621" s="13" t="s">
        <v>3075</v>
      </c>
      <c r="M3621" s="9" t="s">
        <v>3075</v>
      </c>
    </row>
    <row r="3622" ht="15.75" customHeight="1">
      <c r="A3622" s="8"/>
      <c r="B3622" s="8"/>
      <c r="C3622" s="8"/>
      <c r="D3622" s="8">
        <v>63.217307546936</v>
      </c>
      <c r="E3622" s="9" t="s">
        <v>1244</v>
      </c>
      <c r="I3622" s="12"/>
      <c r="J3622" s="11">
        <v>0.0</v>
      </c>
      <c r="K3622" s="12" t="s">
        <v>3075</v>
      </c>
      <c r="L3622" s="13" t="s">
        <v>3075</v>
      </c>
      <c r="M3622" s="9" t="s">
        <v>3075</v>
      </c>
    </row>
    <row r="3623" ht="15.75" customHeight="1">
      <c r="A3623" s="8"/>
      <c r="B3623" s="8"/>
      <c r="C3623" s="8"/>
      <c r="D3623" s="8">
        <v>63.217307546936</v>
      </c>
      <c r="E3623" s="9" t="s">
        <v>1246</v>
      </c>
      <c r="I3623" s="12"/>
      <c r="J3623" s="11">
        <v>0.0</v>
      </c>
      <c r="K3623" s="12" t="s">
        <v>3075</v>
      </c>
      <c r="L3623" s="13" t="s">
        <v>3075</v>
      </c>
      <c r="M3623" s="9" t="s">
        <v>3075</v>
      </c>
    </row>
    <row r="3624" ht="15.75" customHeight="1">
      <c r="A3624" s="8"/>
      <c r="B3624" s="8"/>
      <c r="C3624" s="8"/>
      <c r="D3624" s="8">
        <v>63.217307546936</v>
      </c>
      <c r="E3624" s="9" t="s">
        <v>1247</v>
      </c>
      <c r="I3624" s="12"/>
      <c r="J3624" s="11">
        <v>0.0</v>
      </c>
      <c r="K3624" s="12" t="s">
        <v>3075</v>
      </c>
      <c r="L3624" s="13" t="s">
        <v>3075</v>
      </c>
      <c r="M3624" s="9" t="s">
        <v>3075</v>
      </c>
    </row>
    <row r="3625" ht="15.75" customHeight="1">
      <c r="A3625" s="8"/>
      <c r="B3625" s="8"/>
      <c r="C3625" s="8"/>
      <c r="D3625" s="8">
        <v>63.217307546936</v>
      </c>
      <c r="E3625" s="9" t="s">
        <v>1248</v>
      </c>
      <c r="I3625" s="12"/>
      <c r="J3625" s="11">
        <v>0.0</v>
      </c>
      <c r="K3625" s="12" t="s">
        <v>3075</v>
      </c>
      <c r="L3625" s="13" t="s">
        <v>3075</v>
      </c>
      <c r="M3625" s="9" t="s">
        <v>3075</v>
      </c>
    </row>
    <row r="3626" ht="15.75" customHeight="1">
      <c r="A3626" s="8"/>
      <c r="B3626" s="8"/>
      <c r="C3626" s="8"/>
      <c r="D3626" s="8">
        <v>63.217307546936</v>
      </c>
      <c r="E3626" s="9" t="s">
        <v>1252</v>
      </c>
      <c r="I3626" s="12"/>
      <c r="J3626" s="11">
        <v>0.0</v>
      </c>
      <c r="K3626" s="12" t="s">
        <v>3075</v>
      </c>
      <c r="L3626" s="13" t="s">
        <v>3075</v>
      </c>
      <c r="M3626" s="9" t="s">
        <v>3075</v>
      </c>
    </row>
    <row r="3627" ht="15.75" customHeight="1">
      <c r="A3627" s="8"/>
      <c r="B3627" s="8"/>
      <c r="C3627" s="8"/>
      <c r="D3627" s="8">
        <v>63.217307546936</v>
      </c>
      <c r="E3627" s="9" t="s">
        <v>1253</v>
      </c>
      <c r="I3627" s="12"/>
      <c r="J3627" s="11">
        <v>0.0</v>
      </c>
      <c r="K3627" s="12" t="s">
        <v>3075</v>
      </c>
      <c r="L3627" s="13" t="s">
        <v>3075</v>
      </c>
      <c r="M3627" s="9" t="s">
        <v>3075</v>
      </c>
    </row>
    <row r="3628" ht="15.75" customHeight="1">
      <c r="A3628" s="8"/>
      <c r="B3628" s="8"/>
      <c r="C3628" s="8"/>
      <c r="D3628" s="8">
        <v>63.217307546936</v>
      </c>
      <c r="E3628" s="9" t="s">
        <v>1256</v>
      </c>
      <c r="I3628" s="12"/>
      <c r="J3628" s="11">
        <v>0.0</v>
      </c>
      <c r="K3628" s="12" t="s">
        <v>3075</v>
      </c>
      <c r="L3628" s="13" t="s">
        <v>3075</v>
      </c>
      <c r="M3628" s="9" t="s">
        <v>3075</v>
      </c>
    </row>
    <row r="3629" ht="15.75" customHeight="1">
      <c r="A3629" s="8"/>
      <c r="B3629" s="8"/>
      <c r="C3629" s="8"/>
      <c r="D3629" s="8">
        <v>62.7555897344534</v>
      </c>
      <c r="E3629" s="9" t="s">
        <v>1257</v>
      </c>
      <c r="I3629" s="12"/>
      <c r="J3629" s="11">
        <v>0.0</v>
      </c>
      <c r="K3629" s="12" t="s">
        <v>3075</v>
      </c>
      <c r="L3629" s="13" t="s">
        <v>3075</v>
      </c>
      <c r="M3629" s="9" t="s">
        <v>3075</v>
      </c>
    </row>
    <row r="3630" ht="15.75" customHeight="1">
      <c r="A3630" s="8"/>
      <c r="B3630" s="8"/>
      <c r="C3630" s="8"/>
      <c r="D3630" s="8">
        <v>63.217307546936</v>
      </c>
      <c r="E3630" s="9" t="s">
        <v>1259</v>
      </c>
      <c r="I3630" s="12"/>
      <c r="J3630" s="11">
        <v>0.0</v>
      </c>
      <c r="K3630" s="12" t="s">
        <v>3075</v>
      </c>
      <c r="L3630" s="13" t="s">
        <v>3075</v>
      </c>
      <c r="M3630" s="9" t="s">
        <v>3075</v>
      </c>
    </row>
    <row r="3631" ht="15.75" customHeight="1">
      <c r="A3631" s="8"/>
      <c r="B3631" s="8"/>
      <c r="C3631" s="8"/>
      <c r="D3631" s="8">
        <v>63.217307546936</v>
      </c>
      <c r="E3631" s="9" t="s">
        <v>1262</v>
      </c>
      <c r="I3631" s="12"/>
      <c r="J3631" s="11">
        <v>0.0</v>
      </c>
      <c r="K3631" s="12" t="s">
        <v>3075</v>
      </c>
      <c r="L3631" s="13" t="s">
        <v>3075</v>
      </c>
      <c r="M3631" s="9" t="s">
        <v>3075</v>
      </c>
    </row>
    <row r="3632" ht="15.75" customHeight="1">
      <c r="A3632" s="8"/>
      <c r="B3632" s="8"/>
      <c r="C3632" s="8"/>
      <c r="D3632" s="8">
        <v>38.9463639276686</v>
      </c>
      <c r="E3632" s="9" t="s">
        <v>3104</v>
      </c>
      <c r="I3632" s="12"/>
      <c r="J3632" s="11">
        <v>0.0</v>
      </c>
      <c r="K3632" s="12" t="s">
        <v>3075</v>
      </c>
      <c r="L3632" s="13" t="s">
        <v>3075</v>
      </c>
      <c r="M3632" s="9" t="s">
        <v>3075</v>
      </c>
    </row>
    <row r="3633" ht="15.75" customHeight="1">
      <c r="A3633" s="8"/>
      <c r="B3633" s="8"/>
      <c r="C3633" s="8"/>
      <c r="D3633" s="8">
        <v>63.217307546936</v>
      </c>
      <c r="E3633" s="9" t="s">
        <v>1266</v>
      </c>
      <c r="I3633" s="12"/>
      <c r="J3633" s="11">
        <v>0.0</v>
      </c>
      <c r="K3633" s="12" t="s">
        <v>3075</v>
      </c>
      <c r="L3633" s="13" t="s">
        <v>3075</v>
      </c>
      <c r="M3633" s="9" t="s">
        <v>3075</v>
      </c>
    </row>
    <row r="3634" ht="15.75" customHeight="1">
      <c r="A3634" s="8"/>
      <c r="B3634" s="8"/>
      <c r="C3634" s="8"/>
      <c r="D3634" s="8">
        <v>63.217307546936</v>
      </c>
      <c r="E3634" s="9" t="s">
        <v>1269</v>
      </c>
      <c r="I3634" s="12"/>
      <c r="J3634" s="11">
        <v>0.0</v>
      </c>
      <c r="K3634" s="12" t="s">
        <v>3075</v>
      </c>
      <c r="L3634" s="13" t="s">
        <v>3075</v>
      </c>
      <c r="M3634" s="9" t="s">
        <v>3075</v>
      </c>
    </row>
    <row r="3635" ht="15.75" customHeight="1">
      <c r="A3635" s="8"/>
      <c r="B3635" s="8"/>
      <c r="C3635" s="8"/>
      <c r="D3635" s="8">
        <v>63.217307546936</v>
      </c>
      <c r="E3635" s="9" t="s">
        <v>1270</v>
      </c>
      <c r="I3635" s="12"/>
      <c r="J3635" s="11">
        <v>0.0</v>
      </c>
      <c r="K3635" s="12" t="s">
        <v>3075</v>
      </c>
      <c r="L3635" s="13" t="s">
        <v>3075</v>
      </c>
      <c r="M3635" s="9" t="s">
        <v>3075</v>
      </c>
    </row>
    <row r="3636" ht="15.75" customHeight="1">
      <c r="A3636" s="8"/>
      <c r="B3636" s="8"/>
      <c r="C3636" s="8"/>
      <c r="D3636" s="8">
        <v>63.217307546936</v>
      </c>
      <c r="E3636" s="9" t="s">
        <v>1275</v>
      </c>
      <c r="I3636" s="12"/>
      <c r="J3636" s="11">
        <v>0.0</v>
      </c>
      <c r="K3636" s="12" t="s">
        <v>3075</v>
      </c>
      <c r="L3636" s="13" t="s">
        <v>3075</v>
      </c>
      <c r="M3636" s="9" t="s">
        <v>3075</v>
      </c>
    </row>
    <row r="3637" ht="15.75" customHeight="1">
      <c r="A3637" s="8"/>
      <c r="B3637" s="8"/>
      <c r="C3637" s="8"/>
      <c r="D3637" s="8">
        <v>4.74955797924141</v>
      </c>
      <c r="E3637" s="9" t="s">
        <v>1279</v>
      </c>
      <c r="I3637" s="12"/>
      <c r="J3637" s="11">
        <v>0.0</v>
      </c>
      <c r="K3637" s="12" t="s">
        <v>3075</v>
      </c>
      <c r="L3637" s="13" t="s">
        <v>3075</v>
      </c>
      <c r="M3637" s="9" t="s">
        <v>3075</v>
      </c>
    </row>
    <row r="3638" ht="15.75" customHeight="1">
      <c r="A3638" s="8"/>
      <c r="B3638" s="8"/>
      <c r="C3638" s="8"/>
      <c r="D3638" s="8">
        <v>63.217307546936</v>
      </c>
      <c r="E3638" s="9" t="s">
        <v>1280</v>
      </c>
      <c r="I3638" s="12"/>
      <c r="J3638" s="11">
        <v>0.0</v>
      </c>
      <c r="K3638" s="12" t="s">
        <v>3075</v>
      </c>
      <c r="L3638" s="13" t="s">
        <v>3075</v>
      </c>
      <c r="M3638" s="9" t="s">
        <v>3075</v>
      </c>
    </row>
    <row r="3639" ht="15.75" customHeight="1">
      <c r="A3639" s="8"/>
      <c r="B3639" s="8"/>
      <c r="C3639" s="8"/>
      <c r="D3639" s="8">
        <v>63.217307546936</v>
      </c>
      <c r="E3639" s="9" t="s">
        <v>1283</v>
      </c>
      <c r="I3639" s="12"/>
      <c r="J3639" s="11">
        <v>0.0</v>
      </c>
      <c r="K3639" s="12" t="s">
        <v>3075</v>
      </c>
      <c r="L3639" s="13" t="s">
        <v>3075</v>
      </c>
      <c r="M3639" s="9" t="s">
        <v>3075</v>
      </c>
    </row>
    <row r="3640" ht="15.75" customHeight="1">
      <c r="A3640" s="8"/>
      <c r="B3640" s="8"/>
      <c r="C3640" s="8"/>
      <c r="D3640" s="8">
        <v>25.2859896096653</v>
      </c>
      <c r="E3640" s="9" t="s">
        <v>1285</v>
      </c>
      <c r="I3640" s="12"/>
      <c r="J3640" s="11">
        <v>0.0</v>
      </c>
      <c r="K3640" s="12" t="s">
        <v>3075</v>
      </c>
      <c r="L3640" s="13" t="s">
        <v>3075</v>
      </c>
      <c r="M3640" s="9" t="s">
        <v>3075</v>
      </c>
    </row>
    <row r="3641" ht="15.75" customHeight="1">
      <c r="A3641" s="8"/>
      <c r="B3641" s="8"/>
      <c r="C3641" s="8"/>
      <c r="D3641" s="8">
        <v>63.217307546936</v>
      </c>
      <c r="E3641" s="9" t="s">
        <v>1286</v>
      </c>
      <c r="I3641" s="12"/>
      <c r="J3641" s="11">
        <v>0.0</v>
      </c>
      <c r="K3641" s="12" t="s">
        <v>3075</v>
      </c>
      <c r="L3641" s="13" t="s">
        <v>3075</v>
      </c>
      <c r="M3641" s="9" t="s">
        <v>3075</v>
      </c>
    </row>
    <row r="3642" ht="15.75" customHeight="1">
      <c r="A3642" s="8"/>
      <c r="B3642" s="8"/>
      <c r="C3642" s="8"/>
      <c r="D3642" s="8">
        <v>63.217307546936</v>
      </c>
      <c r="E3642" s="9" t="s">
        <v>1289</v>
      </c>
      <c r="I3642" s="12"/>
      <c r="J3642" s="11">
        <v>0.0</v>
      </c>
      <c r="K3642" s="12" t="s">
        <v>3075</v>
      </c>
      <c r="L3642" s="13" t="s">
        <v>3075</v>
      </c>
      <c r="M3642" s="9" t="s">
        <v>3075</v>
      </c>
    </row>
    <row r="3643" ht="15.75" customHeight="1">
      <c r="A3643" s="8"/>
      <c r="B3643" s="8"/>
      <c r="C3643" s="8"/>
      <c r="D3643" s="8">
        <v>63.217307546936</v>
      </c>
      <c r="E3643" s="9" t="s">
        <v>1290</v>
      </c>
      <c r="I3643" s="12"/>
      <c r="J3643" s="11">
        <v>0.0</v>
      </c>
      <c r="K3643" s="12" t="s">
        <v>3075</v>
      </c>
      <c r="L3643" s="13" t="s">
        <v>3075</v>
      </c>
      <c r="M3643" s="9" t="s">
        <v>3075</v>
      </c>
    </row>
    <row r="3644" ht="15.75" customHeight="1">
      <c r="A3644" s="8"/>
      <c r="B3644" s="8"/>
      <c r="C3644" s="8"/>
      <c r="D3644" s="8">
        <v>19.5951535676123</v>
      </c>
      <c r="E3644" s="9" t="s">
        <v>1292</v>
      </c>
      <c r="I3644" s="12"/>
      <c r="J3644" s="11">
        <v>0.0</v>
      </c>
      <c r="K3644" s="12" t="s">
        <v>3075</v>
      </c>
      <c r="L3644" s="13" t="s">
        <v>3075</v>
      </c>
      <c r="M3644" s="9" t="s">
        <v>3075</v>
      </c>
    </row>
    <row r="3645" ht="15.75" customHeight="1">
      <c r="A3645" s="8"/>
      <c r="B3645" s="8"/>
      <c r="C3645" s="8"/>
      <c r="D3645" s="8">
        <v>63.217307546936</v>
      </c>
      <c r="E3645" s="9" t="s">
        <v>1293</v>
      </c>
      <c r="I3645" s="12"/>
      <c r="J3645" s="11">
        <v>0.0</v>
      </c>
      <c r="K3645" s="12" t="s">
        <v>3075</v>
      </c>
      <c r="L3645" s="13" t="s">
        <v>3075</v>
      </c>
      <c r="M3645" s="9" t="s">
        <v>3075</v>
      </c>
    </row>
    <row r="3646" ht="15.75" customHeight="1">
      <c r="A3646" s="8"/>
      <c r="B3646" s="8"/>
      <c r="C3646" s="8"/>
      <c r="D3646" s="8">
        <v>63.217307546936</v>
      </c>
      <c r="E3646" s="9" t="s">
        <v>1294</v>
      </c>
      <c r="I3646" s="12"/>
      <c r="J3646" s="11">
        <v>0.0</v>
      </c>
      <c r="K3646" s="12" t="s">
        <v>3075</v>
      </c>
      <c r="L3646" s="13" t="s">
        <v>3075</v>
      </c>
      <c r="M3646" s="9" t="s">
        <v>3075</v>
      </c>
    </row>
    <row r="3647" ht="15.75" customHeight="1">
      <c r="A3647" s="8"/>
      <c r="B3647" s="8"/>
      <c r="C3647" s="8"/>
      <c r="D3647" s="8">
        <v>30.8995538763847</v>
      </c>
      <c r="E3647" s="9" t="s">
        <v>1297</v>
      </c>
      <c r="I3647" s="12"/>
      <c r="J3647" s="11">
        <v>0.0</v>
      </c>
      <c r="K3647" s="12" t="s">
        <v>3075</v>
      </c>
      <c r="L3647" s="13" t="s">
        <v>3075</v>
      </c>
      <c r="M3647" s="9" t="s">
        <v>3075</v>
      </c>
    </row>
    <row r="3648" ht="15.75" customHeight="1">
      <c r="A3648" s="8"/>
      <c r="B3648" s="8"/>
      <c r="C3648" s="8"/>
      <c r="D3648" s="8">
        <v>63.217307546936</v>
      </c>
      <c r="E3648" s="9" t="s">
        <v>1298</v>
      </c>
      <c r="I3648" s="12"/>
      <c r="J3648" s="11">
        <v>0.0</v>
      </c>
      <c r="K3648" s="12" t="s">
        <v>3075</v>
      </c>
      <c r="L3648" s="13" t="s">
        <v>3075</v>
      </c>
      <c r="M3648" s="9" t="s">
        <v>3075</v>
      </c>
    </row>
    <row r="3649" ht="15.75" customHeight="1">
      <c r="A3649" s="8"/>
      <c r="B3649" s="8"/>
      <c r="C3649" s="8"/>
      <c r="D3649" s="8">
        <v>0.56099094575964</v>
      </c>
      <c r="E3649" s="9" t="s">
        <v>1299</v>
      </c>
      <c r="I3649" s="12"/>
      <c r="J3649" s="11">
        <v>0.0</v>
      </c>
      <c r="K3649" s="12" t="s">
        <v>3075</v>
      </c>
      <c r="L3649" s="13" t="s">
        <v>3075</v>
      </c>
      <c r="M3649" s="9" t="s">
        <v>3075</v>
      </c>
    </row>
    <row r="3650" ht="15.75" customHeight="1">
      <c r="A3650" s="8"/>
      <c r="B3650" s="8"/>
      <c r="C3650" s="8"/>
      <c r="D3650" s="8">
        <v>63.217307546936</v>
      </c>
      <c r="E3650" s="9" t="s">
        <v>1300</v>
      </c>
      <c r="I3650" s="12"/>
      <c r="J3650" s="11">
        <v>0.0</v>
      </c>
      <c r="K3650" s="12" t="s">
        <v>3075</v>
      </c>
      <c r="L3650" s="13" t="s">
        <v>3075</v>
      </c>
      <c r="M3650" s="9" t="s">
        <v>3075</v>
      </c>
    </row>
    <row r="3651" ht="15.75" customHeight="1">
      <c r="A3651" s="8"/>
      <c r="B3651" s="8"/>
      <c r="C3651" s="8"/>
      <c r="D3651" s="8">
        <v>63.217307546936</v>
      </c>
      <c r="E3651" s="9" t="s">
        <v>1302</v>
      </c>
      <c r="I3651" s="12"/>
      <c r="J3651" s="11">
        <v>0.0</v>
      </c>
      <c r="K3651" s="12" t="s">
        <v>3075</v>
      </c>
      <c r="L3651" s="13" t="s">
        <v>3075</v>
      </c>
      <c r="M3651" s="9" t="s">
        <v>3075</v>
      </c>
    </row>
    <row r="3652" ht="15.75" customHeight="1">
      <c r="A3652" s="8"/>
      <c r="B3652" s="8"/>
      <c r="C3652" s="8"/>
      <c r="D3652" s="8">
        <v>30.3746602449978</v>
      </c>
      <c r="E3652" s="9" t="s">
        <v>1306</v>
      </c>
      <c r="I3652" s="12"/>
      <c r="J3652" s="11">
        <v>0.0</v>
      </c>
      <c r="K3652" s="12" t="s">
        <v>3075</v>
      </c>
      <c r="L3652" s="13" t="s">
        <v>3075</v>
      </c>
      <c r="M3652" s="9" t="s">
        <v>3075</v>
      </c>
    </row>
    <row r="3653" ht="15.75" customHeight="1">
      <c r="A3653" s="8"/>
      <c r="B3653" s="8"/>
      <c r="C3653" s="8"/>
      <c r="D3653" s="8">
        <v>24.851900929238</v>
      </c>
      <c r="E3653" s="9" t="s">
        <v>1308</v>
      </c>
      <c r="I3653" s="12"/>
      <c r="J3653" s="11">
        <v>0.0</v>
      </c>
      <c r="K3653" s="12" t="s">
        <v>3075</v>
      </c>
      <c r="L3653" s="13" t="s">
        <v>3075</v>
      </c>
      <c r="M3653" s="9" t="s">
        <v>3075</v>
      </c>
    </row>
    <row r="3654" ht="15.75" customHeight="1">
      <c r="A3654" s="8"/>
      <c r="B3654" s="8"/>
      <c r="C3654" s="8"/>
      <c r="D3654" s="8">
        <v>63.217307546936</v>
      </c>
      <c r="E3654" s="9" t="s">
        <v>3105</v>
      </c>
      <c r="I3654" s="12"/>
      <c r="J3654" s="11">
        <v>0.0</v>
      </c>
      <c r="K3654" s="12" t="s">
        <v>3075</v>
      </c>
      <c r="L3654" s="13" t="s">
        <v>3075</v>
      </c>
      <c r="M3654" s="9" t="s">
        <v>3075</v>
      </c>
    </row>
    <row r="3655" ht="15.75" customHeight="1">
      <c r="A3655" s="8"/>
      <c r="B3655" s="8"/>
      <c r="C3655" s="8"/>
      <c r="D3655" s="8">
        <v>63.217307546936</v>
      </c>
      <c r="E3655" s="9" t="s">
        <v>1310</v>
      </c>
      <c r="I3655" s="12"/>
      <c r="J3655" s="11">
        <v>0.0</v>
      </c>
      <c r="K3655" s="12" t="s">
        <v>3075</v>
      </c>
      <c r="L3655" s="13" t="s">
        <v>3075</v>
      </c>
      <c r="M3655" s="9" t="s">
        <v>3075</v>
      </c>
    </row>
    <row r="3656" ht="15.75" customHeight="1">
      <c r="A3656" s="8"/>
      <c r="B3656" s="8"/>
      <c r="C3656" s="8"/>
      <c r="D3656" s="8">
        <v>63.217307546936</v>
      </c>
      <c r="E3656" s="9" t="s">
        <v>3106</v>
      </c>
      <c r="I3656" s="12"/>
      <c r="J3656" s="11">
        <v>0.0</v>
      </c>
      <c r="K3656" s="12" t="s">
        <v>3075</v>
      </c>
      <c r="L3656" s="13" t="s">
        <v>3075</v>
      </c>
      <c r="M3656" s="9" t="s">
        <v>3075</v>
      </c>
    </row>
    <row r="3657" ht="15.75" customHeight="1">
      <c r="A3657" s="8"/>
      <c r="B3657" s="8"/>
      <c r="C3657" s="8"/>
      <c r="D3657" s="8">
        <v>63.217307546936</v>
      </c>
      <c r="E3657" s="9" t="s">
        <v>1313</v>
      </c>
      <c r="I3657" s="12"/>
      <c r="J3657" s="11">
        <v>0.0</v>
      </c>
      <c r="K3657" s="12" t="s">
        <v>3075</v>
      </c>
      <c r="L3657" s="13" t="s">
        <v>3075</v>
      </c>
      <c r="M3657" s="9" t="s">
        <v>3075</v>
      </c>
    </row>
    <row r="3658" ht="15.75" customHeight="1">
      <c r="A3658" s="8"/>
      <c r="B3658" s="8"/>
      <c r="C3658" s="8"/>
      <c r="D3658" s="8">
        <v>63.217307546936</v>
      </c>
      <c r="E3658" s="9" t="s">
        <v>1316</v>
      </c>
      <c r="I3658" s="12"/>
      <c r="J3658" s="11">
        <v>0.0</v>
      </c>
      <c r="K3658" s="12" t="s">
        <v>3075</v>
      </c>
      <c r="L3658" s="13" t="s">
        <v>3075</v>
      </c>
      <c r="M3658" s="9" t="s">
        <v>3075</v>
      </c>
    </row>
    <row r="3659" ht="15.75" customHeight="1">
      <c r="A3659" s="8"/>
      <c r="B3659" s="8"/>
      <c r="C3659" s="8"/>
      <c r="D3659" s="8">
        <v>36.5431534458093</v>
      </c>
      <c r="E3659" s="9" t="s">
        <v>1317</v>
      </c>
      <c r="I3659" s="12"/>
      <c r="J3659" s="11">
        <v>0.0</v>
      </c>
      <c r="K3659" s="12" t="s">
        <v>3075</v>
      </c>
      <c r="L3659" s="13" t="s">
        <v>3075</v>
      </c>
      <c r="M3659" s="9" t="s">
        <v>3075</v>
      </c>
    </row>
    <row r="3660" ht="15.75" customHeight="1">
      <c r="A3660" s="8"/>
      <c r="B3660" s="8"/>
      <c r="C3660" s="8"/>
      <c r="D3660" s="8">
        <v>63.217307546936</v>
      </c>
      <c r="E3660" s="9" t="s">
        <v>1318</v>
      </c>
      <c r="I3660" s="12"/>
      <c r="J3660" s="11">
        <v>0.0</v>
      </c>
      <c r="K3660" s="12" t="s">
        <v>3075</v>
      </c>
      <c r="L3660" s="13" t="s">
        <v>3075</v>
      </c>
      <c r="M3660" s="9" t="s">
        <v>3075</v>
      </c>
    </row>
    <row r="3661" ht="15.75" customHeight="1">
      <c r="A3661" s="8"/>
      <c r="B3661" s="8"/>
      <c r="C3661" s="8"/>
      <c r="D3661" s="8">
        <v>63.217307546936</v>
      </c>
      <c r="E3661" s="9" t="s">
        <v>1319</v>
      </c>
      <c r="I3661" s="12"/>
      <c r="J3661" s="11">
        <v>0.0</v>
      </c>
      <c r="K3661" s="12" t="s">
        <v>3075</v>
      </c>
      <c r="L3661" s="13" t="s">
        <v>3075</v>
      </c>
      <c r="M3661" s="9" t="s">
        <v>3075</v>
      </c>
    </row>
    <row r="3662" ht="15.75" customHeight="1">
      <c r="A3662" s="8"/>
      <c r="B3662" s="8"/>
      <c r="C3662" s="8"/>
      <c r="D3662" s="8">
        <v>63.217307546936</v>
      </c>
      <c r="E3662" s="9" t="s">
        <v>1321</v>
      </c>
      <c r="I3662" s="12"/>
      <c r="J3662" s="11">
        <v>0.0</v>
      </c>
      <c r="K3662" s="12" t="s">
        <v>3075</v>
      </c>
      <c r="L3662" s="13" t="s">
        <v>3075</v>
      </c>
      <c r="M3662" s="9" t="s">
        <v>3075</v>
      </c>
    </row>
    <row r="3663" ht="15.75" customHeight="1">
      <c r="A3663" s="8"/>
      <c r="B3663" s="8"/>
      <c r="C3663" s="8"/>
      <c r="D3663" s="8">
        <v>63.217307546936</v>
      </c>
      <c r="E3663" s="9" t="s">
        <v>3107</v>
      </c>
      <c r="I3663" s="12"/>
      <c r="J3663" s="11">
        <v>0.0</v>
      </c>
      <c r="K3663" s="12" t="s">
        <v>3075</v>
      </c>
      <c r="L3663" s="13" t="s">
        <v>3075</v>
      </c>
      <c r="M3663" s="9" t="s">
        <v>3075</v>
      </c>
    </row>
    <row r="3664" ht="15.75" customHeight="1">
      <c r="A3664" s="8"/>
      <c r="B3664" s="8"/>
      <c r="C3664" s="8"/>
      <c r="D3664" s="8">
        <v>38.2395309322023</v>
      </c>
      <c r="E3664" s="9" t="s">
        <v>3108</v>
      </c>
      <c r="I3664" s="12"/>
      <c r="J3664" s="11">
        <v>0.0</v>
      </c>
      <c r="K3664" s="12" t="s">
        <v>3075</v>
      </c>
      <c r="L3664" s="13" t="s">
        <v>3075</v>
      </c>
      <c r="M3664" s="9" t="s">
        <v>3075</v>
      </c>
    </row>
    <row r="3665" ht="15.75" customHeight="1">
      <c r="A3665" s="8"/>
      <c r="B3665" s="8"/>
      <c r="C3665" s="8"/>
      <c r="D3665" s="8">
        <v>63.217307546936</v>
      </c>
      <c r="E3665" s="9" t="s">
        <v>1326</v>
      </c>
      <c r="I3665" s="12"/>
      <c r="J3665" s="11">
        <v>0.0</v>
      </c>
      <c r="K3665" s="12" t="s">
        <v>3075</v>
      </c>
      <c r="L3665" s="13" t="s">
        <v>3075</v>
      </c>
      <c r="M3665" s="9" t="s">
        <v>3075</v>
      </c>
    </row>
    <row r="3666" ht="15.75" customHeight="1">
      <c r="A3666" s="8"/>
      <c r="B3666" s="8"/>
      <c r="C3666" s="8"/>
      <c r="D3666" s="8">
        <v>63.217307546936</v>
      </c>
      <c r="E3666" s="9" t="s">
        <v>1327</v>
      </c>
      <c r="I3666" s="12"/>
      <c r="J3666" s="11">
        <v>0.0</v>
      </c>
      <c r="K3666" s="12" t="s">
        <v>3075</v>
      </c>
      <c r="L3666" s="13" t="s">
        <v>3075</v>
      </c>
      <c r="M3666" s="9" t="s">
        <v>3075</v>
      </c>
    </row>
    <row r="3667" ht="15.75" customHeight="1">
      <c r="A3667" s="8"/>
      <c r="B3667" s="8"/>
      <c r="C3667" s="8"/>
      <c r="D3667" s="8">
        <v>63.217307546936</v>
      </c>
      <c r="E3667" s="9" t="s">
        <v>1328</v>
      </c>
      <c r="I3667" s="12"/>
      <c r="J3667" s="11">
        <v>0.0</v>
      </c>
      <c r="K3667" s="12" t="s">
        <v>3075</v>
      </c>
      <c r="L3667" s="13" t="s">
        <v>3075</v>
      </c>
      <c r="M3667" s="9" t="s">
        <v>3075</v>
      </c>
    </row>
    <row r="3668" ht="15.75" customHeight="1">
      <c r="A3668" s="8"/>
      <c r="B3668" s="8"/>
      <c r="C3668" s="8"/>
      <c r="D3668" s="8">
        <v>63.217307546936</v>
      </c>
      <c r="E3668" s="9" t="s">
        <v>1334</v>
      </c>
      <c r="I3668" s="12"/>
      <c r="J3668" s="11">
        <v>0.0</v>
      </c>
      <c r="K3668" s="12" t="s">
        <v>3075</v>
      </c>
      <c r="L3668" s="13" t="s">
        <v>3075</v>
      </c>
      <c r="M3668" s="9" t="s">
        <v>3075</v>
      </c>
    </row>
    <row r="3669" ht="15.75" customHeight="1">
      <c r="A3669" s="8"/>
      <c r="B3669" s="8"/>
      <c r="C3669" s="8"/>
      <c r="D3669" s="8">
        <v>63.217307546936</v>
      </c>
      <c r="E3669" s="9" t="s">
        <v>1335</v>
      </c>
      <c r="I3669" s="12"/>
      <c r="J3669" s="11">
        <v>0.0</v>
      </c>
      <c r="K3669" s="12" t="s">
        <v>3075</v>
      </c>
      <c r="L3669" s="13" t="s">
        <v>3075</v>
      </c>
      <c r="M3669" s="9" t="s">
        <v>3075</v>
      </c>
    </row>
    <row r="3670" ht="15.75" customHeight="1">
      <c r="A3670" s="8"/>
      <c r="B3670" s="8"/>
      <c r="C3670" s="8"/>
      <c r="D3670" s="8">
        <v>62.896018321892</v>
      </c>
      <c r="E3670" s="9" t="s">
        <v>1336</v>
      </c>
      <c r="I3670" s="12"/>
      <c r="J3670" s="11">
        <v>0.0</v>
      </c>
      <c r="K3670" s="12" t="s">
        <v>3075</v>
      </c>
      <c r="L3670" s="13" t="s">
        <v>3075</v>
      </c>
      <c r="M3670" s="9" t="s">
        <v>3075</v>
      </c>
    </row>
    <row r="3671" ht="15.75" customHeight="1">
      <c r="A3671" s="8"/>
      <c r="B3671" s="8"/>
      <c r="C3671" s="8"/>
      <c r="D3671" s="8">
        <v>63.217307546936</v>
      </c>
      <c r="E3671" s="9" t="s">
        <v>1337</v>
      </c>
      <c r="I3671" s="12"/>
      <c r="J3671" s="11">
        <v>0.0</v>
      </c>
      <c r="K3671" s="12" t="s">
        <v>3075</v>
      </c>
      <c r="L3671" s="13" t="s">
        <v>3075</v>
      </c>
      <c r="M3671" s="9" t="s">
        <v>3075</v>
      </c>
    </row>
    <row r="3672" ht="15.75" customHeight="1">
      <c r="A3672" s="8"/>
      <c r="B3672" s="8"/>
      <c r="C3672" s="8"/>
      <c r="D3672" s="8">
        <v>63.217307546936</v>
      </c>
      <c r="E3672" s="9" t="s">
        <v>1342</v>
      </c>
      <c r="I3672" s="12"/>
      <c r="J3672" s="11">
        <v>0.0</v>
      </c>
      <c r="K3672" s="12" t="s">
        <v>3075</v>
      </c>
      <c r="L3672" s="13" t="s">
        <v>3075</v>
      </c>
      <c r="M3672" s="9" t="s">
        <v>3075</v>
      </c>
    </row>
    <row r="3673" ht="15.75" customHeight="1">
      <c r="A3673" s="8"/>
      <c r="B3673" s="8"/>
      <c r="C3673" s="8"/>
      <c r="D3673" s="8">
        <v>63.217307546936</v>
      </c>
      <c r="E3673" s="9" t="s">
        <v>1344</v>
      </c>
      <c r="I3673" s="12"/>
      <c r="J3673" s="11">
        <v>0.0</v>
      </c>
      <c r="K3673" s="12" t="s">
        <v>3075</v>
      </c>
      <c r="L3673" s="13" t="s">
        <v>3075</v>
      </c>
      <c r="M3673" s="9" t="s">
        <v>3075</v>
      </c>
    </row>
    <row r="3674" ht="15.75" customHeight="1">
      <c r="A3674" s="8"/>
      <c r="B3674" s="8"/>
      <c r="C3674" s="8"/>
      <c r="D3674" s="8">
        <v>63.217307546936</v>
      </c>
      <c r="E3674" s="9" t="s">
        <v>1346</v>
      </c>
      <c r="I3674" s="12"/>
      <c r="J3674" s="11">
        <v>0.0</v>
      </c>
      <c r="K3674" s="12" t="s">
        <v>3075</v>
      </c>
      <c r="L3674" s="13" t="s">
        <v>3075</v>
      </c>
      <c r="M3674" s="9" t="s">
        <v>3075</v>
      </c>
    </row>
    <row r="3675" ht="15.75" customHeight="1">
      <c r="A3675" s="8"/>
      <c r="B3675" s="8"/>
      <c r="C3675" s="8"/>
      <c r="D3675" s="8">
        <v>63.217307546936</v>
      </c>
      <c r="E3675" s="9" t="s">
        <v>1347</v>
      </c>
      <c r="I3675" s="12"/>
      <c r="J3675" s="11">
        <v>0.0</v>
      </c>
      <c r="K3675" s="12" t="s">
        <v>3075</v>
      </c>
      <c r="L3675" s="13" t="s">
        <v>3075</v>
      </c>
      <c r="M3675" s="9" t="s">
        <v>3075</v>
      </c>
    </row>
    <row r="3676" ht="15.75" customHeight="1">
      <c r="A3676" s="8"/>
      <c r="B3676" s="8"/>
      <c r="C3676" s="8"/>
      <c r="D3676" s="8">
        <v>63.217307546936</v>
      </c>
      <c r="E3676" s="9" t="s">
        <v>3109</v>
      </c>
      <c r="I3676" s="12"/>
      <c r="J3676" s="11">
        <v>0.0</v>
      </c>
      <c r="K3676" s="12" t="s">
        <v>3075</v>
      </c>
      <c r="L3676" s="13" t="s">
        <v>3075</v>
      </c>
      <c r="M3676" s="9" t="s">
        <v>3075</v>
      </c>
    </row>
    <row r="3677" ht="15.75" customHeight="1">
      <c r="A3677" s="8"/>
      <c r="B3677" s="8"/>
      <c r="C3677" s="8"/>
      <c r="D3677" s="8">
        <v>63.217307546936</v>
      </c>
      <c r="E3677" s="9" t="s">
        <v>1352</v>
      </c>
      <c r="I3677" s="12"/>
      <c r="J3677" s="11">
        <v>0.0</v>
      </c>
      <c r="K3677" s="12" t="s">
        <v>3075</v>
      </c>
      <c r="L3677" s="13" t="s">
        <v>3075</v>
      </c>
      <c r="M3677" s="9" t="s">
        <v>3075</v>
      </c>
    </row>
    <row r="3678" ht="15.75" customHeight="1">
      <c r="A3678" s="8"/>
      <c r="B3678" s="8"/>
      <c r="C3678" s="8"/>
      <c r="D3678" s="8">
        <v>63.217307546936</v>
      </c>
      <c r="E3678" s="9" t="s">
        <v>1353</v>
      </c>
      <c r="I3678" s="12"/>
      <c r="J3678" s="11">
        <v>0.0</v>
      </c>
      <c r="K3678" s="12" t="s">
        <v>3075</v>
      </c>
      <c r="L3678" s="13" t="s">
        <v>3075</v>
      </c>
      <c r="M3678" s="9" t="s">
        <v>3075</v>
      </c>
    </row>
    <row r="3679" ht="15.75" customHeight="1">
      <c r="A3679" s="8"/>
      <c r="B3679" s="8"/>
      <c r="C3679" s="8"/>
      <c r="D3679" s="8">
        <v>63.217307546936</v>
      </c>
      <c r="E3679" s="9" t="s">
        <v>1356</v>
      </c>
      <c r="I3679" s="12"/>
      <c r="J3679" s="11">
        <v>0.0</v>
      </c>
      <c r="K3679" s="12" t="s">
        <v>3075</v>
      </c>
      <c r="L3679" s="13" t="s">
        <v>3075</v>
      </c>
      <c r="M3679" s="9" t="s">
        <v>3075</v>
      </c>
    </row>
    <row r="3680" ht="15.75" customHeight="1">
      <c r="A3680" s="8"/>
      <c r="B3680" s="8"/>
      <c r="C3680" s="8"/>
      <c r="D3680" s="8">
        <v>52.1745082646372</v>
      </c>
      <c r="E3680" s="9" t="s">
        <v>3110</v>
      </c>
      <c r="I3680" s="12"/>
      <c r="J3680" s="11">
        <v>0.0</v>
      </c>
      <c r="K3680" s="12" t="s">
        <v>3075</v>
      </c>
      <c r="L3680" s="13" t="s">
        <v>3075</v>
      </c>
      <c r="M3680" s="9" t="s">
        <v>3075</v>
      </c>
    </row>
    <row r="3681" ht="15.75" customHeight="1">
      <c r="A3681" s="8"/>
      <c r="B3681" s="8"/>
      <c r="C3681" s="8"/>
      <c r="D3681" s="8">
        <v>56.4936396675281</v>
      </c>
      <c r="E3681" s="9" t="s">
        <v>1360</v>
      </c>
      <c r="I3681" s="12"/>
      <c r="J3681" s="11">
        <v>0.0</v>
      </c>
      <c r="K3681" s="12" t="s">
        <v>3075</v>
      </c>
      <c r="L3681" s="13" t="s">
        <v>3075</v>
      </c>
      <c r="M3681" s="9" t="s">
        <v>3075</v>
      </c>
    </row>
    <row r="3682" ht="15.75" customHeight="1">
      <c r="A3682" s="8"/>
      <c r="B3682" s="8"/>
      <c r="C3682" s="8"/>
      <c r="D3682" s="8">
        <v>51.1444430041412</v>
      </c>
      <c r="E3682" s="9" t="s">
        <v>1362</v>
      </c>
      <c r="I3682" s="12"/>
      <c r="J3682" s="11">
        <v>0.0</v>
      </c>
      <c r="K3682" s="12" t="s">
        <v>3075</v>
      </c>
      <c r="L3682" s="13" t="s">
        <v>3075</v>
      </c>
      <c r="M3682" s="9" t="s">
        <v>3075</v>
      </c>
    </row>
    <row r="3683" ht="15.75" customHeight="1">
      <c r="A3683" s="8"/>
      <c r="B3683" s="8"/>
      <c r="C3683" s="8"/>
      <c r="D3683" s="8">
        <v>63.217307546936</v>
      </c>
      <c r="E3683" s="9" t="s">
        <v>1363</v>
      </c>
      <c r="I3683" s="12"/>
      <c r="J3683" s="11">
        <v>0.0</v>
      </c>
      <c r="K3683" s="12" t="s">
        <v>3075</v>
      </c>
      <c r="L3683" s="13" t="s">
        <v>3075</v>
      </c>
      <c r="M3683" s="9" t="s">
        <v>3075</v>
      </c>
    </row>
    <row r="3684" ht="15.75" customHeight="1">
      <c r="A3684" s="8"/>
      <c r="B3684" s="8"/>
      <c r="C3684" s="8"/>
      <c r="D3684" s="8">
        <v>63.217307546936</v>
      </c>
      <c r="E3684" s="9" t="s">
        <v>1364</v>
      </c>
      <c r="I3684" s="12"/>
      <c r="J3684" s="11">
        <v>0.0</v>
      </c>
      <c r="K3684" s="12" t="s">
        <v>3075</v>
      </c>
      <c r="L3684" s="13" t="s">
        <v>3075</v>
      </c>
      <c r="M3684" s="9" t="s">
        <v>3075</v>
      </c>
    </row>
    <row r="3685" ht="15.75" customHeight="1">
      <c r="A3685" s="8"/>
      <c r="B3685" s="8"/>
      <c r="C3685" s="8"/>
      <c r="D3685" s="8">
        <v>63.217307546936</v>
      </c>
      <c r="E3685" s="9" t="s">
        <v>3111</v>
      </c>
      <c r="I3685" s="12"/>
      <c r="J3685" s="11">
        <v>0.0</v>
      </c>
      <c r="K3685" s="12" t="s">
        <v>3075</v>
      </c>
      <c r="L3685" s="13" t="s">
        <v>3075</v>
      </c>
      <c r="M3685" s="9" t="s">
        <v>3075</v>
      </c>
    </row>
    <row r="3686" ht="15.75" customHeight="1">
      <c r="A3686" s="8"/>
      <c r="B3686" s="8"/>
      <c r="C3686" s="8"/>
      <c r="D3686" s="8">
        <v>63.217307546936</v>
      </c>
      <c r="E3686" s="9" t="s">
        <v>1366</v>
      </c>
      <c r="I3686" s="12"/>
      <c r="J3686" s="11">
        <v>0.0</v>
      </c>
      <c r="K3686" s="12" t="s">
        <v>3075</v>
      </c>
      <c r="L3686" s="13" t="s">
        <v>3075</v>
      </c>
      <c r="M3686" s="9" t="s">
        <v>3075</v>
      </c>
    </row>
    <row r="3687" ht="15.75" customHeight="1">
      <c r="A3687" s="8"/>
      <c r="B3687" s="8"/>
      <c r="C3687" s="8"/>
      <c r="D3687" s="8">
        <v>10.4286780591148</v>
      </c>
      <c r="E3687" s="9" t="s">
        <v>1369</v>
      </c>
      <c r="I3687" s="12"/>
      <c r="J3687" s="11">
        <v>0.0</v>
      </c>
      <c r="K3687" s="12" t="s">
        <v>3075</v>
      </c>
      <c r="L3687" s="13" t="s">
        <v>3075</v>
      </c>
      <c r="M3687" s="9" t="s">
        <v>3075</v>
      </c>
    </row>
    <row r="3688" ht="15.75" customHeight="1">
      <c r="A3688" s="8"/>
      <c r="B3688" s="8"/>
      <c r="C3688" s="8"/>
      <c r="D3688" s="8">
        <v>56.5249218279307</v>
      </c>
      <c r="E3688" s="9" t="s">
        <v>3112</v>
      </c>
      <c r="I3688" s="12"/>
      <c r="J3688" s="11">
        <v>0.0</v>
      </c>
      <c r="K3688" s="12" t="s">
        <v>3075</v>
      </c>
      <c r="L3688" s="13" t="s">
        <v>3075</v>
      </c>
      <c r="M3688" s="9" t="s">
        <v>3075</v>
      </c>
    </row>
    <row r="3689" ht="15.75" customHeight="1">
      <c r="A3689" s="8"/>
      <c r="B3689" s="8"/>
      <c r="C3689" s="8"/>
      <c r="D3689" s="8">
        <v>63.217307546936</v>
      </c>
      <c r="E3689" s="9" t="s">
        <v>1374</v>
      </c>
      <c r="I3689" s="12"/>
      <c r="J3689" s="11">
        <v>0.0</v>
      </c>
      <c r="K3689" s="12" t="s">
        <v>3075</v>
      </c>
      <c r="L3689" s="13" t="s">
        <v>3075</v>
      </c>
      <c r="M3689" s="9" t="s">
        <v>3075</v>
      </c>
    </row>
    <row r="3690" ht="15.75" customHeight="1">
      <c r="A3690" s="8"/>
      <c r="B3690" s="8"/>
      <c r="C3690" s="8"/>
      <c r="D3690" s="8">
        <v>63.217307546936</v>
      </c>
      <c r="E3690" s="9" t="s">
        <v>1375</v>
      </c>
      <c r="I3690" s="12"/>
      <c r="J3690" s="11">
        <v>0.0</v>
      </c>
      <c r="K3690" s="12" t="s">
        <v>3075</v>
      </c>
      <c r="L3690" s="13" t="s">
        <v>3075</v>
      </c>
      <c r="M3690" s="9" t="s">
        <v>3075</v>
      </c>
    </row>
    <row r="3691" ht="15.75" customHeight="1">
      <c r="A3691" s="8"/>
      <c r="B3691" s="8"/>
      <c r="C3691" s="8"/>
      <c r="D3691" s="8">
        <v>63.217307546936</v>
      </c>
      <c r="E3691" s="9" t="s">
        <v>1379</v>
      </c>
      <c r="I3691" s="12"/>
      <c r="J3691" s="11">
        <v>0.0</v>
      </c>
      <c r="K3691" s="12" t="s">
        <v>3075</v>
      </c>
      <c r="L3691" s="13" t="s">
        <v>3075</v>
      </c>
      <c r="M3691" s="9" t="s">
        <v>3075</v>
      </c>
    </row>
    <row r="3692" ht="15.75" customHeight="1">
      <c r="A3692" s="8"/>
      <c r="B3692" s="8"/>
      <c r="C3692" s="8"/>
      <c r="D3692" s="8">
        <v>63.217307546936</v>
      </c>
      <c r="E3692" s="9" t="s">
        <v>1381</v>
      </c>
      <c r="I3692" s="12"/>
      <c r="J3692" s="11">
        <v>0.0</v>
      </c>
      <c r="K3692" s="12" t="s">
        <v>3075</v>
      </c>
      <c r="L3692" s="13" t="s">
        <v>3075</v>
      </c>
      <c r="M3692" s="9" t="s">
        <v>3075</v>
      </c>
    </row>
    <row r="3693" ht="15.75" customHeight="1">
      <c r="A3693" s="8"/>
      <c r="B3693" s="8"/>
      <c r="C3693" s="8"/>
      <c r="D3693" s="8">
        <v>61.5903844299067</v>
      </c>
      <c r="E3693" s="9" t="s">
        <v>1385</v>
      </c>
      <c r="I3693" s="12"/>
      <c r="J3693" s="11">
        <v>0.0</v>
      </c>
      <c r="K3693" s="12" t="s">
        <v>3075</v>
      </c>
      <c r="L3693" s="13" t="s">
        <v>3075</v>
      </c>
      <c r="M3693" s="9" t="s">
        <v>3075</v>
      </c>
    </row>
    <row r="3694" ht="15.75" customHeight="1">
      <c r="A3694" s="8"/>
      <c r="B3694" s="8"/>
      <c r="C3694" s="8"/>
      <c r="D3694" s="8">
        <v>47.2010535846815</v>
      </c>
      <c r="E3694" s="9" t="s">
        <v>1386</v>
      </c>
      <c r="I3694" s="12"/>
      <c r="J3694" s="11">
        <v>0.0</v>
      </c>
      <c r="K3694" s="12" t="s">
        <v>3075</v>
      </c>
      <c r="L3694" s="13" t="s">
        <v>3075</v>
      </c>
      <c r="M3694" s="9" t="s">
        <v>3075</v>
      </c>
    </row>
    <row r="3695" ht="15.75" customHeight="1">
      <c r="A3695" s="8"/>
      <c r="B3695" s="8"/>
      <c r="C3695" s="8"/>
      <c r="D3695" s="8">
        <v>63.217307546936</v>
      </c>
      <c r="E3695" s="9" t="s">
        <v>1389</v>
      </c>
      <c r="I3695" s="12"/>
      <c r="J3695" s="11">
        <v>0.0</v>
      </c>
      <c r="K3695" s="12" t="s">
        <v>3075</v>
      </c>
      <c r="L3695" s="13" t="s">
        <v>3075</v>
      </c>
      <c r="M3695" s="9" t="s">
        <v>3075</v>
      </c>
    </row>
    <row r="3696" ht="15.75" customHeight="1">
      <c r="A3696" s="8"/>
      <c r="B3696" s="8"/>
      <c r="C3696" s="8"/>
      <c r="D3696" s="8">
        <v>61.482134664424</v>
      </c>
      <c r="E3696" s="9" t="s">
        <v>3113</v>
      </c>
      <c r="I3696" s="12"/>
      <c r="J3696" s="11">
        <v>0.0</v>
      </c>
      <c r="K3696" s="12" t="s">
        <v>3075</v>
      </c>
      <c r="L3696" s="13" t="s">
        <v>3075</v>
      </c>
      <c r="M3696" s="9" t="s">
        <v>3075</v>
      </c>
    </row>
    <row r="3697" ht="15.75" customHeight="1">
      <c r="A3697" s="8"/>
      <c r="B3697" s="8"/>
      <c r="C3697" s="8"/>
      <c r="D3697" s="8">
        <v>63.217307546936</v>
      </c>
      <c r="E3697" s="9" t="s">
        <v>1390</v>
      </c>
      <c r="I3697" s="12"/>
      <c r="J3697" s="11">
        <v>0.0</v>
      </c>
      <c r="K3697" s="12" t="s">
        <v>3075</v>
      </c>
      <c r="L3697" s="13" t="s">
        <v>3075</v>
      </c>
      <c r="M3697" s="9" t="s">
        <v>3075</v>
      </c>
    </row>
    <row r="3698" ht="15.75" customHeight="1">
      <c r="A3698" s="8"/>
      <c r="B3698" s="8"/>
      <c r="C3698" s="8"/>
      <c r="D3698" s="8">
        <v>63.217307546936</v>
      </c>
      <c r="E3698" s="9" t="s">
        <v>1392</v>
      </c>
      <c r="I3698" s="12"/>
      <c r="J3698" s="11">
        <v>0.0</v>
      </c>
      <c r="K3698" s="12" t="s">
        <v>3075</v>
      </c>
      <c r="L3698" s="13" t="s">
        <v>3075</v>
      </c>
      <c r="M3698" s="9" t="s">
        <v>3075</v>
      </c>
    </row>
    <row r="3699" ht="15.75" customHeight="1">
      <c r="A3699" s="8"/>
      <c r="B3699" s="8"/>
      <c r="C3699" s="8"/>
      <c r="D3699" s="8">
        <v>63.217307546936</v>
      </c>
      <c r="E3699" s="9" t="s">
        <v>1393</v>
      </c>
      <c r="I3699" s="12"/>
      <c r="J3699" s="11">
        <v>0.0</v>
      </c>
      <c r="K3699" s="12" t="s">
        <v>3075</v>
      </c>
      <c r="L3699" s="13" t="s">
        <v>3075</v>
      </c>
      <c r="M3699" s="9" t="s">
        <v>3075</v>
      </c>
    </row>
    <row r="3700" ht="15.75" customHeight="1">
      <c r="A3700" s="8"/>
      <c r="B3700" s="8"/>
      <c r="C3700" s="8"/>
      <c r="D3700" s="8">
        <v>63.217307546936</v>
      </c>
      <c r="E3700" s="9" t="s">
        <v>1394</v>
      </c>
      <c r="I3700" s="12"/>
      <c r="J3700" s="11">
        <v>0.0</v>
      </c>
      <c r="K3700" s="12" t="s">
        <v>3075</v>
      </c>
      <c r="L3700" s="13" t="s">
        <v>3075</v>
      </c>
      <c r="M3700" s="9" t="s">
        <v>3075</v>
      </c>
    </row>
    <row r="3701" ht="15.75" customHeight="1">
      <c r="A3701" s="8"/>
      <c r="B3701" s="8"/>
      <c r="C3701" s="8"/>
      <c r="D3701" s="8">
        <v>25.2869230187744</v>
      </c>
      <c r="E3701" s="9" t="s">
        <v>1396</v>
      </c>
      <c r="I3701" s="12"/>
      <c r="J3701" s="11">
        <v>0.0</v>
      </c>
      <c r="K3701" s="12" t="s">
        <v>3075</v>
      </c>
      <c r="L3701" s="13" t="s">
        <v>3075</v>
      </c>
      <c r="M3701" s="9" t="s">
        <v>3075</v>
      </c>
    </row>
    <row r="3702" ht="15.75" customHeight="1">
      <c r="A3702" s="8"/>
      <c r="B3702" s="8"/>
      <c r="C3702" s="8"/>
      <c r="D3702" s="8">
        <v>63.217307546936</v>
      </c>
      <c r="E3702" s="9" t="s">
        <v>1399</v>
      </c>
      <c r="I3702" s="12"/>
      <c r="J3702" s="11">
        <v>0.0</v>
      </c>
      <c r="K3702" s="12" t="s">
        <v>3075</v>
      </c>
      <c r="L3702" s="13" t="s">
        <v>3075</v>
      </c>
      <c r="M3702" s="9" t="s">
        <v>3075</v>
      </c>
    </row>
    <row r="3703" ht="15.75" customHeight="1">
      <c r="A3703" s="8"/>
      <c r="B3703" s="8"/>
      <c r="C3703" s="8"/>
      <c r="D3703" s="8">
        <v>63.217307546936</v>
      </c>
      <c r="E3703" s="9" t="s">
        <v>1400</v>
      </c>
      <c r="I3703" s="12"/>
      <c r="J3703" s="11">
        <v>0.0</v>
      </c>
      <c r="K3703" s="12" t="s">
        <v>3075</v>
      </c>
      <c r="L3703" s="13" t="s">
        <v>3075</v>
      </c>
      <c r="M3703" s="9" t="s">
        <v>3075</v>
      </c>
    </row>
    <row r="3704" ht="15.75" customHeight="1">
      <c r="A3704" s="8"/>
      <c r="B3704" s="8"/>
      <c r="C3704" s="8"/>
      <c r="D3704" s="8">
        <v>23.2487742872301</v>
      </c>
      <c r="E3704" s="9" t="s">
        <v>1403</v>
      </c>
      <c r="I3704" s="12"/>
      <c r="J3704" s="11">
        <v>0.0</v>
      </c>
      <c r="K3704" s="12" t="s">
        <v>3075</v>
      </c>
      <c r="L3704" s="13" t="s">
        <v>3075</v>
      </c>
      <c r="M3704" s="9" t="s">
        <v>3075</v>
      </c>
    </row>
    <row r="3705" ht="15.75" customHeight="1">
      <c r="A3705" s="8"/>
      <c r="B3705" s="8"/>
      <c r="C3705" s="8"/>
      <c r="D3705" s="8">
        <v>63.217307546936</v>
      </c>
      <c r="E3705" s="9" t="s">
        <v>1404</v>
      </c>
      <c r="I3705" s="12"/>
      <c r="J3705" s="11">
        <v>0.0</v>
      </c>
      <c r="K3705" s="12" t="s">
        <v>3075</v>
      </c>
      <c r="L3705" s="13" t="s">
        <v>3075</v>
      </c>
      <c r="M3705" s="9" t="s">
        <v>3075</v>
      </c>
    </row>
    <row r="3706" ht="15.75" customHeight="1">
      <c r="A3706" s="8"/>
      <c r="B3706" s="8"/>
      <c r="C3706" s="8"/>
      <c r="D3706" s="8">
        <v>46.6743987534805</v>
      </c>
      <c r="E3706" s="9" t="s">
        <v>1405</v>
      </c>
      <c r="I3706" s="12"/>
      <c r="J3706" s="11">
        <v>0.0</v>
      </c>
      <c r="K3706" s="12" t="s">
        <v>3075</v>
      </c>
      <c r="L3706" s="13" t="s">
        <v>3075</v>
      </c>
      <c r="M3706" s="9" t="s">
        <v>3075</v>
      </c>
    </row>
    <row r="3707" ht="15.75" customHeight="1">
      <c r="A3707" s="8"/>
      <c r="B3707" s="8"/>
      <c r="C3707" s="8"/>
      <c r="D3707" s="8">
        <v>63.217307546936</v>
      </c>
      <c r="E3707" s="9" t="s">
        <v>1406</v>
      </c>
      <c r="I3707" s="12"/>
      <c r="J3707" s="11">
        <v>0.0</v>
      </c>
      <c r="K3707" s="12" t="s">
        <v>3075</v>
      </c>
      <c r="L3707" s="13" t="s">
        <v>3075</v>
      </c>
      <c r="M3707" s="9" t="s">
        <v>3075</v>
      </c>
    </row>
    <row r="3708" ht="15.75" customHeight="1">
      <c r="A3708" s="8"/>
      <c r="B3708" s="8"/>
      <c r="C3708" s="8"/>
      <c r="D3708" s="8">
        <v>63.217307546936</v>
      </c>
      <c r="E3708" s="9" t="s">
        <v>1408</v>
      </c>
      <c r="I3708" s="12"/>
      <c r="J3708" s="11">
        <v>0.0</v>
      </c>
      <c r="K3708" s="12" t="s">
        <v>3075</v>
      </c>
      <c r="L3708" s="13" t="s">
        <v>3075</v>
      </c>
      <c r="M3708" s="9" t="s">
        <v>3075</v>
      </c>
    </row>
    <row r="3709" ht="15.75" customHeight="1">
      <c r="A3709" s="8"/>
      <c r="B3709" s="8"/>
      <c r="C3709" s="8"/>
      <c r="D3709" s="8">
        <v>42.0932880308741</v>
      </c>
      <c r="E3709" s="9" t="s">
        <v>1411</v>
      </c>
      <c r="I3709" s="12"/>
      <c r="J3709" s="11">
        <v>0.0</v>
      </c>
      <c r="K3709" s="12" t="s">
        <v>3075</v>
      </c>
      <c r="L3709" s="13" t="s">
        <v>3075</v>
      </c>
      <c r="M3709" s="9" t="s">
        <v>3075</v>
      </c>
    </row>
    <row r="3710" ht="15.75" customHeight="1">
      <c r="A3710" s="8"/>
      <c r="B3710" s="8"/>
      <c r="C3710" s="8"/>
      <c r="D3710" s="8">
        <v>63.217307546936</v>
      </c>
      <c r="E3710" s="9" t="s">
        <v>1414</v>
      </c>
      <c r="I3710" s="12"/>
      <c r="J3710" s="11">
        <v>0.0</v>
      </c>
      <c r="K3710" s="12" t="s">
        <v>3075</v>
      </c>
      <c r="L3710" s="13" t="s">
        <v>3075</v>
      </c>
      <c r="M3710" s="9" t="s">
        <v>3075</v>
      </c>
    </row>
    <row r="3711" ht="15.75" customHeight="1">
      <c r="A3711" s="8"/>
      <c r="B3711" s="8"/>
      <c r="C3711" s="8"/>
      <c r="D3711" s="8">
        <v>63.217307546936</v>
      </c>
      <c r="E3711" s="9" t="s">
        <v>1416</v>
      </c>
      <c r="I3711" s="12"/>
      <c r="J3711" s="11">
        <v>0.0</v>
      </c>
      <c r="K3711" s="12" t="s">
        <v>3075</v>
      </c>
      <c r="L3711" s="13" t="s">
        <v>3075</v>
      </c>
      <c r="M3711" s="9" t="s">
        <v>3075</v>
      </c>
    </row>
    <row r="3712" ht="15.75" customHeight="1">
      <c r="A3712" s="8"/>
      <c r="B3712" s="8"/>
      <c r="C3712" s="8"/>
      <c r="D3712" s="8">
        <v>63.217307546936</v>
      </c>
      <c r="E3712" s="9" t="s">
        <v>3114</v>
      </c>
      <c r="I3712" s="12"/>
      <c r="J3712" s="11">
        <v>0.0</v>
      </c>
      <c r="K3712" s="12" t="s">
        <v>3075</v>
      </c>
      <c r="L3712" s="13" t="s">
        <v>3075</v>
      </c>
      <c r="M3712" s="9" t="s">
        <v>3075</v>
      </c>
    </row>
    <row r="3713" ht="15.75" customHeight="1">
      <c r="A3713" s="8"/>
      <c r="B3713" s="8"/>
      <c r="C3713" s="8"/>
      <c r="D3713" s="8">
        <v>56.1295327347403</v>
      </c>
      <c r="E3713" s="9" t="s">
        <v>1418</v>
      </c>
      <c r="I3713" s="12"/>
      <c r="J3713" s="11">
        <v>0.0</v>
      </c>
      <c r="K3713" s="12" t="s">
        <v>3075</v>
      </c>
      <c r="L3713" s="13" t="s">
        <v>3075</v>
      </c>
      <c r="M3713" s="9" t="s">
        <v>3075</v>
      </c>
    </row>
    <row r="3714" ht="15.75" customHeight="1">
      <c r="A3714" s="8"/>
      <c r="B3714" s="8"/>
      <c r="C3714" s="8"/>
      <c r="D3714" s="8">
        <v>63.217307546936</v>
      </c>
      <c r="E3714" s="9" t="s">
        <v>1419</v>
      </c>
      <c r="I3714" s="12"/>
      <c r="J3714" s="11">
        <v>0.0</v>
      </c>
      <c r="K3714" s="12" t="s">
        <v>3075</v>
      </c>
      <c r="L3714" s="13" t="s">
        <v>3075</v>
      </c>
      <c r="M3714" s="9" t="s">
        <v>3075</v>
      </c>
    </row>
    <row r="3715" ht="15.75" customHeight="1">
      <c r="A3715" s="8"/>
      <c r="B3715" s="8"/>
      <c r="C3715" s="8"/>
      <c r="D3715" s="8">
        <v>63.217307546936</v>
      </c>
      <c r="E3715" s="9" t="s">
        <v>1420</v>
      </c>
      <c r="I3715" s="12"/>
      <c r="J3715" s="11">
        <v>0.0</v>
      </c>
      <c r="K3715" s="12" t="s">
        <v>3075</v>
      </c>
      <c r="L3715" s="13" t="s">
        <v>3075</v>
      </c>
      <c r="M3715" s="9" t="s">
        <v>3075</v>
      </c>
    </row>
    <row r="3716" ht="15.75" customHeight="1">
      <c r="A3716" s="8"/>
      <c r="B3716" s="8"/>
      <c r="C3716" s="8"/>
      <c r="D3716" s="8">
        <v>63.217307546936</v>
      </c>
      <c r="E3716" s="9" t="s">
        <v>1421</v>
      </c>
      <c r="I3716" s="12"/>
      <c r="J3716" s="11">
        <v>0.0</v>
      </c>
      <c r="K3716" s="12" t="s">
        <v>3075</v>
      </c>
      <c r="L3716" s="13" t="s">
        <v>3075</v>
      </c>
      <c r="M3716" s="9" t="s">
        <v>3075</v>
      </c>
    </row>
    <row r="3717" ht="15.75" customHeight="1">
      <c r="A3717" s="8"/>
      <c r="B3717" s="8"/>
      <c r="C3717" s="8"/>
      <c r="D3717" s="8">
        <v>63.217307546936</v>
      </c>
      <c r="E3717" s="9" t="s">
        <v>3115</v>
      </c>
      <c r="I3717" s="12"/>
      <c r="J3717" s="11">
        <v>0.0</v>
      </c>
      <c r="K3717" s="12" t="s">
        <v>3075</v>
      </c>
      <c r="L3717" s="13" t="s">
        <v>3075</v>
      </c>
      <c r="M3717" s="9" t="s">
        <v>3075</v>
      </c>
    </row>
    <row r="3718" ht="15.75" customHeight="1">
      <c r="A3718" s="8"/>
      <c r="B3718" s="8"/>
      <c r="C3718" s="8"/>
      <c r="D3718" s="8">
        <v>63.217307546936</v>
      </c>
      <c r="E3718" s="9" t="s">
        <v>1425</v>
      </c>
      <c r="I3718" s="12"/>
      <c r="J3718" s="11">
        <v>0.0</v>
      </c>
      <c r="K3718" s="12" t="s">
        <v>3075</v>
      </c>
      <c r="L3718" s="13" t="s">
        <v>3075</v>
      </c>
      <c r="M3718" s="9" t="s">
        <v>3075</v>
      </c>
    </row>
    <row r="3719" ht="15.75" customHeight="1">
      <c r="A3719" s="8"/>
      <c r="B3719" s="8"/>
      <c r="C3719" s="8"/>
      <c r="D3719" s="8">
        <v>63.217307546936</v>
      </c>
      <c r="E3719" s="9" t="s">
        <v>1429</v>
      </c>
      <c r="I3719" s="12"/>
      <c r="J3719" s="11">
        <v>0.0</v>
      </c>
      <c r="K3719" s="12" t="s">
        <v>3075</v>
      </c>
      <c r="L3719" s="13" t="s">
        <v>3075</v>
      </c>
      <c r="M3719" s="9" t="s">
        <v>3075</v>
      </c>
    </row>
    <row r="3720" ht="15.75" customHeight="1">
      <c r="A3720" s="8"/>
      <c r="B3720" s="8"/>
      <c r="C3720" s="8"/>
      <c r="D3720" s="8">
        <v>43.4019148096136</v>
      </c>
      <c r="E3720" s="9" t="s">
        <v>1431</v>
      </c>
      <c r="I3720" s="12"/>
      <c r="J3720" s="11">
        <v>0.0</v>
      </c>
      <c r="K3720" s="12" t="s">
        <v>3075</v>
      </c>
      <c r="L3720" s="13" t="s">
        <v>3075</v>
      </c>
      <c r="M3720" s="9" t="s">
        <v>3075</v>
      </c>
    </row>
    <row r="3721" ht="15.75" customHeight="1">
      <c r="A3721" s="8"/>
      <c r="B3721" s="8"/>
      <c r="C3721" s="8"/>
      <c r="D3721" s="8">
        <v>43.887625744202</v>
      </c>
      <c r="E3721" s="9" t="s">
        <v>1436</v>
      </c>
      <c r="I3721" s="12"/>
      <c r="J3721" s="11">
        <v>0.0</v>
      </c>
      <c r="K3721" s="12" t="s">
        <v>3075</v>
      </c>
      <c r="L3721" s="13" t="s">
        <v>3075</v>
      </c>
      <c r="M3721" s="9" t="s">
        <v>3075</v>
      </c>
    </row>
    <row r="3722" ht="15.75" customHeight="1">
      <c r="A3722" s="8"/>
      <c r="B3722" s="8"/>
      <c r="C3722" s="8"/>
      <c r="D3722" s="8">
        <v>63.217307546936</v>
      </c>
      <c r="E3722" s="9" t="s">
        <v>1437</v>
      </c>
      <c r="I3722" s="12"/>
      <c r="J3722" s="11">
        <v>0.0</v>
      </c>
      <c r="K3722" s="12" t="s">
        <v>3075</v>
      </c>
      <c r="L3722" s="13" t="s">
        <v>3075</v>
      </c>
      <c r="M3722" s="9" t="s">
        <v>3075</v>
      </c>
    </row>
    <row r="3723" ht="15.75" customHeight="1">
      <c r="A3723" s="8"/>
      <c r="B3723" s="8"/>
      <c r="C3723" s="8"/>
      <c r="D3723" s="8">
        <v>12.6174700332688</v>
      </c>
      <c r="E3723" s="9" t="s">
        <v>1440</v>
      </c>
      <c r="I3723" s="12"/>
      <c r="J3723" s="11">
        <v>0.0</v>
      </c>
      <c r="K3723" s="12" t="s">
        <v>3075</v>
      </c>
      <c r="L3723" s="13" t="s">
        <v>3075</v>
      </c>
      <c r="M3723" s="9" t="s">
        <v>3075</v>
      </c>
    </row>
    <row r="3724" ht="15.75" customHeight="1">
      <c r="A3724" s="8"/>
      <c r="B3724" s="8"/>
      <c r="C3724" s="8"/>
      <c r="D3724" s="8">
        <v>63.217307546936</v>
      </c>
      <c r="E3724" s="9" t="s">
        <v>1441</v>
      </c>
      <c r="I3724" s="12"/>
      <c r="J3724" s="11">
        <v>0.0</v>
      </c>
      <c r="K3724" s="12" t="s">
        <v>3075</v>
      </c>
      <c r="L3724" s="13" t="s">
        <v>3075</v>
      </c>
      <c r="M3724" s="9" t="s">
        <v>3075</v>
      </c>
    </row>
    <row r="3725" ht="15.75" customHeight="1">
      <c r="A3725" s="8"/>
      <c r="B3725" s="8"/>
      <c r="C3725" s="8"/>
      <c r="D3725" s="8">
        <v>63.217307546936</v>
      </c>
      <c r="E3725" s="9" t="s">
        <v>1442</v>
      </c>
      <c r="I3725" s="12"/>
      <c r="J3725" s="11">
        <v>0.0</v>
      </c>
      <c r="K3725" s="12" t="s">
        <v>3075</v>
      </c>
      <c r="L3725" s="13" t="s">
        <v>3075</v>
      </c>
      <c r="M3725" s="9" t="s">
        <v>3075</v>
      </c>
    </row>
    <row r="3726" ht="15.75" customHeight="1">
      <c r="A3726" s="8"/>
      <c r="B3726" s="8"/>
      <c r="C3726" s="8"/>
      <c r="D3726" s="8">
        <v>32.8729999244067</v>
      </c>
      <c r="E3726" s="9" t="s">
        <v>1443</v>
      </c>
      <c r="I3726" s="12"/>
      <c r="J3726" s="11">
        <v>0.0</v>
      </c>
      <c r="K3726" s="12" t="s">
        <v>3075</v>
      </c>
      <c r="L3726" s="13" t="s">
        <v>3075</v>
      </c>
      <c r="M3726" s="9" t="s">
        <v>3075</v>
      </c>
    </row>
    <row r="3727" ht="15.75" customHeight="1">
      <c r="A3727" s="8"/>
      <c r="B3727" s="8"/>
      <c r="C3727" s="8"/>
      <c r="D3727" s="8">
        <v>63.217307546936</v>
      </c>
      <c r="E3727" s="9" t="s">
        <v>1444</v>
      </c>
      <c r="I3727" s="12"/>
      <c r="J3727" s="11">
        <v>0.0</v>
      </c>
      <c r="K3727" s="12" t="s">
        <v>3075</v>
      </c>
      <c r="L3727" s="13" t="s">
        <v>3075</v>
      </c>
      <c r="M3727" s="9" t="s">
        <v>3075</v>
      </c>
    </row>
    <row r="3728" ht="15.75" customHeight="1">
      <c r="A3728" s="8"/>
      <c r="B3728" s="8"/>
      <c r="C3728" s="8"/>
      <c r="D3728" s="8">
        <v>21.9197766660531</v>
      </c>
      <c r="E3728" s="9" t="s">
        <v>3116</v>
      </c>
      <c r="I3728" s="12"/>
      <c r="J3728" s="11">
        <v>0.0</v>
      </c>
      <c r="K3728" s="12" t="s">
        <v>3075</v>
      </c>
      <c r="L3728" s="13" t="s">
        <v>3075</v>
      </c>
      <c r="M3728" s="9" t="s">
        <v>3075</v>
      </c>
    </row>
    <row r="3729" ht="15.75" customHeight="1">
      <c r="A3729" s="8"/>
      <c r="B3729" s="8"/>
      <c r="C3729" s="8"/>
      <c r="D3729" s="8">
        <v>63.217307546936</v>
      </c>
      <c r="E3729" s="9" t="s">
        <v>1447</v>
      </c>
      <c r="I3729" s="12"/>
      <c r="J3729" s="11">
        <v>0.0</v>
      </c>
      <c r="K3729" s="12" t="s">
        <v>3075</v>
      </c>
      <c r="L3729" s="13" t="s">
        <v>3075</v>
      </c>
      <c r="M3729" s="9" t="s">
        <v>3075</v>
      </c>
    </row>
    <row r="3730" ht="15.75" customHeight="1">
      <c r="A3730" s="8"/>
      <c r="B3730" s="8"/>
      <c r="C3730" s="8"/>
      <c r="D3730" s="8">
        <v>63.217307546936</v>
      </c>
      <c r="E3730" s="9" t="s">
        <v>1453</v>
      </c>
      <c r="I3730" s="12"/>
      <c r="J3730" s="11">
        <v>0.0</v>
      </c>
      <c r="K3730" s="12" t="s">
        <v>3075</v>
      </c>
      <c r="L3730" s="13" t="s">
        <v>3075</v>
      </c>
      <c r="M3730" s="9" t="s">
        <v>3075</v>
      </c>
    </row>
    <row r="3731" ht="15.75" customHeight="1">
      <c r="A3731" s="8"/>
      <c r="B3731" s="8"/>
      <c r="C3731" s="8"/>
      <c r="D3731" s="8">
        <v>63.217307546936</v>
      </c>
      <c r="E3731" s="9" t="s">
        <v>3117</v>
      </c>
      <c r="I3731" s="12"/>
      <c r="J3731" s="11">
        <v>0.0</v>
      </c>
      <c r="K3731" s="12" t="s">
        <v>3075</v>
      </c>
      <c r="L3731" s="13" t="s">
        <v>3075</v>
      </c>
      <c r="M3731" s="9" t="s">
        <v>3075</v>
      </c>
    </row>
    <row r="3732" ht="15.75" customHeight="1">
      <c r="A3732" s="8"/>
      <c r="B3732" s="8"/>
      <c r="C3732" s="8"/>
      <c r="D3732" s="8">
        <v>47.6771911618449</v>
      </c>
      <c r="E3732" s="9" t="s">
        <v>3118</v>
      </c>
      <c r="I3732" s="12"/>
      <c r="J3732" s="11">
        <v>0.0</v>
      </c>
      <c r="K3732" s="12" t="s">
        <v>3075</v>
      </c>
      <c r="L3732" s="13" t="s">
        <v>3075</v>
      </c>
      <c r="M3732" s="9" t="s">
        <v>3075</v>
      </c>
    </row>
    <row r="3733" ht="15.75" customHeight="1">
      <c r="A3733" s="8"/>
      <c r="B3733" s="8"/>
      <c r="C3733" s="8"/>
      <c r="D3733" s="8">
        <v>63.217307546936</v>
      </c>
      <c r="E3733" s="9" t="s">
        <v>3119</v>
      </c>
      <c r="I3733" s="12"/>
      <c r="J3733" s="11">
        <v>0.0</v>
      </c>
      <c r="K3733" s="12" t="s">
        <v>3075</v>
      </c>
      <c r="L3733" s="13" t="s">
        <v>3075</v>
      </c>
      <c r="M3733" s="9" t="s">
        <v>3075</v>
      </c>
    </row>
    <row r="3734" ht="15.75" customHeight="1">
      <c r="A3734" s="8"/>
      <c r="B3734" s="8"/>
      <c r="C3734" s="8"/>
      <c r="D3734" s="8">
        <v>63.217307546936</v>
      </c>
      <c r="E3734" s="9" t="s">
        <v>3120</v>
      </c>
      <c r="I3734" s="12"/>
      <c r="J3734" s="11">
        <v>0.0</v>
      </c>
      <c r="K3734" s="12" t="s">
        <v>3075</v>
      </c>
      <c r="L3734" s="13" t="s">
        <v>3075</v>
      </c>
      <c r="M3734" s="9" t="s">
        <v>3075</v>
      </c>
    </row>
    <row r="3735" ht="15.75" customHeight="1">
      <c r="A3735" s="8"/>
      <c r="B3735" s="8"/>
      <c r="C3735" s="8"/>
      <c r="D3735" s="8">
        <v>63.217307546936</v>
      </c>
      <c r="E3735" s="9" t="s">
        <v>1458</v>
      </c>
      <c r="I3735" s="12"/>
      <c r="J3735" s="11">
        <v>0.0</v>
      </c>
      <c r="K3735" s="12" t="s">
        <v>3075</v>
      </c>
      <c r="L3735" s="13" t="s">
        <v>3075</v>
      </c>
      <c r="M3735" s="9" t="s">
        <v>3075</v>
      </c>
    </row>
    <row r="3736" ht="15.75" customHeight="1">
      <c r="A3736" s="8"/>
      <c r="B3736" s="8"/>
      <c r="C3736" s="8"/>
      <c r="D3736" s="8">
        <v>63.217307546936</v>
      </c>
      <c r="E3736" s="9" t="s">
        <v>1459</v>
      </c>
      <c r="I3736" s="12"/>
      <c r="J3736" s="11">
        <v>0.0</v>
      </c>
      <c r="K3736" s="12" t="s">
        <v>3075</v>
      </c>
      <c r="L3736" s="13" t="s">
        <v>3075</v>
      </c>
      <c r="M3736" s="9" t="s">
        <v>3075</v>
      </c>
    </row>
    <row r="3737" ht="15.75" customHeight="1">
      <c r="A3737" s="8"/>
      <c r="B3737" s="8"/>
      <c r="C3737" s="8"/>
      <c r="D3737" s="8">
        <v>12.8963307395749</v>
      </c>
      <c r="E3737" s="9" t="s">
        <v>1460</v>
      </c>
      <c r="I3737" s="12"/>
      <c r="J3737" s="11">
        <v>0.0</v>
      </c>
      <c r="K3737" s="12" t="s">
        <v>3075</v>
      </c>
      <c r="L3737" s="13" t="s">
        <v>3075</v>
      </c>
      <c r="M3737" s="9" t="s">
        <v>3075</v>
      </c>
    </row>
    <row r="3738" ht="15.75" customHeight="1">
      <c r="A3738" s="8"/>
      <c r="B3738" s="8"/>
      <c r="C3738" s="8"/>
      <c r="D3738" s="8">
        <v>63.217307546936</v>
      </c>
      <c r="E3738" s="9" t="s">
        <v>1461</v>
      </c>
      <c r="I3738" s="12"/>
      <c r="J3738" s="11">
        <v>0.0</v>
      </c>
      <c r="K3738" s="12" t="s">
        <v>3075</v>
      </c>
      <c r="L3738" s="13" t="s">
        <v>3075</v>
      </c>
      <c r="M3738" s="9" t="s">
        <v>3075</v>
      </c>
    </row>
    <row r="3739" ht="15.75" customHeight="1">
      <c r="A3739" s="8"/>
      <c r="B3739" s="8"/>
      <c r="C3739" s="8"/>
      <c r="D3739" s="8">
        <v>12.2425465279754</v>
      </c>
      <c r="E3739" s="9" t="s">
        <v>1462</v>
      </c>
      <c r="I3739" s="12"/>
      <c r="J3739" s="11">
        <v>0.0</v>
      </c>
      <c r="K3739" s="12" t="s">
        <v>3075</v>
      </c>
      <c r="L3739" s="13" t="s">
        <v>3075</v>
      </c>
      <c r="M3739" s="9" t="s">
        <v>3075</v>
      </c>
    </row>
    <row r="3740" ht="15.75" customHeight="1">
      <c r="A3740" s="8"/>
      <c r="B3740" s="8"/>
      <c r="C3740" s="8"/>
      <c r="D3740" s="8">
        <v>37.9559767619487</v>
      </c>
      <c r="E3740" s="9" t="s">
        <v>1466</v>
      </c>
      <c r="I3740" s="12"/>
      <c r="J3740" s="11">
        <v>0.0</v>
      </c>
      <c r="K3740" s="12" t="s">
        <v>3075</v>
      </c>
      <c r="L3740" s="13" t="s">
        <v>3075</v>
      </c>
      <c r="M3740" s="9" t="s">
        <v>3075</v>
      </c>
    </row>
    <row r="3741" ht="15.75" customHeight="1">
      <c r="A3741" s="8"/>
      <c r="B3741" s="8"/>
      <c r="C3741" s="8"/>
      <c r="D3741" s="8">
        <v>63.217307546936</v>
      </c>
      <c r="E3741" s="9" t="s">
        <v>1468</v>
      </c>
      <c r="I3741" s="12"/>
      <c r="J3741" s="11">
        <v>0.0</v>
      </c>
      <c r="K3741" s="12" t="s">
        <v>3075</v>
      </c>
      <c r="L3741" s="13" t="s">
        <v>3075</v>
      </c>
      <c r="M3741" s="9" t="s">
        <v>3075</v>
      </c>
    </row>
    <row r="3742" ht="15.75" customHeight="1">
      <c r="A3742" s="8"/>
      <c r="B3742" s="8"/>
      <c r="C3742" s="8"/>
      <c r="D3742" s="8">
        <v>63.217307546936</v>
      </c>
      <c r="E3742" s="9" t="s">
        <v>1470</v>
      </c>
      <c r="I3742" s="12"/>
      <c r="J3742" s="11">
        <v>0.0</v>
      </c>
      <c r="K3742" s="12" t="s">
        <v>3075</v>
      </c>
      <c r="L3742" s="13" t="s">
        <v>3075</v>
      </c>
      <c r="M3742" s="9" t="s">
        <v>3075</v>
      </c>
    </row>
    <row r="3743" ht="15.75" customHeight="1">
      <c r="A3743" s="8"/>
      <c r="B3743" s="8"/>
      <c r="C3743" s="8"/>
      <c r="D3743" s="8">
        <v>63.217307546936</v>
      </c>
      <c r="E3743" s="9" t="s">
        <v>1471</v>
      </c>
      <c r="I3743" s="12"/>
      <c r="J3743" s="11">
        <v>0.0</v>
      </c>
      <c r="K3743" s="12" t="s">
        <v>3075</v>
      </c>
      <c r="L3743" s="13" t="s">
        <v>3075</v>
      </c>
      <c r="M3743" s="9" t="s">
        <v>3075</v>
      </c>
    </row>
    <row r="3744" ht="15.75" customHeight="1">
      <c r="A3744" s="8"/>
      <c r="B3744" s="8"/>
      <c r="C3744" s="8"/>
      <c r="D3744" s="8">
        <v>34.2399563546983</v>
      </c>
      <c r="E3744" s="9" t="s">
        <v>1474</v>
      </c>
      <c r="I3744" s="12"/>
      <c r="J3744" s="11">
        <v>0.0</v>
      </c>
      <c r="K3744" s="12" t="s">
        <v>3075</v>
      </c>
      <c r="L3744" s="13" t="s">
        <v>3075</v>
      </c>
      <c r="M3744" s="9" t="s">
        <v>3075</v>
      </c>
    </row>
    <row r="3745" ht="15.75" customHeight="1">
      <c r="A3745" s="8"/>
      <c r="B3745" s="8"/>
      <c r="C3745" s="8"/>
      <c r="D3745" s="8">
        <v>63.217307546936</v>
      </c>
      <c r="E3745" s="9" t="s">
        <v>3121</v>
      </c>
      <c r="I3745" s="12"/>
      <c r="J3745" s="11">
        <v>0.0</v>
      </c>
      <c r="K3745" s="12" t="s">
        <v>3075</v>
      </c>
      <c r="L3745" s="13" t="s">
        <v>3075</v>
      </c>
      <c r="M3745" s="9" t="s">
        <v>3075</v>
      </c>
    </row>
    <row r="3746" ht="15.75" customHeight="1">
      <c r="A3746" s="8"/>
      <c r="B3746" s="8"/>
      <c r="C3746" s="8"/>
      <c r="D3746" s="8">
        <v>63.217307546936</v>
      </c>
      <c r="E3746" s="9" t="s">
        <v>1479</v>
      </c>
      <c r="I3746" s="12"/>
      <c r="J3746" s="11">
        <v>0.0</v>
      </c>
      <c r="K3746" s="12" t="s">
        <v>3075</v>
      </c>
      <c r="L3746" s="13" t="s">
        <v>3075</v>
      </c>
      <c r="M3746" s="9" t="s">
        <v>3075</v>
      </c>
    </row>
    <row r="3747" ht="15.75" customHeight="1">
      <c r="A3747" s="8"/>
      <c r="B3747" s="8"/>
      <c r="C3747" s="8"/>
      <c r="D3747" s="8">
        <v>63.217307546936</v>
      </c>
      <c r="E3747" s="9" t="s">
        <v>1480</v>
      </c>
      <c r="I3747" s="12"/>
      <c r="J3747" s="11">
        <v>0.0</v>
      </c>
      <c r="K3747" s="12" t="s">
        <v>3075</v>
      </c>
      <c r="L3747" s="13" t="s">
        <v>3075</v>
      </c>
      <c r="M3747" s="9" t="s">
        <v>3075</v>
      </c>
    </row>
    <row r="3748" ht="15.75" customHeight="1">
      <c r="A3748" s="8"/>
      <c r="B3748" s="8"/>
      <c r="C3748" s="8"/>
      <c r="D3748" s="8">
        <v>28.5886163270387</v>
      </c>
      <c r="E3748" s="9" t="s">
        <v>1481</v>
      </c>
      <c r="I3748" s="12"/>
      <c r="J3748" s="11">
        <v>0.0</v>
      </c>
      <c r="K3748" s="12" t="s">
        <v>3075</v>
      </c>
      <c r="L3748" s="13" t="s">
        <v>3075</v>
      </c>
      <c r="M3748" s="9" t="s">
        <v>3075</v>
      </c>
    </row>
    <row r="3749" ht="15.75" customHeight="1">
      <c r="A3749" s="8"/>
      <c r="B3749" s="8"/>
      <c r="C3749" s="8"/>
      <c r="D3749" s="8">
        <v>63.217307546936</v>
      </c>
      <c r="E3749" s="9" t="s">
        <v>1482</v>
      </c>
      <c r="I3749" s="12"/>
      <c r="J3749" s="11">
        <v>0.0</v>
      </c>
      <c r="K3749" s="12" t="s">
        <v>3075</v>
      </c>
      <c r="L3749" s="13" t="s">
        <v>3075</v>
      </c>
      <c r="M3749" s="9" t="s">
        <v>3075</v>
      </c>
    </row>
    <row r="3750" ht="15.75" customHeight="1">
      <c r="A3750" s="8"/>
      <c r="B3750" s="8"/>
      <c r="C3750" s="8"/>
      <c r="D3750" s="8">
        <v>62.9994782180936</v>
      </c>
      <c r="E3750" s="9" t="s">
        <v>1485</v>
      </c>
      <c r="I3750" s="12"/>
      <c r="J3750" s="11">
        <v>0.0</v>
      </c>
      <c r="K3750" s="12" t="s">
        <v>3075</v>
      </c>
      <c r="L3750" s="13" t="s">
        <v>3075</v>
      </c>
      <c r="M3750" s="9" t="s">
        <v>3075</v>
      </c>
    </row>
    <row r="3751" ht="15.75" customHeight="1">
      <c r="A3751" s="8"/>
      <c r="B3751" s="8"/>
      <c r="C3751" s="8"/>
      <c r="D3751" s="8">
        <v>63.217307546936</v>
      </c>
      <c r="E3751" s="9" t="s">
        <v>1489</v>
      </c>
      <c r="I3751" s="12"/>
      <c r="J3751" s="11">
        <v>0.0</v>
      </c>
      <c r="K3751" s="12" t="s">
        <v>3075</v>
      </c>
      <c r="L3751" s="13" t="s">
        <v>3075</v>
      </c>
      <c r="M3751" s="9" t="s">
        <v>3075</v>
      </c>
    </row>
    <row r="3752" ht="15.75" customHeight="1">
      <c r="A3752" s="8"/>
      <c r="B3752" s="8"/>
      <c r="C3752" s="8"/>
      <c r="D3752" s="8">
        <v>63.217307546936</v>
      </c>
      <c r="E3752" s="9" t="s">
        <v>1490</v>
      </c>
      <c r="I3752" s="12"/>
      <c r="J3752" s="11">
        <v>0.0</v>
      </c>
      <c r="K3752" s="12" t="s">
        <v>3075</v>
      </c>
      <c r="L3752" s="13" t="s">
        <v>3075</v>
      </c>
      <c r="M3752" s="9" t="s">
        <v>3075</v>
      </c>
    </row>
    <row r="3753" ht="15.75" customHeight="1">
      <c r="A3753" s="8"/>
      <c r="B3753" s="8"/>
      <c r="C3753" s="8"/>
      <c r="D3753" s="8">
        <v>41.4302143200678</v>
      </c>
      <c r="E3753" s="9" t="s">
        <v>1493</v>
      </c>
      <c r="I3753" s="12"/>
      <c r="J3753" s="11">
        <v>0.0</v>
      </c>
      <c r="K3753" s="12" t="s">
        <v>3075</v>
      </c>
      <c r="L3753" s="13" t="s">
        <v>3075</v>
      </c>
      <c r="M3753" s="9" t="s">
        <v>3075</v>
      </c>
    </row>
    <row r="3754" ht="15.75" customHeight="1">
      <c r="A3754" s="8"/>
      <c r="B3754" s="8"/>
      <c r="C3754" s="8"/>
      <c r="D3754" s="8">
        <v>63.217307546936</v>
      </c>
      <c r="E3754" s="9" t="s">
        <v>1494</v>
      </c>
      <c r="I3754" s="12"/>
      <c r="J3754" s="11">
        <v>0.0</v>
      </c>
      <c r="K3754" s="12" t="s">
        <v>3075</v>
      </c>
      <c r="L3754" s="13" t="s">
        <v>3075</v>
      </c>
      <c r="M3754" s="9" t="s">
        <v>3075</v>
      </c>
    </row>
    <row r="3755" ht="15.75" customHeight="1">
      <c r="A3755" s="8"/>
      <c r="B3755" s="8"/>
      <c r="C3755" s="8"/>
      <c r="D3755" s="8">
        <v>63.217307546936</v>
      </c>
      <c r="E3755" s="9" t="s">
        <v>1497</v>
      </c>
      <c r="I3755" s="12"/>
      <c r="J3755" s="11">
        <v>0.0</v>
      </c>
      <c r="K3755" s="12" t="s">
        <v>3075</v>
      </c>
      <c r="L3755" s="13" t="s">
        <v>3075</v>
      </c>
      <c r="M3755" s="9" t="s">
        <v>3075</v>
      </c>
    </row>
    <row r="3756" ht="15.75" customHeight="1">
      <c r="A3756" s="8"/>
      <c r="B3756" s="8"/>
      <c r="C3756" s="8"/>
      <c r="D3756" s="8">
        <v>18.6817193060781</v>
      </c>
      <c r="E3756" s="9" t="s">
        <v>1499</v>
      </c>
      <c r="I3756" s="12"/>
      <c r="J3756" s="11">
        <v>0.0</v>
      </c>
      <c r="K3756" s="12" t="s">
        <v>3075</v>
      </c>
      <c r="L3756" s="13" t="s">
        <v>3075</v>
      </c>
      <c r="M3756" s="9" t="s">
        <v>3075</v>
      </c>
    </row>
    <row r="3757" ht="15.75" customHeight="1">
      <c r="A3757" s="8"/>
      <c r="B3757" s="8"/>
      <c r="C3757" s="8"/>
      <c r="D3757" s="8">
        <v>3.53390830008441</v>
      </c>
      <c r="E3757" s="9" t="s">
        <v>1500</v>
      </c>
      <c r="I3757" s="12"/>
      <c r="J3757" s="11">
        <v>0.0</v>
      </c>
      <c r="K3757" s="12" t="s">
        <v>3075</v>
      </c>
      <c r="L3757" s="13" t="s">
        <v>3075</v>
      </c>
      <c r="M3757" s="9" t="s">
        <v>3075</v>
      </c>
    </row>
    <row r="3758" ht="15.75" customHeight="1">
      <c r="A3758" s="8"/>
      <c r="B3758" s="8"/>
      <c r="C3758" s="8"/>
      <c r="D3758" s="8">
        <v>63.217307546936</v>
      </c>
      <c r="E3758" s="9" t="s">
        <v>3122</v>
      </c>
      <c r="I3758" s="12"/>
      <c r="J3758" s="11">
        <v>0.0</v>
      </c>
      <c r="K3758" s="12" t="s">
        <v>3075</v>
      </c>
      <c r="L3758" s="13" t="s">
        <v>3075</v>
      </c>
      <c r="M3758" s="9" t="s">
        <v>3075</v>
      </c>
    </row>
    <row r="3759" ht="15.75" customHeight="1">
      <c r="A3759" s="8"/>
      <c r="B3759" s="8"/>
      <c r="C3759" s="8"/>
      <c r="D3759" s="8">
        <v>48.0451655927096</v>
      </c>
      <c r="E3759" s="9" t="s">
        <v>3123</v>
      </c>
      <c r="I3759" s="12"/>
      <c r="J3759" s="11">
        <v>0.0</v>
      </c>
      <c r="K3759" s="12" t="s">
        <v>3075</v>
      </c>
      <c r="L3759" s="13" t="s">
        <v>3075</v>
      </c>
      <c r="M3759" s="9" t="s">
        <v>3075</v>
      </c>
    </row>
    <row r="3760" ht="15.75" customHeight="1">
      <c r="A3760" s="8"/>
      <c r="B3760" s="8"/>
      <c r="C3760" s="8"/>
      <c r="D3760" s="8">
        <v>37.9303845281616</v>
      </c>
      <c r="E3760" s="9" t="s">
        <v>1503</v>
      </c>
      <c r="I3760" s="12"/>
      <c r="J3760" s="11">
        <v>0.0</v>
      </c>
      <c r="K3760" s="12" t="s">
        <v>3075</v>
      </c>
      <c r="L3760" s="13" t="s">
        <v>3075</v>
      </c>
      <c r="M3760" s="9" t="s">
        <v>3075</v>
      </c>
    </row>
    <row r="3761" ht="15.75" customHeight="1">
      <c r="A3761" s="8"/>
      <c r="B3761" s="8"/>
      <c r="C3761" s="8"/>
      <c r="D3761" s="8">
        <v>63.217307546936</v>
      </c>
      <c r="E3761" s="9" t="s">
        <v>1505</v>
      </c>
      <c r="I3761" s="12"/>
      <c r="J3761" s="11">
        <v>0.0</v>
      </c>
      <c r="K3761" s="12" t="s">
        <v>3075</v>
      </c>
      <c r="L3761" s="13" t="s">
        <v>3075</v>
      </c>
      <c r="M3761" s="9" t="s">
        <v>3075</v>
      </c>
    </row>
    <row r="3762" ht="15.75" customHeight="1">
      <c r="A3762" s="8"/>
      <c r="B3762" s="8"/>
      <c r="C3762" s="8"/>
      <c r="D3762" s="8">
        <v>63.217307546936</v>
      </c>
      <c r="E3762" s="9" t="s">
        <v>3124</v>
      </c>
      <c r="I3762" s="12"/>
      <c r="J3762" s="11">
        <v>0.0</v>
      </c>
      <c r="K3762" s="12" t="s">
        <v>3075</v>
      </c>
      <c r="L3762" s="13" t="s">
        <v>3075</v>
      </c>
      <c r="M3762" s="9" t="s">
        <v>3075</v>
      </c>
    </row>
    <row r="3763" ht="15.75" customHeight="1">
      <c r="A3763" s="8"/>
      <c r="B3763" s="8"/>
      <c r="C3763" s="8"/>
      <c r="D3763" s="8">
        <v>63.217307546936</v>
      </c>
      <c r="E3763" s="9" t="s">
        <v>1506</v>
      </c>
      <c r="I3763" s="12"/>
      <c r="J3763" s="11">
        <v>0.0</v>
      </c>
      <c r="K3763" s="12" t="s">
        <v>3075</v>
      </c>
      <c r="L3763" s="13" t="s">
        <v>3075</v>
      </c>
      <c r="M3763" s="9" t="s">
        <v>3075</v>
      </c>
    </row>
    <row r="3764" ht="15.75" customHeight="1">
      <c r="A3764" s="8"/>
      <c r="B3764" s="8"/>
      <c r="C3764" s="8"/>
      <c r="D3764" s="8">
        <v>44.7500228753896</v>
      </c>
      <c r="E3764" s="9" t="s">
        <v>1507</v>
      </c>
      <c r="I3764" s="12"/>
      <c r="J3764" s="11">
        <v>0.0</v>
      </c>
      <c r="K3764" s="12" t="s">
        <v>3075</v>
      </c>
      <c r="L3764" s="13" t="s">
        <v>3075</v>
      </c>
      <c r="M3764" s="9" t="s">
        <v>3075</v>
      </c>
    </row>
    <row r="3765" ht="15.75" customHeight="1">
      <c r="A3765" s="8"/>
      <c r="B3765" s="8"/>
      <c r="C3765" s="8"/>
      <c r="D3765" s="8">
        <v>63.217307546936</v>
      </c>
      <c r="E3765" s="9" t="s">
        <v>1508</v>
      </c>
      <c r="I3765" s="12"/>
      <c r="J3765" s="11">
        <v>0.0</v>
      </c>
      <c r="K3765" s="12" t="s">
        <v>3075</v>
      </c>
      <c r="L3765" s="13" t="s">
        <v>3075</v>
      </c>
      <c r="M3765" s="9" t="s">
        <v>3075</v>
      </c>
    </row>
    <row r="3766" ht="15.75" customHeight="1">
      <c r="A3766" s="8"/>
      <c r="B3766" s="8"/>
      <c r="C3766" s="8"/>
      <c r="D3766" s="8">
        <v>0.470764371500208</v>
      </c>
      <c r="E3766" s="9" t="s">
        <v>1510</v>
      </c>
      <c r="I3766" s="12"/>
      <c r="J3766" s="11">
        <v>0.0</v>
      </c>
      <c r="K3766" s="12" t="s">
        <v>3075</v>
      </c>
      <c r="L3766" s="13" t="s">
        <v>3075</v>
      </c>
      <c r="M3766" s="9" t="s">
        <v>3075</v>
      </c>
    </row>
    <row r="3767" ht="15.75" customHeight="1">
      <c r="A3767" s="8"/>
      <c r="B3767" s="8"/>
      <c r="C3767" s="8"/>
      <c r="D3767" s="8">
        <v>63.217307546936</v>
      </c>
      <c r="E3767" s="9" t="s">
        <v>1511</v>
      </c>
      <c r="I3767" s="12"/>
      <c r="J3767" s="11">
        <v>0.0</v>
      </c>
      <c r="K3767" s="12" t="s">
        <v>3075</v>
      </c>
      <c r="L3767" s="13" t="s">
        <v>3075</v>
      </c>
      <c r="M3767" s="9" t="s">
        <v>3075</v>
      </c>
    </row>
    <row r="3768" ht="15.75" customHeight="1">
      <c r="A3768" s="8"/>
      <c r="B3768" s="8"/>
      <c r="C3768" s="8"/>
      <c r="D3768" s="8">
        <v>16.4389667819562</v>
      </c>
      <c r="E3768" s="9" t="s">
        <v>1513</v>
      </c>
      <c r="I3768" s="12"/>
      <c r="J3768" s="11">
        <v>0.0</v>
      </c>
      <c r="K3768" s="12" t="s">
        <v>3075</v>
      </c>
      <c r="L3768" s="13" t="s">
        <v>3075</v>
      </c>
      <c r="M3768" s="9" t="s">
        <v>3075</v>
      </c>
    </row>
    <row r="3769" ht="15.75" customHeight="1">
      <c r="A3769" s="8"/>
      <c r="B3769" s="8"/>
      <c r="C3769" s="8"/>
      <c r="D3769" s="8">
        <v>63.217307546936</v>
      </c>
      <c r="E3769" s="9" t="s">
        <v>1515</v>
      </c>
      <c r="I3769" s="12"/>
      <c r="J3769" s="11">
        <v>0.0</v>
      </c>
      <c r="K3769" s="12" t="s">
        <v>3075</v>
      </c>
      <c r="L3769" s="13" t="s">
        <v>3075</v>
      </c>
      <c r="M3769" s="9" t="s">
        <v>3075</v>
      </c>
    </row>
    <row r="3770" ht="15.75" customHeight="1">
      <c r="A3770" s="8"/>
      <c r="B3770" s="8"/>
      <c r="C3770" s="8"/>
      <c r="D3770" s="8">
        <v>63.217307546936</v>
      </c>
      <c r="E3770" s="9" t="s">
        <v>3125</v>
      </c>
      <c r="I3770" s="12"/>
      <c r="J3770" s="11">
        <v>0.0</v>
      </c>
      <c r="K3770" s="12" t="s">
        <v>3075</v>
      </c>
      <c r="L3770" s="13" t="s">
        <v>3075</v>
      </c>
      <c r="M3770" s="9" t="s">
        <v>3075</v>
      </c>
    </row>
    <row r="3771" ht="15.75" customHeight="1">
      <c r="A3771" s="8"/>
      <c r="B3771" s="8"/>
      <c r="C3771" s="8"/>
      <c r="D3771" s="8">
        <v>63.217307546936</v>
      </c>
      <c r="E3771" s="9" t="s">
        <v>1518</v>
      </c>
      <c r="I3771" s="12"/>
      <c r="J3771" s="11">
        <v>0.0</v>
      </c>
      <c r="K3771" s="12" t="s">
        <v>3075</v>
      </c>
      <c r="L3771" s="13" t="s">
        <v>3075</v>
      </c>
      <c r="M3771" s="9" t="s">
        <v>3075</v>
      </c>
    </row>
    <row r="3772" ht="15.75" customHeight="1">
      <c r="A3772" s="8"/>
      <c r="B3772" s="8"/>
      <c r="C3772" s="8"/>
      <c r="D3772" s="8">
        <v>36.6660383772229</v>
      </c>
      <c r="E3772" s="9" t="s">
        <v>1519</v>
      </c>
      <c r="I3772" s="12"/>
      <c r="J3772" s="11">
        <v>0.0</v>
      </c>
      <c r="K3772" s="12" t="s">
        <v>3075</v>
      </c>
      <c r="L3772" s="13" t="s">
        <v>3075</v>
      </c>
      <c r="M3772" s="9" t="s">
        <v>3075</v>
      </c>
    </row>
    <row r="3773" ht="15.75" customHeight="1">
      <c r="A3773" s="8"/>
      <c r="B3773" s="8"/>
      <c r="C3773" s="8"/>
      <c r="D3773" s="8">
        <v>63.217307546936</v>
      </c>
      <c r="E3773" s="9" t="s">
        <v>1526</v>
      </c>
      <c r="I3773" s="12"/>
      <c r="J3773" s="11">
        <v>0.0</v>
      </c>
      <c r="K3773" s="12" t="s">
        <v>3075</v>
      </c>
      <c r="L3773" s="13" t="s">
        <v>3075</v>
      </c>
      <c r="M3773" s="9" t="s">
        <v>3075</v>
      </c>
    </row>
    <row r="3774" ht="15.75" customHeight="1">
      <c r="A3774" s="8"/>
      <c r="B3774" s="8"/>
      <c r="C3774" s="8"/>
      <c r="D3774" s="8">
        <v>63.217307546936</v>
      </c>
      <c r="E3774" s="9" t="s">
        <v>1527</v>
      </c>
      <c r="I3774" s="12"/>
      <c r="J3774" s="11">
        <v>0.0</v>
      </c>
      <c r="K3774" s="12" t="s">
        <v>3075</v>
      </c>
      <c r="L3774" s="13" t="s">
        <v>3075</v>
      </c>
      <c r="M3774" s="9" t="s">
        <v>3075</v>
      </c>
    </row>
    <row r="3775" ht="15.75" customHeight="1">
      <c r="A3775" s="8"/>
      <c r="B3775" s="8"/>
      <c r="C3775" s="8"/>
      <c r="D3775" s="8">
        <v>63.217307546936</v>
      </c>
      <c r="E3775" s="9" t="s">
        <v>1531</v>
      </c>
      <c r="I3775" s="12"/>
      <c r="J3775" s="11">
        <v>0.0</v>
      </c>
      <c r="K3775" s="12" t="s">
        <v>3075</v>
      </c>
      <c r="L3775" s="13" t="s">
        <v>3075</v>
      </c>
      <c r="M3775" s="9" t="s">
        <v>3075</v>
      </c>
    </row>
    <row r="3776" ht="15.75" customHeight="1">
      <c r="A3776" s="8"/>
      <c r="B3776" s="8"/>
      <c r="C3776" s="8"/>
      <c r="D3776" s="8">
        <v>62.5092141636604</v>
      </c>
      <c r="E3776" s="9" t="s">
        <v>1533</v>
      </c>
      <c r="I3776" s="12"/>
      <c r="J3776" s="11">
        <v>0.0</v>
      </c>
      <c r="K3776" s="12" t="s">
        <v>3075</v>
      </c>
      <c r="L3776" s="13" t="s">
        <v>3075</v>
      </c>
      <c r="M3776" s="9" t="s">
        <v>3075</v>
      </c>
    </row>
    <row r="3777" ht="15.75" customHeight="1">
      <c r="A3777" s="8"/>
      <c r="B3777" s="8"/>
      <c r="C3777" s="8"/>
      <c r="D3777" s="8">
        <v>13.0147322272167</v>
      </c>
      <c r="E3777" s="9" t="s">
        <v>1536</v>
      </c>
      <c r="I3777" s="12"/>
      <c r="J3777" s="11">
        <v>0.0</v>
      </c>
      <c r="K3777" s="12" t="s">
        <v>3075</v>
      </c>
      <c r="L3777" s="13" t="s">
        <v>3075</v>
      </c>
      <c r="M3777" s="9" t="s">
        <v>3075</v>
      </c>
    </row>
    <row r="3778" ht="15.75" customHeight="1">
      <c r="A3778" s="8"/>
      <c r="B3778" s="8"/>
      <c r="C3778" s="8"/>
      <c r="D3778" s="8">
        <v>63.217307546936</v>
      </c>
      <c r="E3778" s="9" t="s">
        <v>1537</v>
      </c>
      <c r="I3778" s="12"/>
      <c r="J3778" s="11">
        <v>0.0</v>
      </c>
      <c r="K3778" s="12" t="s">
        <v>3075</v>
      </c>
      <c r="L3778" s="13" t="s">
        <v>3075</v>
      </c>
      <c r="M3778" s="9" t="s">
        <v>3075</v>
      </c>
    </row>
    <row r="3779" ht="15.75" customHeight="1">
      <c r="A3779" s="8"/>
      <c r="B3779" s="8"/>
      <c r="C3779" s="8"/>
      <c r="D3779" s="8">
        <v>63.217307546936</v>
      </c>
      <c r="E3779" s="9" t="s">
        <v>3126</v>
      </c>
      <c r="I3779" s="12"/>
      <c r="J3779" s="11">
        <v>0.0</v>
      </c>
      <c r="K3779" s="12" t="s">
        <v>3075</v>
      </c>
      <c r="L3779" s="13" t="s">
        <v>3075</v>
      </c>
      <c r="M3779" s="9" t="s">
        <v>3075</v>
      </c>
    </row>
    <row r="3780" ht="15.75" customHeight="1">
      <c r="A3780" s="8"/>
      <c r="B3780" s="8"/>
      <c r="C3780" s="8"/>
      <c r="D3780" s="8">
        <v>63.217307546936</v>
      </c>
      <c r="E3780" s="9" t="s">
        <v>1538</v>
      </c>
      <c r="I3780" s="12"/>
      <c r="J3780" s="11">
        <v>0.0</v>
      </c>
      <c r="K3780" s="12" t="s">
        <v>3075</v>
      </c>
      <c r="L3780" s="13" t="s">
        <v>3075</v>
      </c>
      <c r="M3780" s="9" t="s">
        <v>3075</v>
      </c>
    </row>
    <row r="3781" ht="15.75" customHeight="1">
      <c r="A3781" s="8"/>
      <c r="B3781" s="8"/>
      <c r="C3781" s="8"/>
      <c r="D3781" s="8">
        <v>50.5738460375488</v>
      </c>
      <c r="E3781" s="9" t="s">
        <v>1539</v>
      </c>
      <c r="I3781" s="12"/>
      <c r="J3781" s="11">
        <v>0.0</v>
      </c>
      <c r="K3781" s="12" t="s">
        <v>3075</v>
      </c>
      <c r="L3781" s="13" t="s">
        <v>3075</v>
      </c>
      <c r="M3781" s="9" t="s">
        <v>3075</v>
      </c>
    </row>
    <row r="3782" ht="15.75" customHeight="1">
      <c r="A3782" s="8"/>
      <c r="B3782" s="8"/>
      <c r="C3782" s="8"/>
      <c r="D3782" s="8">
        <v>63.217307546936</v>
      </c>
      <c r="E3782" s="9" t="s">
        <v>1540</v>
      </c>
      <c r="I3782" s="12"/>
      <c r="J3782" s="11">
        <v>0.0</v>
      </c>
      <c r="K3782" s="12" t="s">
        <v>3075</v>
      </c>
      <c r="L3782" s="13" t="s">
        <v>3075</v>
      </c>
      <c r="M3782" s="9" t="s">
        <v>3075</v>
      </c>
    </row>
    <row r="3783" ht="15.75" customHeight="1">
      <c r="A3783" s="8"/>
      <c r="B3783" s="8"/>
      <c r="C3783" s="8"/>
      <c r="D3783" s="8">
        <v>47.6805841394793</v>
      </c>
      <c r="E3783" s="9" t="s">
        <v>1541</v>
      </c>
      <c r="I3783" s="12"/>
      <c r="J3783" s="11">
        <v>0.0</v>
      </c>
      <c r="K3783" s="12" t="s">
        <v>3075</v>
      </c>
      <c r="L3783" s="13" t="s">
        <v>3075</v>
      </c>
      <c r="M3783" s="9" t="s">
        <v>3075</v>
      </c>
    </row>
    <row r="3784" ht="15.75" customHeight="1">
      <c r="A3784" s="8"/>
      <c r="B3784" s="8"/>
      <c r="C3784" s="8"/>
      <c r="D3784" s="8">
        <v>63.217307546936</v>
      </c>
      <c r="E3784" s="9" t="s">
        <v>1542</v>
      </c>
      <c r="I3784" s="12"/>
      <c r="J3784" s="11">
        <v>0.0</v>
      </c>
      <c r="K3784" s="12" t="s">
        <v>3075</v>
      </c>
      <c r="L3784" s="13" t="s">
        <v>3075</v>
      </c>
      <c r="M3784" s="9" t="s">
        <v>3075</v>
      </c>
    </row>
    <row r="3785" ht="15.75" customHeight="1">
      <c r="A3785" s="8"/>
      <c r="B3785" s="8"/>
      <c r="C3785" s="8"/>
      <c r="D3785" s="8">
        <v>63.217307546936</v>
      </c>
      <c r="E3785" s="9" t="s">
        <v>1544</v>
      </c>
      <c r="I3785" s="12"/>
      <c r="J3785" s="11">
        <v>0.0</v>
      </c>
      <c r="K3785" s="12" t="s">
        <v>3075</v>
      </c>
      <c r="L3785" s="13" t="s">
        <v>3075</v>
      </c>
      <c r="M3785" s="9" t="s">
        <v>3075</v>
      </c>
    </row>
    <row r="3786" ht="15.75" customHeight="1">
      <c r="A3786" s="8"/>
      <c r="B3786" s="8"/>
      <c r="C3786" s="8"/>
      <c r="D3786" s="8">
        <v>63.217307546936</v>
      </c>
      <c r="E3786" s="9" t="s">
        <v>1547</v>
      </c>
      <c r="I3786" s="12"/>
      <c r="J3786" s="11">
        <v>0.0</v>
      </c>
      <c r="K3786" s="12" t="s">
        <v>3075</v>
      </c>
      <c r="L3786" s="13" t="s">
        <v>3075</v>
      </c>
      <c r="M3786" s="9" t="s">
        <v>3075</v>
      </c>
    </row>
    <row r="3787" ht="15.75" customHeight="1">
      <c r="A3787" s="8"/>
      <c r="B3787" s="8"/>
      <c r="C3787" s="8"/>
      <c r="D3787" s="8">
        <v>4.57084070962921</v>
      </c>
      <c r="E3787" s="9" t="s">
        <v>3127</v>
      </c>
      <c r="I3787" s="12"/>
      <c r="J3787" s="11">
        <v>0.0</v>
      </c>
      <c r="K3787" s="12" t="s">
        <v>3075</v>
      </c>
      <c r="L3787" s="13" t="s">
        <v>3075</v>
      </c>
      <c r="M3787" s="9" t="s">
        <v>3075</v>
      </c>
    </row>
    <row r="3788" ht="15.75" customHeight="1">
      <c r="A3788" s="8"/>
      <c r="B3788" s="8"/>
      <c r="C3788" s="8"/>
      <c r="D3788" s="8">
        <v>63.217307546936</v>
      </c>
      <c r="E3788" s="9" t="s">
        <v>1548</v>
      </c>
      <c r="I3788" s="12"/>
      <c r="J3788" s="11">
        <v>0.0</v>
      </c>
      <c r="K3788" s="12" t="s">
        <v>3075</v>
      </c>
      <c r="L3788" s="13" t="s">
        <v>3075</v>
      </c>
      <c r="M3788" s="9" t="s">
        <v>3075</v>
      </c>
    </row>
    <row r="3789" ht="15.75" customHeight="1">
      <c r="A3789" s="8"/>
      <c r="B3789" s="8"/>
      <c r="C3789" s="8"/>
      <c r="D3789" s="8">
        <v>43.5728239324114</v>
      </c>
      <c r="E3789" s="9" t="s">
        <v>1549</v>
      </c>
      <c r="I3789" s="12"/>
      <c r="J3789" s="11">
        <v>0.0</v>
      </c>
      <c r="K3789" s="12" t="s">
        <v>3075</v>
      </c>
      <c r="L3789" s="13" t="s">
        <v>3075</v>
      </c>
      <c r="M3789" s="9" t="s">
        <v>3075</v>
      </c>
    </row>
    <row r="3790" ht="15.75" customHeight="1">
      <c r="A3790" s="8"/>
      <c r="B3790" s="8"/>
      <c r="C3790" s="8"/>
      <c r="D3790" s="8">
        <v>63.217307546936</v>
      </c>
      <c r="E3790" s="9" t="s">
        <v>1551</v>
      </c>
      <c r="I3790" s="12"/>
      <c r="J3790" s="11">
        <v>0.0</v>
      </c>
      <c r="K3790" s="12" t="s">
        <v>3075</v>
      </c>
      <c r="L3790" s="13" t="s">
        <v>3075</v>
      </c>
      <c r="M3790" s="9" t="s">
        <v>3075</v>
      </c>
    </row>
    <row r="3791" ht="15.75" customHeight="1">
      <c r="A3791" s="8"/>
      <c r="B3791" s="8"/>
      <c r="C3791" s="8"/>
      <c r="D3791" s="8">
        <v>63.217307546936</v>
      </c>
      <c r="E3791" s="9" t="s">
        <v>3128</v>
      </c>
      <c r="I3791" s="12"/>
      <c r="J3791" s="11">
        <v>0.0</v>
      </c>
      <c r="K3791" s="12" t="s">
        <v>3075</v>
      </c>
      <c r="L3791" s="13" t="s">
        <v>3075</v>
      </c>
      <c r="M3791" s="9" t="s">
        <v>3075</v>
      </c>
    </row>
    <row r="3792" ht="15.75" customHeight="1">
      <c r="A3792" s="8"/>
      <c r="B3792" s="8"/>
      <c r="C3792" s="8"/>
      <c r="D3792" s="8">
        <v>59.7934857212107</v>
      </c>
      <c r="E3792" s="9" t="s">
        <v>1552</v>
      </c>
      <c r="I3792" s="12"/>
      <c r="J3792" s="11">
        <v>0.0</v>
      </c>
      <c r="K3792" s="12" t="s">
        <v>3075</v>
      </c>
      <c r="L3792" s="13" t="s">
        <v>3075</v>
      </c>
      <c r="M3792" s="9" t="s">
        <v>3075</v>
      </c>
    </row>
    <row r="3793" ht="15.75" customHeight="1">
      <c r="A3793" s="8"/>
      <c r="B3793" s="8"/>
      <c r="C3793" s="8"/>
      <c r="D3793" s="8">
        <v>63.217307546936</v>
      </c>
      <c r="E3793" s="9" t="s">
        <v>1553</v>
      </c>
      <c r="I3793" s="12"/>
      <c r="J3793" s="11">
        <v>0.0</v>
      </c>
      <c r="K3793" s="12" t="s">
        <v>3075</v>
      </c>
      <c r="L3793" s="13" t="s">
        <v>3075</v>
      </c>
      <c r="M3793" s="9" t="s">
        <v>3075</v>
      </c>
    </row>
    <row r="3794" ht="15.75" customHeight="1">
      <c r="A3794" s="8"/>
      <c r="B3794" s="8"/>
      <c r="C3794" s="8"/>
      <c r="D3794" s="8">
        <v>63.217307546936</v>
      </c>
      <c r="E3794" s="9" t="s">
        <v>1554</v>
      </c>
      <c r="I3794" s="12"/>
      <c r="J3794" s="11">
        <v>0.0</v>
      </c>
      <c r="K3794" s="12" t="s">
        <v>3075</v>
      </c>
      <c r="L3794" s="13" t="s">
        <v>3075</v>
      </c>
      <c r="M3794" s="9" t="s">
        <v>3075</v>
      </c>
    </row>
    <row r="3795" ht="15.75" customHeight="1">
      <c r="A3795" s="8"/>
      <c r="B3795" s="8"/>
      <c r="C3795" s="8"/>
      <c r="D3795" s="8">
        <v>63.217307546936</v>
      </c>
      <c r="E3795" s="9" t="s">
        <v>1555</v>
      </c>
      <c r="I3795" s="12"/>
      <c r="J3795" s="11">
        <v>0.0</v>
      </c>
      <c r="K3795" s="12" t="s">
        <v>3075</v>
      </c>
      <c r="L3795" s="13" t="s">
        <v>3075</v>
      </c>
      <c r="M3795" s="9" t="s">
        <v>3075</v>
      </c>
    </row>
    <row r="3796" ht="15.75" customHeight="1">
      <c r="A3796" s="8"/>
      <c r="B3796" s="8"/>
      <c r="C3796" s="8"/>
      <c r="D3796" s="8">
        <v>63.217307546936</v>
      </c>
      <c r="E3796" s="9" t="s">
        <v>1556</v>
      </c>
      <c r="I3796" s="12"/>
      <c r="J3796" s="11">
        <v>0.0</v>
      </c>
      <c r="K3796" s="12" t="s">
        <v>3075</v>
      </c>
      <c r="L3796" s="13" t="s">
        <v>3075</v>
      </c>
      <c r="M3796" s="9" t="s">
        <v>3075</v>
      </c>
    </row>
    <row r="3797" ht="15.75" customHeight="1">
      <c r="A3797" s="8"/>
      <c r="B3797" s="8"/>
      <c r="C3797" s="8"/>
      <c r="D3797" s="8">
        <v>14.6664153508891</v>
      </c>
      <c r="E3797" s="9" t="s">
        <v>1557</v>
      </c>
      <c r="I3797" s="12"/>
      <c r="J3797" s="11">
        <v>0.0</v>
      </c>
      <c r="K3797" s="12" t="s">
        <v>3075</v>
      </c>
      <c r="L3797" s="13" t="s">
        <v>3075</v>
      </c>
      <c r="M3797" s="9" t="s">
        <v>3075</v>
      </c>
    </row>
    <row r="3798" ht="15.75" customHeight="1">
      <c r="A3798" s="8"/>
      <c r="B3798" s="8"/>
      <c r="C3798" s="8"/>
      <c r="D3798" s="8">
        <v>63.217307546936</v>
      </c>
      <c r="E3798" s="9" t="s">
        <v>1564</v>
      </c>
      <c r="I3798" s="12"/>
      <c r="J3798" s="11">
        <v>0.0</v>
      </c>
      <c r="K3798" s="12" t="s">
        <v>3075</v>
      </c>
      <c r="L3798" s="13" t="s">
        <v>3075</v>
      </c>
      <c r="M3798" s="9" t="s">
        <v>3075</v>
      </c>
    </row>
    <row r="3799" ht="15.75" customHeight="1">
      <c r="A3799" s="8"/>
      <c r="B3799" s="8"/>
      <c r="C3799" s="8"/>
      <c r="D3799" s="8">
        <v>51.8354522947472</v>
      </c>
      <c r="E3799" s="9" t="s">
        <v>1565</v>
      </c>
      <c r="I3799" s="12"/>
      <c r="J3799" s="11">
        <v>0.0</v>
      </c>
      <c r="K3799" s="12" t="s">
        <v>3075</v>
      </c>
      <c r="L3799" s="13" t="s">
        <v>3075</v>
      </c>
      <c r="M3799" s="9" t="s">
        <v>3075</v>
      </c>
    </row>
    <row r="3800" ht="15.75" customHeight="1">
      <c r="A3800" s="8"/>
      <c r="B3800" s="8"/>
      <c r="C3800" s="8"/>
      <c r="D3800" s="8">
        <v>63.217307546936</v>
      </c>
      <c r="E3800" s="9" t="s">
        <v>1566</v>
      </c>
      <c r="I3800" s="12"/>
      <c r="J3800" s="11">
        <v>0.0</v>
      </c>
      <c r="K3800" s="12" t="s">
        <v>3075</v>
      </c>
      <c r="L3800" s="13" t="s">
        <v>3075</v>
      </c>
      <c r="M3800" s="9" t="s">
        <v>3075</v>
      </c>
    </row>
    <row r="3801" ht="15.75" customHeight="1">
      <c r="A3801" s="8"/>
      <c r="B3801" s="8"/>
      <c r="C3801" s="8"/>
      <c r="D3801" s="8">
        <v>25.8058857021329</v>
      </c>
      <c r="E3801" s="9" t="s">
        <v>1569</v>
      </c>
      <c r="I3801" s="12"/>
      <c r="J3801" s="11">
        <v>0.0</v>
      </c>
      <c r="K3801" s="12" t="s">
        <v>3075</v>
      </c>
      <c r="L3801" s="13" t="s">
        <v>3075</v>
      </c>
      <c r="M3801" s="9" t="s">
        <v>3075</v>
      </c>
    </row>
    <row r="3802" ht="15.75" customHeight="1">
      <c r="A3802" s="8"/>
      <c r="B3802" s="8"/>
      <c r="C3802" s="8"/>
      <c r="D3802" s="8">
        <v>63.217307546936</v>
      </c>
      <c r="E3802" s="9" t="s">
        <v>1572</v>
      </c>
      <c r="I3802" s="12"/>
      <c r="J3802" s="11">
        <v>0.0</v>
      </c>
      <c r="K3802" s="12" t="s">
        <v>3075</v>
      </c>
      <c r="L3802" s="13" t="s">
        <v>3075</v>
      </c>
      <c r="M3802" s="9" t="s">
        <v>3075</v>
      </c>
    </row>
    <row r="3803" ht="15.75" customHeight="1">
      <c r="A3803" s="8"/>
      <c r="B3803" s="8"/>
      <c r="C3803" s="8"/>
      <c r="D3803" s="8">
        <v>63.217307546936</v>
      </c>
      <c r="E3803" s="9" t="s">
        <v>1573</v>
      </c>
      <c r="I3803" s="12"/>
      <c r="J3803" s="11">
        <v>0.0</v>
      </c>
      <c r="K3803" s="12" t="s">
        <v>3075</v>
      </c>
      <c r="L3803" s="13" t="s">
        <v>3075</v>
      </c>
      <c r="M3803" s="9" t="s">
        <v>3075</v>
      </c>
    </row>
    <row r="3804" ht="15.75" customHeight="1">
      <c r="A3804" s="8"/>
      <c r="B3804" s="8"/>
      <c r="C3804" s="8"/>
      <c r="D3804" s="8">
        <v>63.217307546936</v>
      </c>
      <c r="E3804" s="9" t="s">
        <v>1576</v>
      </c>
      <c r="I3804" s="12"/>
      <c r="J3804" s="11">
        <v>0.0</v>
      </c>
      <c r="K3804" s="12" t="s">
        <v>3075</v>
      </c>
      <c r="L3804" s="13" t="s">
        <v>3075</v>
      </c>
      <c r="M3804" s="9" t="s">
        <v>3075</v>
      </c>
    </row>
    <row r="3805" ht="15.75" customHeight="1">
      <c r="A3805" s="8"/>
      <c r="B3805" s="8"/>
      <c r="C3805" s="8"/>
      <c r="D3805" s="8">
        <v>63.217307546936</v>
      </c>
      <c r="E3805" s="9" t="s">
        <v>1580</v>
      </c>
      <c r="I3805" s="12"/>
      <c r="J3805" s="11">
        <v>0.0</v>
      </c>
      <c r="K3805" s="12" t="s">
        <v>3075</v>
      </c>
      <c r="L3805" s="13" t="s">
        <v>3075</v>
      </c>
      <c r="M3805" s="9" t="s">
        <v>3075</v>
      </c>
    </row>
    <row r="3806" ht="15.75" customHeight="1">
      <c r="A3806" s="8"/>
      <c r="B3806" s="8"/>
      <c r="C3806" s="8"/>
      <c r="D3806" s="8">
        <v>5.05738460375488</v>
      </c>
      <c r="E3806" s="9" t="s">
        <v>1582</v>
      </c>
      <c r="I3806" s="12"/>
      <c r="J3806" s="11">
        <v>0.0</v>
      </c>
      <c r="K3806" s="12" t="s">
        <v>3075</v>
      </c>
      <c r="L3806" s="13" t="s">
        <v>3075</v>
      </c>
      <c r="M3806" s="9" t="s">
        <v>3075</v>
      </c>
    </row>
    <row r="3807" ht="15.75" customHeight="1">
      <c r="A3807" s="8"/>
      <c r="B3807" s="8"/>
      <c r="C3807" s="8"/>
      <c r="D3807" s="8">
        <v>63.217307546936</v>
      </c>
      <c r="E3807" s="9" t="s">
        <v>1585</v>
      </c>
      <c r="I3807" s="12"/>
      <c r="J3807" s="11">
        <v>0.0</v>
      </c>
      <c r="K3807" s="12" t="s">
        <v>3075</v>
      </c>
      <c r="L3807" s="13" t="s">
        <v>3075</v>
      </c>
      <c r="M3807" s="9" t="s">
        <v>3075</v>
      </c>
    </row>
    <row r="3808" ht="15.75" customHeight="1">
      <c r="A3808" s="8"/>
      <c r="B3808" s="8"/>
      <c r="C3808" s="8"/>
      <c r="D3808" s="8">
        <v>63.217307546936</v>
      </c>
      <c r="E3808" s="9" t="s">
        <v>1593</v>
      </c>
      <c r="I3808" s="12"/>
      <c r="J3808" s="11">
        <v>0.0</v>
      </c>
      <c r="K3808" s="12" t="s">
        <v>3075</v>
      </c>
      <c r="L3808" s="13" t="s">
        <v>3075</v>
      </c>
      <c r="M3808" s="9" t="s">
        <v>3075</v>
      </c>
    </row>
    <row r="3809" ht="15.75" customHeight="1">
      <c r="A3809" s="8"/>
      <c r="B3809" s="8"/>
      <c r="C3809" s="8"/>
      <c r="D3809" s="8">
        <v>53.0038782855749</v>
      </c>
      <c r="E3809" s="9" t="s">
        <v>3129</v>
      </c>
      <c r="I3809" s="12"/>
      <c r="J3809" s="11">
        <v>0.0</v>
      </c>
      <c r="K3809" s="12" t="s">
        <v>3075</v>
      </c>
      <c r="L3809" s="13" t="s">
        <v>3075</v>
      </c>
      <c r="M3809" s="9" t="s">
        <v>3075</v>
      </c>
    </row>
    <row r="3810" ht="15.75" customHeight="1">
      <c r="A3810" s="8"/>
      <c r="B3810" s="8"/>
      <c r="C3810" s="8"/>
      <c r="D3810" s="8">
        <v>63.217307546936</v>
      </c>
      <c r="E3810" s="9" t="s">
        <v>1595</v>
      </c>
      <c r="I3810" s="12"/>
      <c r="J3810" s="11">
        <v>0.0</v>
      </c>
      <c r="K3810" s="12" t="s">
        <v>3075</v>
      </c>
      <c r="L3810" s="13" t="s">
        <v>3075</v>
      </c>
      <c r="M3810" s="9" t="s">
        <v>3075</v>
      </c>
    </row>
    <row r="3811" ht="15.75" customHeight="1">
      <c r="A3811" s="8"/>
      <c r="B3811" s="8"/>
      <c r="C3811" s="8"/>
      <c r="D3811" s="8">
        <v>63.217307546936</v>
      </c>
      <c r="E3811" s="9" t="s">
        <v>1596</v>
      </c>
      <c r="I3811" s="12"/>
      <c r="J3811" s="11">
        <v>0.0</v>
      </c>
      <c r="K3811" s="12" t="s">
        <v>3075</v>
      </c>
      <c r="L3811" s="13" t="s">
        <v>3075</v>
      </c>
      <c r="M3811" s="9" t="s">
        <v>3075</v>
      </c>
    </row>
    <row r="3812" ht="15.75" customHeight="1">
      <c r="A3812" s="8"/>
      <c r="B3812" s="8"/>
      <c r="C3812" s="8"/>
      <c r="D3812" s="8">
        <v>63.217307546936</v>
      </c>
      <c r="E3812" s="9" t="s">
        <v>1597</v>
      </c>
      <c r="I3812" s="12"/>
      <c r="J3812" s="11">
        <v>0.0</v>
      </c>
      <c r="K3812" s="12" t="s">
        <v>3075</v>
      </c>
      <c r="L3812" s="13" t="s">
        <v>3075</v>
      </c>
      <c r="M3812" s="9" t="s">
        <v>3075</v>
      </c>
    </row>
    <row r="3813" ht="15.75" customHeight="1">
      <c r="A3813" s="8"/>
      <c r="B3813" s="8"/>
      <c r="C3813" s="8"/>
      <c r="D3813" s="8">
        <v>11.6222197829759</v>
      </c>
      <c r="E3813" s="9" t="s">
        <v>1603</v>
      </c>
      <c r="I3813" s="12"/>
      <c r="J3813" s="11">
        <v>0.0</v>
      </c>
      <c r="K3813" s="12" t="s">
        <v>3075</v>
      </c>
      <c r="L3813" s="13" t="s">
        <v>3075</v>
      </c>
      <c r="M3813" s="9" t="s">
        <v>3075</v>
      </c>
    </row>
    <row r="3814" ht="15.75" customHeight="1">
      <c r="A3814" s="8"/>
      <c r="B3814" s="8"/>
      <c r="C3814" s="8"/>
      <c r="D3814" s="8">
        <v>62.1800041281654</v>
      </c>
      <c r="E3814" s="9" t="s">
        <v>3130</v>
      </c>
      <c r="I3814" s="12"/>
      <c r="J3814" s="11">
        <v>0.0</v>
      </c>
      <c r="K3814" s="12" t="s">
        <v>3075</v>
      </c>
      <c r="L3814" s="13" t="s">
        <v>3075</v>
      </c>
      <c r="M3814" s="9" t="s">
        <v>3075</v>
      </c>
    </row>
    <row r="3815" ht="15.75" customHeight="1">
      <c r="A3815" s="8"/>
      <c r="B3815" s="8"/>
      <c r="C3815" s="8"/>
      <c r="D3815" s="8">
        <v>63.217307546936</v>
      </c>
      <c r="E3815" s="9" t="s">
        <v>1604</v>
      </c>
      <c r="I3815" s="12"/>
      <c r="J3815" s="11">
        <v>0.0</v>
      </c>
      <c r="K3815" s="12" t="s">
        <v>3075</v>
      </c>
      <c r="L3815" s="13" t="s">
        <v>3075</v>
      </c>
      <c r="M3815" s="9" t="s">
        <v>3075</v>
      </c>
    </row>
    <row r="3816" ht="15.75" customHeight="1">
      <c r="A3816" s="8"/>
      <c r="B3816" s="8"/>
      <c r="C3816" s="8"/>
      <c r="D3816" s="8">
        <v>63.217307546936</v>
      </c>
      <c r="E3816" s="9" t="s">
        <v>1607</v>
      </c>
      <c r="I3816" s="12"/>
      <c r="J3816" s="11">
        <v>0.0</v>
      </c>
      <c r="K3816" s="12" t="s">
        <v>3075</v>
      </c>
      <c r="L3816" s="13" t="s">
        <v>3075</v>
      </c>
      <c r="M3816" s="9" t="s">
        <v>3075</v>
      </c>
    </row>
    <row r="3817" ht="15.75" customHeight="1">
      <c r="A3817" s="8"/>
      <c r="B3817" s="8"/>
      <c r="C3817" s="8"/>
      <c r="D3817" s="8">
        <v>61.691957962616</v>
      </c>
      <c r="E3817" s="9" t="s">
        <v>1610</v>
      </c>
      <c r="I3817" s="12"/>
      <c r="J3817" s="11">
        <v>0.0</v>
      </c>
      <c r="K3817" s="12" t="s">
        <v>3075</v>
      </c>
      <c r="L3817" s="13" t="s">
        <v>3075</v>
      </c>
      <c r="M3817" s="9" t="s">
        <v>3075</v>
      </c>
    </row>
    <row r="3818" ht="15.75" customHeight="1">
      <c r="A3818" s="8"/>
      <c r="B3818" s="8"/>
      <c r="C3818" s="8"/>
      <c r="D3818" s="8">
        <v>46.4331000364157</v>
      </c>
      <c r="E3818" s="9" t="s">
        <v>1614</v>
      </c>
      <c r="I3818" s="12"/>
      <c r="J3818" s="11">
        <v>0.0</v>
      </c>
      <c r="K3818" s="12" t="s">
        <v>3075</v>
      </c>
      <c r="L3818" s="13" t="s">
        <v>3075</v>
      </c>
      <c r="M3818" s="9" t="s">
        <v>3075</v>
      </c>
    </row>
    <row r="3819" ht="15.75" customHeight="1">
      <c r="A3819" s="8"/>
      <c r="B3819" s="8"/>
      <c r="C3819" s="8"/>
      <c r="D3819" s="8">
        <v>63.217307546936</v>
      </c>
      <c r="E3819" s="9" t="s">
        <v>1616</v>
      </c>
      <c r="I3819" s="12"/>
      <c r="J3819" s="11">
        <v>0.0</v>
      </c>
      <c r="K3819" s="12" t="s">
        <v>3075</v>
      </c>
      <c r="L3819" s="13" t="s">
        <v>3075</v>
      </c>
      <c r="M3819" s="9" t="s">
        <v>3075</v>
      </c>
    </row>
    <row r="3820" ht="15.75" customHeight="1">
      <c r="A3820" s="8"/>
      <c r="B3820" s="8"/>
      <c r="C3820" s="8"/>
      <c r="D3820" s="8">
        <v>63.217307546936</v>
      </c>
      <c r="E3820" s="9" t="s">
        <v>3131</v>
      </c>
      <c r="I3820" s="12"/>
      <c r="J3820" s="11">
        <v>0.0</v>
      </c>
      <c r="K3820" s="12" t="s">
        <v>3075</v>
      </c>
      <c r="L3820" s="13" t="s">
        <v>3075</v>
      </c>
      <c r="M3820" s="9" t="s">
        <v>3075</v>
      </c>
    </row>
    <row r="3821" ht="15.75" customHeight="1">
      <c r="A3821" s="8"/>
      <c r="B3821" s="8"/>
      <c r="C3821" s="8"/>
      <c r="D3821" s="8">
        <v>63.217307546936</v>
      </c>
      <c r="E3821" s="9" t="s">
        <v>1620</v>
      </c>
      <c r="I3821" s="12"/>
      <c r="J3821" s="11">
        <v>0.0</v>
      </c>
      <c r="K3821" s="12" t="s">
        <v>3075</v>
      </c>
      <c r="L3821" s="13" t="s">
        <v>3075</v>
      </c>
      <c r="M3821" s="9" t="s">
        <v>3075</v>
      </c>
    </row>
    <row r="3822" ht="15.75" customHeight="1">
      <c r="A3822" s="8"/>
      <c r="B3822" s="8"/>
      <c r="C3822" s="8"/>
      <c r="D3822" s="8">
        <v>63.217307546936</v>
      </c>
      <c r="E3822" s="9" t="s">
        <v>1622</v>
      </c>
      <c r="I3822" s="12"/>
      <c r="J3822" s="11">
        <v>0.0</v>
      </c>
      <c r="K3822" s="12" t="s">
        <v>3075</v>
      </c>
      <c r="L3822" s="13" t="s">
        <v>3075</v>
      </c>
      <c r="M3822" s="9" t="s">
        <v>3075</v>
      </c>
    </row>
    <row r="3823" ht="15.75" customHeight="1">
      <c r="A3823" s="8"/>
      <c r="B3823" s="8"/>
      <c r="C3823" s="8"/>
      <c r="D3823" s="8">
        <v>63.217307546936</v>
      </c>
      <c r="E3823" s="9" t="s">
        <v>1623</v>
      </c>
      <c r="I3823" s="12"/>
      <c r="J3823" s="11">
        <v>0.0</v>
      </c>
      <c r="K3823" s="12" t="s">
        <v>3075</v>
      </c>
      <c r="L3823" s="13" t="s">
        <v>3075</v>
      </c>
      <c r="M3823" s="9" t="s">
        <v>3075</v>
      </c>
    </row>
    <row r="3824" ht="15.75" customHeight="1">
      <c r="A3824" s="8"/>
      <c r="B3824" s="8"/>
      <c r="C3824" s="8"/>
      <c r="D3824" s="8">
        <v>63.217307546936</v>
      </c>
      <c r="E3824" s="9" t="s">
        <v>1625</v>
      </c>
      <c r="I3824" s="12"/>
      <c r="J3824" s="11">
        <v>0.0</v>
      </c>
      <c r="K3824" s="12" t="s">
        <v>3075</v>
      </c>
      <c r="L3824" s="13" t="s">
        <v>3075</v>
      </c>
      <c r="M3824" s="9" t="s">
        <v>3075</v>
      </c>
    </row>
    <row r="3825" ht="15.75" customHeight="1">
      <c r="A3825" s="8"/>
      <c r="B3825" s="8"/>
      <c r="C3825" s="8"/>
      <c r="D3825" s="8">
        <v>63.217307546936</v>
      </c>
      <c r="E3825" s="9" t="s">
        <v>1627</v>
      </c>
      <c r="I3825" s="12"/>
      <c r="J3825" s="11">
        <v>0.0</v>
      </c>
      <c r="K3825" s="12" t="s">
        <v>3075</v>
      </c>
      <c r="L3825" s="13" t="s">
        <v>3075</v>
      </c>
      <c r="M3825" s="9" t="s">
        <v>3075</v>
      </c>
    </row>
    <row r="3826" ht="15.75" customHeight="1">
      <c r="A3826" s="8"/>
      <c r="B3826" s="8"/>
      <c r="C3826" s="8"/>
      <c r="D3826" s="8">
        <v>63.217307546936</v>
      </c>
      <c r="E3826" s="9" t="s">
        <v>1633</v>
      </c>
      <c r="I3826" s="12"/>
      <c r="J3826" s="11">
        <v>0.0</v>
      </c>
      <c r="K3826" s="12" t="s">
        <v>3075</v>
      </c>
      <c r="L3826" s="13" t="s">
        <v>3075</v>
      </c>
      <c r="M3826" s="9" t="s">
        <v>3075</v>
      </c>
    </row>
    <row r="3827" ht="15.75" customHeight="1">
      <c r="A3827" s="8"/>
      <c r="B3827" s="8"/>
      <c r="C3827" s="8"/>
      <c r="D3827" s="8">
        <v>63.217307546936</v>
      </c>
      <c r="E3827" s="9" t="s">
        <v>1635</v>
      </c>
      <c r="I3827" s="12"/>
      <c r="J3827" s="11">
        <v>0.0</v>
      </c>
      <c r="K3827" s="12" t="s">
        <v>3075</v>
      </c>
      <c r="L3827" s="13" t="s">
        <v>3075</v>
      </c>
      <c r="M3827" s="9" t="s">
        <v>3075</v>
      </c>
    </row>
    <row r="3828" ht="15.75" customHeight="1">
      <c r="A3828" s="8"/>
      <c r="B3828" s="8"/>
      <c r="C3828" s="8"/>
      <c r="D3828" s="8">
        <v>63.217307546936</v>
      </c>
      <c r="E3828" s="9" t="s">
        <v>3132</v>
      </c>
      <c r="I3828" s="12"/>
      <c r="J3828" s="11">
        <v>0.0</v>
      </c>
      <c r="K3828" s="12" t="s">
        <v>3075</v>
      </c>
      <c r="L3828" s="13" t="s">
        <v>3075</v>
      </c>
      <c r="M3828" s="9" t="s">
        <v>3075</v>
      </c>
    </row>
    <row r="3829" ht="15.75" customHeight="1">
      <c r="A3829" s="8"/>
      <c r="B3829" s="8"/>
      <c r="C3829" s="8"/>
      <c r="D3829" s="8">
        <v>63.217307546936</v>
      </c>
      <c r="E3829" s="9" t="s">
        <v>1638</v>
      </c>
      <c r="I3829" s="12"/>
      <c r="J3829" s="11">
        <v>0.0</v>
      </c>
      <c r="K3829" s="12" t="s">
        <v>3075</v>
      </c>
      <c r="L3829" s="13" t="s">
        <v>3075</v>
      </c>
      <c r="M3829" s="9" t="s">
        <v>3075</v>
      </c>
    </row>
    <row r="3830" ht="15.75" customHeight="1">
      <c r="A3830" s="8"/>
      <c r="B3830" s="8"/>
      <c r="C3830" s="8"/>
      <c r="D3830" s="8">
        <v>63.217307546936</v>
      </c>
      <c r="E3830" s="9" t="s">
        <v>1640</v>
      </c>
      <c r="I3830" s="12"/>
      <c r="J3830" s="11">
        <v>0.0</v>
      </c>
      <c r="K3830" s="12" t="s">
        <v>3075</v>
      </c>
      <c r="L3830" s="13" t="s">
        <v>3075</v>
      </c>
      <c r="M3830" s="9" t="s">
        <v>3075</v>
      </c>
    </row>
    <row r="3831" ht="15.75" customHeight="1">
      <c r="A3831" s="8"/>
      <c r="B3831" s="8"/>
      <c r="C3831" s="8"/>
      <c r="D3831" s="8">
        <v>50.5354789138579</v>
      </c>
      <c r="E3831" s="9" t="s">
        <v>1642</v>
      </c>
      <c r="I3831" s="12"/>
      <c r="J3831" s="11">
        <v>0.0</v>
      </c>
      <c r="K3831" s="12" t="s">
        <v>3075</v>
      </c>
      <c r="L3831" s="13" t="s">
        <v>3075</v>
      </c>
      <c r="M3831" s="9" t="s">
        <v>3075</v>
      </c>
    </row>
    <row r="3832" ht="15.75" customHeight="1">
      <c r="A3832" s="8"/>
      <c r="B3832" s="8"/>
      <c r="C3832" s="8"/>
      <c r="D3832" s="8">
        <v>63.217307546936</v>
      </c>
      <c r="E3832" s="9" t="s">
        <v>1643</v>
      </c>
      <c r="I3832" s="12"/>
      <c r="J3832" s="11">
        <v>0.0</v>
      </c>
      <c r="K3832" s="12" t="s">
        <v>3075</v>
      </c>
      <c r="L3832" s="13" t="s">
        <v>3075</v>
      </c>
      <c r="M3832" s="9" t="s">
        <v>3075</v>
      </c>
    </row>
    <row r="3833" ht="15.75" customHeight="1">
      <c r="A3833" s="8"/>
      <c r="B3833" s="8"/>
      <c r="C3833" s="8"/>
      <c r="D3833" s="8">
        <v>63.217307546936</v>
      </c>
      <c r="E3833" s="9" t="s">
        <v>1644</v>
      </c>
      <c r="I3833" s="12"/>
      <c r="J3833" s="11">
        <v>0.0</v>
      </c>
      <c r="K3833" s="12" t="s">
        <v>3075</v>
      </c>
      <c r="L3833" s="13" t="s">
        <v>3075</v>
      </c>
      <c r="M3833" s="9" t="s">
        <v>3075</v>
      </c>
    </row>
    <row r="3834" ht="15.75" customHeight="1">
      <c r="A3834" s="8"/>
      <c r="B3834" s="8"/>
      <c r="C3834" s="8"/>
      <c r="D3834" s="8">
        <v>63.217307546936</v>
      </c>
      <c r="E3834" s="9" t="s">
        <v>1647</v>
      </c>
      <c r="I3834" s="12"/>
      <c r="J3834" s="11">
        <v>0.0</v>
      </c>
      <c r="K3834" s="12" t="s">
        <v>3075</v>
      </c>
      <c r="L3834" s="13" t="s">
        <v>3075</v>
      </c>
      <c r="M3834" s="9" t="s">
        <v>3075</v>
      </c>
    </row>
    <row r="3835" ht="15.75" customHeight="1">
      <c r="A3835" s="8"/>
      <c r="B3835" s="8"/>
      <c r="C3835" s="8"/>
      <c r="D3835" s="8">
        <v>4.55164614337939</v>
      </c>
      <c r="E3835" s="9" t="s">
        <v>1651</v>
      </c>
      <c r="I3835" s="12"/>
      <c r="J3835" s="11">
        <v>0.0</v>
      </c>
      <c r="K3835" s="12" t="s">
        <v>3075</v>
      </c>
      <c r="L3835" s="13" t="s">
        <v>3075</v>
      </c>
      <c r="M3835" s="9" t="s">
        <v>3075</v>
      </c>
    </row>
    <row r="3836" ht="15.75" customHeight="1">
      <c r="A3836" s="8"/>
      <c r="B3836" s="8"/>
      <c r="C3836" s="8"/>
      <c r="D3836" s="8">
        <v>62.5514247163691</v>
      </c>
      <c r="E3836" s="9" t="s">
        <v>1652</v>
      </c>
      <c r="I3836" s="12"/>
      <c r="J3836" s="11">
        <v>0.0</v>
      </c>
      <c r="K3836" s="12" t="s">
        <v>3075</v>
      </c>
      <c r="L3836" s="13" t="s">
        <v>3075</v>
      </c>
      <c r="M3836" s="9" t="s">
        <v>3075</v>
      </c>
    </row>
    <row r="3837" ht="15.75" customHeight="1">
      <c r="A3837" s="8"/>
      <c r="B3837" s="8"/>
      <c r="C3837" s="8"/>
      <c r="D3837" s="8">
        <v>63.217307546936</v>
      </c>
      <c r="E3837" s="9" t="s">
        <v>1653</v>
      </c>
      <c r="I3837" s="12"/>
      <c r="J3837" s="11">
        <v>0.0</v>
      </c>
      <c r="K3837" s="12" t="s">
        <v>3075</v>
      </c>
      <c r="L3837" s="13" t="s">
        <v>3075</v>
      </c>
      <c r="M3837" s="9" t="s">
        <v>3075</v>
      </c>
    </row>
    <row r="3838" ht="15.75" customHeight="1">
      <c r="A3838" s="8"/>
      <c r="B3838" s="8"/>
      <c r="C3838" s="8"/>
      <c r="D3838" s="8">
        <v>50.5738460375488</v>
      </c>
      <c r="E3838" s="9" t="s">
        <v>3133</v>
      </c>
      <c r="I3838" s="12"/>
      <c r="J3838" s="11">
        <v>0.0</v>
      </c>
      <c r="K3838" s="12" t="s">
        <v>3075</v>
      </c>
      <c r="L3838" s="13" t="s">
        <v>3075</v>
      </c>
      <c r="M3838" s="9" t="s">
        <v>3075</v>
      </c>
    </row>
    <row r="3839" ht="15.75" customHeight="1">
      <c r="A3839" s="8"/>
      <c r="B3839" s="8"/>
      <c r="C3839" s="8"/>
      <c r="D3839" s="8">
        <v>63.217307546936</v>
      </c>
      <c r="E3839" s="9" t="s">
        <v>1661</v>
      </c>
      <c r="I3839" s="12"/>
      <c r="J3839" s="11">
        <v>0.0</v>
      </c>
      <c r="K3839" s="12" t="s">
        <v>3075</v>
      </c>
      <c r="L3839" s="13" t="s">
        <v>3075</v>
      </c>
      <c r="M3839" s="9" t="s">
        <v>3075</v>
      </c>
    </row>
    <row r="3840" ht="15.75" customHeight="1">
      <c r="A3840" s="8"/>
      <c r="B3840" s="8"/>
      <c r="C3840" s="8"/>
      <c r="D3840" s="8">
        <v>63.217307546936</v>
      </c>
      <c r="E3840" s="9" t="s">
        <v>1664</v>
      </c>
      <c r="I3840" s="12"/>
      <c r="J3840" s="11">
        <v>0.0</v>
      </c>
      <c r="K3840" s="12" t="s">
        <v>3075</v>
      </c>
      <c r="L3840" s="13" t="s">
        <v>3075</v>
      </c>
      <c r="M3840" s="9" t="s">
        <v>3075</v>
      </c>
    </row>
    <row r="3841" ht="15.75" customHeight="1">
      <c r="A3841" s="8"/>
      <c r="B3841" s="8"/>
      <c r="C3841" s="8"/>
      <c r="D3841" s="8">
        <v>38.9837294498759</v>
      </c>
      <c r="E3841" s="9" t="s">
        <v>3134</v>
      </c>
      <c r="I3841" s="12"/>
      <c r="J3841" s="11">
        <v>0.0</v>
      </c>
      <c r="K3841" s="12" t="s">
        <v>3075</v>
      </c>
      <c r="L3841" s="13" t="s">
        <v>3075</v>
      </c>
      <c r="M3841" s="9" t="s">
        <v>3075</v>
      </c>
    </row>
    <row r="3842" ht="15.75" customHeight="1">
      <c r="A3842" s="8"/>
      <c r="B3842" s="8"/>
      <c r="C3842" s="8"/>
      <c r="D3842" s="8">
        <v>63.1598750796908</v>
      </c>
      <c r="E3842" s="9" t="s">
        <v>1670</v>
      </c>
      <c r="I3842" s="12"/>
      <c r="J3842" s="11">
        <v>0.0</v>
      </c>
      <c r="K3842" s="12" t="s">
        <v>3075</v>
      </c>
      <c r="L3842" s="13" t="s">
        <v>3075</v>
      </c>
      <c r="M3842" s="9" t="s">
        <v>3075</v>
      </c>
    </row>
    <row r="3843" ht="15.75" customHeight="1">
      <c r="A3843" s="8"/>
      <c r="B3843" s="8"/>
      <c r="C3843" s="8"/>
      <c r="D3843" s="8">
        <v>63.217307546936</v>
      </c>
      <c r="E3843" s="9" t="s">
        <v>1671</v>
      </c>
      <c r="I3843" s="12"/>
      <c r="J3843" s="11">
        <v>0.0</v>
      </c>
      <c r="K3843" s="12" t="s">
        <v>3075</v>
      </c>
      <c r="L3843" s="13" t="s">
        <v>3075</v>
      </c>
      <c r="M3843" s="9" t="s">
        <v>3075</v>
      </c>
    </row>
    <row r="3844" ht="15.75" customHeight="1">
      <c r="A3844" s="8"/>
      <c r="B3844" s="8"/>
      <c r="C3844" s="8"/>
      <c r="D3844" s="8">
        <v>49.1285548107409</v>
      </c>
      <c r="E3844" s="9" t="s">
        <v>3135</v>
      </c>
      <c r="I3844" s="12"/>
      <c r="J3844" s="11">
        <v>0.0</v>
      </c>
      <c r="K3844" s="12" t="s">
        <v>3075</v>
      </c>
      <c r="L3844" s="13" t="s">
        <v>3075</v>
      </c>
      <c r="M3844" s="9" t="s">
        <v>3075</v>
      </c>
    </row>
    <row r="3845" ht="15.75" customHeight="1">
      <c r="A3845" s="8"/>
      <c r="B3845" s="8"/>
      <c r="C3845" s="8"/>
      <c r="D3845" s="8">
        <v>63.217307546936</v>
      </c>
      <c r="E3845" s="9" t="s">
        <v>1674</v>
      </c>
      <c r="I3845" s="12"/>
      <c r="J3845" s="11">
        <v>0.0</v>
      </c>
      <c r="K3845" s="12" t="s">
        <v>3075</v>
      </c>
      <c r="L3845" s="13" t="s">
        <v>3075</v>
      </c>
      <c r="M3845" s="9" t="s">
        <v>3075</v>
      </c>
    </row>
    <row r="3846" ht="15.75" customHeight="1">
      <c r="A3846" s="8"/>
      <c r="B3846" s="8"/>
      <c r="C3846" s="8"/>
      <c r="D3846" s="8">
        <v>17.7862257827658</v>
      </c>
      <c r="E3846" s="9" t="s">
        <v>1676</v>
      </c>
      <c r="I3846" s="12"/>
      <c r="J3846" s="11">
        <v>0.0</v>
      </c>
      <c r="K3846" s="12" t="s">
        <v>3075</v>
      </c>
      <c r="L3846" s="13" t="s">
        <v>3075</v>
      </c>
      <c r="M3846" s="9" t="s">
        <v>3075</v>
      </c>
    </row>
    <row r="3847" ht="15.75" customHeight="1">
      <c r="A3847" s="8"/>
      <c r="B3847" s="8"/>
      <c r="C3847" s="8"/>
      <c r="D3847" s="8">
        <v>12.6434615093872</v>
      </c>
      <c r="E3847" s="9" t="s">
        <v>1681</v>
      </c>
      <c r="I3847" s="12"/>
      <c r="J3847" s="11">
        <v>0.0</v>
      </c>
      <c r="K3847" s="12" t="s">
        <v>3075</v>
      </c>
      <c r="L3847" s="13" t="s">
        <v>3075</v>
      </c>
      <c r="M3847" s="9" t="s">
        <v>3075</v>
      </c>
    </row>
    <row r="3848" ht="15.75" customHeight="1">
      <c r="A3848" s="8"/>
      <c r="B3848" s="8"/>
      <c r="C3848" s="8"/>
      <c r="D3848" s="8">
        <v>63.217307546936</v>
      </c>
      <c r="E3848" s="9" t="s">
        <v>1682</v>
      </c>
      <c r="I3848" s="12"/>
      <c r="J3848" s="11">
        <v>0.0</v>
      </c>
      <c r="K3848" s="12" t="s">
        <v>3075</v>
      </c>
      <c r="L3848" s="13" t="s">
        <v>3075</v>
      </c>
      <c r="M3848" s="9" t="s">
        <v>3075</v>
      </c>
    </row>
    <row r="3849" ht="15.75" customHeight="1">
      <c r="A3849" s="8"/>
      <c r="B3849" s="8"/>
      <c r="C3849" s="8"/>
      <c r="D3849" s="8">
        <v>63.217307546936</v>
      </c>
      <c r="E3849" s="9" t="s">
        <v>1684</v>
      </c>
      <c r="I3849" s="12"/>
      <c r="J3849" s="11">
        <v>0.0</v>
      </c>
      <c r="K3849" s="12" t="s">
        <v>3075</v>
      </c>
      <c r="L3849" s="13" t="s">
        <v>3075</v>
      </c>
      <c r="M3849" s="9" t="s">
        <v>3075</v>
      </c>
    </row>
    <row r="3850" ht="15.75" customHeight="1">
      <c r="A3850" s="8"/>
      <c r="B3850" s="8"/>
      <c r="C3850" s="8"/>
      <c r="D3850" s="8">
        <v>62.8938483808205</v>
      </c>
      <c r="E3850" s="9" t="s">
        <v>1688</v>
      </c>
      <c r="I3850" s="12"/>
      <c r="J3850" s="11">
        <v>0.0</v>
      </c>
      <c r="K3850" s="12" t="s">
        <v>3075</v>
      </c>
      <c r="L3850" s="13" t="s">
        <v>3075</v>
      </c>
      <c r="M3850" s="9" t="s">
        <v>3075</v>
      </c>
    </row>
    <row r="3851" ht="15.75" customHeight="1">
      <c r="A3851" s="8"/>
      <c r="B3851" s="8"/>
      <c r="C3851" s="8"/>
      <c r="D3851" s="8">
        <v>63.217307546936</v>
      </c>
      <c r="E3851" s="9" t="s">
        <v>1691</v>
      </c>
      <c r="I3851" s="12"/>
      <c r="J3851" s="11">
        <v>0.0</v>
      </c>
      <c r="K3851" s="12" t="s">
        <v>3075</v>
      </c>
      <c r="L3851" s="13" t="s">
        <v>3075</v>
      </c>
      <c r="M3851" s="9" t="s">
        <v>3075</v>
      </c>
    </row>
    <row r="3852" ht="15.75" customHeight="1">
      <c r="A3852" s="8"/>
      <c r="B3852" s="8"/>
      <c r="C3852" s="8"/>
      <c r="D3852" s="8">
        <v>63.217307546936</v>
      </c>
      <c r="E3852" s="9" t="s">
        <v>1692</v>
      </c>
      <c r="I3852" s="12"/>
      <c r="J3852" s="11">
        <v>0.0</v>
      </c>
      <c r="K3852" s="12" t="s">
        <v>3075</v>
      </c>
      <c r="L3852" s="13" t="s">
        <v>3075</v>
      </c>
      <c r="M3852" s="9" t="s">
        <v>3075</v>
      </c>
    </row>
    <row r="3853" ht="15.75" customHeight="1">
      <c r="A3853" s="8"/>
      <c r="B3853" s="8"/>
      <c r="C3853" s="8"/>
      <c r="D3853" s="8">
        <v>51.332453728112</v>
      </c>
      <c r="E3853" s="9" t="s">
        <v>1695</v>
      </c>
      <c r="I3853" s="12"/>
      <c r="J3853" s="11">
        <v>0.0</v>
      </c>
      <c r="K3853" s="12" t="s">
        <v>3075</v>
      </c>
      <c r="L3853" s="13" t="s">
        <v>3075</v>
      </c>
      <c r="M3853" s="9" t="s">
        <v>3075</v>
      </c>
    </row>
    <row r="3854" ht="15.75" customHeight="1">
      <c r="A3854" s="8"/>
      <c r="B3854" s="8"/>
      <c r="C3854" s="8"/>
      <c r="D3854" s="8">
        <v>63.217307546936</v>
      </c>
      <c r="E3854" s="9" t="s">
        <v>1697</v>
      </c>
      <c r="I3854" s="12"/>
      <c r="J3854" s="11">
        <v>0.0</v>
      </c>
      <c r="K3854" s="12" t="s">
        <v>3075</v>
      </c>
      <c r="L3854" s="13" t="s">
        <v>3075</v>
      </c>
      <c r="M3854" s="9" t="s">
        <v>3075</v>
      </c>
    </row>
    <row r="3855" ht="15.75" customHeight="1">
      <c r="A3855" s="8"/>
      <c r="B3855" s="8"/>
      <c r="C3855" s="8"/>
      <c r="D3855" s="8">
        <v>27.0290092594155</v>
      </c>
      <c r="E3855" s="9" t="s">
        <v>3136</v>
      </c>
      <c r="I3855" s="12"/>
      <c r="J3855" s="11">
        <v>0.0</v>
      </c>
      <c r="K3855" s="12" t="s">
        <v>3075</v>
      </c>
      <c r="L3855" s="13" t="s">
        <v>3075</v>
      </c>
      <c r="M3855" s="9" t="s">
        <v>3075</v>
      </c>
    </row>
    <row r="3856" ht="15.75" customHeight="1">
      <c r="A3856" s="8"/>
      <c r="B3856" s="8"/>
      <c r="C3856" s="8"/>
      <c r="D3856" s="8">
        <v>40.9021396131512</v>
      </c>
      <c r="E3856" s="9" t="s">
        <v>1703</v>
      </c>
      <c r="I3856" s="12"/>
      <c r="J3856" s="11">
        <v>0.0</v>
      </c>
      <c r="K3856" s="12" t="s">
        <v>3075</v>
      </c>
      <c r="L3856" s="13" t="s">
        <v>3075</v>
      </c>
      <c r="M3856" s="9" t="s">
        <v>3075</v>
      </c>
    </row>
    <row r="3857" ht="15.75" customHeight="1">
      <c r="A3857" s="8"/>
      <c r="B3857" s="8"/>
      <c r="C3857" s="8"/>
      <c r="D3857" s="8">
        <v>63.217307546936</v>
      </c>
      <c r="E3857" s="9" t="s">
        <v>1707</v>
      </c>
      <c r="I3857" s="12"/>
      <c r="J3857" s="11">
        <v>0.0</v>
      </c>
      <c r="K3857" s="12" t="s">
        <v>3075</v>
      </c>
      <c r="L3857" s="13" t="s">
        <v>3075</v>
      </c>
      <c r="M3857" s="9" t="s">
        <v>3075</v>
      </c>
    </row>
    <row r="3858" ht="15.75" customHeight="1">
      <c r="A3858" s="8"/>
      <c r="B3858" s="8"/>
      <c r="C3858" s="8"/>
      <c r="D3858" s="8">
        <v>50.6322300231123</v>
      </c>
      <c r="E3858" s="9" t="s">
        <v>1710</v>
      </c>
      <c r="I3858" s="12"/>
      <c r="J3858" s="11">
        <v>0.0</v>
      </c>
      <c r="K3858" s="12" t="s">
        <v>3075</v>
      </c>
      <c r="L3858" s="13" t="s">
        <v>3075</v>
      </c>
      <c r="M3858" s="9" t="s">
        <v>3075</v>
      </c>
    </row>
    <row r="3859" ht="15.75" customHeight="1">
      <c r="A3859" s="8"/>
      <c r="B3859" s="8"/>
      <c r="C3859" s="8"/>
      <c r="D3859" s="8">
        <v>63.217307546936</v>
      </c>
      <c r="E3859" s="9" t="s">
        <v>1714</v>
      </c>
      <c r="I3859" s="12"/>
      <c r="J3859" s="11">
        <v>0.0</v>
      </c>
      <c r="K3859" s="12" t="s">
        <v>3075</v>
      </c>
      <c r="L3859" s="13" t="s">
        <v>3075</v>
      </c>
      <c r="M3859" s="9" t="s">
        <v>3075</v>
      </c>
    </row>
    <row r="3860" ht="15.75" customHeight="1">
      <c r="A3860" s="8"/>
      <c r="B3860" s="8"/>
      <c r="C3860" s="8"/>
      <c r="D3860" s="8">
        <v>63.217307546936</v>
      </c>
      <c r="E3860" s="9" t="s">
        <v>1716</v>
      </c>
      <c r="I3860" s="12"/>
      <c r="J3860" s="11">
        <v>0.0</v>
      </c>
      <c r="K3860" s="12" t="s">
        <v>3075</v>
      </c>
      <c r="L3860" s="13" t="s">
        <v>3075</v>
      </c>
      <c r="M3860" s="9" t="s">
        <v>3075</v>
      </c>
    </row>
    <row r="3861" ht="15.75" customHeight="1">
      <c r="A3861" s="8"/>
      <c r="B3861" s="8"/>
      <c r="C3861" s="8"/>
      <c r="D3861" s="8">
        <v>63.217307546936</v>
      </c>
      <c r="E3861" s="9" t="s">
        <v>1723</v>
      </c>
      <c r="I3861" s="12"/>
      <c r="J3861" s="11">
        <v>0.0</v>
      </c>
      <c r="K3861" s="12" t="s">
        <v>3075</v>
      </c>
      <c r="L3861" s="13" t="s">
        <v>3075</v>
      </c>
      <c r="M3861" s="9" t="s">
        <v>3075</v>
      </c>
    </row>
    <row r="3862" ht="15.75" customHeight="1">
      <c r="A3862" s="8"/>
      <c r="B3862" s="8"/>
      <c r="C3862" s="8"/>
      <c r="D3862" s="8">
        <v>63.217307546936</v>
      </c>
      <c r="E3862" s="9" t="s">
        <v>1725</v>
      </c>
      <c r="I3862" s="12"/>
      <c r="J3862" s="11">
        <v>0.0</v>
      </c>
      <c r="K3862" s="12" t="s">
        <v>3075</v>
      </c>
      <c r="L3862" s="13" t="s">
        <v>3075</v>
      </c>
      <c r="M3862" s="9" t="s">
        <v>3075</v>
      </c>
    </row>
    <row r="3863" ht="15.75" customHeight="1">
      <c r="A3863" s="8"/>
      <c r="B3863" s="8"/>
      <c r="C3863" s="8"/>
      <c r="D3863" s="8">
        <v>63.217307546936</v>
      </c>
      <c r="E3863" s="9" t="s">
        <v>1728</v>
      </c>
      <c r="I3863" s="12"/>
      <c r="J3863" s="11">
        <v>0.0</v>
      </c>
      <c r="K3863" s="12" t="s">
        <v>3075</v>
      </c>
      <c r="L3863" s="13" t="s">
        <v>3075</v>
      </c>
      <c r="M3863" s="9" t="s">
        <v>3075</v>
      </c>
    </row>
    <row r="3864" ht="15.75" customHeight="1">
      <c r="A3864" s="8"/>
      <c r="B3864" s="8"/>
      <c r="C3864" s="8"/>
      <c r="D3864" s="8">
        <v>63.217307546936</v>
      </c>
      <c r="E3864" s="9" t="s">
        <v>3137</v>
      </c>
      <c r="I3864" s="12"/>
      <c r="J3864" s="11">
        <v>0.0</v>
      </c>
      <c r="K3864" s="12" t="s">
        <v>3075</v>
      </c>
      <c r="L3864" s="13" t="s">
        <v>3075</v>
      </c>
      <c r="M3864" s="9" t="s">
        <v>3075</v>
      </c>
    </row>
    <row r="3865" ht="15.75" customHeight="1">
      <c r="A3865" s="8"/>
      <c r="B3865" s="8"/>
      <c r="C3865" s="8"/>
      <c r="D3865" s="8">
        <v>63.217307546936</v>
      </c>
      <c r="E3865" s="9" t="s">
        <v>1729</v>
      </c>
      <c r="I3865" s="12"/>
      <c r="J3865" s="11">
        <v>0.0</v>
      </c>
      <c r="K3865" s="12" t="s">
        <v>3075</v>
      </c>
      <c r="L3865" s="13" t="s">
        <v>3075</v>
      </c>
      <c r="M3865" s="9" t="s">
        <v>3075</v>
      </c>
    </row>
    <row r="3866" ht="15.75" customHeight="1">
      <c r="A3866" s="8"/>
      <c r="B3866" s="8"/>
      <c r="C3866" s="8"/>
      <c r="D3866" s="8">
        <v>63.217307546936</v>
      </c>
      <c r="E3866" s="9" t="s">
        <v>1732</v>
      </c>
      <c r="I3866" s="12"/>
      <c r="J3866" s="11">
        <v>0.0</v>
      </c>
      <c r="K3866" s="12" t="s">
        <v>3075</v>
      </c>
      <c r="L3866" s="13" t="s">
        <v>3075</v>
      </c>
      <c r="M3866" s="9" t="s">
        <v>3075</v>
      </c>
    </row>
    <row r="3867" ht="15.75" customHeight="1">
      <c r="A3867" s="8"/>
      <c r="B3867" s="8"/>
      <c r="C3867" s="8"/>
      <c r="D3867" s="8">
        <v>63.217307546936</v>
      </c>
      <c r="E3867" s="9" t="s">
        <v>1737</v>
      </c>
      <c r="I3867" s="12"/>
      <c r="J3867" s="11">
        <v>0.0</v>
      </c>
      <c r="K3867" s="12" t="s">
        <v>3075</v>
      </c>
      <c r="L3867" s="13" t="s">
        <v>3075</v>
      </c>
      <c r="M3867" s="9" t="s">
        <v>3075</v>
      </c>
    </row>
    <row r="3868" ht="15.75" customHeight="1">
      <c r="A3868" s="8"/>
      <c r="B3868" s="8"/>
      <c r="C3868" s="8"/>
      <c r="D3868" s="8">
        <v>12.6434615093872</v>
      </c>
      <c r="E3868" s="9" t="s">
        <v>1741</v>
      </c>
      <c r="I3868" s="12"/>
      <c r="J3868" s="11">
        <v>0.0</v>
      </c>
      <c r="K3868" s="12" t="s">
        <v>3075</v>
      </c>
      <c r="L3868" s="13" t="s">
        <v>3075</v>
      </c>
      <c r="M3868" s="9" t="s">
        <v>3075</v>
      </c>
    </row>
    <row r="3869" ht="15.75" customHeight="1">
      <c r="A3869" s="8"/>
      <c r="B3869" s="8"/>
      <c r="C3869" s="8"/>
      <c r="D3869" s="8">
        <v>62.8659880932784</v>
      </c>
      <c r="E3869" s="9" t="s">
        <v>1742</v>
      </c>
      <c r="I3869" s="12"/>
      <c r="J3869" s="11">
        <v>0.0</v>
      </c>
      <c r="K3869" s="12" t="s">
        <v>3075</v>
      </c>
      <c r="L3869" s="13" t="s">
        <v>3075</v>
      </c>
      <c r="M3869" s="9" t="s">
        <v>3075</v>
      </c>
    </row>
    <row r="3870" ht="15.75" customHeight="1">
      <c r="A3870" s="8"/>
      <c r="B3870" s="8"/>
      <c r="C3870" s="8"/>
      <c r="D3870" s="8">
        <v>63.217307546936</v>
      </c>
      <c r="E3870" s="9" t="s">
        <v>1744</v>
      </c>
      <c r="I3870" s="12"/>
      <c r="J3870" s="11">
        <v>0.0</v>
      </c>
      <c r="K3870" s="12" t="s">
        <v>3075</v>
      </c>
      <c r="L3870" s="13" t="s">
        <v>3075</v>
      </c>
      <c r="M3870" s="9" t="s">
        <v>3075</v>
      </c>
    </row>
    <row r="3871" ht="15.75" customHeight="1">
      <c r="A3871" s="8"/>
      <c r="B3871" s="8"/>
      <c r="C3871" s="8"/>
      <c r="D3871" s="8">
        <v>63.217307546936</v>
      </c>
      <c r="E3871" s="9" t="s">
        <v>1745</v>
      </c>
      <c r="I3871" s="12"/>
      <c r="J3871" s="11">
        <v>0.0</v>
      </c>
      <c r="K3871" s="12" t="s">
        <v>3075</v>
      </c>
      <c r="L3871" s="13" t="s">
        <v>3075</v>
      </c>
      <c r="M3871" s="9" t="s">
        <v>3075</v>
      </c>
    </row>
    <row r="3872" ht="15.75" customHeight="1">
      <c r="A3872" s="8"/>
      <c r="B3872" s="8"/>
      <c r="C3872" s="8"/>
      <c r="D3872" s="8">
        <v>22.5234789310077</v>
      </c>
      <c r="E3872" s="9" t="s">
        <v>3138</v>
      </c>
      <c r="I3872" s="12"/>
      <c r="J3872" s="11">
        <v>0.0</v>
      </c>
      <c r="K3872" s="12" t="s">
        <v>3075</v>
      </c>
      <c r="L3872" s="13" t="s">
        <v>3075</v>
      </c>
      <c r="M3872" s="9" t="s">
        <v>3075</v>
      </c>
    </row>
    <row r="3873" ht="15.75" customHeight="1">
      <c r="A3873" s="8"/>
      <c r="B3873" s="8"/>
      <c r="C3873" s="8"/>
      <c r="D3873" s="8">
        <v>63.217307546936</v>
      </c>
      <c r="E3873" s="9" t="s">
        <v>1748</v>
      </c>
      <c r="I3873" s="12"/>
      <c r="J3873" s="11">
        <v>0.0</v>
      </c>
      <c r="K3873" s="12" t="s">
        <v>3075</v>
      </c>
      <c r="L3873" s="13" t="s">
        <v>3075</v>
      </c>
      <c r="M3873" s="9" t="s">
        <v>3075</v>
      </c>
    </row>
    <row r="3874" ht="15.75" customHeight="1">
      <c r="A3874" s="8"/>
      <c r="B3874" s="8"/>
      <c r="C3874" s="8"/>
      <c r="D3874" s="8">
        <v>63.217307546936</v>
      </c>
      <c r="E3874" s="9" t="s">
        <v>1749</v>
      </c>
      <c r="I3874" s="12"/>
      <c r="J3874" s="11">
        <v>0.0</v>
      </c>
      <c r="K3874" s="12" t="s">
        <v>3075</v>
      </c>
      <c r="L3874" s="13" t="s">
        <v>3075</v>
      </c>
      <c r="M3874" s="9" t="s">
        <v>3075</v>
      </c>
    </row>
    <row r="3875" ht="15.75" customHeight="1">
      <c r="A3875" s="8"/>
      <c r="B3875" s="8"/>
      <c r="C3875" s="8"/>
      <c r="D3875" s="8">
        <v>63.217307546936</v>
      </c>
      <c r="E3875" s="9" t="s">
        <v>3139</v>
      </c>
      <c r="I3875" s="12"/>
      <c r="J3875" s="11">
        <v>0.0</v>
      </c>
      <c r="K3875" s="12" t="s">
        <v>3075</v>
      </c>
      <c r="L3875" s="13" t="s">
        <v>3075</v>
      </c>
      <c r="M3875" s="9" t="s">
        <v>3075</v>
      </c>
    </row>
    <row r="3876" ht="15.75" customHeight="1">
      <c r="A3876" s="8"/>
      <c r="B3876" s="8"/>
      <c r="C3876" s="8"/>
      <c r="D3876" s="8">
        <v>63.217307546936</v>
      </c>
      <c r="E3876" s="9" t="s">
        <v>1762</v>
      </c>
      <c r="I3876" s="12"/>
      <c r="J3876" s="11">
        <v>0.0</v>
      </c>
      <c r="K3876" s="12" t="s">
        <v>3075</v>
      </c>
      <c r="L3876" s="13" t="s">
        <v>3075</v>
      </c>
      <c r="M3876" s="9" t="s">
        <v>3075</v>
      </c>
    </row>
    <row r="3877" ht="15.75" customHeight="1">
      <c r="A3877" s="8"/>
      <c r="B3877" s="8"/>
      <c r="C3877" s="8"/>
      <c r="D3877" s="8">
        <v>63.217307546936</v>
      </c>
      <c r="E3877" s="9" t="s">
        <v>1766</v>
      </c>
      <c r="I3877" s="12"/>
      <c r="J3877" s="11">
        <v>0.0</v>
      </c>
      <c r="K3877" s="12" t="s">
        <v>3075</v>
      </c>
      <c r="L3877" s="13" t="s">
        <v>3075</v>
      </c>
      <c r="M3877" s="9" t="s">
        <v>3075</v>
      </c>
    </row>
    <row r="3878" ht="15.75" customHeight="1">
      <c r="A3878" s="8"/>
      <c r="B3878" s="8"/>
      <c r="C3878" s="8"/>
      <c r="D3878" s="8">
        <v>63.217307546936</v>
      </c>
      <c r="E3878" s="9" t="s">
        <v>1767</v>
      </c>
      <c r="I3878" s="12"/>
      <c r="J3878" s="11">
        <v>0.0</v>
      </c>
      <c r="K3878" s="12" t="s">
        <v>3075</v>
      </c>
      <c r="L3878" s="13" t="s">
        <v>3075</v>
      </c>
      <c r="M3878" s="9" t="s">
        <v>3075</v>
      </c>
    </row>
    <row r="3879" ht="15.75" customHeight="1">
      <c r="A3879" s="8"/>
      <c r="B3879" s="8"/>
      <c r="C3879" s="8"/>
      <c r="D3879" s="8">
        <v>58.384126975089</v>
      </c>
      <c r="E3879" s="9" t="s">
        <v>1774</v>
      </c>
      <c r="I3879" s="12"/>
      <c r="J3879" s="11">
        <v>0.0</v>
      </c>
      <c r="K3879" s="12" t="s">
        <v>3075</v>
      </c>
      <c r="L3879" s="13" t="s">
        <v>3075</v>
      </c>
      <c r="M3879" s="9" t="s">
        <v>3075</v>
      </c>
    </row>
    <row r="3880" ht="15.75" customHeight="1">
      <c r="A3880" s="8"/>
      <c r="B3880" s="8"/>
      <c r="C3880" s="8"/>
      <c r="D3880" s="8">
        <v>58.3526562452296</v>
      </c>
      <c r="E3880" s="9" t="s">
        <v>1775</v>
      </c>
      <c r="I3880" s="12"/>
      <c r="J3880" s="11">
        <v>0.0</v>
      </c>
      <c r="K3880" s="12" t="s">
        <v>3075</v>
      </c>
      <c r="L3880" s="13" t="s">
        <v>3075</v>
      </c>
      <c r="M3880" s="9" t="s">
        <v>3075</v>
      </c>
    </row>
    <row r="3881" ht="15.75" customHeight="1">
      <c r="A3881" s="8"/>
      <c r="B3881" s="8"/>
      <c r="C3881" s="8"/>
      <c r="D3881" s="8">
        <v>60.1996040612489</v>
      </c>
      <c r="E3881" s="9" t="s">
        <v>1776</v>
      </c>
      <c r="I3881" s="12"/>
      <c r="J3881" s="11">
        <v>0.0</v>
      </c>
      <c r="K3881" s="12" t="s">
        <v>3075</v>
      </c>
      <c r="L3881" s="13" t="s">
        <v>3075</v>
      </c>
      <c r="M3881" s="9" t="s">
        <v>3075</v>
      </c>
    </row>
    <row r="3882" ht="15.75" customHeight="1">
      <c r="A3882" s="8"/>
      <c r="B3882" s="8"/>
      <c r="C3882" s="8"/>
      <c r="D3882" s="8">
        <v>50.5738460375488</v>
      </c>
      <c r="E3882" s="9" t="s">
        <v>1781</v>
      </c>
      <c r="I3882" s="12"/>
      <c r="J3882" s="11">
        <v>0.0</v>
      </c>
      <c r="K3882" s="12" t="s">
        <v>3075</v>
      </c>
      <c r="L3882" s="13" t="s">
        <v>3075</v>
      </c>
      <c r="M3882" s="9" t="s">
        <v>3075</v>
      </c>
    </row>
    <row r="3883" ht="15.75" customHeight="1">
      <c r="A3883" s="8"/>
      <c r="B3883" s="8"/>
      <c r="C3883" s="8"/>
      <c r="D3883" s="8">
        <v>63.217307546936</v>
      </c>
      <c r="E3883" s="9" t="s">
        <v>1782</v>
      </c>
      <c r="I3883" s="12"/>
      <c r="J3883" s="11">
        <v>0.0</v>
      </c>
      <c r="K3883" s="12" t="s">
        <v>3075</v>
      </c>
      <c r="L3883" s="13" t="s">
        <v>3075</v>
      </c>
      <c r="M3883" s="9" t="s">
        <v>3075</v>
      </c>
    </row>
    <row r="3884" ht="15.75" customHeight="1">
      <c r="A3884" s="8"/>
      <c r="B3884" s="8"/>
      <c r="C3884" s="8"/>
      <c r="D3884" s="8">
        <v>63.217307546936</v>
      </c>
      <c r="E3884" s="9" t="s">
        <v>1787</v>
      </c>
      <c r="I3884" s="12"/>
      <c r="J3884" s="11">
        <v>0.0</v>
      </c>
      <c r="K3884" s="12" t="s">
        <v>3075</v>
      </c>
      <c r="L3884" s="13" t="s">
        <v>3075</v>
      </c>
      <c r="M3884" s="9" t="s">
        <v>3075</v>
      </c>
    </row>
    <row r="3885" ht="15.75" customHeight="1">
      <c r="A3885" s="8"/>
      <c r="B3885" s="8"/>
      <c r="C3885" s="8"/>
      <c r="D3885" s="8">
        <v>2.59944760830327</v>
      </c>
      <c r="E3885" s="9" t="s">
        <v>1788</v>
      </c>
      <c r="I3885" s="12"/>
      <c r="J3885" s="11">
        <v>0.0</v>
      </c>
      <c r="K3885" s="12" t="s">
        <v>3075</v>
      </c>
      <c r="L3885" s="13" t="s">
        <v>3075</v>
      </c>
      <c r="M3885" s="9" t="s">
        <v>3075</v>
      </c>
    </row>
    <row r="3886" ht="15.75" customHeight="1">
      <c r="A3886" s="8"/>
      <c r="B3886" s="8"/>
      <c r="C3886" s="8"/>
      <c r="D3886" s="8">
        <v>63.217307546936</v>
      </c>
      <c r="E3886" s="9" t="s">
        <v>3140</v>
      </c>
      <c r="I3886" s="12"/>
      <c r="J3886" s="11">
        <v>0.0</v>
      </c>
      <c r="K3886" s="12" t="s">
        <v>3075</v>
      </c>
      <c r="L3886" s="13" t="s">
        <v>3075</v>
      </c>
      <c r="M3886" s="9" t="s">
        <v>3075</v>
      </c>
    </row>
    <row r="3887" ht="15.75" customHeight="1">
      <c r="A3887" s="8"/>
      <c r="B3887" s="8"/>
      <c r="C3887" s="8"/>
      <c r="D3887" s="8">
        <v>63.217307546936</v>
      </c>
      <c r="E3887" s="9" t="s">
        <v>1792</v>
      </c>
      <c r="I3887" s="12"/>
      <c r="J3887" s="11">
        <v>0.0</v>
      </c>
      <c r="K3887" s="12" t="s">
        <v>3075</v>
      </c>
      <c r="L3887" s="13" t="s">
        <v>3075</v>
      </c>
      <c r="M3887" s="9" t="s">
        <v>3075</v>
      </c>
    </row>
    <row r="3888" ht="15.75" customHeight="1">
      <c r="A3888" s="8"/>
      <c r="B3888" s="8"/>
      <c r="C3888" s="8"/>
      <c r="D3888" s="8">
        <v>63.217307546936</v>
      </c>
      <c r="E3888" s="9" t="s">
        <v>1794</v>
      </c>
      <c r="I3888" s="12"/>
      <c r="J3888" s="11">
        <v>0.0</v>
      </c>
      <c r="K3888" s="12" t="s">
        <v>3075</v>
      </c>
      <c r="L3888" s="13" t="s">
        <v>3075</v>
      </c>
      <c r="M3888" s="9" t="s">
        <v>3075</v>
      </c>
    </row>
    <row r="3889" ht="15.75" customHeight="1">
      <c r="A3889" s="8"/>
      <c r="B3889" s="8"/>
      <c r="C3889" s="8"/>
      <c r="D3889" s="8">
        <v>63.217307546936</v>
      </c>
      <c r="E3889" s="9" t="s">
        <v>1796</v>
      </c>
      <c r="I3889" s="12"/>
      <c r="J3889" s="11">
        <v>0.0</v>
      </c>
      <c r="K3889" s="12" t="s">
        <v>3075</v>
      </c>
      <c r="L3889" s="13" t="s">
        <v>3075</v>
      </c>
      <c r="M3889" s="9" t="s">
        <v>3075</v>
      </c>
    </row>
    <row r="3890" ht="15.75" customHeight="1">
      <c r="A3890" s="8"/>
      <c r="B3890" s="8"/>
      <c r="C3890" s="8"/>
      <c r="D3890" s="8">
        <v>63.217307546936</v>
      </c>
      <c r="E3890" s="9" t="s">
        <v>1797</v>
      </c>
      <c r="I3890" s="12"/>
      <c r="J3890" s="11">
        <v>0.0</v>
      </c>
      <c r="K3890" s="12" t="s">
        <v>3075</v>
      </c>
      <c r="L3890" s="13" t="s">
        <v>3075</v>
      </c>
      <c r="M3890" s="9" t="s">
        <v>3075</v>
      </c>
    </row>
    <row r="3891" ht="15.75" customHeight="1">
      <c r="A3891" s="8"/>
      <c r="B3891" s="8"/>
      <c r="C3891" s="8"/>
      <c r="D3891" s="8">
        <v>63.217307546936</v>
      </c>
      <c r="E3891" s="9" t="s">
        <v>1798</v>
      </c>
      <c r="I3891" s="12"/>
      <c r="J3891" s="11">
        <v>0.0</v>
      </c>
      <c r="K3891" s="12" t="s">
        <v>3075</v>
      </c>
      <c r="L3891" s="13" t="s">
        <v>3075</v>
      </c>
      <c r="M3891" s="9" t="s">
        <v>3075</v>
      </c>
    </row>
    <row r="3892" ht="15.75" customHeight="1">
      <c r="A3892" s="8"/>
      <c r="B3892" s="8"/>
      <c r="C3892" s="8"/>
      <c r="D3892" s="8">
        <v>63.217307546936</v>
      </c>
      <c r="E3892" s="9" t="s">
        <v>1799</v>
      </c>
      <c r="I3892" s="12"/>
      <c r="J3892" s="11">
        <v>0.0</v>
      </c>
      <c r="K3892" s="12" t="s">
        <v>3075</v>
      </c>
      <c r="L3892" s="13" t="s">
        <v>3075</v>
      </c>
      <c r="M3892" s="9" t="s">
        <v>3075</v>
      </c>
    </row>
    <row r="3893" ht="15.75" customHeight="1">
      <c r="A3893" s="8"/>
      <c r="B3893" s="8"/>
      <c r="C3893" s="8"/>
      <c r="D3893" s="8">
        <v>63.217307546936</v>
      </c>
      <c r="E3893" s="9" t="s">
        <v>1802</v>
      </c>
      <c r="I3893" s="12"/>
      <c r="J3893" s="11">
        <v>0.0</v>
      </c>
      <c r="K3893" s="12" t="s">
        <v>3075</v>
      </c>
      <c r="L3893" s="13" t="s">
        <v>3075</v>
      </c>
      <c r="M3893" s="9" t="s">
        <v>3075</v>
      </c>
    </row>
    <row r="3894" ht="15.75" customHeight="1">
      <c r="A3894" s="8"/>
      <c r="B3894" s="8"/>
      <c r="C3894" s="8"/>
      <c r="D3894" s="8">
        <v>63.217307546936</v>
      </c>
      <c r="E3894" s="9" t="s">
        <v>1803</v>
      </c>
      <c r="I3894" s="12"/>
      <c r="J3894" s="11">
        <v>0.0</v>
      </c>
      <c r="K3894" s="12" t="s">
        <v>3075</v>
      </c>
      <c r="L3894" s="13" t="s">
        <v>3075</v>
      </c>
      <c r="M3894" s="9" t="s">
        <v>3075</v>
      </c>
    </row>
    <row r="3895" ht="15.75" customHeight="1">
      <c r="A3895" s="8"/>
      <c r="B3895" s="8"/>
      <c r="C3895" s="8"/>
      <c r="D3895" s="8">
        <v>63.217307546936</v>
      </c>
      <c r="E3895" s="9" t="s">
        <v>1805</v>
      </c>
      <c r="I3895" s="12"/>
      <c r="J3895" s="11">
        <v>0.0</v>
      </c>
      <c r="K3895" s="12" t="s">
        <v>3075</v>
      </c>
      <c r="L3895" s="13" t="s">
        <v>3075</v>
      </c>
      <c r="M3895" s="9" t="s">
        <v>3075</v>
      </c>
    </row>
    <row r="3896" ht="15.75" customHeight="1">
      <c r="A3896" s="8"/>
      <c r="B3896" s="8"/>
      <c r="C3896" s="8"/>
      <c r="D3896" s="8">
        <v>63.217307546936</v>
      </c>
      <c r="E3896" s="9" t="s">
        <v>3141</v>
      </c>
      <c r="I3896" s="12"/>
      <c r="J3896" s="11">
        <v>0.0</v>
      </c>
      <c r="K3896" s="12" t="s">
        <v>3075</v>
      </c>
      <c r="L3896" s="13" t="s">
        <v>3075</v>
      </c>
      <c r="M3896" s="9" t="s">
        <v>3075</v>
      </c>
    </row>
    <row r="3897" ht="15.75" customHeight="1">
      <c r="A3897" s="8"/>
      <c r="B3897" s="8"/>
      <c r="C3897" s="8"/>
      <c r="D3897" s="8">
        <v>50.0913960922689</v>
      </c>
      <c r="E3897" s="9" t="s">
        <v>1811</v>
      </c>
      <c r="I3897" s="12"/>
      <c r="J3897" s="11">
        <v>0.0</v>
      </c>
      <c r="K3897" s="12" t="s">
        <v>3075</v>
      </c>
      <c r="L3897" s="13" t="s">
        <v>3075</v>
      </c>
      <c r="M3897" s="9" t="s">
        <v>3075</v>
      </c>
    </row>
    <row r="3898" ht="15.75" customHeight="1">
      <c r="A3898" s="8"/>
      <c r="B3898" s="8"/>
      <c r="C3898" s="8"/>
      <c r="D3898" s="8">
        <v>63.0980309223809</v>
      </c>
      <c r="E3898" s="9" t="s">
        <v>1812</v>
      </c>
      <c r="I3898" s="12"/>
      <c r="J3898" s="11">
        <v>0.0</v>
      </c>
      <c r="K3898" s="12" t="s">
        <v>3075</v>
      </c>
      <c r="L3898" s="13" t="s">
        <v>3075</v>
      </c>
      <c r="M3898" s="9" t="s">
        <v>3075</v>
      </c>
    </row>
    <row r="3899" ht="15.75" customHeight="1">
      <c r="A3899" s="8"/>
      <c r="B3899" s="8"/>
      <c r="C3899" s="8"/>
      <c r="D3899" s="8">
        <v>63.217307546936</v>
      </c>
      <c r="E3899" s="9" t="s">
        <v>1813</v>
      </c>
      <c r="I3899" s="12"/>
      <c r="J3899" s="11">
        <v>0.0</v>
      </c>
      <c r="K3899" s="12" t="s">
        <v>3075</v>
      </c>
      <c r="L3899" s="13" t="s">
        <v>3075</v>
      </c>
      <c r="M3899" s="9" t="s">
        <v>3075</v>
      </c>
    </row>
    <row r="3900" ht="15.75" customHeight="1">
      <c r="A3900" s="8"/>
      <c r="B3900" s="8"/>
      <c r="C3900" s="8"/>
      <c r="D3900" s="8">
        <v>63.217307546936</v>
      </c>
      <c r="E3900" s="9" t="s">
        <v>1816</v>
      </c>
      <c r="I3900" s="12"/>
      <c r="J3900" s="11">
        <v>0.0</v>
      </c>
      <c r="K3900" s="12" t="s">
        <v>3075</v>
      </c>
      <c r="L3900" s="13" t="s">
        <v>3075</v>
      </c>
      <c r="M3900" s="9" t="s">
        <v>3075</v>
      </c>
    </row>
    <row r="3901" ht="15.75" customHeight="1">
      <c r="A3901" s="8"/>
      <c r="B3901" s="8"/>
      <c r="C3901" s="8"/>
      <c r="D3901" s="8">
        <v>63.217307546936</v>
      </c>
      <c r="E3901" s="9" t="s">
        <v>1820</v>
      </c>
      <c r="I3901" s="12"/>
      <c r="J3901" s="11">
        <v>0.0</v>
      </c>
      <c r="K3901" s="12" t="s">
        <v>3075</v>
      </c>
      <c r="L3901" s="13" t="s">
        <v>3075</v>
      </c>
      <c r="M3901" s="9" t="s">
        <v>3075</v>
      </c>
    </row>
    <row r="3902" ht="15.75" customHeight="1">
      <c r="A3902" s="8"/>
      <c r="B3902" s="8"/>
      <c r="C3902" s="8"/>
      <c r="D3902" s="8">
        <v>38.1680816045381</v>
      </c>
      <c r="E3902" s="9" t="s">
        <v>1822</v>
      </c>
      <c r="I3902" s="12"/>
      <c r="J3902" s="11">
        <v>0.0</v>
      </c>
      <c r="K3902" s="12" t="s">
        <v>3075</v>
      </c>
      <c r="L3902" s="13" t="s">
        <v>3075</v>
      </c>
      <c r="M3902" s="9" t="s">
        <v>3075</v>
      </c>
    </row>
    <row r="3903" ht="15.75" customHeight="1">
      <c r="A3903" s="8"/>
      <c r="B3903" s="8"/>
      <c r="C3903" s="8"/>
      <c r="D3903" s="8">
        <v>63.217307546936</v>
      </c>
      <c r="E3903" s="9" t="s">
        <v>1827</v>
      </c>
      <c r="I3903" s="12"/>
      <c r="J3903" s="11">
        <v>0.0</v>
      </c>
      <c r="K3903" s="12" t="s">
        <v>3075</v>
      </c>
      <c r="L3903" s="13" t="s">
        <v>3075</v>
      </c>
      <c r="M3903" s="9" t="s">
        <v>3075</v>
      </c>
    </row>
    <row r="3904" ht="15.75" customHeight="1">
      <c r="A3904" s="8"/>
      <c r="B3904" s="8"/>
      <c r="C3904" s="8"/>
      <c r="D3904" s="8">
        <v>8.39468211355704</v>
      </c>
      <c r="E3904" s="9" t="s">
        <v>1831</v>
      </c>
      <c r="I3904" s="12"/>
      <c r="J3904" s="11">
        <v>0.0</v>
      </c>
      <c r="K3904" s="12" t="s">
        <v>3075</v>
      </c>
      <c r="L3904" s="13" t="s">
        <v>3075</v>
      </c>
      <c r="M3904" s="9" t="s">
        <v>3075</v>
      </c>
    </row>
    <row r="3905" ht="15.75" customHeight="1">
      <c r="A3905" s="8"/>
      <c r="B3905" s="8"/>
      <c r="C3905" s="8"/>
      <c r="D3905" s="8">
        <v>58.8398097662261</v>
      </c>
      <c r="E3905" s="9" t="s">
        <v>1832</v>
      </c>
      <c r="I3905" s="12"/>
      <c r="J3905" s="11">
        <v>0.0</v>
      </c>
      <c r="K3905" s="12" t="s">
        <v>3075</v>
      </c>
      <c r="L3905" s="13" t="s">
        <v>3075</v>
      </c>
      <c r="M3905" s="9" t="s">
        <v>3075</v>
      </c>
    </row>
    <row r="3906" ht="15.75" customHeight="1">
      <c r="A3906" s="8"/>
      <c r="B3906" s="8"/>
      <c r="C3906" s="8"/>
      <c r="D3906" s="8">
        <v>63.217307546936</v>
      </c>
      <c r="E3906" s="9" t="s">
        <v>1835</v>
      </c>
      <c r="I3906" s="12"/>
      <c r="J3906" s="11">
        <v>0.0</v>
      </c>
      <c r="K3906" s="12" t="s">
        <v>3075</v>
      </c>
      <c r="L3906" s="13" t="s">
        <v>3075</v>
      </c>
      <c r="M3906" s="9" t="s">
        <v>3075</v>
      </c>
    </row>
    <row r="3907" ht="15.75" customHeight="1">
      <c r="A3907" s="8"/>
      <c r="B3907" s="8"/>
      <c r="C3907" s="8"/>
      <c r="D3907" s="8">
        <v>63.217307546936</v>
      </c>
      <c r="E3907" s="9" t="s">
        <v>1840</v>
      </c>
      <c r="I3907" s="12"/>
      <c r="J3907" s="11">
        <v>0.0</v>
      </c>
      <c r="K3907" s="12" t="s">
        <v>3075</v>
      </c>
      <c r="L3907" s="13" t="s">
        <v>3075</v>
      </c>
      <c r="M3907" s="9" t="s">
        <v>3075</v>
      </c>
    </row>
    <row r="3908" ht="15.75" customHeight="1">
      <c r="A3908" s="8"/>
      <c r="B3908" s="8"/>
      <c r="C3908" s="8"/>
      <c r="D3908" s="8">
        <v>63.217307546936</v>
      </c>
      <c r="E3908" s="9" t="s">
        <v>1843</v>
      </c>
      <c r="I3908" s="12"/>
      <c r="J3908" s="11">
        <v>0.0</v>
      </c>
      <c r="K3908" s="12" t="s">
        <v>3075</v>
      </c>
      <c r="L3908" s="13" t="s">
        <v>3075</v>
      </c>
      <c r="M3908" s="9" t="s">
        <v>3075</v>
      </c>
    </row>
    <row r="3909" ht="15.75" customHeight="1">
      <c r="A3909" s="8"/>
      <c r="B3909" s="8"/>
      <c r="C3909" s="8"/>
      <c r="D3909" s="8">
        <v>63.217307546936</v>
      </c>
      <c r="E3909" s="9" t="s">
        <v>1845</v>
      </c>
      <c r="I3909" s="12"/>
      <c r="J3909" s="11">
        <v>0.0</v>
      </c>
      <c r="K3909" s="12" t="s">
        <v>3075</v>
      </c>
      <c r="L3909" s="13" t="s">
        <v>3075</v>
      </c>
      <c r="M3909" s="9" t="s">
        <v>3075</v>
      </c>
    </row>
    <row r="3910" ht="15.75" customHeight="1">
      <c r="A3910" s="8"/>
      <c r="B3910" s="8"/>
      <c r="C3910" s="8"/>
      <c r="D3910" s="8">
        <v>63.217307546936</v>
      </c>
      <c r="E3910" s="9" t="s">
        <v>1847</v>
      </c>
      <c r="I3910" s="12"/>
      <c r="J3910" s="11">
        <v>0.0</v>
      </c>
      <c r="K3910" s="12" t="s">
        <v>3075</v>
      </c>
      <c r="L3910" s="13" t="s">
        <v>3075</v>
      </c>
      <c r="M3910" s="9" t="s">
        <v>3075</v>
      </c>
    </row>
    <row r="3911" ht="15.75" customHeight="1">
      <c r="A3911" s="8"/>
      <c r="B3911" s="8"/>
      <c r="C3911" s="8"/>
      <c r="D3911" s="8">
        <v>63.217307546936</v>
      </c>
      <c r="E3911" s="9" t="s">
        <v>1848</v>
      </c>
      <c r="I3911" s="12"/>
      <c r="J3911" s="11">
        <v>0.0</v>
      </c>
      <c r="K3911" s="12" t="s">
        <v>3075</v>
      </c>
      <c r="L3911" s="13" t="s">
        <v>3075</v>
      </c>
      <c r="M3911" s="9" t="s">
        <v>3075</v>
      </c>
    </row>
    <row r="3912" ht="15.75" customHeight="1">
      <c r="A3912" s="8"/>
      <c r="B3912" s="8"/>
      <c r="C3912" s="8"/>
      <c r="D3912" s="8">
        <v>31.6241813010978</v>
      </c>
      <c r="E3912" s="9" t="s">
        <v>1851</v>
      </c>
      <c r="I3912" s="12"/>
      <c r="J3912" s="11">
        <v>0.0</v>
      </c>
      <c r="K3912" s="12" t="s">
        <v>3075</v>
      </c>
      <c r="L3912" s="13" t="s">
        <v>3075</v>
      </c>
      <c r="M3912" s="9" t="s">
        <v>3075</v>
      </c>
    </row>
    <row r="3913" ht="15.75" customHeight="1">
      <c r="A3913" s="8"/>
      <c r="B3913" s="8"/>
      <c r="C3913" s="8"/>
      <c r="D3913" s="8">
        <v>63.217307546936</v>
      </c>
      <c r="E3913" s="9" t="s">
        <v>1854</v>
      </c>
      <c r="I3913" s="12"/>
      <c r="J3913" s="11">
        <v>0.0</v>
      </c>
      <c r="K3913" s="12" t="s">
        <v>3075</v>
      </c>
      <c r="L3913" s="13" t="s">
        <v>3075</v>
      </c>
      <c r="M3913" s="9" t="s">
        <v>3075</v>
      </c>
    </row>
    <row r="3914" ht="15.75" customHeight="1">
      <c r="A3914" s="8"/>
      <c r="B3914" s="8"/>
      <c r="C3914" s="8"/>
      <c r="D3914" s="8">
        <v>31.103034700876</v>
      </c>
      <c r="E3914" s="9" t="s">
        <v>1856</v>
      </c>
      <c r="I3914" s="12"/>
      <c r="J3914" s="11">
        <v>0.0</v>
      </c>
      <c r="K3914" s="12" t="s">
        <v>3075</v>
      </c>
      <c r="L3914" s="13" t="s">
        <v>3075</v>
      </c>
      <c r="M3914" s="9" t="s">
        <v>3075</v>
      </c>
    </row>
    <row r="3915" ht="15.75" customHeight="1">
      <c r="A3915" s="8"/>
      <c r="B3915" s="8"/>
      <c r="C3915" s="8"/>
      <c r="D3915" s="8">
        <v>0.758607690563232</v>
      </c>
      <c r="E3915" s="9" t="s">
        <v>1857</v>
      </c>
      <c r="I3915" s="12"/>
      <c r="J3915" s="11">
        <v>0.0</v>
      </c>
      <c r="K3915" s="12" t="s">
        <v>3075</v>
      </c>
      <c r="L3915" s="13" t="s">
        <v>3075</v>
      </c>
      <c r="M3915" s="9" t="s">
        <v>3075</v>
      </c>
    </row>
    <row r="3916" ht="15.75" customHeight="1">
      <c r="A3916" s="8"/>
      <c r="B3916" s="8"/>
      <c r="C3916" s="8"/>
      <c r="D3916" s="8">
        <v>63.217307546936</v>
      </c>
      <c r="E3916" s="9" t="s">
        <v>1858</v>
      </c>
      <c r="I3916" s="12"/>
      <c r="J3916" s="11">
        <v>0.0</v>
      </c>
      <c r="K3916" s="12" t="s">
        <v>3075</v>
      </c>
      <c r="L3916" s="13" t="s">
        <v>3075</v>
      </c>
      <c r="M3916" s="9" t="s">
        <v>3075</v>
      </c>
    </row>
    <row r="3917" ht="15.75" customHeight="1">
      <c r="A3917" s="8"/>
      <c r="B3917" s="8"/>
      <c r="C3917" s="8"/>
      <c r="D3917" s="8">
        <v>63.217307546936</v>
      </c>
      <c r="E3917" s="9" t="s">
        <v>1859</v>
      </c>
      <c r="I3917" s="12"/>
      <c r="J3917" s="11">
        <v>0.0</v>
      </c>
      <c r="K3917" s="12" t="s">
        <v>3075</v>
      </c>
      <c r="L3917" s="13" t="s">
        <v>3075</v>
      </c>
      <c r="M3917" s="9" t="s">
        <v>3075</v>
      </c>
    </row>
    <row r="3918" ht="15.75" customHeight="1">
      <c r="A3918" s="8"/>
      <c r="B3918" s="8"/>
      <c r="C3918" s="8"/>
      <c r="D3918" s="8">
        <v>63.217307546936</v>
      </c>
      <c r="E3918" s="9" t="s">
        <v>1860</v>
      </c>
      <c r="I3918" s="12"/>
      <c r="J3918" s="11">
        <v>0.0</v>
      </c>
      <c r="K3918" s="12" t="s">
        <v>3075</v>
      </c>
      <c r="L3918" s="13" t="s">
        <v>3075</v>
      </c>
      <c r="M3918" s="9" t="s">
        <v>3075</v>
      </c>
    </row>
    <row r="3919" ht="15.75" customHeight="1">
      <c r="A3919" s="8"/>
      <c r="B3919" s="8"/>
      <c r="C3919" s="8"/>
      <c r="D3919" s="8">
        <v>63.217307546936</v>
      </c>
      <c r="E3919" s="9" t="s">
        <v>1861</v>
      </c>
      <c r="I3919" s="12"/>
      <c r="J3919" s="11">
        <v>0.0</v>
      </c>
      <c r="K3919" s="12" t="s">
        <v>3075</v>
      </c>
      <c r="L3919" s="13" t="s">
        <v>3075</v>
      </c>
      <c r="M3919" s="9" t="s">
        <v>3075</v>
      </c>
    </row>
    <row r="3920" ht="15.75" customHeight="1">
      <c r="A3920" s="8"/>
      <c r="B3920" s="8"/>
      <c r="C3920" s="8"/>
      <c r="D3920" s="8">
        <v>63.217307546936</v>
      </c>
      <c r="E3920" s="9" t="s">
        <v>1863</v>
      </c>
      <c r="I3920" s="12"/>
      <c r="J3920" s="11">
        <v>0.0</v>
      </c>
      <c r="K3920" s="12" t="s">
        <v>3075</v>
      </c>
      <c r="L3920" s="13" t="s">
        <v>3075</v>
      </c>
      <c r="M3920" s="9" t="s">
        <v>3075</v>
      </c>
    </row>
    <row r="3921" ht="15.75" customHeight="1">
      <c r="A3921" s="8"/>
      <c r="B3921" s="8"/>
      <c r="C3921" s="8"/>
      <c r="D3921" s="8">
        <v>63.217307546936</v>
      </c>
      <c r="E3921" s="9" t="s">
        <v>1865</v>
      </c>
      <c r="I3921" s="12"/>
      <c r="J3921" s="11">
        <v>0.0</v>
      </c>
      <c r="K3921" s="12" t="s">
        <v>3075</v>
      </c>
      <c r="L3921" s="13" t="s">
        <v>3075</v>
      </c>
      <c r="M3921" s="9" t="s">
        <v>3075</v>
      </c>
    </row>
    <row r="3922" ht="15.75" customHeight="1">
      <c r="A3922" s="8"/>
      <c r="B3922" s="8"/>
      <c r="C3922" s="8"/>
      <c r="D3922" s="8">
        <v>63.217307546936</v>
      </c>
      <c r="E3922" s="9" t="s">
        <v>1866</v>
      </c>
      <c r="I3922" s="12"/>
      <c r="J3922" s="11">
        <v>0.0</v>
      </c>
      <c r="K3922" s="12" t="s">
        <v>3075</v>
      </c>
      <c r="L3922" s="13" t="s">
        <v>3075</v>
      </c>
      <c r="M3922" s="9" t="s">
        <v>3075</v>
      </c>
    </row>
    <row r="3923" ht="15.75" customHeight="1">
      <c r="A3923" s="8"/>
      <c r="B3923" s="8"/>
      <c r="C3923" s="8"/>
      <c r="D3923" s="8">
        <v>63.217307546936</v>
      </c>
      <c r="E3923" s="9" t="s">
        <v>3142</v>
      </c>
      <c r="I3923" s="12"/>
      <c r="J3923" s="11">
        <v>0.0</v>
      </c>
      <c r="K3923" s="12" t="s">
        <v>3075</v>
      </c>
      <c r="L3923" s="13" t="s">
        <v>3075</v>
      </c>
      <c r="M3923" s="9" t="s">
        <v>3075</v>
      </c>
    </row>
    <row r="3924" ht="15.75" customHeight="1">
      <c r="A3924" s="8"/>
      <c r="B3924" s="8"/>
      <c r="C3924" s="8"/>
      <c r="D3924" s="8">
        <v>63.217307546936</v>
      </c>
      <c r="E3924" s="9" t="s">
        <v>1869</v>
      </c>
      <c r="I3924" s="12"/>
      <c r="J3924" s="11">
        <v>0.0</v>
      </c>
      <c r="K3924" s="12" t="s">
        <v>3075</v>
      </c>
      <c r="L3924" s="13" t="s">
        <v>3075</v>
      </c>
      <c r="M3924" s="9" t="s">
        <v>3075</v>
      </c>
    </row>
    <row r="3925" ht="15.75" customHeight="1">
      <c r="A3925" s="8"/>
      <c r="B3925" s="8"/>
      <c r="C3925" s="8"/>
      <c r="D3925" s="8">
        <v>63.217307546936</v>
      </c>
      <c r="E3925" s="9" t="s">
        <v>1871</v>
      </c>
      <c r="I3925" s="12"/>
      <c r="J3925" s="11">
        <v>0.0</v>
      </c>
      <c r="K3925" s="12" t="s">
        <v>3075</v>
      </c>
      <c r="L3925" s="13" t="s">
        <v>3075</v>
      </c>
      <c r="M3925" s="9" t="s">
        <v>3075</v>
      </c>
    </row>
    <row r="3926" ht="15.75" customHeight="1">
      <c r="A3926" s="8"/>
      <c r="B3926" s="8"/>
      <c r="C3926" s="8"/>
      <c r="D3926" s="8">
        <v>63.217307546936</v>
      </c>
      <c r="E3926" s="9" t="s">
        <v>1873</v>
      </c>
      <c r="I3926" s="12"/>
      <c r="J3926" s="11">
        <v>0.0</v>
      </c>
      <c r="K3926" s="12" t="s">
        <v>3075</v>
      </c>
      <c r="L3926" s="13" t="s">
        <v>3075</v>
      </c>
      <c r="M3926" s="9" t="s">
        <v>3075</v>
      </c>
    </row>
    <row r="3927" ht="15.75" customHeight="1">
      <c r="A3927" s="8"/>
      <c r="B3927" s="8"/>
      <c r="C3927" s="8"/>
      <c r="D3927" s="8">
        <v>63.217307546936</v>
      </c>
      <c r="E3927" s="9" t="s">
        <v>1880</v>
      </c>
      <c r="I3927" s="12"/>
      <c r="J3927" s="11">
        <v>0.0</v>
      </c>
      <c r="K3927" s="12" t="s">
        <v>3075</v>
      </c>
      <c r="L3927" s="13" t="s">
        <v>3075</v>
      </c>
      <c r="M3927" s="9" t="s">
        <v>3075</v>
      </c>
    </row>
    <row r="3928" ht="15.75" customHeight="1">
      <c r="A3928" s="8"/>
      <c r="B3928" s="8"/>
      <c r="C3928" s="8"/>
      <c r="D3928" s="8">
        <v>63.217307546936</v>
      </c>
      <c r="E3928" s="9" t="s">
        <v>1882</v>
      </c>
      <c r="I3928" s="12"/>
      <c r="J3928" s="11">
        <v>0.0</v>
      </c>
      <c r="K3928" s="12" t="s">
        <v>3075</v>
      </c>
      <c r="L3928" s="13" t="s">
        <v>3075</v>
      </c>
      <c r="M3928" s="9" t="s">
        <v>3075</v>
      </c>
    </row>
    <row r="3929" ht="15.75" customHeight="1">
      <c r="A3929" s="8"/>
      <c r="B3929" s="8"/>
      <c r="C3929" s="8"/>
      <c r="D3929" s="8">
        <v>63.217307546936</v>
      </c>
      <c r="E3929" s="9" t="s">
        <v>1886</v>
      </c>
      <c r="I3929" s="12"/>
      <c r="J3929" s="11">
        <v>0.0</v>
      </c>
      <c r="K3929" s="12" t="s">
        <v>3075</v>
      </c>
      <c r="L3929" s="13" t="s">
        <v>3075</v>
      </c>
      <c r="M3929" s="9" t="s">
        <v>3075</v>
      </c>
    </row>
    <row r="3930" ht="15.75" customHeight="1">
      <c r="A3930" s="8"/>
      <c r="B3930" s="8"/>
      <c r="C3930" s="8"/>
      <c r="D3930" s="8">
        <v>36.259424655081</v>
      </c>
      <c r="E3930" s="9" t="s">
        <v>1887</v>
      </c>
      <c r="I3930" s="12"/>
      <c r="J3930" s="11">
        <v>0.0</v>
      </c>
      <c r="K3930" s="12" t="s">
        <v>3075</v>
      </c>
      <c r="L3930" s="13" t="s">
        <v>3075</v>
      </c>
      <c r="M3930" s="9" t="s">
        <v>3075</v>
      </c>
    </row>
    <row r="3931" ht="15.75" customHeight="1">
      <c r="A3931" s="8"/>
      <c r="B3931" s="8"/>
      <c r="C3931" s="8"/>
      <c r="D3931" s="8">
        <v>60.8521882447525</v>
      </c>
      <c r="E3931" s="9" t="s">
        <v>1891</v>
      </c>
      <c r="I3931" s="12"/>
      <c r="J3931" s="11">
        <v>0.0</v>
      </c>
      <c r="K3931" s="12" t="s">
        <v>3075</v>
      </c>
      <c r="L3931" s="13" t="s">
        <v>3075</v>
      </c>
      <c r="M3931" s="9" t="s">
        <v>3075</v>
      </c>
    </row>
    <row r="3932" ht="15.75" customHeight="1">
      <c r="A3932" s="8"/>
      <c r="B3932" s="8"/>
      <c r="C3932" s="8"/>
      <c r="D3932" s="8">
        <v>24.5655874651795</v>
      </c>
      <c r="E3932" s="9" t="s">
        <v>1893</v>
      </c>
      <c r="I3932" s="12"/>
      <c r="J3932" s="11">
        <v>0.0</v>
      </c>
      <c r="K3932" s="12" t="s">
        <v>3075</v>
      </c>
      <c r="L3932" s="13" t="s">
        <v>3075</v>
      </c>
      <c r="M3932" s="9" t="s">
        <v>3075</v>
      </c>
    </row>
    <row r="3933" ht="15.75" customHeight="1">
      <c r="A3933" s="8"/>
      <c r="B3933" s="8"/>
      <c r="C3933" s="8"/>
      <c r="D3933" s="8">
        <v>57.687944253395</v>
      </c>
      <c r="E3933" s="9" t="s">
        <v>1898</v>
      </c>
      <c r="I3933" s="12"/>
      <c r="J3933" s="11">
        <v>0.0</v>
      </c>
      <c r="K3933" s="12" t="s">
        <v>3075</v>
      </c>
      <c r="L3933" s="13" t="s">
        <v>3075</v>
      </c>
      <c r="M3933" s="9" t="s">
        <v>3075</v>
      </c>
    </row>
    <row r="3934" ht="15.75" customHeight="1">
      <c r="A3934" s="8"/>
      <c r="B3934" s="8"/>
      <c r="C3934" s="8"/>
      <c r="D3934" s="8">
        <v>61.8959831096856</v>
      </c>
      <c r="E3934" s="9" t="s">
        <v>1899</v>
      </c>
      <c r="I3934" s="12"/>
      <c r="J3934" s="11">
        <v>0.0</v>
      </c>
      <c r="K3934" s="12" t="s">
        <v>3075</v>
      </c>
      <c r="L3934" s="13" t="s">
        <v>3075</v>
      </c>
      <c r="M3934" s="9" t="s">
        <v>3075</v>
      </c>
    </row>
    <row r="3935" ht="15.75" customHeight="1">
      <c r="A3935" s="8"/>
      <c r="B3935" s="8"/>
      <c r="C3935" s="8"/>
      <c r="D3935" s="8">
        <v>51.956046197633</v>
      </c>
      <c r="E3935" s="9" t="s">
        <v>3143</v>
      </c>
      <c r="I3935" s="12"/>
      <c r="J3935" s="11">
        <v>0.0</v>
      </c>
      <c r="K3935" s="12" t="s">
        <v>3075</v>
      </c>
      <c r="L3935" s="13" t="s">
        <v>3075</v>
      </c>
      <c r="M3935" s="9" t="s">
        <v>3075</v>
      </c>
    </row>
    <row r="3936" ht="15.75" customHeight="1">
      <c r="A3936" s="8"/>
      <c r="B3936" s="8"/>
      <c r="C3936" s="8"/>
      <c r="D3936" s="8">
        <v>63.217307546936</v>
      </c>
      <c r="E3936" s="9" t="s">
        <v>1903</v>
      </c>
      <c r="I3936" s="12"/>
      <c r="J3936" s="11">
        <v>0.0</v>
      </c>
      <c r="K3936" s="12" t="s">
        <v>3075</v>
      </c>
      <c r="L3936" s="13" t="s">
        <v>3075</v>
      </c>
      <c r="M3936" s="9" t="s">
        <v>3075</v>
      </c>
    </row>
    <row r="3937" ht="15.75" customHeight="1">
      <c r="A3937" s="8"/>
      <c r="B3937" s="8"/>
      <c r="C3937" s="8"/>
      <c r="D3937" s="8">
        <v>11.5213605613905</v>
      </c>
      <c r="E3937" s="9" t="s">
        <v>1910</v>
      </c>
      <c r="I3937" s="12"/>
      <c r="J3937" s="11">
        <v>0.0</v>
      </c>
      <c r="K3937" s="12" t="s">
        <v>3075</v>
      </c>
      <c r="L3937" s="13" t="s">
        <v>3075</v>
      </c>
      <c r="M3937" s="9" t="s">
        <v>3075</v>
      </c>
    </row>
    <row r="3938" ht="15.75" customHeight="1">
      <c r="A3938" s="8"/>
      <c r="B3938" s="8"/>
      <c r="C3938" s="8"/>
      <c r="D3938" s="8">
        <v>55.0416654257878</v>
      </c>
      <c r="E3938" s="9" t="s">
        <v>1911</v>
      </c>
      <c r="I3938" s="12"/>
      <c r="J3938" s="11">
        <v>0.0</v>
      </c>
      <c r="K3938" s="12" t="s">
        <v>3075</v>
      </c>
      <c r="L3938" s="13" t="s">
        <v>3075</v>
      </c>
      <c r="M3938" s="9" t="s">
        <v>3075</v>
      </c>
    </row>
    <row r="3939" ht="15.75" customHeight="1">
      <c r="A3939" s="8"/>
      <c r="B3939" s="8"/>
      <c r="C3939" s="8"/>
      <c r="D3939" s="8">
        <v>63.217307546936</v>
      </c>
      <c r="E3939" s="9" t="s">
        <v>1913</v>
      </c>
      <c r="I3939" s="12"/>
      <c r="J3939" s="11">
        <v>0.0</v>
      </c>
      <c r="K3939" s="12" t="s">
        <v>3075</v>
      </c>
      <c r="L3939" s="13" t="s">
        <v>3075</v>
      </c>
      <c r="M3939" s="9" t="s">
        <v>3075</v>
      </c>
    </row>
    <row r="3940" ht="15.75" customHeight="1">
      <c r="A3940" s="8"/>
      <c r="B3940" s="8"/>
      <c r="C3940" s="8"/>
      <c r="D3940" s="8">
        <v>24.5062322213172</v>
      </c>
      <c r="E3940" s="9" t="s">
        <v>1915</v>
      </c>
      <c r="I3940" s="12"/>
      <c r="J3940" s="11">
        <v>0.0</v>
      </c>
      <c r="K3940" s="12" t="s">
        <v>3075</v>
      </c>
      <c r="L3940" s="13" t="s">
        <v>3075</v>
      </c>
      <c r="M3940" s="9" t="s">
        <v>3075</v>
      </c>
    </row>
    <row r="3941" ht="15.75" customHeight="1">
      <c r="A3941" s="8"/>
      <c r="B3941" s="8"/>
      <c r="C3941" s="8"/>
      <c r="D3941" s="8">
        <v>63.217307546936</v>
      </c>
      <c r="E3941" s="9" t="s">
        <v>1917</v>
      </c>
      <c r="I3941" s="12"/>
      <c r="J3941" s="11">
        <v>0.0</v>
      </c>
      <c r="K3941" s="12" t="s">
        <v>3075</v>
      </c>
      <c r="L3941" s="13" t="s">
        <v>3075</v>
      </c>
      <c r="M3941" s="9" t="s">
        <v>3075</v>
      </c>
    </row>
    <row r="3942" ht="15.75" customHeight="1">
      <c r="A3942" s="8"/>
      <c r="B3942" s="8"/>
      <c r="C3942" s="8"/>
      <c r="D3942" s="8">
        <v>63.217307546936</v>
      </c>
      <c r="E3942" s="9" t="s">
        <v>1918</v>
      </c>
      <c r="I3942" s="12"/>
      <c r="J3942" s="11">
        <v>0.0</v>
      </c>
      <c r="K3942" s="12" t="s">
        <v>3075</v>
      </c>
      <c r="L3942" s="13" t="s">
        <v>3075</v>
      </c>
      <c r="M3942" s="9" t="s">
        <v>3075</v>
      </c>
    </row>
    <row r="3943" ht="15.75" customHeight="1">
      <c r="A3943" s="8"/>
      <c r="B3943" s="8"/>
      <c r="C3943" s="8"/>
      <c r="D3943" s="8">
        <v>63.217307546936</v>
      </c>
      <c r="E3943" s="9" t="s">
        <v>1919</v>
      </c>
      <c r="I3943" s="12"/>
      <c r="J3943" s="11">
        <v>0.0</v>
      </c>
      <c r="K3943" s="12" t="s">
        <v>3075</v>
      </c>
      <c r="L3943" s="13" t="s">
        <v>3075</v>
      </c>
      <c r="M3943" s="9" t="s">
        <v>3075</v>
      </c>
    </row>
    <row r="3944" ht="15.75" customHeight="1">
      <c r="A3944" s="8"/>
      <c r="B3944" s="8"/>
      <c r="C3944" s="8"/>
      <c r="D3944" s="8">
        <v>63.217307546936</v>
      </c>
      <c r="E3944" s="9" t="s">
        <v>1922</v>
      </c>
      <c r="I3944" s="12"/>
      <c r="J3944" s="11">
        <v>0.0</v>
      </c>
      <c r="K3944" s="12" t="s">
        <v>3075</v>
      </c>
      <c r="L3944" s="13" t="s">
        <v>3075</v>
      </c>
      <c r="M3944" s="9" t="s">
        <v>3075</v>
      </c>
    </row>
    <row r="3945" ht="15.75" customHeight="1">
      <c r="A3945" s="8"/>
      <c r="B3945" s="8"/>
      <c r="C3945" s="8"/>
      <c r="D3945" s="8">
        <v>63.217307546936</v>
      </c>
      <c r="E3945" s="9" t="s">
        <v>1925</v>
      </c>
      <c r="I3945" s="12"/>
      <c r="J3945" s="11">
        <v>0.0</v>
      </c>
      <c r="K3945" s="12" t="s">
        <v>3075</v>
      </c>
      <c r="L3945" s="13" t="s">
        <v>3075</v>
      </c>
      <c r="M3945" s="9" t="s">
        <v>3075</v>
      </c>
    </row>
    <row r="3946" ht="15.75" customHeight="1">
      <c r="A3946" s="8"/>
      <c r="B3946" s="8"/>
      <c r="C3946" s="8"/>
      <c r="D3946" s="8">
        <v>62.0310817614373</v>
      </c>
      <c r="E3946" s="9" t="s">
        <v>1927</v>
      </c>
      <c r="I3946" s="12"/>
      <c r="J3946" s="11">
        <v>0.0</v>
      </c>
      <c r="K3946" s="12" t="s">
        <v>3075</v>
      </c>
      <c r="L3946" s="13" t="s">
        <v>3075</v>
      </c>
      <c r="M3946" s="9" t="s">
        <v>3075</v>
      </c>
    </row>
    <row r="3947" ht="15.75" customHeight="1">
      <c r="A3947" s="8"/>
      <c r="B3947" s="8"/>
      <c r="C3947" s="8"/>
      <c r="D3947" s="8">
        <v>63.217307546936</v>
      </c>
      <c r="E3947" s="9" t="s">
        <v>1931</v>
      </c>
      <c r="I3947" s="12"/>
      <c r="J3947" s="11">
        <v>0.0</v>
      </c>
      <c r="K3947" s="12" t="s">
        <v>3075</v>
      </c>
      <c r="L3947" s="13" t="s">
        <v>3075</v>
      </c>
      <c r="M3947" s="9" t="s">
        <v>3075</v>
      </c>
    </row>
    <row r="3948" ht="15.75" customHeight="1">
      <c r="A3948" s="8"/>
      <c r="B3948" s="8"/>
      <c r="C3948" s="8"/>
      <c r="D3948" s="8">
        <v>63.217307546936</v>
      </c>
      <c r="E3948" s="9" t="s">
        <v>1934</v>
      </c>
      <c r="I3948" s="12"/>
      <c r="J3948" s="11">
        <v>0.0</v>
      </c>
      <c r="K3948" s="12" t="s">
        <v>3075</v>
      </c>
      <c r="L3948" s="13" t="s">
        <v>3075</v>
      </c>
      <c r="M3948" s="9" t="s">
        <v>3075</v>
      </c>
    </row>
    <row r="3949" ht="15.75" customHeight="1">
      <c r="A3949" s="8"/>
      <c r="B3949" s="8"/>
      <c r="C3949" s="8"/>
      <c r="D3949" s="8">
        <v>63.217307546936</v>
      </c>
      <c r="E3949" s="9" t="s">
        <v>1937</v>
      </c>
      <c r="I3949" s="12"/>
      <c r="J3949" s="11">
        <v>0.0</v>
      </c>
      <c r="K3949" s="12" t="s">
        <v>3075</v>
      </c>
      <c r="L3949" s="13" t="s">
        <v>3075</v>
      </c>
      <c r="M3949" s="9" t="s">
        <v>3075</v>
      </c>
    </row>
    <row r="3950" ht="15.75" customHeight="1">
      <c r="A3950" s="8"/>
      <c r="B3950" s="8"/>
      <c r="C3950" s="8"/>
      <c r="D3950" s="8">
        <v>63.217307546936</v>
      </c>
      <c r="E3950" s="9" t="s">
        <v>1938</v>
      </c>
      <c r="I3950" s="12"/>
      <c r="J3950" s="11">
        <v>0.0</v>
      </c>
      <c r="K3950" s="12" t="s">
        <v>3075</v>
      </c>
      <c r="L3950" s="13" t="s">
        <v>3075</v>
      </c>
      <c r="M3950" s="9" t="s">
        <v>3075</v>
      </c>
    </row>
    <row r="3951" ht="15.75" customHeight="1">
      <c r="A3951" s="8"/>
      <c r="B3951" s="8"/>
      <c r="C3951" s="8"/>
      <c r="D3951" s="8">
        <v>63.217307546936</v>
      </c>
      <c r="E3951" s="9" t="s">
        <v>3144</v>
      </c>
      <c r="I3951" s="12"/>
      <c r="J3951" s="11">
        <v>0.0</v>
      </c>
      <c r="K3951" s="12" t="s">
        <v>3075</v>
      </c>
      <c r="L3951" s="13" t="s">
        <v>3075</v>
      </c>
      <c r="M3951" s="9" t="s">
        <v>3075</v>
      </c>
    </row>
    <row r="3952" ht="15.75" customHeight="1">
      <c r="A3952" s="8"/>
      <c r="B3952" s="8"/>
      <c r="C3952" s="8"/>
      <c r="D3952" s="8">
        <v>63.217307546936</v>
      </c>
      <c r="E3952" s="9" t="s">
        <v>1948</v>
      </c>
      <c r="I3952" s="12"/>
      <c r="J3952" s="11">
        <v>0.0</v>
      </c>
      <c r="K3952" s="12" t="s">
        <v>3075</v>
      </c>
      <c r="L3952" s="13" t="s">
        <v>3075</v>
      </c>
      <c r="M3952" s="9" t="s">
        <v>3075</v>
      </c>
    </row>
    <row r="3953" ht="15.75" customHeight="1">
      <c r="A3953" s="8"/>
      <c r="B3953" s="8"/>
      <c r="C3953" s="8"/>
      <c r="D3953" s="8">
        <v>53.5302738957703</v>
      </c>
      <c r="E3953" s="9" t="s">
        <v>1951</v>
      </c>
      <c r="I3953" s="12"/>
      <c r="J3953" s="11">
        <v>0.0</v>
      </c>
      <c r="K3953" s="12" t="s">
        <v>3075</v>
      </c>
      <c r="L3953" s="13" t="s">
        <v>3075</v>
      </c>
      <c r="M3953" s="9" t="s">
        <v>3075</v>
      </c>
    </row>
    <row r="3954" ht="15.75" customHeight="1">
      <c r="A3954" s="8"/>
      <c r="B3954" s="8"/>
      <c r="C3954" s="8"/>
      <c r="D3954" s="8">
        <v>2.76583083454346</v>
      </c>
      <c r="E3954" s="9" t="s">
        <v>1952</v>
      </c>
      <c r="I3954" s="12"/>
      <c r="J3954" s="11">
        <v>0.0</v>
      </c>
      <c r="K3954" s="12" t="s">
        <v>3075</v>
      </c>
      <c r="L3954" s="13" t="s">
        <v>3075</v>
      </c>
      <c r="M3954" s="9" t="s">
        <v>3075</v>
      </c>
    </row>
    <row r="3955" ht="15.75" customHeight="1">
      <c r="A3955" s="8"/>
      <c r="B3955" s="8"/>
      <c r="C3955" s="8"/>
      <c r="D3955" s="8">
        <v>37.9303845281616</v>
      </c>
      <c r="E3955" s="9" t="s">
        <v>1956</v>
      </c>
      <c r="I3955" s="12"/>
      <c r="J3955" s="11">
        <v>0.0</v>
      </c>
      <c r="K3955" s="12" t="s">
        <v>3075</v>
      </c>
      <c r="L3955" s="13" t="s">
        <v>3075</v>
      </c>
      <c r="M3955" s="9" t="s">
        <v>3075</v>
      </c>
    </row>
    <row r="3956" ht="15.75" customHeight="1">
      <c r="A3956" s="8"/>
      <c r="B3956" s="8"/>
      <c r="C3956" s="8"/>
      <c r="D3956" s="8">
        <v>63.217307546936</v>
      </c>
      <c r="E3956" s="9" t="s">
        <v>1958</v>
      </c>
      <c r="I3956" s="12"/>
      <c r="J3956" s="11">
        <v>0.0</v>
      </c>
      <c r="K3956" s="12" t="s">
        <v>3075</v>
      </c>
      <c r="L3956" s="13" t="s">
        <v>3075</v>
      </c>
      <c r="M3956" s="9" t="s">
        <v>3075</v>
      </c>
    </row>
    <row r="3957" ht="15.75" customHeight="1">
      <c r="A3957" s="8"/>
      <c r="B3957" s="8"/>
      <c r="C3957" s="8"/>
      <c r="D3957" s="8">
        <v>62.1005078411636</v>
      </c>
      <c r="E3957" s="9" t="s">
        <v>1960</v>
      </c>
      <c r="I3957" s="12"/>
      <c r="J3957" s="11">
        <v>0.0</v>
      </c>
      <c r="K3957" s="12" t="s">
        <v>3075</v>
      </c>
      <c r="L3957" s="13" t="s">
        <v>3075</v>
      </c>
      <c r="M3957" s="9" t="s">
        <v>3075</v>
      </c>
    </row>
    <row r="3958" ht="15.75" customHeight="1">
      <c r="A3958" s="8"/>
      <c r="B3958" s="8"/>
      <c r="C3958" s="8"/>
      <c r="D3958" s="8">
        <v>63.217307546936</v>
      </c>
      <c r="E3958" s="9" t="s">
        <v>1963</v>
      </c>
      <c r="I3958" s="12"/>
      <c r="J3958" s="11">
        <v>0.0</v>
      </c>
      <c r="K3958" s="12" t="s">
        <v>3075</v>
      </c>
      <c r="L3958" s="13" t="s">
        <v>3075</v>
      </c>
      <c r="M3958" s="9" t="s">
        <v>3075</v>
      </c>
    </row>
    <row r="3959" ht="15.75" customHeight="1">
      <c r="A3959" s="8"/>
      <c r="B3959" s="8"/>
      <c r="C3959" s="8"/>
      <c r="D3959" s="8">
        <v>63.217307546936</v>
      </c>
      <c r="E3959" s="9" t="s">
        <v>1964</v>
      </c>
      <c r="I3959" s="12"/>
      <c r="J3959" s="11">
        <v>0.0</v>
      </c>
      <c r="K3959" s="12" t="s">
        <v>3075</v>
      </c>
      <c r="L3959" s="13" t="s">
        <v>3075</v>
      </c>
      <c r="M3959" s="9" t="s">
        <v>3075</v>
      </c>
    </row>
    <row r="3960" ht="15.75" customHeight="1">
      <c r="A3960" s="8"/>
      <c r="B3960" s="8"/>
      <c r="C3960" s="8"/>
      <c r="D3960" s="8">
        <v>50.5738460375488</v>
      </c>
      <c r="E3960" s="9" t="s">
        <v>1967</v>
      </c>
      <c r="I3960" s="12"/>
      <c r="J3960" s="11">
        <v>0.0</v>
      </c>
      <c r="K3960" s="12" t="s">
        <v>3075</v>
      </c>
      <c r="L3960" s="13" t="s">
        <v>3075</v>
      </c>
      <c r="M3960" s="9" t="s">
        <v>3075</v>
      </c>
    </row>
    <row r="3961" ht="15.75" customHeight="1">
      <c r="A3961" s="8"/>
      <c r="B3961" s="8"/>
      <c r="C3961" s="8"/>
      <c r="D3961" s="8">
        <v>63.217307546936</v>
      </c>
      <c r="E3961" s="9" t="s">
        <v>1968</v>
      </c>
      <c r="I3961" s="12"/>
      <c r="J3961" s="11">
        <v>0.0</v>
      </c>
      <c r="K3961" s="12" t="s">
        <v>3075</v>
      </c>
      <c r="L3961" s="13" t="s">
        <v>3075</v>
      </c>
      <c r="M3961" s="9" t="s">
        <v>3075</v>
      </c>
    </row>
    <row r="3962" ht="15.75" customHeight="1">
      <c r="A3962" s="8"/>
      <c r="B3962" s="8"/>
      <c r="C3962" s="8"/>
      <c r="D3962" s="8">
        <v>63.217307546936</v>
      </c>
      <c r="E3962" s="9" t="s">
        <v>1969</v>
      </c>
      <c r="I3962" s="12"/>
      <c r="J3962" s="11">
        <v>0.0</v>
      </c>
      <c r="K3962" s="12" t="s">
        <v>3075</v>
      </c>
      <c r="L3962" s="13" t="s">
        <v>3075</v>
      </c>
      <c r="M3962" s="9" t="s">
        <v>3075</v>
      </c>
    </row>
    <row r="3963" ht="15.75" customHeight="1">
      <c r="A3963" s="8"/>
      <c r="B3963" s="8"/>
      <c r="C3963" s="8"/>
      <c r="D3963" s="8">
        <v>63.217307546936</v>
      </c>
      <c r="E3963" s="9" t="s">
        <v>1970</v>
      </c>
      <c r="I3963" s="12"/>
      <c r="J3963" s="11">
        <v>0.0</v>
      </c>
      <c r="K3963" s="12" t="s">
        <v>3075</v>
      </c>
      <c r="L3963" s="13" t="s">
        <v>3075</v>
      </c>
      <c r="M3963" s="9" t="s">
        <v>3075</v>
      </c>
    </row>
    <row r="3964" ht="15.75" customHeight="1">
      <c r="A3964" s="8"/>
      <c r="B3964" s="8"/>
      <c r="C3964" s="8"/>
      <c r="D3964" s="8">
        <v>63.217307546936</v>
      </c>
      <c r="E3964" s="9" t="s">
        <v>1972</v>
      </c>
      <c r="I3964" s="12"/>
      <c r="J3964" s="11">
        <v>0.0</v>
      </c>
      <c r="K3964" s="12" t="s">
        <v>3075</v>
      </c>
      <c r="L3964" s="13" t="s">
        <v>3075</v>
      </c>
      <c r="M3964" s="9" t="s">
        <v>3075</v>
      </c>
    </row>
    <row r="3965" ht="15.75" customHeight="1">
      <c r="A3965" s="8"/>
      <c r="B3965" s="8"/>
      <c r="C3965" s="8"/>
      <c r="D3965" s="8">
        <v>63.217307546936</v>
      </c>
      <c r="E3965" s="9" t="s">
        <v>1973</v>
      </c>
      <c r="I3965" s="12"/>
      <c r="J3965" s="11">
        <v>0.0</v>
      </c>
      <c r="K3965" s="12" t="s">
        <v>3075</v>
      </c>
      <c r="L3965" s="13" t="s">
        <v>3075</v>
      </c>
      <c r="M3965" s="9" t="s">
        <v>3075</v>
      </c>
    </row>
    <row r="3966" ht="15.75" customHeight="1">
      <c r="A3966" s="8"/>
      <c r="B3966" s="8"/>
      <c r="C3966" s="8"/>
      <c r="D3966" s="8">
        <v>63.217307546936</v>
      </c>
      <c r="E3966" s="9" t="s">
        <v>1975</v>
      </c>
      <c r="I3966" s="12"/>
      <c r="J3966" s="11">
        <v>0.0</v>
      </c>
      <c r="K3966" s="12" t="s">
        <v>3075</v>
      </c>
      <c r="L3966" s="13" t="s">
        <v>3075</v>
      </c>
      <c r="M3966" s="9" t="s">
        <v>3075</v>
      </c>
    </row>
    <row r="3967" ht="15.75" customHeight="1">
      <c r="A3967" s="8"/>
      <c r="B3967" s="8"/>
      <c r="C3967" s="8"/>
      <c r="D3967" s="8">
        <v>63.217307546936</v>
      </c>
      <c r="E3967" s="9" t="s">
        <v>1976</v>
      </c>
      <c r="I3967" s="12"/>
      <c r="J3967" s="11">
        <v>0.0</v>
      </c>
      <c r="K3967" s="12" t="s">
        <v>3075</v>
      </c>
      <c r="L3967" s="13" t="s">
        <v>3075</v>
      </c>
      <c r="M3967" s="9" t="s">
        <v>3075</v>
      </c>
    </row>
    <row r="3968" ht="15.75" customHeight="1">
      <c r="A3968" s="8"/>
      <c r="B3968" s="8"/>
      <c r="C3968" s="8"/>
      <c r="D3968" s="8">
        <v>63.217307546936</v>
      </c>
      <c r="E3968" s="9" t="s">
        <v>1977</v>
      </c>
      <c r="I3968" s="12"/>
      <c r="J3968" s="11">
        <v>0.0</v>
      </c>
      <c r="K3968" s="12" t="s">
        <v>3075</v>
      </c>
      <c r="L3968" s="13" t="s">
        <v>3075</v>
      </c>
      <c r="M3968" s="9" t="s">
        <v>3075</v>
      </c>
    </row>
    <row r="3969" ht="15.75" customHeight="1">
      <c r="A3969" s="8"/>
      <c r="B3969" s="8"/>
      <c r="C3969" s="8"/>
      <c r="D3969" s="8">
        <v>25.7307928550665</v>
      </c>
      <c r="E3969" s="9" t="s">
        <v>1978</v>
      </c>
      <c r="I3969" s="12"/>
      <c r="J3969" s="11">
        <v>0.0</v>
      </c>
      <c r="K3969" s="12" t="s">
        <v>3075</v>
      </c>
      <c r="L3969" s="13" t="s">
        <v>3075</v>
      </c>
      <c r="M3969" s="9" t="s">
        <v>3075</v>
      </c>
    </row>
    <row r="3970" ht="15.75" customHeight="1">
      <c r="A3970" s="8"/>
      <c r="B3970" s="8"/>
      <c r="C3970" s="8"/>
      <c r="D3970" s="8">
        <v>32.5776654180043</v>
      </c>
      <c r="E3970" s="9" t="s">
        <v>1982</v>
      </c>
      <c r="I3970" s="12"/>
      <c r="J3970" s="11">
        <v>0.0</v>
      </c>
      <c r="K3970" s="12" t="s">
        <v>3075</v>
      </c>
      <c r="L3970" s="13" t="s">
        <v>3075</v>
      </c>
      <c r="M3970" s="9" t="s">
        <v>3075</v>
      </c>
    </row>
    <row r="3971" ht="15.75" customHeight="1">
      <c r="A3971" s="8"/>
      <c r="B3971" s="8"/>
      <c r="C3971" s="8"/>
      <c r="D3971" s="8">
        <v>63.217307546936</v>
      </c>
      <c r="E3971" s="9" t="s">
        <v>1984</v>
      </c>
      <c r="I3971" s="12"/>
      <c r="J3971" s="11">
        <v>0.0</v>
      </c>
      <c r="K3971" s="12" t="s">
        <v>3075</v>
      </c>
      <c r="L3971" s="13" t="s">
        <v>3075</v>
      </c>
      <c r="M3971" s="9" t="s">
        <v>3075</v>
      </c>
    </row>
    <row r="3972" ht="15.75" customHeight="1">
      <c r="A3972" s="8"/>
      <c r="B3972" s="8"/>
      <c r="C3972" s="8"/>
      <c r="D3972" s="8">
        <v>42.7946324179087</v>
      </c>
      <c r="E3972" s="9" t="s">
        <v>1985</v>
      </c>
      <c r="I3972" s="12"/>
      <c r="J3972" s="11">
        <v>0.0</v>
      </c>
      <c r="K3972" s="12" t="s">
        <v>3075</v>
      </c>
      <c r="L3972" s="13" t="s">
        <v>3075</v>
      </c>
      <c r="M3972" s="9" t="s">
        <v>3075</v>
      </c>
    </row>
    <row r="3973" ht="15.75" customHeight="1">
      <c r="A3973" s="8"/>
      <c r="B3973" s="8"/>
      <c r="C3973" s="8"/>
      <c r="D3973" s="8">
        <v>23.9800407756349</v>
      </c>
      <c r="E3973" s="9" t="s">
        <v>1989</v>
      </c>
      <c r="I3973" s="12"/>
      <c r="J3973" s="11">
        <v>0.0</v>
      </c>
      <c r="K3973" s="12" t="s">
        <v>3075</v>
      </c>
      <c r="L3973" s="13" t="s">
        <v>3075</v>
      </c>
      <c r="M3973" s="9" t="s">
        <v>3075</v>
      </c>
    </row>
    <row r="3974" ht="15.75" customHeight="1">
      <c r="A3974" s="8"/>
      <c r="B3974" s="8"/>
      <c r="C3974" s="8"/>
      <c r="D3974" s="8">
        <v>63.217307546936</v>
      </c>
      <c r="E3974" s="9" t="s">
        <v>1992</v>
      </c>
      <c r="I3974" s="12"/>
      <c r="J3974" s="11">
        <v>0.0</v>
      </c>
      <c r="K3974" s="12" t="s">
        <v>3075</v>
      </c>
      <c r="L3974" s="13" t="s">
        <v>3075</v>
      </c>
      <c r="M3974" s="9" t="s">
        <v>3075</v>
      </c>
    </row>
    <row r="3975" ht="15.75" customHeight="1">
      <c r="A3975" s="8"/>
      <c r="B3975" s="8"/>
      <c r="C3975" s="8"/>
      <c r="D3975" s="8">
        <v>63.217307546936</v>
      </c>
      <c r="E3975" s="9" t="s">
        <v>1996</v>
      </c>
      <c r="I3975" s="12"/>
      <c r="J3975" s="11">
        <v>0.0</v>
      </c>
      <c r="K3975" s="12" t="s">
        <v>3075</v>
      </c>
      <c r="L3975" s="13" t="s">
        <v>3075</v>
      </c>
      <c r="M3975" s="9" t="s">
        <v>3075</v>
      </c>
    </row>
    <row r="3976" ht="15.75" customHeight="1">
      <c r="A3976" s="8"/>
      <c r="B3976" s="8"/>
      <c r="C3976" s="8"/>
      <c r="D3976" s="8">
        <v>3.32461059752007</v>
      </c>
      <c r="E3976" s="9" t="s">
        <v>2000</v>
      </c>
      <c r="I3976" s="12"/>
      <c r="J3976" s="11">
        <v>0.0</v>
      </c>
      <c r="K3976" s="12" t="s">
        <v>3075</v>
      </c>
      <c r="L3976" s="13" t="s">
        <v>3075</v>
      </c>
      <c r="M3976" s="9" t="s">
        <v>3075</v>
      </c>
    </row>
    <row r="3977" ht="15.75" customHeight="1">
      <c r="A3977" s="8"/>
      <c r="B3977" s="8"/>
      <c r="C3977" s="8"/>
      <c r="D3977" s="8">
        <v>63.217307546936</v>
      </c>
      <c r="E3977" s="9" t="s">
        <v>2001</v>
      </c>
      <c r="I3977" s="12"/>
      <c r="J3977" s="11">
        <v>0.0</v>
      </c>
      <c r="K3977" s="12" t="s">
        <v>3075</v>
      </c>
      <c r="L3977" s="13" t="s">
        <v>3075</v>
      </c>
      <c r="M3977" s="9" t="s">
        <v>3075</v>
      </c>
    </row>
    <row r="3978" ht="15.75" customHeight="1">
      <c r="A3978" s="8"/>
      <c r="B3978" s="8"/>
      <c r="C3978" s="8"/>
      <c r="D3978" s="8">
        <v>63.217307546936</v>
      </c>
      <c r="E3978" s="9" t="s">
        <v>2002</v>
      </c>
      <c r="I3978" s="12"/>
      <c r="J3978" s="11">
        <v>0.0</v>
      </c>
      <c r="K3978" s="12" t="s">
        <v>3075</v>
      </c>
      <c r="L3978" s="13" t="s">
        <v>3075</v>
      </c>
      <c r="M3978" s="9" t="s">
        <v>3075</v>
      </c>
    </row>
    <row r="3979" ht="15.75" customHeight="1">
      <c r="A3979" s="8"/>
      <c r="B3979" s="8"/>
      <c r="C3979" s="8"/>
      <c r="D3979" s="8">
        <v>63.217307546936</v>
      </c>
      <c r="E3979" s="9" t="s">
        <v>3145</v>
      </c>
      <c r="I3979" s="12"/>
      <c r="J3979" s="11">
        <v>0.0</v>
      </c>
      <c r="K3979" s="12" t="s">
        <v>3075</v>
      </c>
      <c r="L3979" s="13" t="s">
        <v>3075</v>
      </c>
      <c r="M3979" s="9" t="s">
        <v>3075</v>
      </c>
    </row>
    <row r="3980" ht="15.75" customHeight="1">
      <c r="A3980" s="8"/>
      <c r="B3980" s="8"/>
      <c r="C3980" s="8"/>
      <c r="D3980" s="8">
        <v>63.217307546936</v>
      </c>
      <c r="E3980" s="9" t="s">
        <v>2004</v>
      </c>
      <c r="I3980" s="12"/>
      <c r="J3980" s="11">
        <v>0.0</v>
      </c>
      <c r="K3980" s="12" t="s">
        <v>3075</v>
      </c>
      <c r="L3980" s="13" t="s">
        <v>3075</v>
      </c>
      <c r="M3980" s="9" t="s">
        <v>3075</v>
      </c>
    </row>
    <row r="3981" ht="15.75" customHeight="1">
      <c r="A3981" s="8"/>
      <c r="B3981" s="8"/>
      <c r="C3981" s="8"/>
      <c r="D3981" s="8">
        <v>19.0650605296426</v>
      </c>
      <c r="E3981" s="9" t="s">
        <v>2007</v>
      </c>
      <c r="I3981" s="12"/>
      <c r="J3981" s="11">
        <v>0.0</v>
      </c>
      <c r="K3981" s="12" t="s">
        <v>3075</v>
      </c>
      <c r="L3981" s="13" t="s">
        <v>3075</v>
      </c>
      <c r="M3981" s="9" t="s">
        <v>3075</v>
      </c>
    </row>
    <row r="3982" ht="15.75" customHeight="1">
      <c r="A3982" s="8"/>
      <c r="B3982" s="8"/>
      <c r="C3982" s="8"/>
      <c r="D3982" s="8">
        <v>63.217307546936</v>
      </c>
      <c r="E3982" s="9" t="s">
        <v>2009</v>
      </c>
      <c r="I3982" s="12"/>
      <c r="J3982" s="11">
        <v>0.0</v>
      </c>
      <c r="K3982" s="12" t="s">
        <v>3075</v>
      </c>
      <c r="L3982" s="13" t="s">
        <v>3075</v>
      </c>
      <c r="M3982" s="9" t="s">
        <v>3075</v>
      </c>
    </row>
    <row r="3983" ht="15.75" customHeight="1">
      <c r="A3983" s="8"/>
      <c r="B3983" s="8"/>
      <c r="C3983" s="8"/>
      <c r="D3983" s="8">
        <v>63.217307546936</v>
      </c>
      <c r="E3983" s="9" t="s">
        <v>2014</v>
      </c>
      <c r="I3983" s="12"/>
      <c r="J3983" s="11">
        <v>0.0</v>
      </c>
      <c r="K3983" s="12" t="s">
        <v>3075</v>
      </c>
      <c r="L3983" s="13" t="s">
        <v>3075</v>
      </c>
      <c r="M3983" s="9" t="s">
        <v>3075</v>
      </c>
    </row>
    <row r="3984" ht="15.75" customHeight="1">
      <c r="A3984" s="8"/>
      <c r="B3984" s="8"/>
      <c r="C3984" s="8"/>
      <c r="D3984" s="8">
        <v>63.217307546936</v>
      </c>
      <c r="E3984" s="9" t="s">
        <v>2015</v>
      </c>
      <c r="I3984" s="12"/>
      <c r="J3984" s="11">
        <v>0.0</v>
      </c>
      <c r="K3984" s="12" t="s">
        <v>3075</v>
      </c>
      <c r="L3984" s="13" t="s">
        <v>3075</v>
      </c>
      <c r="M3984" s="9" t="s">
        <v>3075</v>
      </c>
    </row>
    <row r="3985" ht="15.75" customHeight="1">
      <c r="A3985" s="8"/>
      <c r="B3985" s="8"/>
      <c r="C3985" s="8"/>
      <c r="D3985" s="8">
        <v>12.6434615093872</v>
      </c>
      <c r="E3985" s="9" t="s">
        <v>3146</v>
      </c>
      <c r="I3985" s="12"/>
      <c r="J3985" s="11">
        <v>0.0</v>
      </c>
      <c r="K3985" s="12" t="s">
        <v>3075</v>
      </c>
      <c r="L3985" s="13" t="s">
        <v>3075</v>
      </c>
      <c r="M3985" s="9" t="s">
        <v>3075</v>
      </c>
    </row>
    <row r="3986" ht="15.75" customHeight="1">
      <c r="A3986" s="8"/>
      <c r="B3986" s="8"/>
      <c r="C3986" s="8"/>
      <c r="D3986" s="8">
        <v>63.217307546936</v>
      </c>
      <c r="E3986" s="9" t="s">
        <v>2017</v>
      </c>
      <c r="I3986" s="12"/>
      <c r="J3986" s="11">
        <v>0.0</v>
      </c>
      <c r="K3986" s="12" t="s">
        <v>3075</v>
      </c>
      <c r="L3986" s="13" t="s">
        <v>3075</v>
      </c>
      <c r="M3986" s="9" t="s">
        <v>3075</v>
      </c>
    </row>
    <row r="3987" ht="15.75" customHeight="1">
      <c r="A3987" s="8"/>
      <c r="B3987" s="8"/>
      <c r="C3987" s="8"/>
      <c r="D3987" s="8">
        <v>63.217307546936</v>
      </c>
      <c r="E3987" s="9" t="s">
        <v>2019</v>
      </c>
      <c r="I3987" s="12"/>
      <c r="J3987" s="11">
        <v>0.0</v>
      </c>
      <c r="K3987" s="12" t="s">
        <v>3075</v>
      </c>
      <c r="L3987" s="13" t="s">
        <v>3075</v>
      </c>
      <c r="M3987" s="9" t="s">
        <v>3075</v>
      </c>
    </row>
    <row r="3988" ht="15.75" customHeight="1">
      <c r="A3988" s="8"/>
      <c r="B3988" s="8"/>
      <c r="C3988" s="8"/>
      <c r="D3988" s="8">
        <v>63.217307546936</v>
      </c>
      <c r="E3988" s="9" t="s">
        <v>2020</v>
      </c>
      <c r="I3988" s="12"/>
      <c r="J3988" s="11">
        <v>0.0</v>
      </c>
      <c r="K3988" s="12" t="s">
        <v>3075</v>
      </c>
      <c r="L3988" s="13" t="s">
        <v>3075</v>
      </c>
      <c r="M3988" s="9" t="s">
        <v>3075</v>
      </c>
    </row>
    <row r="3989" ht="15.75" customHeight="1">
      <c r="A3989" s="8"/>
      <c r="B3989" s="8"/>
      <c r="C3989" s="8"/>
      <c r="D3989" s="8">
        <v>63.217307546936</v>
      </c>
      <c r="E3989" s="9" t="s">
        <v>2022</v>
      </c>
      <c r="I3989" s="12"/>
      <c r="J3989" s="11">
        <v>0.0</v>
      </c>
      <c r="K3989" s="12" t="s">
        <v>3075</v>
      </c>
      <c r="L3989" s="13" t="s">
        <v>3075</v>
      </c>
      <c r="M3989" s="9" t="s">
        <v>3075</v>
      </c>
    </row>
    <row r="3990" ht="15.75" customHeight="1">
      <c r="A3990" s="8"/>
      <c r="B3990" s="8"/>
      <c r="C3990" s="8"/>
      <c r="D3990" s="8">
        <v>63.217307546936</v>
      </c>
      <c r="E3990" s="9" t="s">
        <v>2023</v>
      </c>
      <c r="I3990" s="12"/>
      <c r="J3990" s="11">
        <v>0.0</v>
      </c>
      <c r="K3990" s="12" t="s">
        <v>3075</v>
      </c>
      <c r="L3990" s="13" t="s">
        <v>3075</v>
      </c>
      <c r="M3990" s="9" t="s">
        <v>3075</v>
      </c>
    </row>
    <row r="3991" ht="15.75" customHeight="1">
      <c r="A3991" s="8"/>
      <c r="B3991" s="8"/>
      <c r="C3991" s="8"/>
      <c r="D3991" s="8">
        <v>63.217307546936</v>
      </c>
      <c r="E3991" s="9" t="s">
        <v>2028</v>
      </c>
      <c r="I3991" s="12"/>
      <c r="J3991" s="11">
        <v>0.0</v>
      </c>
      <c r="K3991" s="12" t="s">
        <v>3075</v>
      </c>
      <c r="L3991" s="13" t="s">
        <v>3075</v>
      </c>
      <c r="M3991" s="9" t="s">
        <v>3075</v>
      </c>
    </row>
    <row r="3992" ht="15.75" customHeight="1">
      <c r="A3992" s="8"/>
      <c r="B3992" s="8"/>
      <c r="C3992" s="8"/>
      <c r="D3992" s="8">
        <v>63.217307546936</v>
      </c>
      <c r="E3992" s="9" t="s">
        <v>2029</v>
      </c>
      <c r="I3992" s="12"/>
      <c r="J3992" s="11">
        <v>0.0</v>
      </c>
      <c r="K3992" s="12" t="s">
        <v>3075</v>
      </c>
      <c r="L3992" s="13" t="s">
        <v>3075</v>
      </c>
      <c r="M3992" s="9" t="s">
        <v>3075</v>
      </c>
    </row>
    <row r="3993" ht="15.75" customHeight="1">
      <c r="A3993" s="8"/>
      <c r="B3993" s="8"/>
      <c r="C3993" s="8"/>
      <c r="D3993" s="8">
        <v>63.217307546936</v>
      </c>
      <c r="E3993" s="9" t="s">
        <v>2030</v>
      </c>
      <c r="I3993" s="12"/>
      <c r="J3993" s="11">
        <v>0.0</v>
      </c>
      <c r="K3993" s="12" t="s">
        <v>3075</v>
      </c>
      <c r="L3993" s="13" t="s">
        <v>3075</v>
      </c>
      <c r="M3993" s="9" t="s">
        <v>3075</v>
      </c>
    </row>
    <row r="3994" ht="15.75" customHeight="1">
      <c r="A3994" s="8"/>
      <c r="B3994" s="8"/>
      <c r="C3994" s="8"/>
      <c r="D3994" s="8">
        <v>63.217307546936</v>
      </c>
      <c r="E3994" s="9" t="s">
        <v>2031</v>
      </c>
      <c r="I3994" s="12"/>
      <c r="J3994" s="11">
        <v>0.0</v>
      </c>
      <c r="K3994" s="12" t="s">
        <v>3075</v>
      </c>
      <c r="L3994" s="13" t="s">
        <v>3075</v>
      </c>
      <c r="M3994" s="9" t="s">
        <v>3075</v>
      </c>
    </row>
    <row r="3995" ht="15.75" customHeight="1">
      <c r="A3995" s="8"/>
      <c r="B3995" s="8"/>
      <c r="C3995" s="8"/>
      <c r="D3995" s="8">
        <v>63.217307546936</v>
      </c>
      <c r="E3995" s="9" t="s">
        <v>2032</v>
      </c>
      <c r="I3995" s="12"/>
      <c r="J3995" s="11">
        <v>0.0</v>
      </c>
      <c r="K3995" s="12" t="s">
        <v>3075</v>
      </c>
      <c r="L3995" s="13" t="s">
        <v>3075</v>
      </c>
      <c r="M3995" s="9" t="s">
        <v>3075</v>
      </c>
    </row>
    <row r="3996" ht="15.75" customHeight="1">
      <c r="A3996" s="8"/>
      <c r="B3996" s="8"/>
      <c r="C3996" s="8"/>
      <c r="D3996" s="8">
        <v>47.6653354213741</v>
      </c>
      <c r="E3996" s="9" t="s">
        <v>2033</v>
      </c>
      <c r="I3996" s="12"/>
      <c r="J3996" s="11">
        <v>0.0</v>
      </c>
      <c r="K3996" s="12" t="s">
        <v>3075</v>
      </c>
      <c r="L3996" s="13" t="s">
        <v>3075</v>
      </c>
      <c r="M3996" s="9" t="s">
        <v>3075</v>
      </c>
    </row>
    <row r="3997" ht="15.75" customHeight="1">
      <c r="A3997" s="8"/>
      <c r="B3997" s="8"/>
      <c r="C3997" s="8"/>
      <c r="D3997" s="8">
        <v>63.217307546936</v>
      </c>
      <c r="E3997" s="9" t="s">
        <v>2034</v>
      </c>
      <c r="I3997" s="12"/>
      <c r="J3997" s="11">
        <v>0.0</v>
      </c>
      <c r="K3997" s="12" t="s">
        <v>3075</v>
      </c>
      <c r="L3997" s="13" t="s">
        <v>3075</v>
      </c>
      <c r="M3997" s="9" t="s">
        <v>3075</v>
      </c>
    </row>
    <row r="3998" ht="15.75" customHeight="1">
      <c r="A3998" s="8"/>
      <c r="B3998" s="8"/>
      <c r="C3998" s="8"/>
      <c r="D3998" s="8">
        <v>63.217307546936</v>
      </c>
      <c r="E3998" s="9" t="s">
        <v>2037</v>
      </c>
      <c r="I3998" s="12"/>
      <c r="J3998" s="11">
        <v>0.0</v>
      </c>
      <c r="K3998" s="12" t="s">
        <v>3075</v>
      </c>
      <c r="L3998" s="13" t="s">
        <v>3075</v>
      </c>
      <c r="M3998" s="9" t="s">
        <v>3075</v>
      </c>
    </row>
    <row r="3999" ht="15.75" customHeight="1">
      <c r="A3999" s="8"/>
      <c r="B3999" s="8"/>
      <c r="C3999" s="8"/>
      <c r="D3999" s="8">
        <v>63.217307546936</v>
      </c>
      <c r="E3999" s="9" t="s">
        <v>2038</v>
      </c>
      <c r="I3999" s="12"/>
      <c r="J3999" s="11">
        <v>0.0</v>
      </c>
      <c r="K3999" s="12" t="s">
        <v>3075</v>
      </c>
      <c r="L3999" s="13" t="s">
        <v>3075</v>
      </c>
      <c r="M3999" s="9" t="s">
        <v>3075</v>
      </c>
    </row>
    <row r="4000" ht="15.75" customHeight="1">
      <c r="A4000" s="8"/>
      <c r="B4000" s="8"/>
      <c r="C4000" s="8"/>
      <c r="D4000" s="8">
        <v>63.217307546936</v>
      </c>
      <c r="E4000" s="9" t="s">
        <v>2041</v>
      </c>
      <c r="I4000" s="12"/>
      <c r="J4000" s="11">
        <v>0.0</v>
      </c>
      <c r="K4000" s="12" t="s">
        <v>3075</v>
      </c>
      <c r="L4000" s="13" t="s">
        <v>3075</v>
      </c>
      <c r="M4000" s="9" t="s">
        <v>3075</v>
      </c>
    </row>
    <row r="4001" ht="15.75" customHeight="1">
      <c r="A4001" s="8"/>
      <c r="B4001" s="8"/>
      <c r="C4001" s="8"/>
      <c r="D4001" s="8">
        <v>63.217307546936</v>
      </c>
      <c r="E4001" s="9" t="s">
        <v>2043</v>
      </c>
      <c r="I4001" s="12"/>
      <c r="J4001" s="11">
        <v>0.0</v>
      </c>
      <c r="K4001" s="12" t="s">
        <v>3075</v>
      </c>
      <c r="L4001" s="13" t="s">
        <v>3075</v>
      </c>
      <c r="M4001" s="9" t="s">
        <v>3075</v>
      </c>
    </row>
    <row r="4002" ht="15.75" customHeight="1">
      <c r="A4002" s="8"/>
      <c r="B4002" s="8"/>
      <c r="C4002" s="8"/>
      <c r="D4002" s="8">
        <v>63.217307546936</v>
      </c>
      <c r="E4002" s="9" t="s">
        <v>2044</v>
      </c>
      <c r="I4002" s="12"/>
      <c r="J4002" s="11">
        <v>0.0</v>
      </c>
      <c r="K4002" s="12" t="s">
        <v>3075</v>
      </c>
      <c r="L4002" s="13" t="s">
        <v>3075</v>
      </c>
      <c r="M4002" s="9" t="s">
        <v>3075</v>
      </c>
    </row>
    <row r="4003" ht="15.75" customHeight="1">
      <c r="A4003" s="8"/>
      <c r="B4003" s="8"/>
      <c r="C4003" s="8"/>
      <c r="D4003" s="8">
        <v>63.217307546936</v>
      </c>
      <c r="E4003" s="9" t="s">
        <v>2046</v>
      </c>
      <c r="I4003" s="12"/>
      <c r="J4003" s="11">
        <v>0.0</v>
      </c>
      <c r="K4003" s="12" t="s">
        <v>3075</v>
      </c>
      <c r="L4003" s="13" t="s">
        <v>3075</v>
      </c>
      <c r="M4003" s="9" t="s">
        <v>3075</v>
      </c>
    </row>
    <row r="4004" ht="15.75" customHeight="1">
      <c r="A4004" s="8"/>
      <c r="B4004" s="8"/>
      <c r="C4004" s="8"/>
      <c r="D4004" s="8">
        <v>63.217307546936</v>
      </c>
      <c r="E4004" s="9" t="s">
        <v>2047</v>
      </c>
      <c r="I4004" s="12"/>
      <c r="J4004" s="11">
        <v>0.0</v>
      </c>
      <c r="K4004" s="12" t="s">
        <v>3075</v>
      </c>
      <c r="L4004" s="13" t="s">
        <v>3075</v>
      </c>
      <c r="M4004" s="9" t="s">
        <v>3075</v>
      </c>
    </row>
    <row r="4005" ht="15.75" customHeight="1">
      <c r="A4005" s="8"/>
      <c r="B4005" s="8"/>
      <c r="C4005" s="8"/>
      <c r="D4005" s="8">
        <v>63.217307546936</v>
      </c>
      <c r="E4005" s="9" t="s">
        <v>2048</v>
      </c>
      <c r="I4005" s="12"/>
      <c r="J4005" s="11">
        <v>0.0</v>
      </c>
      <c r="K4005" s="12" t="s">
        <v>3075</v>
      </c>
      <c r="L4005" s="13" t="s">
        <v>3075</v>
      </c>
      <c r="M4005" s="9" t="s">
        <v>3075</v>
      </c>
    </row>
    <row r="4006" ht="15.75" customHeight="1">
      <c r="A4006" s="8"/>
      <c r="B4006" s="8"/>
      <c r="C4006" s="8"/>
      <c r="D4006" s="8">
        <v>63.217307546936</v>
      </c>
      <c r="E4006" s="9" t="s">
        <v>2050</v>
      </c>
      <c r="I4006" s="12"/>
      <c r="J4006" s="11">
        <v>0.0</v>
      </c>
      <c r="K4006" s="12" t="s">
        <v>3075</v>
      </c>
      <c r="L4006" s="13" t="s">
        <v>3075</v>
      </c>
      <c r="M4006" s="9" t="s">
        <v>3075</v>
      </c>
    </row>
    <row r="4007" ht="15.75" customHeight="1">
      <c r="A4007" s="8"/>
      <c r="B4007" s="8"/>
      <c r="C4007" s="8"/>
      <c r="D4007" s="8">
        <v>52.7294637486078</v>
      </c>
      <c r="E4007" s="9" t="s">
        <v>2053</v>
      </c>
      <c r="I4007" s="12"/>
      <c r="J4007" s="11">
        <v>0.0</v>
      </c>
      <c r="K4007" s="12" t="s">
        <v>3075</v>
      </c>
      <c r="L4007" s="13" t="s">
        <v>3075</v>
      </c>
      <c r="M4007" s="9" t="s">
        <v>3075</v>
      </c>
    </row>
    <row r="4008" ht="15.75" customHeight="1">
      <c r="A4008" s="8"/>
      <c r="B4008" s="8"/>
      <c r="C4008" s="8"/>
      <c r="D4008" s="8">
        <v>63.217307546936</v>
      </c>
      <c r="E4008" s="9" t="s">
        <v>2054</v>
      </c>
      <c r="I4008" s="12"/>
      <c r="J4008" s="11">
        <v>0.0</v>
      </c>
      <c r="K4008" s="12" t="s">
        <v>3075</v>
      </c>
      <c r="L4008" s="13" t="s">
        <v>3075</v>
      </c>
      <c r="M4008" s="9" t="s">
        <v>3075</v>
      </c>
    </row>
    <row r="4009" ht="15.75" customHeight="1">
      <c r="A4009" s="8"/>
      <c r="B4009" s="8"/>
      <c r="C4009" s="8"/>
      <c r="D4009" s="8">
        <v>63.217307546936</v>
      </c>
      <c r="E4009" s="9" t="s">
        <v>2057</v>
      </c>
      <c r="I4009" s="12"/>
      <c r="J4009" s="11">
        <v>0.0</v>
      </c>
      <c r="K4009" s="12" t="s">
        <v>3075</v>
      </c>
      <c r="L4009" s="13" t="s">
        <v>3075</v>
      </c>
      <c r="M4009" s="9" t="s">
        <v>3075</v>
      </c>
    </row>
    <row r="4010" ht="15.75" customHeight="1">
      <c r="A4010" s="8"/>
      <c r="B4010" s="8"/>
      <c r="C4010" s="8"/>
      <c r="D4010" s="8">
        <v>63.217307546936</v>
      </c>
      <c r="E4010" s="9" t="s">
        <v>2060</v>
      </c>
      <c r="I4010" s="12"/>
      <c r="J4010" s="11">
        <v>0.0</v>
      </c>
      <c r="K4010" s="12" t="s">
        <v>3075</v>
      </c>
      <c r="L4010" s="13" t="s">
        <v>3075</v>
      </c>
      <c r="M4010" s="9" t="s">
        <v>3075</v>
      </c>
    </row>
    <row r="4011" ht="15.75" customHeight="1">
      <c r="A4011" s="8"/>
      <c r="B4011" s="8"/>
      <c r="C4011" s="8"/>
      <c r="D4011" s="8">
        <v>63.217307546936</v>
      </c>
      <c r="E4011" s="9" t="s">
        <v>2062</v>
      </c>
      <c r="I4011" s="12"/>
      <c r="J4011" s="11">
        <v>0.0</v>
      </c>
      <c r="K4011" s="12" t="s">
        <v>3075</v>
      </c>
      <c r="L4011" s="13" t="s">
        <v>3075</v>
      </c>
      <c r="M4011" s="9" t="s">
        <v>3075</v>
      </c>
    </row>
    <row r="4012" ht="15.75" customHeight="1">
      <c r="A4012" s="8"/>
      <c r="B4012" s="8"/>
      <c r="C4012" s="8"/>
      <c r="D4012" s="8">
        <v>63.217307546936</v>
      </c>
      <c r="E4012" s="9" t="s">
        <v>2063</v>
      </c>
      <c r="I4012" s="12"/>
      <c r="J4012" s="11">
        <v>0.0</v>
      </c>
      <c r="K4012" s="12" t="s">
        <v>3075</v>
      </c>
      <c r="L4012" s="13" t="s">
        <v>3075</v>
      </c>
      <c r="M4012" s="9" t="s">
        <v>3075</v>
      </c>
    </row>
    <row r="4013" ht="15.75" customHeight="1">
      <c r="A4013" s="8"/>
      <c r="B4013" s="8"/>
      <c r="C4013" s="8"/>
      <c r="D4013" s="8">
        <v>58.6980805876712</v>
      </c>
      <c r="E4013" s="9" t="s">
        <v>3147</v>
      </c>
      <c r="I4013" s="12"/>
      <c r="J4013" s="11">
        <v>0.0</v>
      </c>
      <c r="K4013" s="12" t="s">
        <v>3075</v>
      </c>
      <c r="L4013" s="13" t="s">
        <v>3075</v>
      </c>
      <c r="M4013" s="9" t="s">
        <v>3075</v>
      </c>
    </row>
    <row r="4014" ht="15.75" customHeight="1">
      <c r="A4014" s="8"/>
      <c r="B4014" s="8"/>
      <c r="C4014" s="8"/>
      <c r="D4014" s="8">
        <v>2.14942449662903</v>
      </c>
      <c r="E4014" s="9" t="s">
        <v>2067</v>
      </c>
      <c r="I4014" s="12"/>
      <c r="J4014" s="11">
        <v>0.0</v>
      </c>
      <c r="K4014" s="12" t="s">
        <v>3075</v>
      </c>
      <c r="L4014" s="13" t="s">
        <v>3075</v>
      </c>
      <c r="M4014" s="9" t="s">
        <v>3075</v>
      </c>
    </row>
    <row r="4015" ht="15.75" customHeight="1">
      <c r="A4015" s="8"/>
      <c r="B4015" s="8"/>
      <c r="C4015" s="8"/>
      <c r="D4015" s="8">
        <v>63.217307546936</v>
      </c>
      <c r="E4015" s="9" t="s">
        <v>2069</v>
      </c>
      <c r="I4015" s="12"/>
      <c r="J4015" s="11">
        <v>0.0</v>
      </c>
      <c r="K4015" s="12" t="s">
        <v>3075</v>
      </c>
      <c r="L4015" s="13" t="s">
        <v>3075</v>
      </c>
      <c r="M4015" s="9" t="s">
        <v>3075</v>
      </c>
    </row>
    <row r="4016" ht="15.75" customHeight="1">
      <c r="A4016" s="8"/>
      <c r="B4016" s="8"/>
      <c r="C4016" s="8"/>
      <c r="D4016" s="8">
        <v>63.217307546936</v>
      </c>
      <c r="E4016" s="9" t="s">
        <v>2071</v>
      </c>
      <c r="I4016" s="12"/>
      <c r="J4016" s="11">
        <v>0.0</v>
      </c>
      <c r="K4016" s="12" t="s">
        <v>3075</v>
      </c>
      <c r="L4016" s="13" t="s">
        <v>3075</v>
      </c>
      <c r="M4016" s="9" t="s">
        <v>3075</v>
      </c>
    </row>
    <row r="4017" ht="15.75" customHeight="1">
      <c r="A4017" s="8"/>
      <c r="B4017" s="8"/>
      <c r="C4017" s="8"/>
      <c r="D4017" s="8">
        <v>63.217307546936</v>
      </c>
      <c r="E4017" s="9" t="s">
        <v>2072</v>
      </c>
      <c r="I4017" s="12"/>
      <c r="J4017" s="11">
        <v>0.0</v>
      </c>
      <c r="K4017" s="12" t="s">
        <v>3075</v>
      </c>
      <c r="L4017" s="13" t="s">
        <v>3075</v>
      </c>
      <c r="M4017" s="9" t="s">
        <v>3075</v>
      </c>
    </row>
    <row r="4018" ht="15.75" customHeight="1">
      <c r="A4018" s="8"/>
      <c r="B4018" s="8"/>
      <c r="C4018" s="8"/>
      <c r="D4018" s="8">
        <v>62.6271413788797</v>
      </c>
      <c r="E4018" s="9" t="s">
        <v>2076</v>
      </c>
      <c r="I4018" s="12"/>
      <c r="J4018" s="11">
        <v>0.0</v>
      </c>
      <c r="K4018" s="12" t="s">
        <v>3075</v>
      </c>
      <c r="L4018" s="13" t="s">
        <v>3075</v>
      </c>
      <c r="M4018" s="9" t="s">
        <v>3075</v>
      </c>
    </row>
    <row r="4019" ht="15.75" customHeight="1">
      <c r="A4019" s="8"/>
      <c r="B4019" s="8"/>
      <c r="C4019" s="8"/>
      <c r="D4019" s="8">
        <v>55.3299271438842</v>
      </c>
      <c r="E4019" s="9" t="s">
        <v>2078</v>
      </c>
      <c r="I4019" s="12"/>
      <c r="J4019" s="11">
        <v>0.0</v>
      </c>
      <c r="K4019" s="12" t="s">
        <v>3075</v>
      </c>
      <c r="L4019" s="13" t="s">
        <v>3075</v>
      </c>
      <c r="M4019" s="9" t="s">
        <v>3075</v>
      </c>
    </row>
    <row r="4020" ht="15.75" customHeight="1">
      <c r="A4020" s="8"/>
      <c r="B4020" s="8"/>
      <c r="C4020" s="8"/>
      <c r="D4020" s="8">
        <v>63.217307546936</v>
      </c>
      <c r="E4020" s="9" t="s">
        <v>2079</v>
      </c>
      <c r="I4020" s="12"/>
      <c r="J4020" s="11">
        <v>0.0</v>
      </c>
      <c r="K4020" s="12" t="s">
        <v>3075</v>
      </c>
      <c r="L4020" s="13" t="s">
        <v>3075</v>
      </c>
      <c r="M4020" s="9" t="s">
        <v>3075</v>
      </c>
    </row>
    <row r="4021" ht="15.75" customHeight="1">
      <c r="A4021" s="8"/>
      <c r="B4021" s="8"/>
      <c r="C4021" s="8"/>
      <c r="D4021" s="8">
        <v>63.217307546936</v>
      </c>
      <c r="E4021" s="9" t="s">
        <v>2080</v>
      </c>
      <c r="I4021" s="12"/>
      <c r="J4021" s="11">
        <v>0.0</v>
      </c>
      <c r="K4021" s="12" t="s">
        <v>3075</v>
      </c>
      <c r="L4021" s="13" t="s">
        <v>3075</v>
      </c>
      <c r="M4021" s="9" t="s">
        <v>3075</v>
      </c>
    </row>
    <row r="4022" ht="15.75" customHeight="1">
      <c r="A4022" s="8"/>
      <c r="B4022" s="8"/>
      <c r="C4022" s="8"/>
      <c r="D4022" s="8">
        <v>63.217307546936</v>
      </c>
      <c r="E4022" s="9" t="s">
        <v>2082</v>
      </c>
      <c r="I4022" s="12"/>
      <c r="J4022" s="11">
        <v>0.0</v>
      </c>
      <c r="K4022" s="12" t="s">
        <v>3075</v>
      </c>
      <c r="L4022" s="13" t="s">
        <v>3075</v>
      </c>
      <c r="M4022" s="9" t="s">
        <v>3075</v>
      </c>
    </row>
    <row r="4023" ht="15.75" customHeight="1">
      <c r="A4023" s="8"/>
      <c r="B4023" s="8"/>
      <c r="C4023" s="8"/>
      <c r="D4023" s="8">
        <v>63.217307546936</v>
      </c>
      <c r="E4023" s="9" t="s">
        <v>2083</v>
      </c>
      <c r="I4023" s="12"/>
      <c r="J4023" s="11">
        <v>0.0</v>
      </c>
      <c r="K4023" s="12" t="s">
        <v>3075</v>
      </c>
      <c r="L4023" s="13" t="s">
        <v>3075</v>
      </c>
      <c r="M4023" s="9" t="s">
        <v>3075</v>
      </c>
    </row>
    <row r="4024" ht="15.75" customHeight="1">
      <c r="A4024" s="8"/>
      <c r="B4024" s="8"/>
      <c r="C4024" s="8"/>
      <c r="D4024" s="8">
        <v>63.217307546936</v>
      </c>
      <c r="E4024" s="9" t="s">
        <v>2084</v>
      </c>
      <c r="I4024" s="12"/>
      <c r="J4024" s="11">
        <v>0.0</v>
      </c>
      <c r="K4024" s="12" t="s">
        <v>3075</v>
      </c>
      <c r="L4024" s="13" t="s">
        <v>3075</v>
      </c>
      <c r="M4024" s="9" t="s">
        <v>3075</v>
      </c>
    </row>
    <row r="4025" ht="15.75" customHeight="1">
      <c r="A4025" s="8"/>
      <c r="B4025" s="8"/>
      <c r="C4025" s="8"/>
      <c r="D4025" s="8">
        <v>63.217307546936</v>
      </c>
      <c r="E4025" s="9" t="s">
        <v>2085</v>
      </c>
      <c r="I4025" s="12"/>
      <c r="J4025" s="11">
        <v>0.0</v>
      </c>
      <c r="K4025" s="12" t="s">
        <v>3075</v>
      </c>
      <c r="L4025" s="13" t="s">
        <v>3075</v>
      </c>
      <c r="M4025" s="9" t="s">
        <v>3075</v>
      </c>
    </row>
    <row r="4026" ht="15.75" customHeight="1">
      <c r="A4026" s="8"/>
      <c r="B4026" s="8"/>
      <c r="C4026" s="8"/>
      <c r="D4026" s="8">
        <v>60.9414844752463</v>
      </c>
      <c r="E4026" s="9" t="s">
        <v>2086</v>
      </c>
      <c r="I4026" s="12"/>
      <c r="J4026" s="11">
        <v>0.0</v>
      </c>
      <c r="K4026" s="12" t="s">
        <v>3075</v>
      </c>
      <c r="L4026" s="13" t="s">
        <v>3075</v>
      </c>
      <c r="M4026" s="9" t="s">
        <v>3075</v>
      </c>
    </row>
    <row r="4027" ht="15.75" customHeight="1">
      <c r="A4027" s="8"/>
      <c r="B4027" s="8"/>
      <c r="C4027" s="8"/>
      <c r="D4027" s="8">
        <v>63.217307546936</v>
      </c>
      <c r="E4027" s="9" t="s">
        <v>2087</v>
      </c>
      <c r="I4027" s="12"/>
      <c r="J4027" s="11">
        <v>0.0</v>
      </c>
      <c r="K4027" s="12" t="s">
        <v>3075</v>
      </c>
      <c r="L4027" s="13" t="s">
        <v>3075</v>
      </c>
      <c r="M4027" s="9" t="s">
        <v>3075</v>
      </c>
    </row>
    <row r="4028" ht="15.75" customHeight="1">
      <c r="A4028" s="8"/>
      <c r="B4028" s="8"/>
      <c r="C4028" s="8"/>
      <c r="D4028" s="8">
        <v>58.821435150005</v>
      </c>
      <c r="E4028" s="9" t="s">
        <v>2092</v>
      </c>
      <c r="I4028" s="12"/>
      <c r="J4028" s="11">
        <v>0.0</v>
      </c>
      <c r="K4028" s="12" t="s">
        <v>3075</v>
      </c>
      <c r="L4028" s="13" t="s">
        <v>3075</v>
      </c>
      <c r="M4028" s="9" t="s">
        <v>3075</v>
      </c>
    </row>
    <row r="4029" ht="15.75" customHeight="1">
      <c r="A4029" s="8"/>
      <c r="B4029" s="8"/>
      <c r="C4029" s="8"/>
      <c r="D4029" s="8">
        <v>63.217307546936</v>
      </c>
      <c r="E4029" s="9" t="s">
        <v>2094</v>
      </c>
      <c r="I4029" s="12"/>
      <c r="J4029" s="11">
        <v>0.0</v>
      </c>
      <c r="K4029" s="12" t="s">
        <v>3075</v>
      </c>
      <c r="L4029" s="13" t="s">
        <v>3075</v>
      </c>
      <c r="M4029" s="9" t="s">
        <v>3075</v>
      </c>
    </row>
    <row r="4030" ht="15.75" customHeight="1">
      <c r="A4030" s="8"/>
      <c r="B4030" s="8"/>
      <c r="C4030" s="8"/>
      <c r="D4030" s="8">
        <v>61.5261944842294</v>
      </c>
      <c r="E4030" s="9" t="s">
        <v>2095</v>
      </c>
      <c r="I4030" s="12"/>
      <c r="J4030" s="11">
        <v>0.0</v>
      </c>
      <c r="K4030" s="12" t="s">
        <v>3075</v>
      </c>
      <c r="L4030" s="13" t="s">
        <v>3075</v>
      </c>
      <c r="M4030" s="9" t="s">
        <v>3075</v>
      </c>
    </row>
    <row r="4031" ht="15.75" customHeight="1">
      <c r="A4031" s="8"/>
      <c r="B4031" s="8"/>
      <c r="C4031" s="8"/>
      <c r="D4031" s="8">
        <v>39.9075401054494</v>
      </c>
      <c r="E4031" s="9" t="s">
        <v>2096</v>
      </c>
      <c r="I4031" s="12"/>
      <c r="J4031" s="11">
        <v>0.0</v>
      </c>
      <c r="K4031" s="12" t="s">
        <v>3075</v>
      </c>
      <c r="L4031" s="13" t="s">
        <v>3075</v>
      </c>
      <c r="M4031" s="9" t="s">
        <v>3075</v>
      </c>
    </row>
    <row r="4032" ht="15.75" customHeight="1">
      <c r="A4032" s="8"/>
      <c r="B4032" s="8"/>
      <c r="C4032" s="8"/>
      <c r="D4032" s="8">
        <v>62.7086677522959</v>
      </c>
      <c r="E4032" s="9" t="s">
        <v>3148</v>
      </c>
      <c r="I4032" s="12"/>
      <c r="J4032" s="11">
        <v>0.0</v>
      </c>
      <c r="K4032" s="12" t="s">
        <v>3075</v>
      </c>
      <c r="L4032" s="13" t="s">
        <v>3075</v>
      </c>
      <c r="M4032" s="9" t="s">
        <v>3075</v>
      </c>
    </row>
    <row r="4033" ht="15.75" customHeight="1">
      <c r="A4033" s="8"/>
      <c r="B4033" s="8"/>
      <c r="C4033" s="8"/>
      <c r="D4033" s="8">
        <v>63.217307546936</v>
      </c>
      <c r="E4033" s="9" t="s">
        <v>2098</v>
      </c>
      <c r="I4033" s="12"/>
      <c r="J4033" s="11">
        <v>0.0</v>
      </c>
      <c r="K4033" s="12" t="s">
        <v>3075</v>
      </c>
      <c r="L4033" s="13" t="s">
        <v>3075</v>
      </c>
      <c r="M4033" s="9" t="s">
        <v>3075</v>
      </c>
    </row>
    <row r="4034" ht="15.75" customHeight="1">
      <c r="A4034" s="8"/>
      <c r="B4034" s="8"/>
      <c r="C4034" s="8"/>
      <c r="D4034" s="8">
        <v>63.217307546936</v>
      </c>
      <c r="E4034" s="9" t="s">
        <v>2099</v>
      </c>
      <c r="I4034" s="12"/>
      <c r="J4034" s="11">
        <v>0.0</v>
      </c>
      <c r="K4034" s="12" t="s">
        <v>3075</v>
      </c>
      <c r="L4034" s="13" t="s">
        <v>3075</v>
      </c>
      <c r="M4034" s="9" t="s">
        <v>3075</v>
      </c>
    </row>
    <row r="4035" ht="15.75" customHeight="1">
      <c r="A4035" s="8"/>
      <c r="B4035" s="8"/>
      <c r="C4035" s="8"/>
      <c r="D4035" s="8">
        <v>63.217307546936</v>
      </c>
      <c r="E4035" s="9" t="s">
        <v>2102</v>
      </c>
      <c r="I4035" s="12"/>
      <c r="J4035" s="11">
        <v>0.0</v>
      </c>
      <c r="K4035" s="12" t="s">
        <v>3075</v>
      </c>
      <c r="L4035" s="13" t="s">
        <v>3075</v>
      </c>
      <c r="M4035" s="9" t="s">
        <v>3075</v>
      </c>
    </row>
    <row r="4036" ht="15.75" customHeight="1">
      <c r="A4036" s="8"/>
      <c r="B4036" s="8"/>
      <c r="C4036" s="8"/>
      <c r="D4036" s="8">
        <v>16.7884425831988</v>
      </c>
      <c r="E4036" s="9" t="s">
        <v>3149</v>
      </c>
      <c r="I4036" s="12"/>
      <c r="J4036" s="11">
        <v>0.0</v>
      </c>
      <c r="K4036" s="12" t="s">
        <v>3075</v>
      </c>
      <c r="L4036" s="13" t="s">
        <v>3075</v>
      </c>
      <c r="M4036" s="9" t="s">
        <v>3075</v>
      </c>
    </row>
    <row r="4037" ht="15.75" customHeight="1">
      <c r="A4037" s="8"/>
      <c r="B4037" s="8"/>
      <c r="C4037" s="8"/>
      <c r="D4037" s="8">
        <v>10.553206852518</v>
      </c>
      <c r="E4037" s="9" t="s">
        <v>2104</v>
      </c>
      <c r="I4037" s="12"/>
      <c r="J4037" s="11">
        <v>0.0</v>
      </c>
      <c r="K4037" s="12" t="s">
        <v>3075</v>
      </c>
      <c r="L4037" s="13" t="s">
        <v>3075</v>
      </c>
      <c r="M4037" s="9" t="s">
        <v>3075</v>
      </c>
    </row>
    <row r="4038" ht="15.75" customHeight="1">
      <c r="A4038" s="8"/>
      <c r="B4038" s="8"/>
      <c r="C4038" s="8"/>
      <c r="D4038" s="8">
        <v>63.217307546936</v>
      </c>
      <c r="E4038" s="9" t="s">
        <v>2105</v>
      </c>
      <c r="I4038" s="12"/>
      <c r="J4038" s="11">
        <v>0.0</v>
      </c>
      <c r="K4038" s="12" t="s">
        <v>3075</v>
      </c>
      <c r="L4038" s="13" t="s">
        <v>3075</v>
      </c>
      <c r="M4038" s="9" t="s">
        <v>3075</v>
      </c>
    </row>
    <row r="4039" ht="15.75" customHeight="1">
      <c r="A4039" s="8"/>
      <c r="B4039" s="8"/>
      <c r="C4039" s="8"/>
      <c r="D4039" s="8">
        <v>63.217307546936</v>
      </c>
      <c r="E4039" s="9" t="s">
        <v>2110</v>
      </c>
      <c r="I4039" s="12"/>
      <c r="J4039" s="11">
        <v>0.0</v>
      </c>
      <c r="K4039" s="12" t="s">
        <v>3075</v>
      </c>
      <c r="L4039" s="13" t="s">
        <v>3075</v>
      </c>
      <c r="M4039" s="9" t="s">
        <v>3075</v>
      </c>
    </row>
    <row r="4040" ht="15.75" customHeight="1">
      <c r="A4040" s="8"/>
      <c r="B4040" s="8"/>
      <c r="C4040" s="8"/>
      <c r="D4040" s="8">
        <v>63.217307546936</v>
      </c>
      <c r="E4040" s="9" t="s">
        <v>2112</v>
      </c>
      <c r="I4040" s="12"/>
      <c r="J4040" s="11">
        <v>0.0</v>
      </c>
      <c r="K4040" s="12" t="s">
        <v>3075</v>
      </c>
      <c r="L4040" s="13" t="s">
        <v>3075</v>
      </c>
      <c r="M4040" s="9" t="s">
        <v>3075</v>
      </c>
    </row>
    <row r="4041" ht="15.75" customHeight="1">
      <c r="A4041" s="8"/>
      <c r="B4041" s="8"/>
      <c r="C4041" s="8"/>
      <c r="D4041" s="8">
        <v>15.1721538112646</v>
      </c>
      <c r="E4041" s="9" t="s">
        <v>3150</v>
      </c>
      <c r="I4041" s="12"/>
      <c r="J4041" s="11">
        <v>0.0</v>
      </c>
      <c r="K4041" s="12" t="s">
        <v>3075</v>
      </c>
      <c r="L4041" s="13" t="s">
        <v>3075</v>
      </c>
      <c r="M4041" s="9" t="s">
        <v>3075</v>
      </c>
    </row>
    <row r="4042" ht="15.75" customHeight="1">
      <c r="A4042" s="8"/>
      <c r="B4042" s="8"/>
      <c r="C4042" s="8"/>
      <c r="D4042" s="8">
        <v>63.217307546936</v>
      </c>
      <c r="E4042" s="9" t="s">
        <v>2119</v>
      </c>
      <c r="I4042" s="12"/>
      <c r="J4042" s="11">
        <v>0.0</v>
      </c>
      <c r="K4042" s="12" t="s">
        <v>3075</v>
      </c>
      <c r="L4042" s="13" t="s">
        <v>3075</v>
      </c>
      <c r="M4042" s="9" t="s">
        <v>3075</v>
      </c>
    </row>
    <row r="4043" ht="15.75" customHeight="1">
      <c r="A4043" s="8"/>
      <c r="B4043" s="8"/>
      <c r="C4043" s="8"/>
      <c r="D4043" s="8">
        <v>63.217307546936</v>
      </c>
      <c r="E4043" s="9" t="s">
        <v>2120</v>
      </c>
      <c r="I4043" s="12"/>
      <c r="J4043" s="11">
        <v>0.0</v>
      </c>
      <c r="K4043" s="12" t="s">
        <v>3075</v>
      </c>
      <c r="L4043" s="13" t="s">
        <v>3075</v>
      </c>
      <c r="M4043" s="9" t="s">
        <v>3075</v>
      </c>
    </row>
    <row r="4044" ht="15.75" customHeight="1">
      <c r="A4044" s="8"/>
      <c r="B4044" s="8"/>
      <c r="C4044" s="8"/>
      <c r="D4044" s="8">
        <v>63.217307546936</v>
      </c>
      <c r="E4044" s="9" t="s">
        <v>2121</v>
      </c>
      <c r="I4044" s="12"/>
      <c r="J4044" s="11">
        <v>0.0</v>
      </c>
      <c r="K4044" s="12" t="s">
        <v>3075</v>
      </c>
      <c r="L4044" s="13" t="s">
        <v>3075</v>
      </c>
      <c r="M4044" s="9" t="s">
        <v>3075</v>
      </c>
    </row>
    <row r="4045" ht="15.75" customHeight="1">
      <c r="A4045" s="8"/>
      <c r="B4045" s="8"/>
      <c r="C4045" s="8"/>
      <c r="D4045" s="8">
        <v>11.8848538188239</v>
      </c>
      <c r="E4045" s="9" t="s">
        <v>2123</v>
      </c>
      <c r="I4045" s="12"/>
      <c r="J4045" s="11">
        <v>0.0</v>
      </c>
      <c r="K4045" s="12" t="s">
        <v>3075</v>
      </c>
      <c r="L4045" s="13" t="s">
        <v>3075</v>
      </c>
      <c r="M4045" s="9" t="s">
        <v>3075</v>
      </c>
    </row>
    <row r="4046" ht="15.75" customHeight="1">
      <c r="A4046" s="8"/>
      <c r="B4046" s="8"/>
      <c r="C4046" s="8"/>
      <c r="D4046" s="8">
        <v>63.217307546936</v>
      </c>
      <c r="E4046" s="9" t="s">
        <v>2124</v>
      </c>
      <c r="I4046" s="12"/>
      <c r="J4046" s="11">
        <v>0.0</v>
      </c>
      <c r="K4046" s="12" t="s">
        <v>3075</v>
      </c>
      <c r="L4046" s="13" t="s">
        <v>3075</v>
      </c>
      <c r="M4046" s="9" t="s">
        <v>3075</v>
      </c>
    </row>
    <row r="4047" ht="15.75" customHeight="1">
      <c r="A4047" s="8"/>
      <c r="B4047" s="8"/>
      <c r="C4047" s="8"/>
      <c r="D4047" s="8">
        <v>63.217307546936</v>
      </c>
      <c r="E4047" s="9" t="s">
        <v>2130</v>
      </c>
      <c r="I4047" s="12"/>
      <c r="J4047" s="11">
        <v>0.0</v>
      </c>
      <c r="K4047" s="12" t="s">
        <v>3075</v>
      </c>
      <c r="L4047" s="13" t="s">
        <v>3075</v>
      </c>
      <c r="M4047" s="9" t="s">
        <v>3075</v>
      </c>
    </row>
    <row r="4048" ht="15.75" customHeight="1">
      <c r="A4048" s="8"/>
      <c r="B4048" s="8"/>
      <c r="C4048" s="8"/>
      <c r="D4048" s="8">
        <v>63.217307546936</v>
      </c>
      <c r="E4048" s="9" t="s">
        <v>2134</v>
      </c>
      <c r="I4048" s="12"/>
      <c r="J4048" s="11">
        <v>0.0</v>
      </c>
      <c r="K4048" s="12" t="s">
        <v>3075</v>
      </c>
      <c r="L4048" s="13" t="s">
        <v>3075</v>
      </c>
      <c r="M4048" s="9" t="s">
        <v>3075</v>
      </c>
    </row>
    <row r="4049" ht="15.75" customHeight="1">
      <c r="A4049" s="8"/>
      <c r="B4049" s="8"/>
      <c r="C4049" s="8"/>
      <c r="D4049" s="8">
        <v>63.217307546936</v>
      </c>
      <c r="E4049" s="9" t="s">
        <v>2137</v>
      </c>
      <c r="I4049" s="12"/>
      <c r="J4049" s="11">
        <v>0.0</v>
      </c>
      <c r="K4049" s="12" t="s">
        <v>3075</v>
      </c>
      <c r="L4049" s="13" t="s">
        <v>3075</v>
      </c>
      <c r="M4049" s="9" t="s">
        <v>3075</v>
      </c>
    </row>
    <row r="4050" ht="15.75" customHeight="1">
      <c r="A4050" s="8"/>
      <c r="B4050" s="8"/>
      <c r="C4050" s="8"/>
      <c r="D4050" s="8">
        <v>63.217307546936</v>
      </c>
      <c r="E4050" s="9" t="s">
        <v>2138</v>
      </c>
      <c r="I4050" s="12"/>
      <c r="J4050" s="11">
        <v>0.0</v>
      </c>
      <c r="K4050" s="12" t="s">
        <v>3075</v>
      </c>
      <c r="L4050" s="13" t="s">
        <v>3075</v>
      </c>
      <c r="M4050" s="9" t="s">
        <v>3075</v>
      </c>
    </row>
    <row r="4051" ht="15.75" customHeight="1">
      <c r="A4051" s="8"/>
      <c r="B4051" s="8"/>
      <c r="C4051" s="8"/>
      <c r="D4051" s="8">
        <v>63.217307546936</v>
      </c>
      <c r="E4051" s="9" t="s">
        <v>2141</v>
      </c>
      <c r="I4051" s="12"/>
      <c r="J4051" s="11">
        <v>0.0</v>
      </c>
      <c r="K4051" s="12" t="s">
        <v>3075</v>
      </c>
      <c r="L4051" s="13" t="s">
        <v>3075</v>
      </c>
      <c r="M4051" s="9" t="s">
        <v>3075</v>
      </c>
    </row>
    <row r="4052" ht="15.75" customHeight="1">
      <c r="A4052" s="8"/>
      <c r="B4052" s="8"/>
      <c r="C4052" s="8"/>
      <c r="D4052" s="8">
        <v>63.217307546936</v>
      </c>
      <c r="E4052" s="9" t="s">
        <v>2143</v>
      </c>
      <c r="I4052" s="12"/>
      <c r="J4052" s="11">
        <v>0.0</v>
      </c>
      <c r="K4052" s="12" t="s">
        <v>3075</v>
      </c>
      <c r="L4052" s="13" t="s">
        <v>3075</v>
      </c>
      <c r="M4052" s="9" t="s">
        <v>3075</v>
      </c>
    </row>
    <row r="4053" ht="15.75" customHeight="1">
      <c r="A4053" s="8"/>
      <c r="B4053" s="8"/>
      <c r="C4053" s="8"/>
      <c r="D4053" s="8">
        <v>63.217307546936</v>
      </c>
      <c r="E4053" s="9" t="s">
        <v>2148</v>
      </c>
      <c r="I4053" s="12"/>
      <c r="J4053" s="11">
        <v>0.0</v>
      </c>
      <c r="K4053" s="12" t="s">
        <v>3075</v>
      </c>
      <c r="L4053" s="13" t="s">
        <v>3075</v>
      </c>
      <c r="M4053" s="9" t="s">
        <v>3075</v>
      </c>
    </row>
    <row r="4054" ht="15.75" customHeight="1">
      <c r="A4054" s="8"/>
      <c r="B4054" s="8"/>
      <c r="C4054" s="8"/>
      <c r="D4054" s="8">
        <v>63.217307546936</v>
      </c>
      <c r="E4054" s="9" t="s">
        <v>2150</v>
      </c>
      <c r="I4054" s="12"/>
      <c r="J4054" s="11">
        <v>0.0</v>
      </c>
      <c r="K4054" s="12" t="s">
        <v>3075</v>
      </c>
      <c r="L4054" s="13" t="s">
        <v>3075</v>
      </c>
      <c r="M4054" s="9" t="s">
        <v>3075</v>
      </c>
    </row>
    <row r="4055" ht="15.75" customHeight="1">
      <c r="A4055" s="8"/>
      <c r="B4055" s="8"/>
      <c r="C4055" s="8"/>
      <c r="D4055" s="8">
        <v>25.2869230187744</v>
      </c>
      <c r="E4055" s="9" t="s">
        <v>2152</v>
      </c>
      <c r="I4055" s="12"/>
      <c r="J4055" s="11">
        <v>0.0</v>
      </c>
      <c r="K4055" s="12" t="s">
        <v>3075</v>
      </c>
      <c r="L4055" s="13" t="s">
        <v>3075</v>
      </c>
      <c r="M4055" s="9" t="s">
        <v>3075</v>
      </c>
    </row>
    <row r="4056" ht="15.75" customHeight="1">
      <c r="A4056" s="8"/>
      <c r="B4056" s="8"/>
      <c r="C4056" s="8"/>
      <c r="D4056" s="8">
        <v>63.217307546936</v>
      </c>
      <c r="E4056" s="9" t="s">
        <v>2154</v>
      </c>
      <c r="I4056" s="12"/>
      <c r="J4056" s="11">
        <v>0.0</v>
      </c>
      <c r="K4056" s="12" t="s">
        <v>3075</v>
      </c>
      <c r="L4056" s="13" t="s">
        <v>3075</v>
      </c>
      <c r="M4056" s="9" t="s">
        <v>3075</v>
      </c>
    </row>
    <row r="4057" ht="15.75" customHeight="1">
      <c r="A4057" s="8"/>
      <c r="B4057" s="8"/>
      <c r="C4057" s="8"/>
      <c r="D4057" s="8">
        <v>63.217307546936</v>
      </c>
      <c r="E4057" s="9" t="s">
        <v>2156</v>
      </c>
      <c r="I4057" s="12"/>
      <c r="J4057" s="11">
        <v>0.0</v>
      </c>
      <c r="K4057" s="12" t="s">
        <v>3075</v>
      </c>
      <c r="L4057" s="13" t="s">
        <v>3075</v>
      </c>
      <c r="M4057" s="9" t="s">
        <v>3075</v>
      </c>
    </row>
    <row r="4058" ht="15.75" customHeight="1">
      <c r="A4058" s="8"/>
      <c r="B4058" s="8"/>
      <c r="C4058" s="8"/>
      <c r="D4058" s="8">
        <v>4.14375991954815</v>
      </c>
      <c r="E4058" s="9" t="s">
        <v>2157</v>
      </c>
      <c r="I4058" s="12"/>
      <c r="J4058" s="11">
        <v>0.0</v>
      </c>
      <c r="K4058" s="12" t="s">
        <v>3075</v>
      </c>
      <c r="L4058" s="13" t="s">
        <v>3075</v>
      </c>
      <c r="M4058" s="9" t="s">
        <v>3075</v>
      </c>
    </row>
    <row r="4059" ht="15.75" customHeight="1">
      <c r="A4059" s="8"/>
      <c r="B4059" s="8"/>
      <c r="C4059" s="8"/>
      <c r="D4059" s="8">
        <v>63.217307546936</v>
      </c>
      <c r="E4059" s="9" t="s">
        <v>2158</v>
      </c>
      <c r="I4059" s="12"/>
      <c r="J4059" s="11">
        <v>0.0</v>
      </c>
      <c r="K4059" s="12" t="s">
        <v>3075</v>
      </c>
      <c r="L4059" s="13" t="s">
        <v>3075</v>
      </c>
      <c r="M4059" s="9" t="s">
        <v>3075</v>
      </c>
    </row>
    <row r="4060" ht="15.75" customHeight="1">
      <c r="A4060" s="8"/>
      <c r="B4060" s="8"/>
      <c r="C4060" s="8"/>
      <c r="D4060" s="8">
        <v>63.217307546936</v>
      </c>
      <c r="E4060" s="9" t="s">
        <v>2162</v>
      </c>
      <c r="I4060" s="12"/>
      <c r="J4060" s="11">
        <v>0.0</v>
      </c>
      <c r="K4060" s="12" t="s">
        <v>3075</v>
      </c>
      <c r="L4060" s="13" t="s">
        <v>3075</v>
      </c>
      <c r="M4060" s="9" t="s">
        <v>3075</v>
      </c>
    </row>
    <row r="4061" ht="15.75" customHeight="1">
      <c r="A4061" s="8"/>
      <c r="B4061" s="8"/>
      <c r="C4061" s="8"/>
      <c r="D4061" s="8">
        <v>63.217307546936</v>
      </c>
      <c r="E4061" s="9" t="s">
        <v>2163</v>
      </c>
      <c r="I4061" s="12"/>
      <c r="J4061" s="11">
        <v>0.0</v>
      </c>
      <c r="K4061" s="12" t="s">
        <v>3075</v>
      </c>
      <c r="L4061" s="13" t="s">
        <v>3075</v>
      </c>
      <c r="M4061" s="9" t="s">
        <v>3075</v>
      </c>
    </row>
    <row r="4062" ht="15.75" customHeight="1">
      <c r="A4062" s="8"/>
      <c r="B4062" s="8"/>
      <c r="C4062" s="8"/>
      <c r="D4062" s="8">
        <v>63.217307546936</v>
      </c>
      <c r="E4062" s="9" t="s">
        <v>2164</v>
      </c>
      <c r="I4062" s="12"/>
      <c r="J4062" s="11">
        <v>0.0</v>
      </c>
      <c r="K4062" s="12" t="s">
        <v>3075</v>
      </c>
      <c r="L4062" s="13" t="s">
        <v>3075</v>
      </c>
      <c r="M4062" s="9" t="s">
        <v>3075</v>
      </c>
    </row>
    <row r="4063" ht="15.75" customHeight="1">
      <c r="A4063" s="8"/>
      <c r="B4063" s="8"/>
      <c r="C4063" s="8"/>
      <c r="D4063" s="8">
        <v>63.217307546936</v>
      </c>
      <c r="E4063" s="9" t="s">
        <v>2165</v>
      </c>
      <c r="I4063" s="12"/>
      <c r="J4063" s="11">
        <v>0.0</v>
      </c>
      <c r="K4063" s="12" t="s">
        <v>3075</v>
      </c>
      <c r="L4063" s="13" t="s">
        <v>3075</v>
      </c>
      <c r="M4063" s="9" t="s">
        <v>3075</v>
      </c>
    </row>
    <row r="4064" ht="15.75" customHeight="1">
      <c r="A4064" s="8"/>
      <c r="B4064" s="8"/>
      <c r="C4064" s="8"/>
      <c r="D4064" s="8">
        <v>63.217307546936</v>
      </c>
      <c r="E4064" s="9" t="s">
        <v>2166</v>
      </c>
      <c r="I4064" s="12"/>
      <c r="J4064" s="11">
        <v>0.0</v>
      </c>
      <c r="K4064" s="12" t="s">
        <v>3075</v>
      </c>
      <c r="L4064" s="13" t="s">
        <v>3075</v>
      </c>
      <c r="M4064" s="9" t="s">
        <v>3075</v>
      </c>
    </row>
    <row r="4065" ht="15.75" customHeight="1">
      <c r="A4065" s="8"/>
      <c r="B4065" s="8"/>
      <c r="C4065" s="8"/>
      <c r="D4065" s="8">
        <v>63.217307546936</v>
      </c>
      <c r="E4065" s="9" t="s">
        <v>2167</v>
      </c>
      <c r="I4065" s="12"/>
      <c r="J4065" s="11">
        <v>0.0</v>
      </c>
      <c r="K4065" s="12" t="s">
        <v>3075</v>
      </c>
      <c r="L4065" s="13" t="s">
        <v>3075</v>
      </c>
      <c r="M4065" s="9" t="s">
        <v>3075</v>
      </c>
    </row>
    <row r="4066" ht="15.75" customHeight="1">
      <c r="A4066" s="8"/>
      <c r="B4066" s="8"/>
      <c r="C4066" s="8"/>
      <c r="D4066" s="8">
        <v>53.5021171479188</v>
      </c>
      <c r="E4066" s="9" t="s">
        <v>2175</v>
      </c>
      <c r="I4066" s="12"/>
      <c r="J4066" s="11">
        <v>0.0</v>
      </c>
      <c r="K4066" s="12" t="s">
        <v>3075</v>
      </c>
      <c r="L4066" s="13" t="s">
        <v>3075</v>
      </c>
      <c r="M4066" s="9" t="s">
        <v>3075</v>
      </c>
    </row>
    <row r="4067" ht="15.75" customHeight="1">
      <c r="A4067" s="8"/>
      <c r="B4067" s="8"/>
      <c r="C4067" s="8"/>
      <c r="D4067" s="8">
        <v>50.5738460375488</v>
      </c>
      <c r="E4067" s="9" t="s">
        <v>2177</v>
      </c>
      <c r="I4067" s="12"/>
      <c r="J4067" s="11">
        <v>0.0</v>
      </c>
      <c r="K4067" s="12" t="s">
        <v>3075</v>
      </c>
      <c r="L4067" s="13" t="s">
        <v>3075</v>
      </c>
      <c r="M4067" s="9" t="s">
        <v>3075</v>
      </c>
    </row>
    <row r="4068" ht="15.75" customHeight="1">
      <c r="A4068" s="8"/>
      <c r="B4068" s="8"/>
      <c r="C4068" s="8"/>
      <c r="D4068" s="8">
        <v>61.3345231689307</v>
      </c>
      <c r="E4068" s="9" t="s">
        <v>2180</v>
      </c>
      <c r="I4068" s="12"/>
      <c r="J4068" s="11">
        <v>0.0</v>
      </c>
      <c r="K4068" s="12" t="s">
        <v>3075</v>
      </c>
      <c r="L4068" s="13" t="s">
        <v>3075</v>
      </c>
      <c r="M4068" s="9" t="s">
        <v>3075</v>
      </c>
    </row>
    <row r="4069" ht="15.75" customHeight="1">
      <c r="A4069" s="8"/>
      <c r="B4069" s="8"/>
      <c r="C4069" s="8"/>
      <c r="D4069" s="8">
        <v>40.940881407682</v>
      </c>
      <c r="E4069" s="9" t="s">
        <v>3151</v>
      </c>
      <c r="I4069" s="12"/>
      <c r="J4069" s="11">
        <v>0.0</v>
      </c>
      <c r="K4069" s="12" t="s">
        <v>3075</v>
      </c>
      <c r="L4069" s="13" t="s">
        <v>3075</v>
      </c>
      <c r="M4069" s="9" t="s">
        <v>3075</v>
      </c>
    </row>
    <row r="4070" ht="15.75" customHeight="1">
      <c r="A4070" s="8"/>
      <c r="B4070" s="8"/>
      <c r="C4070" s="8"/>
      <c r="D4070" s="8">
        <v>63.217307546936</v>
      </c>
      <c r="E4070" s="9" t="s">
        <v>2182</v>
      </c>
      <c r="I4070" s="12"/>
      <c r="J4070" s="11">
        <v>0.0</v>
      </c>
      <c r="K4070" s="12" t="s">
        <v>3075</v>
      </c>
      <c r="L4070" s="13" t="s">
        <v>3075</v>
      </c>
      <c r="M4070" s="9" t="s">
        <v>3075</v>
      </c>
    </row>
    <row r="4071" ht="15.75" customHeight="1">
      <c r="A4071" s="8"/>
      <c r="B4071" s="8"/>
      <c r="C4071" s="8"/>
      <c r="D4071" s="8">
        <v>33.8744472964209</v>
      </c>
      <c r="E4071" s="9" t="s">
        <v>2183</v>
      </c>
      <c r="I4071" s="12"/>
      <c r="J4071" s="11">
        <v>0.0</v>
      </c>
      <c r="K4071" s="12" t="s">
        <v>3075</v>
      </c>
      <c r="L4071" s="13" t="s">
        <v>3075</v>
      </c>
      <c r="M4071" s="9" t="s">
        <v>3075</v>
      </c>
    </row>
    <row r="4072" ht="15.75" customHeight="1">
      <c r="A4072" s="8"/>
      <c r="B4072" s="8"/>
      <c r="C4072" s="8"/>
      <c r="D4072" s="8">
        <v>63.217307546936</v>
      </c>
      <c r="E4072" s="9" t="s">
        <v>2184</v>
      </c>
      <c r="I4072" s="12"/>
      <c r="J4072" s="11">
        <v>0.0</v>
      </c>
      <c r="K4072" s="12" t="s">
        <v>3075</v>
      </c>
      <c r="L4072" s="13" t="s">
        <v>3075</v>
      </c>
      <c r="M4072" s="9" t="s">
        <v>3075</v>
      </c>
    </row>
    <row r="4073" ht="15.75" customHeight="1">
      <c r="A4073" s="8"/>
      <c r="B4073" s="8"/>
      <c r="C4073" s="8"/>
      <c r="D4073" s="8">
        <v>57.3745832364953</v>
      </c>
      <c r="E4073" s="9" t="s">
        <v>2187</v>
      </c>
      <c r="I4073" s="12"/>
      <c r="J4073" s="11">
        <v>0.0</v>
      </c>
      <c r="K4073" s="12" t="s">
        <v>3075</v>
      </c>
      <c r="L4073" s="13" t="s">
        <v>3075</v>
      </c>
      <c r="M4073" s="9" t="s">
        <v>3075</v>
      </c>
    </row>
    <row r="4074" ht="15.75" customHeight="1">
      <c r="A4074" s="8"/>
      <c r="B4074" s="8"/>
      <c r="C4074" s="8"/>
      <c r="D4074" s="8">
        <v>37.9303845281616</v>
      </c>
      <c r="E4074" s="9" t="s">
        <v>2188</v>
      </c>
      <c r="I4074" s="12"/>
      <c r="J4074" s="11">
        <v>0.0</v>
      </c>
      <c r="K4074" s="12" t="s">
        <v>3075</v>
      </c>
      <c r="L4074" s="13" t="s">
        <v>3075</v>
      </c>
      <c r="M4074" s="9" t="s">
        <v>3075</v>
      </c>
    </row>
    <row r="4075" ht="15.75" customHeight="1">
      <c r="A4075" s="8"/>
      <c r="B4075" s="8"/>
      <c r="C4075" s="8"/>
      <c r="D4075" s="8">
        <v>59.330780712886</v>
      </c>
      <c r="E4075" s="9" t="s">
        <v>2189</v>
      </c>
      <c r="I4075" s="12"/>
      <c r="J4075" s="11">
        <v>0.0</v>
      </c>
      <c r="K4075" s="12" t="s">
        <v>3075</v>
      </c>
      <c r="L4075" s="13" t="s">
        <v>3075</v>
      </c>
      <c r="M4075" s="9" t="s">
        <v>3075</v>
      </c>
    </row>
    <row r="4076" ht="15.75" customHeight="1">
      <c r="A4076" s="8"/>
      <c r="B4076" s="8"/>
      <c r="C4076" s="8"/>
      <c r="D4076" s="8">
        <v>49.3245813170395</v>
      </c>
      <c r="E4076" s="9" t="s">
        <v>2190</v>
      </c>
      <c r="I4076" s="12"/>
      <c r="J4076" s="11">
        <v>0.0</v>
      </c>
      <c r="K4076" s="12" t="s">
        <v>3075</v>
      </c>
      <c r="L4076" s="13" t="s">
        <v>3075</v>
      </c>
      <c r="M4076" s="9" t="s">
        <v>3075</v>
      </c>
    </row>
    <row r="4077" ht="15.75" customHeight="1">
      <c r="A4077" s="8"/>
      <c r="B4077" s="8"/>
      <c r="C4077" s="8"/>
      <c r="D4077" s="8">
        <v>63.217307546936</v>
      </c>
      <c r="E4077" s="9" t="s">
        <v>2198</v>
      </c>
      <c r="I4077" s="12"/>
      <c r="J4077" s="11">
        <v>0.0</v>
      </c>
      <c r="K4077" s="12" t="s">
        <v>3075</v>
      </c>
      <c r="L4077" s="13" t="s">
        <v>3075</v>
      </c>
      <c r="M4077" s="9" t="s">
        <v>3075</v>
      </c>
    </row>
    <row r="4078" ht="15.75" customHeight="1">
      <c r="A4078" s="8"/>
      <c r="B4078" s="8"/>
      <c r="C4078" s="8"/>
      <c r="D4078" s="8">
        <v>57.5314099970764</v>
      </c>
      <c r="E4078" s="9" t="s">
        <v>2199</v>
      </c>
      <c r="I4078" s="12"/>
      <c r="J4078" s="11">
        <v>0.0</v>
      </c>
      <c r="K4078" s="12" t="s">
        <v>3075</v>
      </c>
      <c r="L4078" s="13" t="s">
        <v>3075</v>
      </c>
      <c r="M4078" s="9" t="s">
        <v>3075</v>
      </c>
    </row>
    <row r="4079" ht="15.75" customHeight="1">
      <c r="A4079" s="8"/>
      <c r="B4079" s="8"/>
      <c r="C4079" s="8"/>
      <c r="D4079" s="8">
        <v>63.217307546936</v>
      </c>
      <c r="E4079" s="9" t="s">
        <v>2200</v>
      </c>
      <c r="I4079" s="12"/>
      <c r="J4079" s="11">
        <v>0.0</v>
      </c>
      <c r="K4079" s="12" t="s">
        <v>3075</v>
      </c>
      <c r="L4079" s="13" t="s">
        <v>3075</v>
      </c>
      <c r="M4079" s="9" t="s">
        <v>3075</v>
      </c>
    </row>
    <row r="4080" ht="15.75" customHeight="1">
      <c r="A4080" s="8"/>
      <c r="B4080" s="8"/>
      <c r="C4080" s="8"/>
      <c r="D4080" s="8">
        <v>63.217307546936</v>
      </c>
      <c r="E4080" s="9" t="s">
        <v>2201</v>
      </c>
      <c r="I4080" s="12"/>
      <c r="J4080" s="11">
        <v>0.0</v>
      </c>
      <c r="K4080" s="12" t="s">
        <v>3075</v>
      </c>
      <c r="L4080" s="13" t="s">
        <v>3075</v>
      </c>
      <c r="M4080" s="9" t="s">
        <v>3075</v>
      </c>
    </row>
    <row r="4081" ht="15.75" customHeight="1">
      <c r="A4081" s="8"/>
      <c r="B4081" s="8"/>
      <c r="C4081" s="8"/>
      <c r="D4081" s="8">
        <v>63.217307546936</v>
      </c>
      <c r="E4081" s="9" t="s">
        <v>2203</v>
      </c>
      <c r="I4081" s="12"/>
      <c r="J4081" s="11">
        <v>0.0</v>
      </c>
      <c r="K4081" s="12" t="s">
        <v>3075</v>
      </c>
      <c r="L4081" s="13" t="s">
        <v>3075</v>
      </c>
      <c r="M4081" s="9" t="s">
        <v>3075</v>
      </c>
    </row>
    <row r="4082" ht="15.75" customHeight="1">
      <c r="A4082" s="8"/>
      <c r="B4082" s="8"/>
      <c r="C4082" s="8"/>
      <c r="D4082" s="8">
        <v>61.5436225184449</v>
      </c>
      <c r="E4082" s="9" t="s">
        <v>2204</v>
      </c>
      <c r="I4082" s="12"/>
      <c r="J4082" s="11">
        <v>0.0</v>
      </c>
      <c r="K4082" s="12" t="s">
        <v>3075</v>
      </c>
      <c r="L4082" s="13" t="s">
        <v>3075</v>
      </c>
      <c r="M4082" s="9" t="s">
        <v>3075</v>
      </c>
    </row>
    <row r="4083" ht="15.75" customHeight="1">
      <c r="A4083" s="8"/>
      <c r="B4083" s="8"/>
      <c r="C4083" s="8"/>
      <c r="D4083" s="8">
        <v>63.217307546936</v>
      </c>
      <c r="E4083" s="9" t="s">
        <v>2207</v>
      </c>
      <c r="I4083" s="12"/>
      <c r="J4083" s="11">
        <v>0.0</v>
      </c>
      <c r="K4083" s="12" t="s">
        <v>3075</v>
      </c>
      <c r="L4083" s="13" t="s">
        <v>3075</v>
      </c>
      <c r="M4083" s="9" t="s">
        <v>3075</v>
      </c>
    </row>
    <row r="4084" ht="15.75" customHeight="1">
      <c r="A4084" s="8"/>
      <c r="B4084" s="8"/>
      <c r="C4084" s="8"/>
      <c r="D4084" s="8">
        <v>63.217307546936</v>
      </c>
      <c r="E4084" s="9" t="s">
        <v>2208</v>
      </c>
      <c r="I4084" s="12"/>
      <c r="J4084" s="11">
        <v>0.0</v>
      </c>
      <c r="K4084" s="12" t="s">
        <v>3075</v>
      </c>
      <c r="L4084" s="13" t="s">
        <v>3075</v>
      </c>
      <c r="M4084" s="9" t="s">
        <v>3075</v>
      </c>
    </row>
    <row r="4085" ht="15.75" customHeight="1">
      <c r="A4085" s="8"/>
      <c r="B4085" s="8"/>
      <c r="C4085" s="8"/>
      <c r="D4085" s="8">
        <v>63.217307546936</v>
      </c>
      <c r="E4085" s="9" t="s">
        <v>2211</v>
      </c>
      <c r="I4085" s="12"/>
      <c r="J4085" s="11">
        <v>0.0</v>
      </c>
      <c r="K4085" s="12" t="s">
        <v>3075</v>
      </c>
      <c r="L4085" s="13" t="s">
        <v>3075</v>
      </c>
      <c r="M4085" s="9" t="s">
        <v>3075</v>
      </c>
    </row>
    <row r="4086" ht="15.75" customHeight="1">
      <c r="A4086" s="8"/>
      <c r="B4086" s="8"/>
      <c r="C4086" s="8"/>
      <c r="D4086" s="8">
        <v>63.217307546936</v>
      </c>
      <c r="E4086" s="9" t="s">
        <v>2212</v>
      </c>
      <c r="I4086" s="12"/>
      <c r="J4086" s="11">
        <v>0.0</v>
      </c>
      <c r="K4086" s="12" t="s">
        <v>3075</v>
      </c>
      <c r="L4086" s="13" t="s">
        <v>3075</v>
      </c>
      <c r="M4086" s="9" t="s">
        <v>3075</v>
      </c>
    </row>
    <row r="4087" ht="15.75" customHeight="1">
      <c r="A4087" s="8"/>
      <c r="B4087" s="8"/>
      <c r="C4087" s="8"/>
      <c r="D4087" s="8">
        <v>4.51086982816319</v>
      </c>
      <c r="E4087" s="9" t="s">
        <v>3152</v>
      </c>
      <c r="I4087" s="12"/>
      <c r="J4087" s="11">
        <v>0.0</v>
      </c>
      <c r="K4087" s="12" t="s">
        <v>3075</v>
      </c>
      <c r="L4087" s="13" t="s">
        <v>3075</v>
      </c>
      <c r="M4087" s="9" t="s">
        <v>3075</v>
      </c>
    </row>
    <row r="4088" ht="15.75" customHeight="1">
      <c r="A4088" s="8"/>
      <c r="B4088" s="8"/>
      <c r="C4088" s="8"/>
      <c r="D4088" s="8">
        <v>63.217307546936</v>
      </c>
      <c r="E4088" s="9" t="s">
        <v>2216</v>
      </c>
      <c r="I4088" s="12"/>
      <c r="J4088" s="11">
        <v>0.0</v>
      </c>
      <c r="K4088" s="12" t="s">
        <v>3075</v>
      </c>
      <c r="L4088" s="13" t="s">
        <v>3075</v>
      </c>
      <c r="M4088" s="9" t="s">
        <v>3075</v>
      </c>
    </row>
    <row r="4089" ht="15.75" customHeight="1">
      <c r="A4089" s="8"/>
      <c r="B4089" s="8"/>
      <c r="C4089" s="8"/>
      <c r="D4089" s="8">
        <v>63.217307546936</v>
      </c>
      <c r="E4089" s="9" t="s">
        <v>3153</v>
      </c>
      <c r="I4089" s="12"/>
      <c r="J4089" s="11">
        <v>0.0</v>
      </c>
      <c r="K4089" s="12" t="s">
        <v>3075</v>
      </c>
      <c r="L4089" s="13" t="s">
        <v>3075</v>
      </c>
      <c r="M4089" s="9" t="s">
        <v>3075</v>
      </c>
    </row>
    <row r="4090" ht="15.75" customHeight="1">
      <c r="A4090" s="8"/>
      <c r="B4090" s="8"/>
      <c r="C4090" s="8"/>
      <c r="D4090" s="8">
        <v>63.217307546936</v>
      </c>
      <c r="E4090" s="9" t="s">
        <v>2217</v>
      </c>
      <c r="I4090" s="12"/>
      <c r="J4090" s="11">
        <v>0.0</v>
      </c>
      <c r="K4090" s="12" t="s">
        <v>3075</v>
      </c>
      <c r="L4090" s="13" t="s">
        <v>3075</v>
      </c>
      <c r="M4090" s="9" t="s">
        <v>3075</v>
      </c>
    </row>
    <row r="4091" ht="15.75" customHeight="1">
      <c r="A4091" s="8"/>
      <c r="B4091" s="8"/>
      <c r="C4091" s="8"/>
      <c r="D4091" s="8">
        <v>62.7663029776324</v>
      </c>
      <c r="E4091" s="9" t="s">
        <v>2219</v>
      </c>
      <c r="I4091" s="12"/>
      <c r="J4091" s="11">
        <v>0.0</v>
      </c>
      <c r="K4091" s="12" t="s">
        <v>3075</v>
      </c>
      <c r="L4091" s="13" t="s">
        <v>3075</v>
      </c>
      <c r="M4091" s="9" t="s">
        <v>3075</v>
      </c>
    </row>
    <row r="4092" ht="15.75" customHeight="1">
      <c r="A4092" s="8"/>
      <c r="B4092" s="8"/>
      <c r="C4092" s="8"/>
      <c r="D4092" s="8">
        <v>63.217307546936</v>
      </c>
      <c r="E4092" s="9" t="s">
        <v>2220</v>
      </c>
      <c r="I4092" s="12"/>
      <c r="J4092" s="11">
        <v>0.0</v>
      </c>
      <c r="K4092" s="12" t="s">
        <v>3075</v>
      </c>
      <c r="L4092" s="13" t="s">
        <v>3075</v>
      </c>
      <c r="M4092" s="9" t="s">
        <v>3075</v>
      </c>
    </row>
    <row r="4093" ht="15.75" customHeight="1">
      <c r="A4093" s="8"/>
      <c r="B4093" s="8"/>
      <c r="C4093" s="8"/>
      <c r="D4093" s="8">
        <v>63.217307546936</v>
      </c>
      <c r="E4093" s="9" t="s">
        <v>2225</v>
      </c>
      <c r="I4093" s="12"/>
      <c r="J4093" s="11">
        <v>0.0</v>
      </c>
      <c r="K4093" s="12" t="s">
        <v>3075</v>
      </c>
      <c r="L4093" s="13" t="s">
        <v>3075</v>
      </c>
      <c r="M4093" s="9" t="s">
        <v>3075</v>
      </c>
    </row>
    <row r="4094" ht="15.75" customHeight="1">
      <c r="A4094" s="8"/>
      <c r="B4094" s="8"/>
      <c r="C4094" s="8"/>
      <c r="D4094" s="8">
        <v>63.217307546936</v>
      </c>
      <c r="E4094" s="9" t="s">
        <v>2227</v>
      </c>
      <c r="I4094" s="12"/>
      <c r="J4094" s="11">
        <v>0.0</v>
      </c>
      <c r="K4094" s="12" t="s">
        <v>3075</v>
      </c>
      <c r="L4094" s="13" t="s">
        <v>3075</v>
      </c>
      <c r="M4094" s="9" t="s">
        <v>3075</v>
      </c>
    </row>
    <row r="4095" ht="15.75" customHeight="1">
      <c r="A4095" s="8"/>
      <c r="B4095" s="8"/>
      <c r="C4095" s="8"/>
      <c r="D4095" s="8">
        <v>5.22647861882582</v>
      </c>
      <c r="E4095" s="9" t="s">
        <v>2230</v>
      </c>
      <c r="I4095" s="12"/>
      <c r="J4095" s="11">
        <v>0.0</v>
      </c>
      <c r="K4095" s="12" t="s">
        <v>3075</v>
      </c>
      <c r="L4095" s="13" t="s">
        <v>3075</v>
      </c>
      <c r="M4095" s="9" t="s">
        <v>3075</v>
      </c>
    </row>
    <row r="4096" ht="15.75" customHeight="1">
      <c r="A4096" s="8"/>
      <c r="B4096" s="8"/>
      <c r="C4096" s="8"/>
      <c r="D4096" s="8">
        <v>63.217307546936</v>
      </c>
      <c r="E4096" s="9" t="s">
        <v>2232</v>
      </c>
      <c r="I4096" s="12"/>
      <c r="J4096" s="11">
        <v>0.0</v>
      </c>
      <c r="K4096" s="12" t="s">
        <v>3075</v>
      </c>
      <c r="L4096" s="13" t="s">
        <v>3075</v>
      </c>
      <c r="M4096" s="9" t="s">
        <v>3075</v>
      </c>
    </row>
    <row r="4097" ht="15.75" customHeight="1">
      <c r="A4097" s="8"/>
      <c r="B4097" s="8"/>
      <c r="C4097" s="8"/>
      <c r="D4097" s="8">
        <v>63.217307546936</v>
      </c>
      <c r="E4097" s="9" t="s">
        <v>2235</v>
      </c>
      <c r="I4097" s="12"/>
      <c r="J4097" s="11">
        <v>0.0</v>
      </c>
      <c r="K4097" s="12" t="s">
        <v>3075</v>
      </c>
      <c r="L4097" s="13" t="s">
        <v>3075</v>
      </c>
      <c r="M4097" s="9" t="s">
        <v>3075</v>
      </c>
    </row>
    <row r="4098" ht="15.75" customHeight="1">
      <c r="A4098" s="8"/>
      <c r="B4098" s="8"/>
      <c r="C4098" s="8"/>
      <c r="D4098" s="8">
        <v>63.217307546936</v>
      </c>
      <c r="E4098" s="9" t="s">
        <v>2236</v>
      </c>
      <c r="I4098" s="12"/>
      <c r="J4098" s="11">
        <v>0.0</v>
      </c>
      <c r="K4098" s="12" t="s">
        <v>3075</v>
      </c>
      <c r="L4098" s="13" t="s">
        <v>3075</v>
      </c>
      <c r="M4098" s="9" t="s">
        <v>3075</v>
      </c>
    </row>
    <row r="4099" ht="15.75" customHeight="1">
      <c r="A4099" s="8"/>
      <c r="B4099" s="8"/>
      <c r="C4099" s="8"/>
      <c r="D4099" s="8">
        <v>60.4525017726172</v>
      </c>
      <c r="E4099" s="9" t="s">
        <v>3154</v>
      </c>
      <c r="I4099" s="12"/>
      <c r="J4099" s="11">
        <v>0.0</v>
      </c>
      <c r="K4099" s="12" t="s">
        <v>3075</v>
      </c>
      <c r="L4099" s="13" t="s">
        <v>3075</v>
      </c>
      <c r="M4099" s="9" t="s">
        <v>3075</v>
      </c>
    </row>
    <row r="4100" ht="15.75" customHeight="1">
      <c r="A4100" s="8"/>
      <c r="B4100" s="8"/>
      <c r="C4100" s="8"/>
      <c r="D4100" s="8">
        <v>63.217307546936</v>
      </c>
      <c r="E4100" s="9" t="s">
        <v>2245</v>
      </c>
      <c r="I4100" s="12"/>
      <c r="J4100" s="11">
        <v>0.0</v>
      </c>
      <c r="K4100" s="12" t="s">
        <v>3075</v>
      </c>
      <c r="L4100" s="13" t="s">
        <v>3075</v>
      </c>
      <c r="M4100" s="9" t="s">
        <v>3075</v>
      </c>
    </row>
    <row r="4101" ht="15.75" customHeight="1">
      <c r="A4101" s="8"/>
      <c r="B4101" s="8"/>
      <c r="C4101" s="8"/>
      <c r="D4101" s="8">
        <v>63.217307546936</v>
      </c>
      <c r="E4101" s="9" t="s">
        <v>2246</v>
      </c>
      <c r="I4101" s="12"/>
      <c r="J4101" s="11">
        <v>0.0</v>
      </c>
      <c r="K4101" s="12" t="s">
        <v>3075</v>
      </c>
      <c r="L4101" s="13" t="s">
        <v>3075</v>
      </c>
      <c r="M4101" s="9" t="s">
        <v>3075</v>
      </c>
    </row>
    <row r="4102" ht="15.75" customHeight="1">
      <c r="A4102" s="8"/>
      <c r="B4102" s="8"/>
      <c r="C4102" s="8"/>
      <c r="D4102" s="8">
        <v>63.217307546936</v>
      </c>
      <c r="E4102" s="9" t="s">
        <v>2247</v>
      </c>
      <c r="I4102" s="12"/>
      <c r="J4102" s="11">
        <v>0.0</v>
      </c>
      <c r="K4102" s="12" t="s">
        <v>3075</v>
      </c>
      <c r="L4102" s="13" t="s">
        <v>3075</v>
      </c>
      <c r="M4102" s="9" t="s">
        <v>3075</v>
      </c>
    </row>
    <row r="4103" ht="15.75" customHeight="1">
      <c r="A4103" s="8"/>
      <c r="B4103" s="8"/>
      <c r="C4103" s="8"/>
      <c r="D4103" s="8">
        <v>17.8186342272764</v>
      </c>
      <c r="E4103" s="9" t="s">
        <v>2248</v>
      </c>
      <c r="I4103" s="12"/>
      <c r="J4103" s="11">
        <v>0.0</v>
      </c>
      <c r="K4103" s="12" t="s">
        <v>3075</v>
      </c>
      <c r="L4103" s="13" t="s">
        <v>3075</v>
      </c>
      <c r="M4103" s="9" t="s">
        <v>3075</v>
      </c>
    </row>
    <row r="4104" ht="15.75" customHeight="1">
      <c r="A4104" s="8"/>
      <c r="B4104" s="8"/>
      <c r="C4104" s="8"/>
      <c r="D4104" s="8">
        <v>55.631386114277</v>
      </c>
      <c r="E4104" s="9" t="s">
        <v>2250</v>
      </c>
      <c r="I4104" s="12"/>
      <c r="J4104" s="11">
        <v>0.0</v>
      </c>
      <c r="K4104" s="12" t="s">
        <v>3075</v>
      </c>
      <c r="L4104" s="13" t="s">
        <v>3075</v>
      </c>
      <c r="M4104" s="9" t="s">
        <v>3075</v>
      </c>
    </row>
    <row r="4105" ht="15.75" customHeight="1">
      <c r="A4105" s="8"/>
      <c r="B4105" s="8"/>
      <c r="C4105" s="8"/>
      <c r="D4105" s="8">
        <v>63.217307546936</v>
      </c>
      <c r="E4105" s="9" t="s">
        <v>2254</v>
      </c>
      <c r="I4105" s="12"/>
      <c r="J4105" s="11">
        <v>0.0</v>
      </c>
      <c r="K4105" s="12" t="s">
        <v>3075</v>
      </c>
      <c r="L4105" s="13" t="s">
        <v>3075</v>
      </c>
      <c r="M4105" s="9" t="s">
        <v>3075</v>
      </c>
    </row>
    <row r="4106" ht="15.75" customHeight="1">
      <c r="A4106" s="8"/>
      <c r="B4106" s="8"/>
      <c r="C4106" s="8"/>
      <c r="D4106" s="8">
        <v>63.217307546936</v>
      </c>
      <c r="E4106" s="9" t="s">
        <v>2256</v>
      </c>
      <c r="I4106" s="12"/>
      <c r="J4106" s="11">
        <v>0.0</v>
      </c>
      <c r="K4106" s="12" t="s">
        <v>3075</v>
      </c>
      <c r="L4106" s="13" t="s">
        <v>3075</v>
      </c>
      <c r="M4106" s="9" t="s">
        <v>3075</v>
      </c>
    </row>
    <row r="4107" ht="15.75" customHeight="1">
      <c r="A4107" s="8"/>
      <c r="B4107" s="8"/>
      <c r="C4107" s="8"/>
      <c r="D4107" s="8">
        <v>5.64959724606403</v>
      </c>
      <c r="E4107" s="9" t="s">
        <v>2262</v>
      </c>
      <c r="I4107" s="12"/>
      <c r="J4107" s="11">
        <v>0.0</v>
      </c>
      <c r="K4107" s="12" t="s">
        <v>3075</v>
      </c>
      <c r="L4107" s="13" t="s">
        <v>3075</v>
      </c>
      <c r="M4107" s="9" t="s">
        <v>3075</v>
      </c>
    </row>
    <row r="4108" ht="15.75" customHeight="1">
      <c r="A4108" s="8"/>
      <c r="B4108" s="8"/>
      <c r="C4108" s="8"/>
      <c r="D4108" s="8">
        <v>63.217307546936</v>
      </c>
      <c r="E4108" s="9" t="s">
        <v>2265</v>
      </c>
      <c r="I4108" s="12"/>
      <c r="J4108" s="11">
        <v>0.0</v>
      </c>
      <c r="K4108" s="12" t="s">
        <v>3075</v>
      </c>
      <c r="L4108" s="13" t="s">
        <v>3075</v>
      </c>
      <c r="M4108" s="9" t="s">
        <v>3075</v>
      </c>
    </row>
    <row r="4109" ht="15.75" customHeight="1">
      <c r="A4109" s="8"/>
      <c r="B4109" s="8"/>
      <c r="C4109" s="8"/>
      <c r="D4109" s="8">
        <v>21.8952748475602</v>
      </c>
      <c r="E4109" s="9" t="s">
        <v>2267</v>
      </c>
      <c r="I4109" s="12"/>
      <c r="J4109" s="11">
        <v>0.0</v>
      </c>
      <c r="K4109" s="12" t="s">
        <v>3075</v>
      </c>
      <c r="L4109" s="13" t="s">
        <v>3075</v>
      </c>
      <c r="M4109" s="9" t="s">
        <v>3075</v>
      </c>
    </row>
    <row r="4110" ht="15.75" customHeight="1">
      <c r="A4110" s="8"/>
      <c r="B4110" s="8"/>
      <c r="C4110" s="8"/>
      <c r="D4110" s="8">
        <v>40.459076830039</v>
      </c>
      <c r="E4110" s="9" t="s">
        <v>2271</v>
      </c>
      <c r="I4110" s="12"/>
      <c r="J4110" s="11">
        <v>0.0</v>
      </c>
      <c r="K4110" s="12" t="s">
        <v>3075</v>
      </c>
      <c r="L4110" s="13" t="s">
        <v>3075</v>
      </c>
      <c r="M4110" s="9" t="s">
        <v>3075</v>
      </c>
    </row>
    <row r="4111" ht="15.75" customHeight="1">
      <c r="A4111" s="8"/>
      <c r="B4111" s="8"/>
      <c r="C4111" s="8"/>
      <c r="D4111" s="8">
        <v>43.0971895411102</v>
      </c>
      <c r="E4111" s="9" t="s">
        <v>2272</v>
      </c>
      <c r="I4111" s="12"/>
      <c r="J4111" s="11">
        <v>0.0</v>
      </c>
      <c r="K4111" s="12" t="s">
        <v>3075</v>
      </c>
      <c r="L4111" s="13" t="s">
        <v>3075</v>
      </c>
      <c r="M4111" s="9" t="s">
        <v>3075</v>
      </c>
    </row>
    <row r="4112" ht="15.75" customHeight="1">
      <c r="A4112" s="8"/>
      <c r="B4112" s="8"/>
      <c r="C4112" s="8"/>
      <c r="D4112" s="8">
        <v>27.5461310347339</v>
      </c>
      <c r="E4112" s="9" t="s">
        <v>2274</v>
      </c>
      <c r="I4112" s="12"/>
      <c r="J4112" s="11">
        <v>0.0</v>
      </c>
      <c r="K4112" s="12" t="s">
        <v>3075</v>
      </c>
      <c r="L4112" s="13" t="s">
        <v>3075</v>
      </c>
      <c r="M4112" s="9" t="s">
        <v>3075</v>
      </c>
    </row>
    <row r="4113" ht="15.75" customHeight="1">
      <c r="A4113" s="8"/>
      <c r="B4113" s="8"/>
      <c r="C4113" s="8"/>
      <c r="D4113" s="8">
        <v>63.217307546936</v>
      </c>
      <c r="E4113" s="9" t="s">
        <v>2276</v>
      </c>
      <c r="I4113" s="12"/>
      <c r="J4113" s="11">
        <v>0.0</v>
      </c>
      <c r="K4113" s="12" t="s">
        <v>3075</v>
      </c>
      <c r="L4113" s="13" t="s">
        <v>3075</v>
      </c>
      <c r="M4113" s="9" t="s">
        <v>3075</v>
      </c>
    </row>
    <row r="4114" ht="15.75" customHeight="1">
      <c r="A4114" s="8"/>
      <c r="B4114" s="8"/>
      <c r="C4114" s="8"/>
      <c r="D4114" s="8">
        <v>60.5413725697555</v>
      </c>
      <c r="E4114" s="9" t="s">
        <v>3155</v>
      </c>
      <c r="I4114" s="12"/>
      <c r="J4114" s="11">
        <v>0.0</v>
      </c>
      <c r="K4114" s="12" t="s">
        <v>3075</v>
      </c>
      <c r="L4114" s="13" t="s">
        <v>3075</v>
      </c>
      <c r="M4114" s="9" t="s">
        <v>3075</v>
      </c>
    </row>
    <row r="4115" ht="15.75" customHeight="1">
      <c r="A4115" s="8"/>
      <c r="B4115" s="8"/>
      <c r="C4115" s="8"/>
      <c r="D4115" s="8">
        <v>63.217307546936</v>
      </c>
      <c r="E4115" s="9" t="s">
        <v>2279</v>
      </c>
      <c r="I4115" s="12"/>
      <c r="J4115" s="11">
        <v>0.0</v>
      </c>
      <c r="K4115" s="12" t="s">
        <v>3075</v>
      </c>
      <c r="L4115" s="13" t="s">
        <v>3075</v>
      </c>
      <c r="M4115" s="9" t="s">
        <v>3075</v>
      </c>
    </row>
    <row r="4116" ht="15.75" customHeight="1">
      <c r="A4116" s="8"/>
      <c r="B4116" s="8"/>
      <c r="C4116" s="8"/>
      <c r="D4116" s="8">
        <v>63.217307546936</v>
      </c>
      <c r="E4116" s="9" t="s">
        <v>2283</v>
      </c>
      <c r="I4116" s="12"/>
      <c r="J4116" s="11">
        <v>0.0</v>
      </c>
      <c r="K4116" s="12" t="s">
        <v>3075</v>
      </c>
      <c r="L4116" s="13" t="s">
        <v>3075</v>
      </c>
      <c r="M4116" s="9" t="s">
        <v>3075</v>
      </c>
    </row>
    <row r="4117" ht="15.75" customHeight="1">
      <c r="A4117" s="8"/>
      <c r="B4117" s="8"/>
      <c r="C4117" s="8"/>
      <c r="D4117" s="8">
        <v>59.239244892171</v>
      </c>
      <c r="E4117" s="9" t="s">
        <v>3156</v>
      </c>
      <c r="I4117" s="12"/>
      <c r="J4117" s="11">
        <v>0.0</v>
      </c>
      <c r="K4117" s="12" t="s">
        <v>3075</v>
      </c>
      <c r="L4117" s="13" t="s">
        <v>3075</v>
      </c>
      <c r="M4117" s="9" t="s">
        <v>3075</v>
      </c>
    </row>
    <row r="4118" ht="15.75" customHeight="1">
      <c r="A4118" s="8"/>
      <c r="B4118" s="8"/>
      <c r="C4118" s="8"/>
      <c r="D4118" s="8">
        <v>63.217307546936</v>
      </c>
      <c r="E4118" s="9" t="s">
        <v>2292</v>
      </c>
      <c r="I4118" s="12"/>
      <c r="J4118" s="11">
        <v>0.0</v>
      </c>
      <c r="K4118" s="12" t="s">
        <v>3075</v>
      </c>
      <c r="L4118" s="13" t="s">
        <v>3075</v>
      </c>
      <c r="M4118" s="9" t="s">
        <v>3075</v>
      </c>
    </row>
    <row r="4119" ht="15.75" customHeight="1">
      <c r="A4119" s="8"/>
      <c r="B4119" s="8"/>
      <c r="C4119" s="8"/>
      <c r="D4119" s="8">
        <v>63.217307546936</v>
      </c>
      <c r="E4119" s="9" t="s">
        <v>2294</v>
      </c>
      <c r="I4119" s="12"/>
      <c r="J4119" s="11">
        <v>0.0</v>
      </c>
      <c r="K4119" s="12" t="s">
        <v>3075</v>
      </c>
      <c r="L4119" s="13" t="s">
        <v>3075</v>
      </c>
      <c r="M4119" s="9" t="s">
        <v>3075</v>
      </c>
    </row>
    <row r="4120" ht="15.75" customHeight="1">
      <c r="A4120" s="8"/>
      <c r="B4120" s="8"/>
      <c r="C4120" s="8"/>
      <c r="D4120" s="8">
        <v>63.217307546936</v>
      </c>
      <c r="E4120" s="9" t="s">
        <v>2295</v>
      </c>
      <c r="I4120" s="12"/>
      <c r="J4120" s="11">
        <v>0.0</v>
      </c>
      <c r="K4120" s="12" t="s">
        <v>3075</v>
      </c>
      <c r="L4120" s="13" t="s">
        <v>3075</v>
      </c>
      <c r="M4120" s="9" t="s">
        <v>3075</v>
      </c>
    </row>
    <row r="4121" ht="15.75" customHeight="1">
      <c r="A4121" s="8"/>
      <c r="B4121" s="8"/>
      <c r="C4121" s="8"/>
      <c r="D4121" s="8">
        <v>63.217307546936</v>
      </c>
      <c r="E4121" s="9" t="s">
        <v>2296</v>
      </c>
      <c r="I4121" s="12"/>
      <c r="J4121" s="11">
        <v>0.0</v>
      </c>
      <c r="K4121" s="12" t="s">
        <v>3075</v>
      </c>
      <c r="L4121" s="13" t="s">
        <v>3075</v>
      </c>
      <c r="M4121" s="9" t="s">
        <v>3075</v>
      </c>
    </row>
    <row r="4122" ht="15.75" customHeight="1">
      <c r="A4122" s="8"/>
      <c r="B4122" s="8"/>
      <c r="C4122" s="8"/>
      <c r="D4122" s="8">
        <v>63.217307546936</v>
      </c>
      <c r="E4122" s="9" t="s">
        <v>2298</v>
      </c>
      <c r="I4122" s="12"/>
      <c r="J4122" s="11">
        <v>0.0</v>
      </c>
      <c r="K4122" s="12" t="s">
        <v>3075</v>
      </c>
      <c r="L4122" s="13" t="s">
        <v>3075</v>
      </c>
      <c r="M4122" s="9" t="s">
        <v>3075</v>
      </c>
    </row>
    <row r="4123" ht="15.75" customHeight="1">
      <c r="A4123" s="8"/>
      <c r="B4123" s="8"/>
      <c r="C4123" s="8"/>
      <c r="D4123" s="8">
        <v>63.217307546936</v>
      </c>
      <c r="E4123" s="9" t="s">
        <v>2299</v>
      </c>
      <c r="I4123" s="12"/>
      <c r="J4123" s="11">
        <v>0.0</v>
      </c>
      <c r="K4123" s="12" t="s">
        <v>3075</v>
      </c>
      <c r="L4123" s="13" t="s">
        <v>3075</v>
      </c>
      <c r="M4123" s="9" t="s">
        <v>3075</v>
      </c>
    </row>
    <row r="4124" ht="15.75" customHeight="1">
      <c r="A4124" s="8"/>
      <c r="B4124" s="8"/>
      <c r="C4124" s="8"/>
      <c r="D4124" s="8">
        <v>61.8335179419508</v>
      </c>
      <c r="E4124" s="9" t="s">
        <v>2300</v>
      </c>
      <c r="I4124" s="12"/>
      <c r="J4124" s="11">
        <v>0.0</v>
      </c>
      <c r="K4124" s="12" t="s">
        <v>3075</v>
      </c>
      <c r="L4124" s="13" t="s">
        <v>3075</v>
      </c>
      <c r="M4124" s="9" t="s">
        <v>3075</v>
      </c>
    </row>
    <row r="4125" ht="15.75" customHeight="1">
      <c r="A4125" s="8"/>
      <c r="B4125" s="8"/>
      <c r="C4125" s="8"/>
      <c r="D4125" s="8">
        <v>56.74223951643</v>
      </c>
      <c r="E4125" s="9" t="s">
        <v>3157</v>
      </c>
      <c r="I4125" s="12"/>
      <c r="J4125" s="11">
        <v>0.0</v>
      </c>
      <c r="K4125" s="12" t="s">
        <v>3075</v>
      </c>
      <c r="L4125" s="13" t="s">
        <v>3075</v>
      </c>
      <c r="M4125" s="9" t="s">
        <v>3075</v>
      </c>
    </row>
    <row r="4126" ht="15.75" customHeight="1">
      <c r="A4126" s="8"/>
      <c r="B4126" s="8"/>
      <c r="C4126" s="8"/>
      <c r="D4126" s="8">
        <v>44.2174799906808</v>
      </c>
      <c r="E4126" s="9" t="s">
        <v>2305</v>
      </c>
      <c r="I4126" s="12"/>
      <c r="J4126" s="11">
        <v>0.0</v>
      </c>
      <c r="K4126" s="12" t="s">
        <v>3075</v>
      </c>
      <c r="L4126" s="13" t="s">
        <v>3075</v>
      </c>
      <c r="M4126" s="9" t="s">
        <v>3075</v>
      </c>
    </row>
    <row r="4127" ht="15.75" customHeight="1">
      <c r="A4127" s="8"/>
      <c r="B4127" s="8"/>
      <c r="C4127" s="8"/>
      <c r="D4127" s="8">
        <v>63.217307546936</v>
      </c>
      <c r="E4127" s="9" t="s">
        <v>2306</v>
      </c>
      <c r="I4127" s="12"/>
      <c r="J4127" s="11">
        <v>0.0</v>
      </c>
      <c r="K4127" s="12" t="s">
        <v>3075</v>
      </c>
      <c r="L4127" s="13" t="s">
        <v>3075</v>
      </c>
      <c r="M4127" s="9" t="s">
        <v>3075</v>
      </c>
    </row>
    <row r="4128" ht="15.75" customHeight="1">
      <c r="A4128" s="8"/>
      <c r="B4128" s="8"/>
      <c r="C4128" s="8"/>
      <c r="D4128" s="8">
        <v>63.217307546936</v>
      </c>
      <c r="E4128" s="9" t="s">
        <v>2311</v>
      </c>
      <c r="I4128" s="12"/>
      <c r="J4128" s="11">
        <v>0.0</v>
      </c>
      <c r="K4128" s="12" t="s">
        <v>3075</v>
      </c>
      <c r="L4128" s="13" t="s">
        <v>3075</v>
      </c>
      <c r="M4128" s="9" t="s">
        <v>3075</v>
      </c>
    </row>
    <row r="4129" ht="15.75" customHeight="1">
      <c r="A4129" s="8"/>
      <c r="B4129" s="8"/>
      <c r="C4129" s="8"/>
      <c r="D4129" s="8">
        <v>28.979260021639</v>
      </c>
      <c r="E4129" s="9" t="s">
        <v>3158</v>
      </c>
      <c r="I4129" s="12"/>
      <c r="J4129" s="11">
        <v>0.0</v>
      </c>
      <c r="K4129" s="12" t="s">
        <v>3075</v>
      </c>
      <c r="L4129" s="13" t="s">
        <v>3075</v>
      </c>
      <c r="M4129" s="9" t="s">
        <v>3075</v>
      </c>
    </row>
    <row r="4130" ht="15.75" customHeight="1">
      <c r="A4130" s="8"/>
      <c r="B4130" s="8"/>
      <c r="C4130" s="8"/>
      <c r="D4130" s="8">
        <v>63.217307546936</v>
      </c>
      <c r="E4130" s="9" t="s">
        <v>2314</v>
      </c>
      <c r="I4130" s="12"/>
      <c r="J4130" s="11">
        <v>0.0</v>
      </c>
      <c r="K4130" s="12" t="s">
        <v>3075</v>
      </c>
      <c r="L4130" s="13" t="s">
        <v>3075</v>
      </c>
      <c r="M4130" s="9" t="s">
        <v>3075</v>
      </c>
    </row>
    <row r="4131" ht="15.75" customHeight="1">
      <c r="A4131" s="8"/>
      <c r="B4131" s="8"/>
      <c r="C4131" s="8"/>
      <c r="D4131" s="8">
        <v>63.217307546936</v>
      </c>
      <c r="E4131" s="9" t="s">
        <v>2317</v>
      </c>
      <c r="I4131" s="12"/>
      <c r="J4131" s="11">
        <v>0.0</v>
      </c>
      <c r="K4131" s="12" t="s">
        <v>3075</v>
      </c>
      <c r="L4131" s="13" t="s">
        <v>3075</v>
      </c>
      <c r="M4131" s="9" t="s">
        <v>3075</v>
      </c>
    </row>
    <row r="4132" ht="15.75" customHeight="1">
      <c r="A4132" s="8"/>
      <c r="B4132" s="8"/>
      <c r="C4132" s="8"/>
      <c r="D4132" s="8">
        <v>63.2173075418786</v>
      </c>
      <c r="E4132" s="9" t="s">
        <v>2321</v>
      </c>
      <c r="I4132" s="12"/>
      <c r="J4132" s="11">
        <v>0.0</v>
      </c>
      <c r="K4132" s="12" t="s">
        <v>3075</v>
      </c>
      <c r="L4132" s="13" t="s">
        <v>3075</v>
      </c>
      <c r="M4132" s="9" t="s">
        <v>3075</v>
      </c>
    </row>
    <row r="4133" ht="15.75" customHeight="1">
      <c r="A4133" s="8"/>
      <c r="B4133" s="8"/>
      <c r="C4133" s="8"/>
      <c r="D4133" s="8">
        <v>63.217307546936</v>
      </c>
      <c r="E4133" s="9" t="s">
        <v>2322</v>
      </c>
      <c r="I4133" s="12"/>
      <c r="J4133" s="11">
        <v>0.0</v>
      </c>
      <c r="K4133" s="12" t="s">
        <v>3075</v>
      </c>
      <c r="L4133" s="13" t="s">
        <v>3075</v>
      </c>
      <c r="M4133" s="9" t="s">
        <v>3075</v>
      </c>
    </row>
    <row r="4134" ht="15.75" customHeight="1">
      <c r="A4134" s="8"/>
      <c r="B4134" s="8"/>
      <c r="C4134" s="8"/>
      <c r="D4134" s="8">
        <v>45.838427729351</v>
      </c>
      <c r="E4134" s="9" t="s">
        <v>2323</v>
      </c>
      <c r="I4134" s="12"/>
      <c r="J4134" s="11">
        <v>0.0</v>
      </c>
      <c r="K4134" s="12" t="s">
        <v>3075</v>
      </c>
      <c r="L4134" s="13" t="s">
        <v>3075</v>
      </c>
      <c r="M4134" s="9" t="s">
        <v>3075</v>
      </c>
    </row>
    <row r="4135" ht="15.75" customHeight="1">
      <c r="A4135" s="8"/>
      <c r="B4135" s="8"/>
      <c r="C4135" s="8"/>
      <c r="D4135" s="8">
        <v>63.217307546936</v>
      </c>
      <c r="E4135" s="9" t="s">
        <v>2324</v>
      </c>
      <c r="I4135" s="12"/>
      <c r="J4135" s="11">
        <v>0.0</v>
      </c>
      <c r="K4135" s="12" t="s">
        <v>3075</v>
      </c>
      <c r="L4135" s="13" t="s">
        <v>3075</v>
      </c>
      <c r="M4135" s="9" t="s">
        <v>3075</v>
      </c>
    </row>
    <row r="4136" ht="15.75" customHeight="1">
      <c r="A4136" s="8"/>
      <c r="B4136" s="8"/>
      <c r="C4136" s="8"/>
      <c r="D4136" s="8">
        <v>59.468512016411</v>
      </c>
      <c r="E4136" s="9" t="s">
        <v>2327</v>
      </c>
      <c r="I4136" s="12"/>
      <c r="J4136" s="11">
        <v>0.0</v>
      </c>
      <c r="K4136" s="12" t="s">
        <v>3075</v>
      </c>
      <c r="L4136" s="13" t="s">
        <v>3075</v>
      </c>
      <c r="M4136" s="9" t="s">
        <v>3075</v>
      </c>
    </row>
    <row r="4137" ht="15.75" customHeight="1">
      <c r="A4137" s="8"/>
      <c r="B4137" s="8"/>
      <c r="C4137" s="8"/>
      <c r="D4137" s="8">
        <v>59.4842184165343</v>
      </c>
      <c r="E4137" s="9" t="s">
        <v>2329</v>
      </c>
      <c r="I4137" s="12"/>
      <c r="J4137" s="11">
        <v>0.0</v>
      </c>
      <c r="K4137" s="12" t="s">
        <v>3075</v>
      </c>
      <c r="L4137" s="13" t="s">
        <v>3075</v>
      </c>
      <c r="M4137" s="9" t="s">
        <v>3075</v>
      </c>
    </row>
    <row r="4138" ht="15.75" customHeight="1">
      <c r="A4138" s="8"/>
      <c r="B4138" s="8"/>
      <c r="C4138" s="8"/>
      <c r="D4138" s="8">
        <v>63.217307546936</v>
      </c>
      <c r="E4138" s="9" t="s">
        <v>2330</v>
      </c>
      <c r="I4138" s="12"/>
      <c r="J4138" s="11">
        <v>0.0</v>
      </c>
      <c r="K4138" s="12" t="s">
        <v>3075</v>
      </c>
      <c r="L4138" s="13" t="s">
        <v>3075</v>
      </c>
      <c r="M4138" s="9" t="s">
        <v>3075</v>
      </c>
    </row>
    <row r="4139" ht="15.75" customHeight="1">
      <c r="A4139" s="8"/>
      <c r="B4139" s="8"/>
      <c r="C4139" s="8"/>
      <c r="D4139" s="8">
        <v>63.217307546936</v>
      </c>
      <c r="E4139" s="9" t="s">
        <v>2331</v>
      </c>
      <c r="I4139" s="12"/>
      <c r="J4139" s="11">
        <v>0.0</v>
      </c>
      <c r="K4139" s="12" t="s">
        <v>3075</v>
      </c>
      <c r="L4139" s="13" t="s">
        <v>3075</v>
      </c>
      <c r="M4139" s="9" t="s">
        <v>3075</v>
      </c>
    </row>
    <row r="4140" ht="15.75" customHeight="1">
      <c r="A4140" s="8"/>
      <c r="B4140" s="8"/>
      <c r="C4140" s="8"/>
      <c r="D4140" s="8">
        <v>63.217307546936</v>
      </c>
      <c r="E4140" s="9" t="s">
        <v>2332</v>
      </c>
      <c r="I4140" s="12"/>
      <c r="J4140" s="11">
        <v>0.0</v>
      </c>
      <c r="K4140" s="12" t="s">
        <v>3075</v>
      </c>
      <c r="L4140" s="13" t="s">
        <v>3075</v>
      </c>
      <c r="M4140" s="9" t="s">
        <v>3075</v>
      </c>
    </row>
    <row r="4141" ht="15.75" customHeight="1">
      <c r="A4141" s="8"/>
      <c r="B4141" s="8"/>
      <c r="C4141" s="8"/>
      <c r="D4141" s="8">
        <v>63.217307546936</v>
      </c>
      <c r="E4141" s="9" t="s">
        <v>2335</v>
      </c>
      <c r="I4141" s="12"/>
      <c r="J4141" s="11">
        <v>0.0</v>
      </c>
      <c r="K4141" s="12" t="s">
        <v>3075</v>
      </c>
      <c r="L4141" s="13" t="s">
        <v>3075</v>
      </c>
      <c r="M4141" s="9" t="s">
        <v>3075</v>
      </c>
    </row>
    <row r="4142" ht="15.75" customHeight="1">
      <c r="A4142" s="8"/>
      <c r="B4142" s="8"/>
      <c r="C4142" s="8"/>
      <c r="D4142" s="8">
        <v>63.217307546936</v>
      </c>
      <c r="E4142" s="9" t="s">
        <v>2336</v>
      </c>
      <c r="I4142" s="12"/>
      <c r="J4142" s="11">
        <v>0.0</v>
      </c>
      <c r="K4142" s="12" t="s">
        <v>3075</v>
      </c>
      <c r="L4142" s="13" t="s">
        <v>3075</v>
      </c>
      <c r="M4142" s="9" t="s">
        <v>3075</v>
      </c>
    </row>
    <row r="4143" ht="15.75" customHeight="1">
      <c r="A4143" s="8"/>
      <c r="B4143" s="8"/>
      <c r="C4143" s="8"/>
      <c r="D4143" s="8">
        <v>13.0110607473016</v>
      </c>
      <c r="E4143" s="9" t="s">
        <v>2338</v>
      </c>
      <c r="I4143" s="12"/>
      <c r="J4143" s="11">
        <v>0.0</v>
      </c>
      <c r="K4143" s="12" t="s">
        <v>3075</v>
      </c>
      <c r="L4143" s="13" t="s">
        <v>3075</v>
      </c>
      <c r="M4143" s="9" t="s">
        <v>3075</v>
      </c>
    </row>
    <row r="4144" ht="15.75" customHeight="1">
      <c r="A4144" s="8"/>
      <c r="B4144" s="8"/>
      <c r="C4144" s="8"/>
      <c r="D4144" s="8">
        <v>63.217307546936</v>
      </c>
      <c r="E4144" s="9" t="s">
        <v>2340</v>
      </c>
      <c r="I4144" s="12"/>
      <c r="J4144" s="11">
        <v>0.0</v>
      </c>
      <c r="K4144" s="12" t="s">
        <v>3075</v>
      </c>
      <c r="L4144" s="13" t="s">
        <v>3075</v>
      </c>
      <c r="M4144" s="9" t="s">
        <v>3075</v>
      </c>
    </row>
    <row r="4145" ht="15.75" customHeight="1">
      <c r="A4145" s="8"/>
      <c r="B4145" s="8"/>
      <c r="C4145" s="8"/>
      <c r="D4145" s="8">
        <v>63.217307546936</v>
      </c>
      <c r="E4145" s="9" t="s">
        <v>2341</v>
      </c>
      <c r="I4145" s="12"/>
      <c r="J4145" s="11">
        <v>0.0</v>
      </c>
      <c r="K4145" s="12" t="s">
        <v>3075</v>
      </c>
      <c r="L4145" s="13" t="s">
        <v>3075</v>
      </c>
      <c r="M4145" s="9" t="s">
        <v>3075</v>
      </c>
    </row>
    <row r="4146" ht="15.75" customHeight="1">
      <c r="A4146" s="8"/>
      <c r="B4146" s="8"/>
      <c r="C4146" s="8"/>
      <c r="D4146" s="8">
        <v>63.217307546936</v>
      </c>
      <c r="E4146" s="9" t="s">
        <v>2344</v>
      </c>
      <c r="I4146" s="12"/>
      <c r="J4146" s="11">
        <v>0.0</v>
      </c>
      <c r="K4146" s="12" t="s">
        <v>3075</v>
      </c>
      <c r="L4146" s="13" t="s">
        <v>3075</v>
      </c>
      <c r="M4146" s="9" t="s">
        <v>3075</v>
      </c>
    </row>
    <row r="4147" ht="15.75" customHeight="1">
      <c r="A4147" s="8"/>
      <c r="B4147" s="8"/>
      <c r="C4147" s="8"/>
      <c r="D4147" s="8">
        <v>46.1680434293706</v>
      </c>
      <c r="E4147" s="9" t="s">
        <v>2347</v>
      </c>
      <c r="I4147" s="12"/>
      <c r="J4147" s="11">
        <v>0.0</v>
      </c>
      <c r="K4147" s="12" t="s">
        <v>3075</v>
      </c>
      <c r="L4147" s="13" t="s">
        <v>3075</v>
      </c>
      <c r="M4147" s="9" t="s">
        <v>3075</v>
      </c>
    </row>
    <row r="4148" ht="15.75" customHeight="1">
      <c r="A4148" s="8"/>
      <c r="B4148" s="8"/>
      <c r="C4148" s="8"/>
      <c r="D4148" s="8">
        <v>63.217307546936</v>
      </c>
      <c r="E4148" s="9" t="s">
        <v>2348</v>
      </c>
      <c r="I4148" s="12"/>
      <c r="J4148" s="11">
        <v>0.0</v>
      </c>
      <c r="K4148" s="12" t="s">
        <v>3075</v>
      </c>
      <c r="L4148" s="13" t="s">
        <v>3075</v>
      </c>
      <c r="M4148" s="9" t="s">
        <v>3075</v>
      </c>
    </row>
    <row r="4149" ht="15.75" customHeight="1">
      <c r="A4149" s="8"/>
      <c r="B4149" s="8"/>
      <c r="C4149" s="8"/>
      <c r="D4149" s="8">
        <v>49.2560306678933</v>
      </c>
      <c r="E4149" s="9" t="s">
        <v>3159</v>
      </c>
      <c r="I4149" s="12"/>
      <c r="J4149" s="11">
        <v>0.0</v>
      </c>
      <c r="K4149" s="12" t="s">
        <v>3075</v>
      </c>
      <c r="L4149" s="13" t="s">
        <v>3075</v>
      </c>
      <c r="M4149" s="9" t="s">
        <v>3075</v>
      </c>
    </row>
    <row r="4150" ht="15.75" customHeight="1">
      <c r="A4150" s="8"/>
      <c r="B4150" s="8"/>
      <c r="C4150" s="8"/>
      <c r="D4150" s="8">
        <v>63.217307546936</v>
      </c>
      <c r="E4150" s="9" t="s">
        <v>2355</v>
      </c>
      <c r="I4150" s="12"/>
      <c r="J4150" s="11">
        <v>0.0</v>
      </c>
      <c r="K4150" s="12" t="s">
        <v>3075</v>
      </c>
      <c r="L4150" s="13" t="s">
        <v>3075</v>
      </c>
      <c r="M4150" s="9" t="s">
        <v>3075</v>
      </c>
    </row>
    <row r="4151" ht="15.75" customHeight="1">
      <c r="A4151" s="8"/>
      <c r="B4151" s="8"/>
      <c r="C4151" s="8"/>
      <c r="D4151" s="8">
        <v>34.6151320209743</v>
      </c>
      <c r="E4151" s="9" t="s">
        <v>3160</v>
      </c>
      <c r="I4151" s="12"/>
      <c r="J4151" s="11">
        <v>0.0</v>
      </c>
      <c r="K4151" s="12" t="s">
        <v>3075</v>
      </c>
      <c r="L4151" s="13" t="s">
        <v>3075</v>
      </c>
      <c r="M4151" s="9" t="s">
        <v>3075</v>
      </c>
    </row>
    <row r="4152" ht="15.75" customHeight="1">
      <c r="A4152" s="8"/>
      <c r="B4152" s="8"/>
      <c r="C4152" s="8"/>
      <c r="D4152" s="8">
        <v>63.217307546936</v>
      </c>
      <c r="E4152" s="9" t="s">
        <v>2358</v>
      </c>
      <c r="I4152" s="12"/>
      <c r="J4152" s="11">
        <v>0.0</v>
      </c>
      <c r="K4152" s="12" t="s">
        <v>3075</v>
      </c>
      <c r="L4152" s="13" t="s">
        <v>3075</v>
      </c>
      <c r="M4152" s="9" t="s">
        <v>3075</v>
      </c>
    </row>
    <row r="4153" ht="15.75" customHeight="1">
      <c r="A4153" s="8"/>
      <c r="B4153" s="8"/>
      <c r="C4153" s="8"/>
      <c r="D4153" s="8">
        <v>63.217307546936</v>
      </c>
      <c r="E4153" s="9" t="s">
        <v>3161</v>
      </c>
      <c r="I4153" s="12"/>
      <c r="J4153" s="11">
        <v>0.0</v>
      </c>
      <c r="K4153" s="12" t="s">
        <v>3075</v>
      </c>
      <c r="L4153" s="13" t="s">
        <v>3075</v>
      </c>
      <c r="M4153" s="9" t="s">
        <v>3075</v>
      </c>
    </row>
    <row r="4154" ht="15.75" customHeight="1">
      <c r="A4154" s="8"/>
      <c r="B4154" s="8"/>
      <c r="C4154" s="8"/>
      <c r="D4154" s="8">
        <v>63.217307546936</v>
      </c>
      <c r="E4154" s="9" t="s">
        <v>2360</v>
      </c>
      <c r="I4154" s="12"/>
      <c r="J4154" s="11">
        <v>0.0</v>
      </c>
      <c r="K4154" s="12" t="s">
        <v>3075</v>
      </c>
      <c r="L4154" s="13" t="s">
        <v>3075</v>
      </c>
      <c r="M4154" s="9" t="s">
        <v>3075</v>
      </c>
    </row>
    <row r="4155" ht="15.75" customHeight="1">
      <c r="A4155" s="8"/>
      <c r="B4155" s="8"/>
      <c r="C4155" s="8"/>
      <c r="D4155" s="8">
        <v>63.217307546936</v>
      </c>
      <c r="E4155" s="9" t="s">
        <v>2361</v>
      </c>
      <c r="I4155" s="12"/>
      <c r="J4155" s="11">
        <v>0.0</v>
      </c>
      <c r="K4155" s="12" t="s">
        <v>3075</v>
      </c>
      <c r="L4155" s="13" t="s">
        <v>3075</v>
      </c>
      <c r="M4155" s="9" t="s">
        <v>3075</v>
      </c>
    </row>
    <row r="4156" ht="15.75" customHeight="1">
      <c r="A4156" s="8"/>
      <c r="B4156" s="8"/>
      <c r="C4156" s="8"/>
      <c r="D4156" s="8">
        <v>59.1332393738233</v>
      </c>
      <c r="E4156" s="9" t="s">
        <v>2362</v>
      </c>
      <c r="I4156" s="12"/>
      <c r="J4156" s="11">
        <v>0.0</v>
      </c>
      <c r="K4156" s="12" t="s">
        <v>3075</v>
      </c>
      <c r="L4156" s="13" t="s">
        <v>3075</v>
      </c>
      <c r="M4156" s="9" t="s">
        <v>3075</v>
      </c>
    </row>
    <row r="4157" ht="15.75" customHeight="1">
      <c r="A4157" s="8"/>
      <c r="B4157" s="8"/>
      <c r="C4157" s="8"/>
      <c r="D4157" s="8">
        <v>63.217307546936</v>
      </c>
      <c r="E4157" s="9" t="s">
        <v>2363</v>
      </c>
      <c r="I4157" s="12"/>
      <c r="J4157" s="11">
        <v>0.0</v>
      </c>
      <c r="K4157" s="12" t="s">
        <v>3075</v>
      </c>
      <c r="L4157" s="13" t="s">
        <v>3075</v>
      </c>
      <c r="M4157" s="9" t="s">
        <v>3075</v>
      </c>
    </row>
    <row r="4158" ht="15.75" customHeight="1">
      <c r="A4158" s="8"/>
      <c r="B4158" s="8"/>
      <c r="C4158" s="8"/>
      <c r="D4158" s="8">
        <v>0.134567258820708</v>
      </c>
      <c r="E4158" s="9" t="s">
        <v>2369</v>
      </c>
      <c r="I4158" s="12"/>
      <c r="J4158" s="11">
        <v>0.0</v>
      </c>
      <c r="K4158" s="12" t="s">
        <v>3075</v>
      </c>
      <c r="L4158" s="13" t="s">
        <v>3075</v>
      </c>
      <c r="M4158" s="9" t="s">
        <v>3075</v>
      </c>
    </row>
    <row r="4159" ht="15.75" customHeight="1">
      <c r="A4159" s="8"/>
      <c r="B4159" s="8"/>
      <c r="C4159" s="8"/>
      <c r="D4159" s="8">
        <v>63.217307546936</v>
      </c>
      <c r="E4159" s="9" t="s">
        <v>2372</v>
      </c>
      <c r="I4159" s="12"/>
      <c r="J4159" s="11">
        <v>0.0</v>
      </c>
      <c r="K4159" s="12" t="s">
        <v>3075</v>
      </c>
      <c r="L4159" s="13" t="s">
        <v>3075</v>
      </c>
      <c r="M4159" s="9" t="s">
        <v>3075</v>
      </c>
    </row>
    <row r="4160" ht="15.75" customHeight="1">
      <c r="A4160" s="8"/>
      <c r="B4160" s="8"/>
      <c r="C4160" s="8"/>
      <c r="D4160" s="8">
        <v>63.217307546936</v>
      </c>
      <c r="E4160" s="9" t="s">
        <v>2375</v>
      </c>
      <c r="I4160" s="12"/>
      <c r="J4160" s="11">
        <v>0.0</v>
      </c>
      <c r="K4160" s="12" t="s">
        <v>3075</v>
      </c>
      <c r="L4160" s="13" t="s">
        <v>3075</v>
      </c>
      <c r="M4160" s="9" t="s">
        <v>3075</v>
      </c>
    </row>
    <row r="4161" ht="15.75" customHeight="1">
      <c r="A4161" s="8"/>
      <c r="B4161" s="8"/>
      <c r="C4161" s="8"/>
      <c r="D4161" s="8">
        <v>63.217307546936</v>
      </c>
      <c r="E4161" s="9" t="s">
        <v>2377</v>
      </c>
      <c r="I4161" s="12"/>
      <c r="J4161" s="11">
        <v>0.0</v>
      </c>
      <c r="K4161" s="12" t="s">
        <v>3075</v>
      </c>
      <c r="L4161" s="13" t="s">
        <v>3075</v>
      </c>
      <c r="M4161" s="9" t="s">
        <v>3075</v>
      </c>
    </row>
    <row r="4162" ht="15.75" customHeight="1">
      <c r="A4162" s="8"/>
      <c r="B4162" s="8"/>
      <c r="C4162" s="8"/>
      <c r="D4162" s="8">
        <v>40.459076830039</v>
      </c>
      <c r="E4162" s="9" t="s">
        <v>2378</v>
      </c>
      <c r="I4162" s="12"/>
      <c r="J4162" s="11">
        <v>0.0</v>
      </c>
      <c r="K4162" s="12" t="s">
        <v>3075</v>
      </c>
      <c r="L4162" s="13" t="s">
        <v>3075</v>
      </c>
      <c r="M4162" s="9" t="s">
        <v>3075</v>
      </c>
    </row>
    <row r="4163" ht="15.75" customHeight="1">
      <c r="A4163" s="8"/>
      <c r="B4163" s="8"/>
      <c r="C4163" s="8"/>
      <c r="D4163" s="8">
        <v>63.217307546936</v>
      </c>
      <c r="E4163" s="9" t="s">
        <v>2380</v>
      </c>
      <c r="I4163" s="12"/>
      <c r="J4163" s="11">
        <v>0.0</v>
      </c>
      <c r="K4163" s="12" t="s">
        <v>3075</v>
      </c>
      <c r="L4163" s="13" t="s">
        <v>3075</v>
      </c>
      <c r="M4163" s="9" t="s">
        <v>3075</v>
      </c>
    </row>
    <row r="4164" ht="15.75" customHeight="1">
      <c r="A4164" s="8"/>
      <c r="B4164" s="8"/>
      <c r="C4164" s="8"/>
      <c r="D4164" s="8">
        <v>63.217307546936</v>
      </c>
      <c r="E4164" s="9" t="s">
        <v>2382</v>
      </c>
      <c r="I4164" s="12"/>
      <c r="J4164" s="11">
        <v>0.0</v>
      </c>
      <c r="K4164" s="12" t="s">
        <v>3075</v>
      </c>
      <c r="L4164" s="13" t="s">
        <v>3075</v>
      </c>
      <c r="M4164" s="9" t="s">
        <v>3075</v>
      </c>
    </row>
    <row r="4165" ht="15.75" customHeight="1">
      <c r="A4165" s="8"/>
      <c r="B4165" s="8"/>
      <c r="C4165" s="8"/>
      <c r="D4165" s="8">
        <v>63.217307546936</v>
      </c>
      <c r="E4165" s="9" t="s">
        <v>2386</v>
      </c>
      <c r="I4165" s="12"/>
      <c r="J4165" s="11">
        <v>0.0</v>
      </c>
      <c r="K4165" s="12" t="s">
        <v>3075</v>
      </c>
      <c r="L4165" s="13" t="s">
        <v>3075</v>
      </c>
      <c r="M4165" s="9" t="s">
        <v>3075</v>
      </c>
    </row>
    <row r="4166" ht="15.75" customHeight="1">
      <c r="A4166" s="8"/>
      <c r="B4166" s="8"/>
      <c r="C4166" s="8"/>
      <c r="D4166" s="8">
        <v>63.217307546936</v>
      </c>
      <c r="E4166" s="9" t="s">
        <v>2387</v>
      </c>
      <c r="I4166" s="12"/>
      <c r="J4166" s="11">
        <v>0.0</v>
      </c>
      <c r="K4166" s="12" t="s">
        <v>3075</v>
      </c>
      <c r="L4166" s="13" t="s">
        <v>3075</v>
      </c>
      <c r="M4166" s="9" t="s">
        <v>3075</v>
      </c>
    </row>
    <row r="4167" ht="15.75" customHeight="1">
      <c r="A4167" s="8"/>
      <c r="B4167" s="8"/>
      <c r="C4167" s="8"/>
      <c r="D4167" s="8">
        <v>62.072942799767</v>
      </c>
      <c r="E4167" s="9" t="s">
        <v>2388</v>
      </c>
      <c r="I4167" s="12"/>
      <c r="J4167" s="11">
        <v>0.0</v>
      </c>
      <c r="K4167" s="12" t="s">
        <v>3075</v>
      </c>
      <c r="L4167" s="13" t="s">
        <v>3075</v>
      </c>
      <c r="M4167" s="9" t="s">
        <v>3075</v>
      </c>
    </row>
    <row r="4168" ht="15.75" customHeight="1">
      <c r="A4168" s="8"/>
      <c r="B4168" s="8"/>
      <c r="C4168" s="8"/>
      <c r="D4168" s="8">
        <v>63.217307546936</v>
      </c>
      <c r="E4168" s="9" t="s">
        <v>2390</v>
      </c>
      <c r="I4168" s="12"/>
      <c r="J4168" s="11">
        <v>0.0</v>
      </c>
      <c r="K4168" s="12" t="s">
        <v>3075</v>
      </c>
      <c r="L4168" s="13" t="s">
        <v>3075</v>
      </c>
      <c r="M4168" s="9" t="s">
        <v>3075</v>
      </c>
    </row>
    <row r="4169" ht="15.75" customHeight="1">
      <c r="A4169" s="8"/>
      <c r="B4169" s="8"/>
      <c r="C4169" s="8"/>
      <c r="D4169" s="8">
        <v>60.3969117104107</v>
      </c>
      <c r="E4169" s="9" t="s">
        <v>2391</v>
      </c>
      <c r="I4169" s="12"/>
      <c r="J4169" s="11">
        <v>0.0</v>
      </c>
      <c r="K4169" s="12" t="s">
        <v>3075</v>
      </c>
      <c r="L4169" s="13" t="s">
        <v>3075</v>
      </c>
      <c r="M4169" s="9" t="s">
        <v>3075</v>
      </c>
    </row>
    <row r="4170" ht="15.75" customHeight="1">
      <c r="A4170" s="8"/>
      <c r="B4170" s="8"/>
      <c r="C4170" s="8"/>
      <c r="D4170" s="8">
        <v>63.217307546936</v>
      </c>
      <c r="E4170" s="9" t="s">
        <v>2394</v>
      </c>
      <c r="I4170" s="12"/>
      <c r="J4170" s="11">
        <v>0.0</v>
      </c>
      <c r="K4170" s="12" t="s">
        <v>3075</v>
      </c>
      <c r="L4170" s="13" t="s">
        <v>3075</v>
      </c>
      <c r="M4170" s="9" t="s">
        <v>3075</v>
      </c>
    </row>
    <row r="4171" ht="15.75" customHeight="1">
      <c r="A4171" s="8"/>
      <c r="B4171" s="8"/>
      <c r="C4171" s="8"/>
      <c r="D4171" s="8">
        <v>63.217307546936</v>
      </c>
      <c r="E4171" s="9" t="s">
        <v>2398</v>
      </c>
      <c r="I4171" s="12"/>
      <c r="J4171" s="11">
        <v>0.0</v>
      </c>
      <c r="K4171" s="12" t="s">
        <v>3075</v>
      </c>
      <c r="L4171" s="13" t="s">
        <v>3075</v>
      </c>
      <c r="M4171" s="9" t="s">
        <v>3075</v>
      </c>
    </row>
    <row r="4172" ht="15.75" customHeight="1">
      <c r="A4172" s="8"/>
      <c r="B4172" s="8"/>
      <c r="C4172" s="8"/>
      <c r="D4172" s="8">
        <v>63.217307546936</v>
      </c>
      <c r="E4172" s="9" t="s">
        <v>2400</v>
      </c>
      <c r="I4172" s="12"/>
      <c r="J4172" s="11">
        <v>0.0</v>
      </c>
      <c r="K4172" s="12" t="s">
        <v>3075</v>
      </c>
      <c r="L4172" s="13" t="s">
        <v>3075</v>
      </c>
      <c r="M4172" s="9" t="s">
        <v>3075</v>
      </c>
    </row>
    <row r="4173" ht="15.75" customHeight="1">
      <c r="A4173" s="8"/>
      <c r="B4173" s="8"/>
      <c r="C4173" s="8"/>
      <c r="D4173" s="8">
        <v>55.5936462696952</v>
      </c>
      <c r="E4173" s="9" t="s">
        <v>2401</v>
      </c>
      <c r="I4173" s="12"/>
      <c r="J4173" s="11">
        <v>0.0</v>
      </c>
      <c r="K4173" s="12" t="s">
        <v>3075</v>
      </c>
      <c r="L4173" s="13" t="s">
        <v>3075</v>
      </c>
      <c r="M4173" s="9" t="s">
        <v>3075</v>
      </c>
    </row>
    <row r="4174" ht="15.75" customHeight="1">
      <c r="A4174" s="8"/>
      <c r="B4174" s="8"/>
      <c r="C4174" s="8"/>
      <c r="D4174" s="8">
        <v>63.217307546936</v>
      </c>
      <c r="E4174" s="9" t="s">
        <v>2403</v>
      </c>
      <c r="I4174" s="12"/>
      <c r="J4174" s="11">
        <v>0.0</v>
      </c>
      <c r="K4174" s="12" t="s">
        <v>3075</v>
      </c>
      <c r="L4174" s="13" t="s">
        <v>3075</v>
      </c>
      <c r="M4174" s="9" t="s">
        <v>3075</v>
      </c>
    </row>
    <row r="4175" ht="15.75" customHeight="1">
      <c r="A4175" s="8"/>
      <c r="B4175" s="8"/>
      <c r="C4175" s="8"/>
      <c r="D4175" s="8">
        <v>63.217307546936</v>
      </c>
      <c r="E4175" s="9" t="s">
        <v>2408</v>
      </c>
      <c r="I4175" s="12"/>
      <c r="J4175" s="11">
        <v>0.0</v>
      </c>
      <c r="K4175" s="12" t="s">
        <v>3075</v>
      </c>
      <c r="L4175" s="13" t="s">
        <v>3075</v>
      </c>
      <c r="M4175" s="9" t="s">
        <v>3075</v>
      </c>
    </row>
    <row r="4176" ht="15.75" customHeight="1">
      <c r="A4176" s="8"/>
      <c r="B4176" s="8"/>
      <c r="C4176" s="8"/>
      <c r="D4176" s="8">
        <v>48.8323534380904</v>
      </c>
      <c r="E4176" s="9" t="s">
        <v>2409</v>
      </c>
      <c r="I4176" s="12"/>
      <c r="J4176" s="11">
        <v>0.0</v>
      </c>
      <c r="K4176" s="12" t="s">
        <v>3075</v>
      </c>
      <c r="L4176" s="13" t="s">
        <v>3075</v>
      </c>
      <c r="M4176" s="9" t="s">
        <v>3075</v>
      </c>
    </row>
    <row r="4177" ht="15.75" customHeight="1">
      <c r="A4177" s="8"/>
      <c r="B4177" s="8"/>
      <c r="C4177" s="8"/>
      <c r="D4177" s="8">
        <v>63.217307546936</v>
      </c>
      <c r="E4177" s="9" t="s">
        <v>2410</v>
      </c>
      <c r="I4177" s="12"/>
      <c r="J4177" s="11">
        <v>0.0</v>
      </c>
      <c r="K4177" s="12" t="s">
        <v>3075</v>
      </c>
      <c r="L4177" s="13" t="s">
        <v>3075</v>
      </c>
      <c r="M4177" s="9" t="s">
        <v>3075</v>
      </c>
    </row>
    <row r="4178" ht="15.75" customHeight="1">
      <c r="A4178" s="8"/>
      <c r="B4178" s="8"/>
      <c r="C4178" s="8"/>
      <c r="D4178" s="8">
        <v>63.217307546936</v>
      </c>
      <c r="E4178" s="9" t="s">
        <v>3162</v>
      </c>
      <c r="I4178" s="12"/>
      <c r="J4178" s="11">
        <v>0.0</v>
      </c>
      <c r="K4178" s="12" t="s">
        <v>3075</v>
      </c>
      <c r="L4178" s="13" t="s">
        <v>3075</v>
      </c>
      <c r="M4178" s="9" t="s">
        <v>3075</v>
      </c>
    </row>
    <row r="4179" ht="15.75" customHeight="1">
      <c r="A4179" s="8"/>
      <c r="B4179" s="8"/>
      <c r="C4179" s="8"/>
      <c r="D4179" s="8">
        <v>63.217307546936</v>
      </c>
      <c r="E4179" s="9" t="s">
        <v>2413</v>
      </c>
      <c r="I4179" s="12"/>
      <c r="J4179" s="11">
        <v>0.0</v>
      </c>
      <c r="K4179" s="12" t="s">
        <v>3075</v>
      </c>
      <c r="L4179" s="13" t="s">
        <v>3075</v>
      </c>
      <c r="M4179" s="9" t="s">
        <v>3075</v>
      </c>
    </row>
    <row r="4180" ht="15.75" customHeight="1">
      <c r="A4180" s="8"/>
      <c r="B4180" s="8"/>
      <c r="C4180" s="8"/>
      <c r="D4180" s="8">
        <v>60.9388895034356</v>
      </c>
      <c r="E4180" s="9" t="s">
        <v>2419</v>
      </c>
      <c r="I4180" s="12"/>
      <c r="J4180" s="11">
        <v>0.0</v>
      </c>
      <c r="K4180" s="12" t="s">
        <v>3075</v>
      </c>
      <c r="L4180" s="13" t="s">
        <v>3075</v>
      </c>
      <c r="M4180" s="9" t="s">
        <v>3075</v>
      </c>
    </row>
    <row r="4181" ht="15.75" customHeight="1">
      <c r="A4181" s="8"/>
      <c r="B4181" s="8"/>
      <c r="C4181" s="8"/>
      <c r="D4181" s="8">
        <v>63.217307546936</v>
      </c>
      <c r="E4181" s="9" t="s">
        <v>2420</v>
      </c>
      <c r="I4181" s="12"/>
      <c r="J4181" s="11">
        <v>0.0</v>
      </c>
      <c r="K4181" s="12" t="s">
        <v>3075</v>
      </c>
      <c r="L4181" s="13" t="s">
        <v>3075</v>
      </c>
      <c r="M4181" s="9" t="s">
        <v>3075</v>
      </c>
    </row>
    <row r="4182" ht="15.75" customHeight="1">
      <c r="A4182" s="8"/>
      <c r="B4182" s="8"/>
      <c r="C4182" s="8"/>
      <c r="D4182" s="8">
        <v>63.217307546936</v>
      </c>
      <c r="E4182" s="9" t="s">
        <v>2421</v>
      </c>
      <c r="I4182" s="12"/>
      <c r="J4182" s="11">
        <v>0.0</v>
      </c>
      <c r="K4182" s="12" t="s">
        <v>3075</v>
      </c>
      <c r="L4182" s="13" t="s">
        <v>3075</v>
      </c>
      <c r="M4182" s="9" t="s">
        <v>3075</v>
      </c>
    </row>
    <row r="4183" ht="15.75" customHeight="1">
      <c r="A4183" s="8"/>
      <c r="B4183" s="8"/>
      <c r="C4183" s="8"/>
      <c r="D4183" s="8">
        <v>63.217307546936</v>
      </c>
      <c r="E4183" s="9" t="s">
        <v>2422</v>
      </c>
      <c r="I4183" s="12"/>
      <c r="J4183" s="11">
        <v>0.0</v>
      </c>
      <c r="K4183" s="12" t="s">
        <v>3075</v>
      </c>
      <c r="L4183" s="13" t="s">
        <v>3075</v>
      </c>
      <c r="M4183" s="9" t="s">
        <v>3075</v>
      </c>
    </row>
    <row r="4184" ht="15.75" customHeight="1">
      <c r="A4184" s="8"/>
      <c r="B4184" s="8"/>
      <c r="C4184" s="8"/>
      <c r="D4184" s="8">
        <v>63.217307546936</v>
      </c>
      <c r="E4184" s="9" t="s">
        <v>2423</v>
      </c>
      <c r="I4184" s="12"/>
      <c r="J4184" s="11">
        <v>0.0</v>
      </c>
      <c r="K4184" s="12" t="s">
        <v>3075</v>
      </c>
      <c r="L4184" s="13" t="s">
        <v>3075</v>
      </c>
      <c r="M4184" s="9" t="s">
        <v>3075</v>
      </c>
    </row>
    <row r="4185" ht="15.75" customHeight="1">
      <c r="A4185" s="8"/>
      <c r="B4185" s="8"/>
      <c r="C4185" s="8"/>
      <c r="D4185" s="8">
        <v>63.217307546936</v>
      </c>
      <c r="E4185" s="9" t="s">
        <v>2425</v>
      </c>
      <c r="I4185" s="12"/>
      <c r="J4185" s="11">
        <v>0.0</v>
      </c>
      <c r="K4185" s="12" t="s">
        <v>3075</v>
      </c>
      <c r="L4185" s="13" t="s">
        <v>3075</v>
      </c>
      <c r="M4185" s="9" t="s">
        <v>3075</v>
      </c>
    </row>
    <row r="4186" ht="15.75" customHeight="1">
      <c r="A4186" s="8"/>
      <c r="B4186" s="8"/>
      <c r="C4186" s="8"/>
      <c r="D4186" s="8">
        <v>63.217307546936</v>
      </c>
      <c r="E4186" s="9" t="s">
        <v>2427</v>
      </c>
      <c r="I4186" s="12"/>
      <c r="J4186" s="11">
        <v>0.0</v>
      </c>
      <c r="K4186" s="12" t="s">
        <v>3075</v>
      </c>
      <c r="L4186" s="13" t="s">
        <v>3075</v>
      </c>
      <c r="M4186" s="9" t="s">
        <v>3075</v>
      </c>
    </row>
    <row r="4187" ht="15.75" customHeight="1">
      <c r="A4187" s="8"/>
      <c r="B4187" s="8"/>
      <c r="C4187" s="8"/>
      <c r="D4187" s="8">
        <v>63.217307546936</v>
      </c>
      <c r="E4187" s="9" t="s">
        <v>2430</v>
      </c>
      <c r="I4187" s="12"/>
      <c r="J4187" s="11">
        <v>0.0</v>
      </c>
      <c r="K4187" s="12" t="s">
        <v>3075</v>
      </c>
      <c r="L4187" s="13" t="s">
        <v>3075</v>
      </c>
      <c r="M4187" s="9" t="s">
        <v>3075</v>
      </c>
    </row>
    <row r="4188" ht="15.75" customHeight="1">
      <c r="A4188" s="8"/>
      <c r="B4188" s="8"/>
      <c r="C4188" s="8"/>
      <c r="D4188" s="8">
        <v>63.217307546936</v>
      </c>
      <c r="E4188" s="9" t="s">
        <v>2437</v>
      </c>
      <c r="I4188" s="12"/>
      <c r="J4188" s="11">
        <v>0.0</v>
      </c>
      <c r="K4188" s="12" t="s">
        <v>3075</v>
      </c>
      <c r="L4188" s="13" t="s">
        <v>3075</v>
      </c>
      <c r="M4188" s="9" t="s">
        <v>3075</v>
      </c>
    </row>
    <row r="4189" ht="15.75" customHeight="1">
      <c r="A4189" s="8"/>
      <c r="B4189" s="8"/>
      <c r="C4189" s="8"/>
      <c r="D4189" s="8">
        <v>57.4181656652311</v>
      </c>
      <c r="E4189" s="9" t="s">
        <v>2438</v>
      </c>
      <c r="I4189" s="12"/>
      <c r="J4189" s="11">
        <v>0.0</v>
      </c>
      <c r="K4189" s="12" t="s">
        <v>3075</v>
      </c>
      <c r="L4189" s="13" t="s">
        <v>3075</v>
      </c>
      <c r="M4189" s="9" t="s">
        <v>3075</v>
      </c>
    </row>
    <row r="4190" ht="15.75" customHeight="1">
      <c r="A4190" s="8"/>
      <c r="B4190" s="8"/>
      <c r="C4190" s="8"/>
      <c r="D4190" s="8">
        <v>61.7837204460218</v>
      </c>
      <c r="E4190" s="9" t="s">
        <v>2441</v>
      </c>
      <c r="I4190" s="12"/>
      <c r="J4190" s="11">
        <v>0.0</v>
      </c>
      <c r="K4190" s="12" t="s">
        <v>3075</v>
      </c>
      <c r="L4190" s="13" t="s">
        <v>3075</v>
      </c>
      <c r="M4190" s="9" t="s">
        <v>3075</v>
      </c>
    </row>
    <row r="4191" ht="15.75" customHeight="1">
      <c r="A4191" s="8"/>
      <c r="B4191" s="8"/>
      <c r="C4191" s="8"/>
      <c r="D4191" s="8">
        <v>63.217307546936</v>
      </c>
      <c r="E4191" s="9" t="s">
        <v>2445</v>
      </c>
      <c r="I4191" s="12"/>
      <c r="J4191" s="11">
        <v>0.0</v>
      </c>
      <c r="K4191" s="12" t="s">
        <v>3075</v>
      </c>
      <c r="L4191" s="13" t="s">
        <v>3075</v>
      </c>
      <c r="M4191" s="9" t="s">
        <v>3075</v>
      </c>
    </row>
    <row r="4192" ht="15.75" customHeight="1">
      <c r="A4192" s="8"/>
      <c r="B4192" s="8"/>
      <c r="C4192" s="8"/>
      <c r="D4192" s="8">
        <v>63.217307546936</v>
      </c>
      <c r="E4192" s="9" t="s">
        <v>2451</v>
      </c>
      <c r="I4192" s="12"/>
      <c r="J4192" s="11">
        <v>0.0</v>
      </c>
      <c r="K4192" s="12" t="s">
        <v>3075</v>
      </c>
      <c r="L4192" s="13" t="s">
        <v>3075</v>
      </c>
      <c r="M4192" s="9" t="s">
        <v>3075</v>
      </c>
    </row>
    <row r="4193" ht="15.75" customHeight="1">
      <c r="A4193" s="8"/>
      <c r="B4193" s="8"/>
      <c r="C4193" s="8"/>
      <c r="D4193" s="8">
        <v>63.217307546936</v>
      </c>
      <c r="E4193" s="9" t="s">
        <v>2453</v>
      </c>
      <c r="I4193" s="12"/>
      <c r="J4193" s="11">
        <v>0.0</v>
      </c>
      <c r="K4193" s="12" t="s">
        <v>3075</v>
      </c>
      <c r="L4193" s="13" t="s">
        <v>3075</v>
      </c>
      <c r="M4193" s="9" t="s">
        <v>3075</v>
      </c>
    </row>
    <row r="4194" ht="15.75" customHeight="1">
      <c r="A4194" s="8"/>
      <c r="B4194" s="8"/>
      <c r="C4194" s="8"/>
      <c r="D4194" s="8">
        <v>29.0799614715905</v>
      </c>
      <c r="E4194" s="9" t="s">
        <v>2454</v>
      </c>
      <c r="I4194" s="12"/>
      <c r="J4194" s="11">
        <v>0.0</v>
      </c>
      <c r="K4194" s="12" t="s">
        <v>3075</v>
      </c>
      <c r="L4194" s="13" t="s">
        <v>3075</v>
      </c>
      <c r="M4194" s="9" t="s">
        <v>3075</v>
      </c>
    </row>
    <row r="4195" ht="15.75" customHeight="1">
      <c r="A4195" s="8"/>
      <c r="B4195" s="8"/>
      <c r="C4195" s="8"/>
      <c r="D4195" s="8">
        <v>63.217307546936</v>
      </c>
      <c r="E4195" s="9" t="s">
        <v>2456</v>
      </c>
      <c r="I4195" s="12"/>
      <c r="J4195" s="11">
        <v>0.0</v>
      </c>
      <c r="K4195" s="12" t="s">
        <v>3075</v>
      </c>
      <c r="L4195" s="13" t="s">
        <v>3075</v>
      </c>
      <c r="M4195" s="9" t="s">
        <v>3075</v>
      </c>
    </row>
    <row r="4196" ht="15.75" customHeight="1">
      <c r="A4196" s="8"/>
      <c r="B4196" s="8"/>
      <c r="C4196" s="8"/>
      <c r="D4196" s="8">
        <v>63.217307546936</v>
      </c>
      <c r="E4196" s="9" t="s">
        <v>2459</v>
      </c>
      <c r="I4196" s="12"/>
      <c r="J4196" s="11">
        <v>0.0</v>
      </c>
      <c r="K4196" s="12" t="s">
        <v>3075</v>
      </c>
      <c r="L4196" s="13" t="s">
        <v>3075</v>
      </c>
      <c r="M4196" s="9" t="s">
        <v>3075</v>
      </c>
    </row>
    <row r="4197" ht="15.75" customHeight="1">
      <c r="A4197" s="8"/>
      <c r="B4197" s="8"/>
      <c r="C4197" s="8"/>
      <c r="D4197" s="8">
        <v>63.217307546936</v>
      </c>
      <c r="E4197" s="9" t="s">
        <v>3163</v>
      </c>
      <c r="I4197" s="12"/>
      <c r="J4197" s="11">
        <v>0.0</v>
      </c>
      <c r="K4197" s="12" t="s">
        <v>3075</v>
      </c>
      <c r="L4197" s="13" t="s">
        <v>3075</v>
      </c>
      <c r="M4197" s="9" t="s">
        <v>3075</v>
      </c>
    </row>
    <row r="4198" ht="15.75" customHeight="1">
      <c r="A4198" s="8"/>
      <c r="B4198" s="8"/>
      <c r="C4198" s="8"/>
      <c r="D4198" s="8">
        <v>37.9303845281616</v>
      </c>
      <c r="E4198" s="9" t="s">
        <v>2465</v>
      </c>
      <c r="I4198" s="12"/>
      <c r="J4198" s="11">
        <v>0.0</v>
      </c>
      <c r="K4198" s="12" t="s">
        <v>3075</v>
      </c>
      <c r="L4198" s="13" t="s">
        <v>3075</v>
      </c>
      <c r="M4198" s="9" t="s">
        <v>3075</v>
      </c>
    </row>
    <row r="4199" ht="15.75" customHeight="1">
      <c r="A4199" s="8"/>
      <c r="B4199" s="8"/>
      <c r="C4199" s="8"/>
      <c r="D4199" s="8">
        <v>63.217307546936</v>
      </c>
      <c r="E4199" s="9" t="s">
        <v>2468</v>
      </c>
      <c r="I4199" s="12"/>
      <c r="J4199" s="11">
        <v>0.0</v>
      </c>
      <c r="K4199" s="12" t="s">
        <v>3075</v>
      </c>
      <c r="L4199" s="13" t="s">
        <v>3075</v>
      </c>
      <c r="M4199" s="9" t="s">
        <v>3075</v>
      </c>
    </row>
    <row r="4200" ht="15.75" customHeight="1">
      <c r="A4200" s="8"/>
      <c r="B4200" s="8"/>
      <c r="C4200" s="8"/>
      <c r="D4200" s="8">
        <v>63.217307546936</v>
      </c>
      <c r="E4200" s="9" t="s">
        <v>2473</v>
      </c>
      <c r="I4200" s="12"/>
      <c r="J4200" s="11">
        <v>0.0</v>
      </c>
      <c r="K4200" s="12" t="s">
        <v>3075</v>
      </c>
      <c r="L4200" s="13" t="s">
        <v>3075</v>
      </c>
      <c r="M4200" s="9" t="s">
        <v>3075</v>
      </c>
    </row>
    <row r="4201" ht="15.75" customHeight="1">
      <c r="A4201" s="8"/>
      <c r="B4201" s="8"/>
      <c r="C4201" s="8"/>
      <c r="D4201" s="8">
        <v>63.217307546936</v>
      </c>
      <c r="E4201" s="9" t="s">
        <v>2476</v>
      </c>
      <c r="I4201" s="12"/>
      <c r="J4201" s="11">
        <v>0.0</v>
      </c>
      <c r="K4201" s="12" t="s">
        <v>3075</v>
      </c>
      <c r="L4201" s="13" t="s">
        <v>3075</v>
      </c>
      <c r="M4201" s="9" t="s">
        <v>3075</v>
      </c>
    </row>
    <row r="4202" ht="15.75" customHeight="1">
      <c r="A4202" s="8"/>
      <c r="B4202" s="8"/>
      <c r="C4202" s="8"/>
      <c r="D4202" s="8">
        <v>63.217307546936</v>
      </c>
      <c r="E4202" s="9" t="s">
        <v>2478</v>
      </c>
      <c r="I4202" s="12"/>
      <c r="J4202" s="11">
        <v>0.0</v>
      </c>
      <c r="K4202" s="12" t="s">
        <v>3075</v>
      </c>
      <c r="L4202" s="13" t="s">
        <v>3075</v>
      </c>
      <c r="M4202" s="9" t="s">
        <v>3075</v>
      </c>
    </row>
    <row r="4203" ht="15.75" customHeight="1">
      <c r="A4203" s="8"/>
      <c r="B4203" s="8"/>
      <c r="C4203" s="8"/>
      <c r="D4203" s="8">
        <v>63.217307546936</v>
      </c>
      <c r="E4203" s="9" t="s">
        <v>2480</v>
      </c>
      <c r="I4203" s="12"/>
      <c r="J4203" s="11">
        <v>0.0</v>
      </c>
      <c r="K4203" s="12" t="s">
        <v>3075</v>
      </c>
      <c r="L4203" s="13" t="s">
        <v>3075</v>
      </c>
      <c r="M4203" s="9" t="s">
        <v>3075</v>
      </c>
    </row>
    <row r="4204" ht="15.75" customHeight="1">
      <c r="A4204" s="8"/>
      <c r="B4204" s="8"/>
      <c r="C4204" s="8"/>
      <c r="D4204" s="8">
        <v>63.217307546936</v>
      </c>
      <c r="E4204" s="9" t="s">
        <v>2485</v>
      </c>
      <c r="I4204" s="12"/>
      <c r="J4204" s="11">
        <v>0.0</v>
      </c>
      <c r="K4204" s="12" t="s">
        <v>3075</v>
      </c>
      <c r="L4204" s="13" t="s">
        <v>3075</v>
      </c>
      <c r="M4204" s="9" t="s">
        <v>3075</v>
      </c>
    </row>
    <row r="4205" ht="15.75" customHeight="1">
      <c r="A4205" s="8"/>
      <c r="B4205" s="8"/>
      <c r="C4205" s="8"/>
      <c r="D4205" s="8">
        <v>63.217307546936</v>
      </c>
      <c r="E4205" s="9" t="s">
        <v>2486</v>
      </c>
      <c r="I4205" s="12"/>
      <c r="J4205" s="11">
        <v>0.0</v>
      </c>
      <c r="K4205" s="12" t="s">
        <v>3075</v>
      </c>
      <c r="L4205" s="13" t="s">
        <v>3075</v>
      </c>
      <c r="M4205" s="9" t="s">
        <v>3075</v>
      </c>
    </row>
    <row r="4206" ht="15.75" customHeight="1">
      <c r="A4206" s="8"/>
      <c r="B4206" s="8"/>
      <c r="C4206" s="8"/>
      <c r="D4206" s="8">
        <v>14.1606768905136</v>
      </c>
      <c r="E4206" s="9" t="s">
        <v>2488</v>
      </c>
      <c r="I4206" s="12"/>
      <c r="J4206" s="11">
        <v>0.0</v>
      </c>
      <c r="K4206" s="12" t="s">
        <v>3075</v>
      </c>
      <c r="L4206" s="13" t="s">
        <v>3075</v>
      </c>
      <c r="M4206" s="9" t="s">
        <v>3075</v>
      </c>
    </row>
    <row r="4207" ht="15.75" customHeight="1">
      <c r="A4207" s="8"/>
      <c r="B4207" s="8"/>
      <c r="C4207" s="8"/>
      <c r="D4207" s="8">
        <v>63.217307546936</v>
      </c>
      <c r="E4207" s="9" t="s">
        <v>2492</v>
      </c>
      <c r="I4207" s="12"/>
      <c r="J4207" s="11">
        <v>0.0</v>
      </c>
      <c r="K4207" s="12" t="s">
        <v>3075</v>
      </c>
      <c r="L4207" s="13" t="s">
        <v>3075</v>
      </c>
      <c r="M4207" s="9" t="s">
        <v>3075</v>
      </c>
    </row>
    <row r="4208" ht="15.75" customHeight="1">
      <c r="A4208" s="8"/>
      <c r="B4208" s="8"/>
      <c r="C4208" s="8"/>
      <c r="D4208" s="8">
        <v>63.217307546936</v>
      </c>
      <c r="E4208" s="9" t="s">
        <v>2494</v>
      </c>
      <c r="I4208" s="12"/>
      <c r="J4208" s="11">
        <v>0.0</v>
      </c>
      <c r="K4208" s="12" t="s">
        <v>3075</v>
      </c>
      <c r="L4208" s="13" t="s">
        <v>3075</v>
      </c>
      <c r="M4208" s="9" t="s">
        <v>3075</v>
      </c>
    </row>
    <row r="4209" ht="15.75" customHeight="1">
      <c r="A4209" s="8"/>
      <c r="B4209" s="8"/>
      <c r="C4209" s="8"/>
      <c r="D4209" s="8">
        <v>63.217307546936</v>
      </c>
      <c r="E4209" s="9" t="s">
        <v>2497</v>
      </c>
      <c r="I4209" s="12"/>
      <c r="J4209" s="11">
        <v>0.0</v>
      </c>
      <c r="K4209" s="12" t="s">
        <v>3075</v>
      </c>
      <c r="L4209" s="13" t="s">
        <v>3075</v>
      </c>
      <c r="M4209" s="9" t="s">
        <v>3075</v>
      </c>
    </row>
    <row r="4210" ht="15.75" customHeight="1">
      <c r="A4210" s="8"/>
      <c r="B4210" s="8"/>
      <c r="C4210" s="8"/>
      <c r="D4210" s="8">
        <v>63.217307546936</v>
      </c>
      <c r="E4210" s="9" t="s">
        <v>2498</v>
      </c>
      <c r="I4210" s="12"/>
      <c r="J4210" s="11">
        <v>0.0</v>
      </c>
      <c r="K4210" s="12" t="s">
        <v>3075</v>
      </c>
      <c r="L4210" s="13" t="s">
        <v>3075</v>
      </c>
      <c r="M4210" s="9" t="s">
        <v>3075</v>
      </c>
    </row>
    <row r="4211" ht="15.75" customHeight="1">
      <c r="A4211" s="8"/>
      <c r="B4211" s="8"/>
      <c r="C4211" s="8"/>
      <c r="D4211" s="8">
        <v>63.217307546936</v>
      </c>
      <c r="E4211" s="9" t="s">
        <v>2503</v>
      </c>
      <c r="I4211" s="12"/>
      <c r="J4211" s="11">
        <v>0.0</v>
      </c>
      <c r="K4211" s="12" t="s">
        <v>3075</v>
      </c>
      <c r="L4211" s="13" t="s">
        <v>3075</v>
      </c>
      <c r="M4211" s="9" t="s">
        <v>3075</v>
      </c>
    </row>
    <row r="4212" ht="15.75" customHeight="1">
      <c r="A4212" s="8"/>
      <c r="B4212" s="8"/>
      <c r="C4212" s="8"/>
      <c r="D4212" s="8">
        <v>43.7751419278752</v>
      </c>
      <c r="E4212" s="9" t="s">
        <v>2505</v>
      </c>
      <c r="I4212" s="12"/>
      <c r="J4212" s="11">
        <v>0.0</v>
      </c>
      <c r="K4212" s="12" t="s">
        <v>3075</v>
      </c>
      <c r="L4212" s="13" t="s">
        <v>3075</v>
      </c>
      <c r="M4212" s="9" t="s">
        <v>3075</v>
      </c>
    </row>
    <row r="4213" ht="15.75" customHeight="1">
      <c r="A4213" s="8"/>
      <c r="B4213" s="8"/>
      <c r="C4213" s="8"/>
      <c r="D4213" s="8">
        <v>63.217307546936</v>
      </c>
      <c r="E4213" s="9" t="s">
        <v>2506</v>
      </c>
      <c r="I4213" s="12"/>
      <c r="J4213" s="11">
        <v>0.0</v>
      </c>
      <c r="K4213" s="12" t="s">
        <v>3075</v>
      </c>
      <c r="L4213" s="13" t="s">
        <v>3075</v>
      </c>
      <c r="M4213" s="9" t="s">
        <v>3075</v>
      </c>
    </row>
    <row r="4214" ht="15.75" customHeight="1">
      <c r="A4214" s="8"/>
      <c r="B4214" s="8"/>
      <c r="C4214" s="8"/>
      <c r="D4214" s="8">
        <v>63.217307546936</v>
      </c>
      <c r="E4214" s="9" t="s">
        <v>2507</v>
      </c>
      <c r="I4214" s="12"/>
      <c r="J4214" s="11">
        <v>0.0</v>
      </c>
      <c r="K4214" s="12" t="s">
        <v>3075</v>
      </c>
      <c r="L4214" s="13" t="s">
        <v>3075</v>
      </c>
      <c r="M4214" s="9" t="s">
        <v>3075</v>
      </c>
    </row>
    <row r="4215" ht="15.75" customHeight="1">
      <c r="A4215" s="8"/>
      <c r="B4215" s="8"/>
      <c r="C4215" s="8"/>
      <c r="D4215" s="8">
        <v>61.9898257096294</v>
      </c>
      <c r="E4215" s="9" t="s">
        <v>2514</v>
      </c>
      <c r="I4215" s="12"/>
      <c r="J4215" s="11">
        <v>0.0</v>
      </c>
      <c r="K4215" s="12" t="s">
        <v>3075</v>
      </c>
      <c r="L4215" s="13" t="s">
        <v>3075</v>
      </c>
      <c r="M4215" s="9" t="s">
        <v>3075</v>
      </c>
    </row>
    <row r="4216" ht="15.75" customHeight="1">
      <c r="A4216" s="8"/>
      <c r="B4216" s="8"/>
      <c r="C4216" s="8"/>
      <c r="D4216" s="8">
        <v>55.8281336804323</v>
      </c>
      <c r="E4216" s="9" t="s">
        <v>2516</v>
      </c>
      <c r="I4216" s="12"/>
      <c r="J4216" s="11">
        <v>0.0</v>
      </c>
      <c r="K4216" s="12" t="s">
        <v>3075</v>
      </c>
      <c r="L4216" s="13" t="s">
        <v>3075</v>
      </c>
      <c r="M4216" s="9" t="s">
        <v>3075</v>
      </c>
    </row>
    <row r="4217" ht="15.75" customHeight="1">
      <c r="A4217" s="8"/>
      <c r="B4217" s="8"/>
      <c r="C4217" s="8"/>
      <c r="D4217" s="8">
        <v>63.217307546936</v>
      </c>
      <c r="E4217" s="9" t="s">
        <v>2517</v>
      </c>
      <c r="I4217" s="12"/>
      <c r="J4217" s="11">
        <v>0.0</v>
      </c>
      <c r="K4217" s="12" t="s">
        <v>3075</v>
      </c>
      <c r="L4217" s="13" t="s">
        <v>3075</v>
      </c>
      <c r="M4217" s="9" t="s">
        <v>3075</v>
      </c>
    </row>
    <row r="4218" ht="15.75" customHeight="1">
      <c r="A4218" s="8"/>
      <c r="B4218" s="8"/>
      <c r="C4218" s="8"/>
      <c r="D4218" s="8">
        <v>63.217307546936</v>
      </c>
      <c r="E4218" s="9" t="s">
        <v>2518</v>
      </c>
      <c r="I4218" s="12"/>
      <c r="J4218" s="11">
        <v>0.0</v>
      </c>
      <c r="K4218" s="12" t="s">
        <v>3075</v>
      </c>
      <c r="L4218" s="13" t="s">
        <v>3075</v>
      </c>
      <c r="M4218" s="9" t="s">
        <v>3075</v>
      </c>
    </row>
    <row r="4219" ht="15.75" customHeight="1">
      <c r="A4219" s="8"/>
      <c r="B4219" s="8"/>
      <c r="C4219" s="8"/>
      <c r="D4219" s="8">
        <v>63.217307546936</v>
      </c>
      <c r="E4219" s="9" t="s">
        <v>2520</v>
      </c>
      <c r="I4219" s="12"/>
      <c r="J4219" s="11">
        <v>0.0</v>
      </c>
      <c r="K4219" s="12" t="s">
        <v>3075</v>
      </c>
      <c r="L4219" s="13" t="s">
        <v>3075</v>
      </c>
      <c r="M4219" s="9" t="s">
        <v>3075</v>
      </c>
    </row>
    <row r="4220" ht="15.75" customHeight="1">
      <c r="A4220" s="8"/>
      <c r="B4220" s="8"/>
      <c r="C4220" s="8"/>
      <c r="D4220" s="8">
        <v>63.217307546936</v>
      </c>
      <c r="E4220" s="9" t="s">
        <v>2522</v>
      </c>
      <c r="I4220" s="12"/>
      <c r="J4220" s="11">
        <v>0.0</v>
      </c>
      <c r="K4220" s="12" t="s">
        <v>3075</v>
      </c>
      <c r="L4220" s="13" t="s">
        <v>3075</v>
      </c>
      <c r="M4220" s="9" t="s">
        <v>3075</v>
      </c>
    </row>
    <row r="4221" ht="15.75" customHeight="1">
      <c r="A4221" s="8"/>
      <c r="B4221" s="8"/>
      <c r="C4221" s="8"/>
      <c r="D4221" s="8">
        <v>63.217307546936</v>
      </c>
      <c r="E4221" s="9" t="s">
        <v>2523</v>
      </c>
      <c r="I4221" s="12"/>
      <c r="J4221" s="11">
        <v>0.0</v>
      </c>
      <c r="K4221" s="12" t="s">
        <v>3075</v>
      </c>
      <c r="L4221" s="13" t="s">
        <v>3075</v>
      </c>
      <c r="M4221" s="9" t="s">
        <v>3075</v>
      </c>
    </row>
    <row r="4222" ht="15.75" customHeight="1">
      <c r="A4222" s="8"/>
      <c r="B4222" s="8"/>
      <c r="C4222" s="8"/>
      <c r="D4222" s="8">
        <v>60.8769449451718</v>
      </c>
      <c r="E4222" s="9" t="s">
        <v>3164</v>
      </c>
      <c r="I4222" s="12"/>
      <c r="J4222" s="11">
        <v>0.0</v>
      </c>
      <c r="K4222" s="12" t="s">
        <v>3075</v>
      </c>
      <c r="L4222" s="13" t="s">
        <v>3075</v>
      </c>
      <c r="M4222" s="9" t="s">
        <v>3075</v>
      </c>
    </row>
    <row r="4223" ht="15.75" customHeight="1">
      <c r="A4223" s="8"/>
      <c r="B4223" s="8"/>
      <c r="C4223" s="8"/>
      <c r="D4223" s="8">
        <v>63.217307546936</v>
      </c>
      <c r="E4223" s="9" t="s">
        <v>2526</v>
      </c>
      <c r="I4223" s="12"/>
      <c r="J4223" s="11">
        <v>0.0</v>
      </c>
      <c r="K4223" s="12" t="s">
        <v>3075</v>
      </c>
      <c r="L4223" s="13" t="s">
        <v>3075</v>
      </c>
      <c r="M4223" s="9" t="s">
        <v>3075</v>
      </c>
    </row>
    <row r="4224" ht="15.75" customHeight="1">
      <c r="A4224" s="8"/>
      <c r="B4224" s="8"/>
      <c r="C4224" s="8"/>
      <c r="D4224" s="8">
        <v>63.217307546936</v>
      </c>
      <c r="E4224" s="9" t="s">
        <v>2528</v>
      </c>
      <c r="I4224" s="12"/>
      <c r="J4224" s="11">
        <v>0.0</v>
      </c>
      <c r="K4224" s="12" t="s">
        <v>3075</v>
      </c>
      <c r="L4224" s="13" t="s">
        <v>3075</v>
      </c>
      <c r="M4224" s="9" t="s">
        <v>3075</v>
      </c>
    </row>
    <row r="4225" ht="15.75" customHeight="1">
      <c r="A4225" s="8"/>
      <c r="B4225" s="8"/>
      <c r="C4225" s="8"/>
      <c r="D4225" s="8">
        <v>63.217307546936</v>
      </c>
      <c r="E4225" s="9" t="s">
        <v>2530</v>
      </c>
      <c r="I4225" s="12"/>
      <c r="J4225" s="11">
        <v>0.0</v>
      </c>
      <c r="K4225" s="12" t="s">
        <v>3075</v>
      </c>
      <c r="L4225" s="13" t="s">
        <v>3075</v>
      </c>
      <c r="M4225" s="9" t="s">
        <v>3075</v>
      </c>
    </row>
    <row r="4226" ht="15.75" customHeight="1">
      <c r="A4226" s="8"/>
      <c r="B4226" s="8"/>
      <c r="C4226" s="8"/>
      <c r="D4226" s="8">
        <v>63.217307546936</v>
      </c>
      <c r="E4226" s="9" t="s">
        <v>2531</v>
      </c>
      <c r="I4226" s="12"/>
      <c r="J4226" s="11">
        <v>0.0</v>
      </c>
      <c r="K4226" s="12" t="s">
        <v>3075</v>
      </c>
      <c r="L4226" s="13" t="s">
        <v>3075</v>
      </c>
      <c r="M4226" s="9" t="s">
        <v>3075</v>
      </c>
    </row>
    <row r="4227" ht="15.75" customHeight="1">
      <c r="A4227" s="8"/>
      <c r="B4227" s="8"/>
      <c r="C4227" s="8"/>
      <c r="D4227" s="8">
        <v>38.773035277229</v>
      </c>
      <c r="E4227" s="9" t="s">
        <v>2534</v>
      </c>
      <c r="I4227" s="12"/>
      <c r="J4227" s="11">
        <v>0.0</v>
      </c>
      <c r="K4227" s="12" t="s">
        <v>3075</v>
      </c>
      <c r="L4227" s="13" t="s">
        <v>3075</v>
      </c>
      <c r="M4227" s="9" t="s">
        <v>3075</v>
      </c>
    </row>
    <row r="4228" ht="15.75" customHeight="1">
      <c r="A4228" s="8"/>
      <c r="B4228" s="8"/>
      <c r="C4228" s="8"/>
      <c r="D4228" s="8">
        <v>63.217307546936</v>
      </c>
      <c r="E4228" s="9" t="s">
        <v>3165</v>
      </c>
      <c r="I4228" s="12"/>
      <c r="J4228" s="11">
        <v>0.0</v>
      </c>
      <c r="K4228" s="12" t="s">
        <v>3075</v>
      </c>
      <c r="L4228" s="13" t="s">
        <v>3075</v>
      </c>
      <c r="M4228" s="9" t="s">
        <v>3075</v>
      </c>
    </row>
    <row r="4229" ht="15.75" customHeight="1">
      <c r="A4229" s="8"/>
      <c r="B4229" s="8"/>
      <c r="C4229" s="8"/>
      <c r="D4229" s="8">
        <v>12.6434615093872</v>
      </c>
      <c r="E4229" s="9" t="s">
        <v>2536</v>
      </c>
      <c r="I4229" s="12"/>
      <c r="J4229" s="11">
        <v>0.0</v>
      </c>
      <c r="K4229" s="12" t="s">
        <v>3075</v>
      </c>
      <c r="L4229" s="13" t="s">
        <v>3075</v>
      </c>
      <c r="M4229" s="9" t="s">
        <v>3075</v>
      </c>
    </row>
    <row r="4230" ht="15.75" customHeight="1">
      <c r="A4230" s="8"/>
      <c r="B4230" s="8"/>
      <c r="C4230" s="8"/>
      <c r="D4230" s="8">
        <v>56.3866548954528</v>
      </c>
      <c r="E4230" s="9" t="s">
        <v>2537</v>
      </c>
      <c r="I4230" s="12"/>
      <c r="J4230" s="11">
        <v>0.0</v>
      </c>
      <c r="K4230" s="12" t="s">
        <v>3075</v>
      </c>
      <c r="L4230" s="13" t="s">
        <v>3075</v>
      </c>
      <c r="M4230" s="9" t="s">
        <v>3075</v>
      </c>
    </row>
    <row r="4231" ht="15.75" customHeight="1">
      <c r="A4231" s="8"/>
      <c r="B4231" s="8"/>
      <c r="C4231" s="8"/>
      <c r="D4231" s="8">
        <v>63.217307546936</v>
      </c>
      <c r="E4231" s="9" t="s">
        <v>3166</v>
      </c>
      <c r="I4231" s="12"/>
      <c r="J4231" s="11">
        <v>0.0</v>
      </c>
      <c r="K4231" s="12" t="s">
        <v>3075</v>
      </c>
      <c r="L4231" s="13" t="s">
        <v>3075</v>
      </c>
      <c r="M4231" s="9" t="s">
        <v>3075</v>
      </c>
    </row>
    <row r="4232" ht="15.75" customHeight="1">
      <c r="A4232" s="8"/>
      <c r="B4232" s="8"/>
      <c r="C4232" s="8"/>
      <c r="D4232" s="8">
        <v>63.217307546936</v>
      </c>
      <c r="E4232" s="9" t="s">
        <v>2540</v>
      </c>
      <c r="I4232" s="12"/>
      <c r="J4232" s="11">
        <v>0.0</v>
      </c>
      <c r="K4232" s="12" t="s">
        <v>3075</v>
      </c>
      <c r="L4232" s="13" t="s">
        <v>3075</v>
      </c>
      <c r="M4232" s="9" t="s">
        <v>3075</v>
      </c>
    </row>
    <row r="4233" ht="15.75" customHeight="1">
      <c r="A4233" s="8"/>
      <c r="B4233" s="8"/>
      <c r="C4233" s="8"/>
      <c r="D4233" s="8">
        <v>63.217307546936</v>
      </c>
      <c r="E4233" s="9" t="s">
        <v>2541</v>
      </c>
      <c r="I4233" s="12"/>
      <c r="J4233" s="11">
        <v>0.0</v>
      </c>
      <c r="K4233" s="12" t="s">
        <v>3075</v>
      </c>
      <c r="L4233" s="13" t="s">
        <v>3075</v>
      </c>
      <c r="M4233" s="9" t="s">
        <v>3075</v>
      </c>
    </row>
    <row r="4234" ht="15.75" customHeight="1">
      <c r="A4234" s="8"/>
      <c r="B4234" s="8"/>
      <c r="C4234" s="8"/>
      <c r="D4234" s="8">
        <v>45.8690665079966</v>
      </c>
      <c r="E4234" s="9" t="s">
        <v>2543</v>
      </c>
      <c r="I4234" s="12"/>
      <c r="J4234" s="11">
        <v>0.0</v>
      </c>
      <c r="K4234" s="12" t="s">
        <v>3075</v>
      </c>
      <c r="L4234" s="13" t="s">
        <v>3075</v>
      </c>
      <c r="M4234" s="9" t="s">
        <v>3075</v>
      </c>
    </row>
    <row r="4235" ht="15.75" customHeight="1">
      <c r="A4235" s="8"/>
      <c r="B4235" s="8"/>
      <c r="C4235" s="8"/>
      <c r="D4235" s="8">
        <v>63.217307546936</v>
      </c>
      <c r="E4235" s="9" t="s">
        <v>2546</v>
      </c>
      <c r="I4235" s="12"/>
      <c r="J4235" s="11">
        <v>0.0</v>
      </c>
      <c r="K4235" s="12" t="s">
        <v>3075</v>
      </c>
      <c r="L4235" s="13" t="s">
        <v>3075</v>
      </c>
      <c r="M4235" s="9" t="s">
        <v>3075</v>
      </c>
    </row>
    <row r="4236" ht="15.75" customHeight="1">
      <c r="A4236" s="8"/>
      <c r="B4236" s="8"/>
      <c r="C4236" s="8"/>
      <c r="D4236" s="8">
        <v>63.217307546936</v>
      </c>
      <c r="E4236" s="9" t="s">
        <v>2547</v>
      </c>
      <c r="I4236" s="12"/>
      <c r="J4236" s="11">
        <v>0.0</v>
      </c>
      <c r="K4236" s="12" t="s">
        <v>3075</v>
      </c>
      <c r="L4236" s="13" t="s">
        <v>3075</v>
      </c>
      <c r="M4236" s="9" t="s">
        <v>3075</v>
      </c>
    </row>
    <row r="4237" ht="15.75" customHeight="1">
      <c r="A4237" s="8"/>
      <c r="B4237" s="8"/>
      <c r="C4237" s="8"/>
      <c r="D4237" s="8">
        <v>63.217307546936</v>
      </c>
      <c r="E4237" s="9" t="s">
        <v>2551</v>
      </c>
      <c r="I4237" s="12"/>
      <c r="J4237" s="11">
        <v>0.0</v>
      </c>
      <c r="K4237" s="12" t="s">
        <v>3075</v>
      </c>
      <c r="L4237" s="13" t="s">
        <v>3075</v>
      </c>
      <c r="M4237" s="9" t="s">
        <v>3075</v>
      </c>
    </row>
    <row r="4238" ht="15.75" customHeight="1">
      <c r="A4238" s="8"/>
      <c r="B4238" s="8"/>
      <c r="C4238" s="8"/>
      <c r="D4238" s="8">
        <v>63.217307546936</v>
      </c>
      <c r="E4238" s="9" t="s">
        <v>2552</v>
      </c>
      <c r="I4238" s="12"/>
      <c r="J4238" s="11">
        <v>0.0</v>
      </c>
      <c r="K4238" s="12" t="s">
        <v>3075</v>
      </c>
      <c r="L4238" s="13" t="s">
        <v>3075</v>
      </c>
      <c r="M4238" s="9" t="s">
        <v>3075</v>
      </c>
    </row>
    <row r="4239" ht="15.75" customHeight="1">
      <c r="A4239" s="8"/>
      <c r="B4239" s="8"/>
      <c r="C4239" s="8"/>
      <c r="D4239" s="8">
        <v>63.217307546936</v>
      </c>
      <c r="E4239" s="9" t="s">
        <v>2556</v>
      </c>
      <c r="I4239" s="12"/>
      <c r="J4239" s="11">
        <v>0.0</v>
      </c>
      <c r="K4239" s="12" t="s">
        <v>3075</v>
      </c>
      <c r="L4239" s="13" t="s">
        <v>3075</v>
      </c>
      <c r="M4239" s="9" t="s">
        <v>3075</v>
      </c>
    </row>
    <row r="4240" ht="15.75" customHeight="1">
      <c r="A4240" s="8"/>
      <c r="B4240" s="8"/>
      <c r="C4240" s="8"/>
      <c r="D4240" s="8">
        <v>63.217307546936</v>
      </c>
      <c r="E4240" s="9" t="s">
        <v>2557</v>
      </c>
      <c r="I4240" s="12"/>
      <c r="J4240" s="11">
        <v>0.0</v>
      </c>
      <c r="K4240" s="12" t="s">
        <v>3075</v>
      </c>
      <c r="L4240" s="13" t="s">
        <v>3075</v>
      </c>
      <c r="M4240" s="9" t="s">
        <v>3075</v>
      </c>
    </row>
    <row r="4241" ht="15.75" customHeight="1">
      <c r="A4241" s="8"/>
      <c r="B4241" s="8"/>
      <c r="C4241" s="8"/>
      <c r="D4241" s="8">
        <v>45.9904219675525</v>
      </c>
      <c r="E4241" s="9" t="s">
        <v>3167</v>
      </c>
      <c r="I4241" s="12"/>
      <c r="J4241" s="11">
        <v>0.0</v>
      </c>
      <c r="K4241" s="12" t="s">
        <v>3075</v>
      </c>
      <c r="L4241" s="13" t="s">
        <v>3075</v>
      </c>
      <c r="M4241" s="9" t="s">
        <v>3075</v>
      </c>
    </row>
    <row r="4242" ht="15.75" customHeight="1">
      <c r="A4242" s="8"/>
      <c r="B4242" s="8"/>
      <c r="C4242" s="8"/>
      <c r="D4242" s="8">
        <v>63.217307546936</v>
      </c>
      <c r="E4242" s="9" t="s">
        <v>2559</v>
      </c>
      <c r="I4242" s="12"/>
      <c r="J4242" s="11">
        <v>0.0</v>
      </c>
      <c r="K4242" s="12" t="s">
        <v>3075</v>
      </c>
      <c r="L4242" s="13" t="s">
        <v>3075</v>
      </c>
      <c r="M4242" s="9" t="s">
        <v>3075</v>
      </c>
    </row>
    <row r="4243" ht="15.75" customHeight="1">
      <c r="A4243" s="8"/>
      <c r="B4243" s="8"/>
      <c r="C4243" s="8"/>
      <c r="D4243" s="8">
        <v>63.217307546936</v>
      </c>
      <c r="E4243" s="9" t="s">
        <v>2560</v>
      </c>
      <c r="I4243" s="12"/>
      <c r="J4243" s="11">
        <v>0.0</v>
      </c>
      <c r="K4243" s="12" t="s">
        <v>3075</v>
      </c>
      <c r="L4243" s="13" t="s">
        <v>3075</v>
      </c>
      <c r="M4243" s="9" t="s">
        <v>3075</v>
      </c>
    </row>
    <row r="4244" ht="15.75" customHeight="1">
      <c r="A4244" s="8"/>
      <c r="B4244" s="8"/>
      <c r="C4244" s="8"/>
      <c r="D4244" s="8">
        <v>14.6607096070505</v>
      </c>
      <c r="E4244" s="9" t="s">
        <v>2564</v>
      </c>
      <c r="I4244" s="12"/>
      <c r="J4244" s="11">
        <v>0.0</v>
      </c>
      <c r="K4244" s="12" t="s">
        <v>3075</v>
      </c>
      <c r="L4244" s="13" t="s">
        <v>3075</v>
      </c>
      <c r="M4244" s="9" t="s">
        <v>3075</v>
      </c>
    </row>
    <row r="4245" ht="15.75" customHeight="1">
      <c r="A4245" s="8"/>
      <c r="B4245" s="8"/>
      <c r="C4245" s="8"/>
      <c r="D4245" s="8">
        <v>63.217307546936</v>
      </c>
      <c r="E4245" s="9" t="s">
        <v>2568</v>
      </c>
      <c r="I4245" s="12"/>
      <c r="J4245" s="11">
        <v>0.0</v>
      </c>
      <c r="K4245" s="12" t="s">
        <v>3075</v>
      </c>
      <c r="L4245" s="13" t="s">
        <v>3075</v>
      </c>
      <c r="M4245" s="9" t="s">
        <v>3075</v>
      </c>
    </row>
    <row r="4246" ht="15.75" customHeight="1">
      <c r="A4246" s="8"/>
      <c r="B4246" s="8"/>
      <c r="C4246" s="8"/>
      <c r="D4246" s="8">
        <v>63.217307546936</v>
      </c>
      <c r="E4246" s="9" t="s">
        <v>3168</v>
      </c>
      <c r="I4246" s="12"/>
      <c r="J4246" s="11">
        <v>0.0</v>
      </c>
      <c r="K4246" s="12" t="s">
        <v>3075</v>
      </c>
      <c r="L4246" s="13" t="s">
        <v>3075</v>
      </c>
      <c r="M4246" s="9" t="s">
        <v>3075</v>
      </c>
    </row>
    <row r="4247" ht="15.75" customHeight="1">
      <c r="A4247" s="8"/>
      <c r="B4247" s="8"/>
      <c r="C4247" s="8"/>
      <c r="D4247" s="8">
        <v>4.46710517168518</v>
      </c>
      <c r="E4247" s="9" t="s">
        <v>2571</v>
      </c>
      <c r="I4247" s="12"/>
      <c r="J4247" s="11">
        <v>0.0</v>
      </c>
      <c r="K4247" s="12" t="s">
        <v>3075</v>
      </c>
      <c r="L4247" s="13" t="s">
        <v>3075</v>
      </c>
      <c r="M4247" s="9" t="s">
        <v>3075</v>
      </c>
    </row>
    <row r="4248" ht="15.75" customHeight="1">
      <c r="A4248" s="8"/>
      <c r="B4248" s="8"/>
      <c r="C4248" s="8"/>
      <c r="D4248" s="8">
        <v>63.217307546936</v>
      </c>
      <c r="E4248" s="9" t="s">
        <v>2575</v>
      </c>
      <c r="I4248" s="12"/>
      <c r="J4248" s="11">
        <v>0.0</v>
      </c>
      <c r="K4248" s="12" t="s">
        <v>3075</v>
      </c>
      <c r="L4248" s="13" t="s">
        <v>3075</v>
      </c>
      <c r="M4248" s="9" t="s">
        <v>3075</v>
      </c>
    </row>
    <row r="4249" ht="15.75" customHeight="1">
      <c r="A4249" s="8"/>
      <c r="B4249" s="8"/>
      <c r="C4249" s="8"/>
      <c r="D4249" s="8">
        <v>18.584418075478</v>
      </c>
      <c r="E4249" s="9" t="s">
        <v>2579</v>
      </c>
      <c r="I4249" s="12"/>
      <c r="J4249" s="11">
        <v>0.0</v>
      </c>
      <c r="K4249" s="12" t="s">
        <v>3075</v>
      </c>
      <c r="L4249" s="13" t="s">
        <v>3075</v>
      </c>
      <c r="M4249" s="9" t="s">
        <v>3075</v>
      </c>
    </row>
    <row r="4250" ht="15.75" customHeight="1">
      <c r="A4250" s="8"/>
      <c r="B4250" s="8"/>
      <c r="C4250" s="8"/>
      <c r="D4250" s="8">
        <v>63.217307546936</v>
      </c>
      <c r="E4250" s="9" t="s">
        <v>2581</v>
      </c>
      <c r="I4250" s="12"/>
      <c r="J4250" s="11">
        <v>0.0</v>
      </c>
      <c r="K4250" s="12" t="s">
        <v>3075</v>
      </c>
      <c r="L4250" s="13" t="s">
        <v>3075</v>
      </c>
      <c r="M4250" s="9" t="s">
        <v>3075</v>
      </c>
    </row>
    <row r="4251" ht="15.75" customHeight="1">
      <c r="A4251" s="8"/>
      <c r="B4251" s="8"/>
      <c r="C4251" s="8"/>
      <c r="D4251" s="8">
        <v>63.217307546936</v>
      </c>
      <c r="E4251" s="9" t="s">
        <v>2585</v>
      </c>
      <c r="I4251" s="12"/>
      <c r="J4251" s="11">
        <v>0.0</v>
      </c>
      <c r="K4251" s="12" t="s">
        <v>3075</v>
      </c>
      <c r="L4251" s="13" t="s">
        <v>3075</v>
      </c>
      <c r="M4251" s="9" t="s">
        <v>3075</v>
      </c>
    </row>
    <row r="4252" ht="15.75" customHeight="1">
      <c r="A4252" s="8"/>
      <c r="B4252" s="8"/>
      <c r="C4252" s="8"/>
      <c r="D4252" s="8">
        <v>63.217307546936</v>
      </c>
      <c r="E4252" s="9" t="s">
        <v>2586</v>
      </c>
      <c r="I4252" s="12"/>
      <c r="J4252" s="11">
        <v>0.0</v>
      </c>
      <c r="K4252" s="12" t="s">
        <v>3075</v>
      </c>
      <c r="L4252" s="13" t="s">
        <v>3075</v>
      </c>
      <c r="M4252" s="9" t="s">
        <v>3075</v>
      </c>
    </row>
    <row r="4253" ht="15.75" customHeight="1">
      <c r="A4253" s="8"/>
      <c r="B4253" s="8"/>
      <c r="C4253" s="8"/>
      <c r="D4253" s="8">
        <v>59.3759796619595</v>
      </c>
      <c r="E4253" s="9" t="s">
        <v>3169</v>
      </c>
      <c r="I4253" s="12"/>
      <c r="J4253" s="11">
        <v>0.0</v>
      </c>
      <c r="K4253" s="12" t="s">
        <v>3075</v>
      </c>
      <c r="L4253" s="13" t="s">
        <v>3075</v>
      </c>
      <c r="M4253" s="9" t="s">
        <v>3075</v>
      </c>
    </row>
    <row r="4254" ht="15.75" customHeight="1">
      <c r="A4254" s="8"/>
      <c r="B4254" s="8"/>
      <c r="C4254" s="8"/>
      <c r="D4254" s="8">
        <v>63.217307546936</v>
      </c>
      <c r="E4254" s="9" t="s">
        <v>2588</v>
      </c>
      <c r="I4254" s="12"/>
      <c r="J4254" s="11">
        <v>0.0</v>
      </c>
      <c r="K4254" s="12" t="s">
        <v>3075</v>
      </c>
      <c r="L4254" s="13" t="s">
        <v>3075</v>
      </c>
      <c r="M4254" s="9" t="s">
        <v>3075</v>
      </c>
    </row>
    <row r="4255" ht="15.75" customHeight="1">
      <c r="A4255" s="8"/>
      <c r="B4255" s="8"/>
      <c r="C4255" s="8"/>
      <c r="D4255" s="8">
        <v>63.217307546936</v>
      </c>
      <c r="E4255" s="9" t="s">
        <v>2590</v>
      </c>
      <c r="I4255" s="12"/>
      <c r="J4255" s="11">
        <v>0.0</v>
      </c>
      <c r="K4255" s="12" t="s">
        <v>3075</v>
      </c>
      <c r="L4255" s="13" t="s">
        <v>3075</v>
      </c>
      <c r="M4255" s="9" t="s">
        <v>3075</v>
      </c>
    </row>
    <row r="4256" ht="15.75" customHeight="1">
      <c r="A4256" s="8"/>
      <c r="B4256" s="8"/>
      <c r="C4256" s="8"/>
      <c r="D4256" s="8">
        <v>63.217307546936</v>
      </c>
      <c r="E4256" s="9" t="s">
        <v>3170</v>
      </c>
      <c r="I4256" s="12"/>
      <c r="J4256" s="11">
        <v>0.0</v>
      </c>
      <c r="K4256" s="12" t="s">
        <v>3075</v>
      </c>
      <c r="L4256" s="13" t="s">
        <v>3075</v>
      </c>
      <c r="M4256" s="9" t="s">
        <v>3075</v>
      </c>
    </row>
    <row r="4257" ht="15.75" customHeight="1">
      <c r="A4257" s="8"/>
      <c r="B4257" s="8"/>
      <c r="C4257" s="8"/>
      <c r="D4257" s="8">
        <v>63.217307546936</v>
      </c>
      <c r="E4257" s="9" t="s">
        <v>2598</v>
      </c>
      <c r="I4257" s="12"/>
      <c r="J4257" s="11">
        <v>0.0</v>
      </c>
      <c r="K4257" s="12" t="s">
        <v>3075</v>
      </c>
      <c r="L4257" s="13" t="s">
        <v>3075</v>
      </c>
      <c r="M4257" s="9" t="s">
        <v>3075</v>
      </c>
    </row>
    <row r="4258" ht="15.75" customHeight="1">
      <c r="A4258" s="8"/>
      <c r="B4258" s="8"/>
      <c r="C4258" s="8"/>
      <c r="D4258" s="8">
        <v>63.217307546936</v>
      </c>
      <c r="E4258" s="9" t="s">
        <v>2604</v>
      </c>
      <c r="I4258" s="12"/>
      <c r="J4258" s="11">
        <v>0.0</v>
      </c>
      <c r="K4258" s="12" t="s">
        <v>3075</v>
      </c>
      <c r="L4258" s="13" t="s">
        <v>3075</v>
      </c>
      <c r="M4258" s="9" t="s">
        <v>3075</v>
      </c>
    </row>
    <row r="4259" ht="15.75" customHeight="1">
      <c r="A4259" s="8"/>
      <c r="B4259" s="8"/>
      <c r="C4259" s="8"/>
      <c r="D4259" s="8">
        <v>63.217307546936</v>
      </c>
      <c r="E4259" s="9" t="s">
        <v>2607</v>
      </c>
      <c r="I4259" s="12"/>
      <c r="J4259" s="11">
        <v>0.0</v>
      </c>
      <c r="K4259" s="12" t="s">
        <v>3075</v>
      </c>
      <c r="L4259" s="13" t="s">
        <v>3075</v>
      </c>
      <c r="M4259" s="9" t="s">
        <v>3075</v>
      </c>
    </row>
    <row r="4260" ht="15.75" customHeight="1">
      <c r="A4260" s="8"/>
      <c r="B4260" s="8"/>
      <c r="C4260" s="8"/>
      <c r="D4260" s="8">
        <v>63.217307546936</v>
      </c>
      <c r="E4260" s="9" t="s">
        <v>2608</v>
      </c>
      <c r="I4260" s="12"/>
      <c r="J4260" s="11">
        <v>0.0</v>
      </c>
      <c r="K4260" s="12" t="s">
        <v>3075</v>
      </c>
      <c r="L4260" s="13" t="s">
        <v>3075</v>
      </c>
      <c r="M4260" s="9" t="s">
        <v>3075</v>
      </c>
    </row>
    <row r="4261" ht="15.75" customHeight="1">
      <c r="A4261" s="8"/>
      <c r="B4261" s="8"/>
      <c r="C4261" s="8"/>
      <c r="D4261" s="8">
        <v>63.217307546936</v>
      </c>
      <c r="E4261" s="9" t="s">
        <v>2609</v>
      </c>
      <c r="I4261" s="12"/>
      <c r="J4261" s="11">
        <v>0.0</v>
      </c>
      <c r="K4261" s="12" t="s">
        <v>3075</v>
      </c>
      <c r="L4261" s="13" t="s">
        <v>3075</v>
      </c>
      <c r="M4261" s="9" t="s">
        <v>3075</v>
      </c>
    </row>
    <row r="4262" ht="15.75" customHeight="1">
      <c r="A4262" s="8"/>
      <c r="B4262" s="8"/>
      <c r="C4262" s="8"/>
      <c r="D4262" s="8">
        <v>63.217307546936</v>
      </c>
      <c r="E4262" s="9" t="s">
        <v>2612</v>
      </c>
      <c r="I4262" s="12"/>
      <c r="J4262" s="11">
        <v>0.0</v>
      </c>
      <c r="K4262" s="12" t="s">
        <v>3075</v>
      </c>
      <c r="L4262" s="13" t="s">
        <v>3075</v>
      </c>
      <c r="M4262" s="9" t="s">
        <v>3075</v>
      </c>
    </row>
    <row r="4263" ht="15.75" customHeight="1">
      <c r="A4263" s="8"/>
      <c r="B4263" s="8"/>
      <c r="C4263" s="8"/>
      <c r="D4263" s="8">
        <v>46.6235041696571</v>
      </c>
      <c r="E4263" s="9" t="s">
        <v>3171</v>
      </c>
      <c r="I4263" s="12"/>
      <c r="J4263" s="11">
        <v>0.0</v>
      </c>
      <c r="K4263" s="12" t="s">
        <v>3075</v>
      </c>
      <c r="L4263" s="13" t="s">
        <v>3075</v>
      </c>
      <c r="M4263" s="9" t="s">
        <v>3075</v>
      </c>
    </row>
    <row r="4264" ht="15.75" customHeight="1">
      <c r="A4264" s="8"/>
      <c r="B4264" s="8"/>
      <c r="C4264" s="8"/>
      <c r="D4264" s="8">
        <v>59.751111551071</v>
      </c>
      <c r="E4264" s="9" t="s">
        <v>2615</v>
      </c>
      <c r="I4264" s="12"/>
      <c r="J4264" s="11">
        <v>0.0</v>
      </c>
      <c r="K4264" s="12" t="s">
        <v>3075</v>
      </c>
      <c r="L4264" s="13" t="s">
        <v>3075</v>
      </c>
      <c r="M4264" s="9" t="s">
        <v>3075</v>
      </c>
    </row>
    <row r="4265" ht="15.75" customHeight="1">
      <c r="A4265" s="8"/>
      <c r="B4265" s="8"/>
      <c r="C4265" s="8"/>
      <c r="D4265" s="8">
        <v>63.217307546936</v>
      </c>
      <c r="E4265" s="9" t="s">
        <v>2618</v>
      </c>
      <c r="I4265" s="12"/>
      <c r="J4265" s="11">
        <v>0.0</v>
      </c>
      <c r="K4265" s="12" t="s">
        <v>3075</v>
      </c>
      <c r="L4265" s="13" t="s">
        <v>3075</v>
      </c>
      <c r="M4265" s="9" t="s">
        <v>3075</v>
      </c>
    </row>
    <row r="4266" ht="15.75" customHeight="1">
      <c r="A4266" s="8"/>
      <c r="B4266" s="8"/>
      <c r="C4266" s="8"/>
      <c r="D4266" s="8">
        <v>63.217307546936</v>
      </c>
      <c r="E4266" s="9" t="s">
        <v>2619</v>
      </c>
      <c r="I4266" s="12"/>
      <c r="J4266" s="11">
        <v>0.0</v>
      </c>
      <c r="K4266" s="12" t="s">
        <v>3075</v>
      </c>
      <c r="L4266" s="13" t="s">
        <v>3075</v>
      </c>
      <c r="M4266" s="9" t="s">
        <v>3075</v>
      </c>
    </row>
    <row r="4267" ht="15.75" customHeight="1">
      <c r="A4267" s="8"/>
      <c r="B4267" s="8"/>
      <c r="C4267" s="8"/>
      <c r="D4267" s="8">
        <v>63.1081401285393</v>
      </c>
      <c r="E4267" s="9" t="s">
        <v>3172</v>
      </c>
      <c r="I4267" s="12"/>
      <c r="J4267" s="11">
        <v>0.0</v>
      </c>
      <c r="K4267" s="12" t="s">
        <v>3075</v>
      </c>
      <c r="L4267" s="13" t="s">
        <v>3075</v>
      </c>
      <c r="M4267" s="9" t="s">
        <v>3075</v>
      </c>
    </row>
    <row r="4268" ht="15.75" customHeight="1">
      <c r="A4268" s="8"/>
      <c r="B4268" s="8"/>
      <c r="C4268" s="8"/>
      <c r="D4268" s="8">
        <v>50.5738460375488</v>
      </c>
      <c r="E4268" s="9" t="s">
        <v>2620</v>
      </c>
      <c r="I4268" s="12"/>
      <c r="J4268" s="11">
        <v>0.0</v>
      </c>
      <c r="K4268" s="12" t="s">
        <v>3075</v>
      </c>
      <c r="L4268" s="13" t="s">
        <v>3075</v>
      </c>
      <c r="M4268" s="9" t="s">
        <v>3075</v>
      </c>
    </row>
    <row r="4269" ht="15.75" customHeight="1">
      <c r="A4269" s="8"/>
      <c r="B4269" s="8"/>
      <c r="C4269" s="8"/>
      <c r="D4269" s="8">
        <v>63.217307546936</v>
      </c>
      <c r="E4269" s="9" t="s">
        <v>2622</v>
      </c>
      <c r="I4269" s="12"/>
      <c r="J4269" s="11">
        <v>0.0</v>
      </c>
      <c r="K4269" s="12" t="s">
        <v>3075</v>
      </c>
      <c r="L4269" s="13" t="s">
        <v>3075</v>
      </c>
      <c r="M4269" s="9" t="s">
        <v>3075</v>
      </c>
    </row>
    <row r="4270" ht="15.75" customHeight="1">
      <c r="A4270" s="8"/>
      <c r="B4270" s="8"/>
      <c r="C4270" s="8"/>
      <c r="D4270" s="8">
        <v>63.217307546936</v>
      </c>
      <c r="E4270" s="9" t="s">
        <v>2626</v>
      </c>
      <c r="I4270" s="12"/>
      <c r="J4270" s="11">
        <v>0.0</v>
      </c>
      <c r="K4270" s="12" t="s">
        <v>3075</v>
      </c>
      <c r="L4270" s="13" t="s">
        <v>3075</v>
      </c>
      <c r="M4270" s="9" t="s">
        <v>3075</v>
      </c>
    </row>
    <row r="4271" ht="15.75" customHeight="1">
      <c r="A4271" s="8"/>
      <c r="B4271" s="8"/>
      <c r="C4271" s="8"/>
      <c r="D4271" s="8">
        <v>7.68479559130741</v>
      </c>
      <c r="E4271" s="9" t="s">
        <v>2627</v>
      </c>
      <c r="I4271" s="12"/>
      <c r="J4271" s="11">
        <v>0.0</v>
      </c>
      <c r="K4271" s="12" t="s">
        <v>3075</v>
      </c>
      <c r="L4271" s="13" t="s">
        <v>3075</v>
      </c>
      <c r="M4271" s="9" t="s">
        <v>3075</v>
      </c>
    </row>
    <row r="4272" ht="15.75" customHeight="1">
      <c r="A4272" s="8"/>
      <c r="B4272" s="8"/>
      <c r="C4272" s="8"/>
      <c r="D4272" s="8">
        <v>63.217307546936</v>
      </c>
      <c r="E4272" s="9" t="s">
        <v>2630</v>
      </c>
      <c r="I4272" s="12"/>
      <c r="J4272" s="11">
        <v>0.0</v>
      </c>
      <c r="K4272" s="12" t="s">
        <v>3075</v>
      </c>
      <c r="L4272" s="13" t="s">
        <v>3075</v>
      </c>
      <c r="M4272" s="9" t="s">
        <v>3075</v>
      </c>
    </row>
    <row r="4273" ht="15.75" customHeight="1">
      <c r="A4273" s="8"/>
      <c r="B4273" s="8"/>
      <c r="C4273" s="8"/>
      <c r="D4273" s="8">
        <v>63.217307546936</v>
      </c>
      <c r="E4273" s="9" t="s">
        <v>3173</v>
      </c>
      <c r="I4273" s="12"/>
      <c r="J4273" s="11">
        <v>0.0</v>
      </c>
      <c r="K4273" s="12" t="s">
        <v>3075</v>
      </c>
      <c r="L4273" s="13" t="s">
        <v>3075</v>
      </c>
      <c r="M4273" s="9" t="s">
        <v>3075</v>
      </c>
    </row>
    <row r="4274" ht="15.75" customHeight="1">
      <c r="A4274" s="8"/>
      <c r="B4274" s="8"/>
      <c r="C4274" s="8"/>
      <c r="D4274" s="8">
        <v>63.217307546936</v>
      </c>
      <c r="E4274" s="9" t="s">
        <v>2633</v>
      </c>
      <c r="I4274" s="12"/>
      <c r="J4274" s="11">
        <v>0.0</v>
      </c>
      <c r="K4274" s="12" t="s">
        <v>3075</v>
      </c>
      <c r="L4274" s="13" t="s">
        <v>3075</v>
      </c>
      <c r="M4274" s="9" t="s">
        <v>3075</v>
      </c>
    </row>
    <row r="4275" ht="15.75" customHeight="1">
      <c r="A4275" s="8"/>
      <c r="B4275" s="8"/>
      <c r="C4275" s="8"/>
      <c r="D4275" s="8">
        <v>63.217307546936</v>
      </c>
      <c r="E4275" s="9" t="s">
        <v>2634</v>
      </c>
      <c r="I4275" s="12"/>
      <c r="J4275" s="11">
        <v>0.0</v>
      </c>
      <c r="K4275" s="12" t="s">
        <v>3075</v>
      </c>
      <c r="L4275" s="13" t="s">
        <v>3075</v>
      </c>
      <c r="M4275" s="9" t="s">
        <v>3075</v>
      </c>
    </row>
    <row r="4276" ht="15.75" customHeight="1">
      <c r="A4276" s="8"/>
      <c r="B4276" s="8"/>
      <c r="C4276" s="8"/>
      <c r="D4276" s="8">
        <v>63.217307546936</v>
      </c>
      <c r="E4276" s="9" t="s">
        <v>2637</v>
      </c>
      <c r="I4276" s="12"/>
      <c r="J4276" s="11">
        <v>0.0</v>
      </c>
      <c r="K4276" s="12" t="s">
        <v>3075</v>
      </c>
      <c r="L4276" s="13" t="s">
        <v>3075</v>
      </c>
      <c r="M4276" s="9" t="s">
        <v>3075</v>
      </c>
    </row>
    <row r="4277" ht="15.75" customHeight="1">
      <c r="A4277" s="8"/>
      <c r="B4277" s="8"/>
      <c r="C4277" s="8"/>
      <c r="D4277" s="8">
        <v>63.217307546936</v>
      </c>
      <c r="E4277" s="9" t="s">
        <v>2638</v>
      </c>
      <c r="I4277" s="12"/>
      <c r="J4277" s="11">
        <v>0.0</v>
      </c>
      <c r="K4277" s="12" t="s">
        <v>3075</v>
      </c>
      <c r="L4277" s="13" t="s">
        <v>3075</v>
      </c>
      <c r="M4277" s="9" t="s">
        <v>3075</v>
      </c>
    </row>
    <row r="4278" ht="15.75" customHeight="1">
      <c r="A4278" s="8"/>
      <c r="B4278" s="8"/>
      <c r="C4278" s="8"/>
      <c r="D4278" s="8">
        <v>39.4475999092881</v>
      </c>
      <c r="E4278" s="9" t="s">
        <v>2641</v>
      </c>
      <c r="I4278" s="12"/>
      <c r="J4278" s="11">
        <v>0.0</v>
      </c>
      <c r="K4278" s="12" t="s">
        <v>3075</v>
      </c>
      <c r="L4278" s="13" t="s">
        <v>3075</v>
      </c>
      <c r="M4278" s="9" t="s">
        <v>3075</v>
      </c>
    </row>
    <row r="4279" ht="15.75" customHeight="1">
      <c r="A4279" s="8"/>
      <c r="B4279" s="8"/>
      <c r="C4279" s="8"/>
      <c r="D4279" s="8">
        <v>13.2638758855474</v>
      </c>
      <c r="E4279" s="9" t="s">
        <v>2646</v>
      </c>
      <c r="I4279" s="12"/>
      <c r="J4279" s="11">
        <v>0.0</v>
      </c>
      <c r="K4279" s="12" t="s">
        <v>3075</v>
      </c>
      <c r="L4279" s="13" t="s">
        <v>3075</v>
      </c>
      <c r="M4279" s="9" t="s">
        <v>3075</v>
      </c>
    </row>
    <row r="4280" ht="15.75" customHeight="1">
      <c r="A4280" s="8"/>
      <c r="B4280" s="8"/>
      <c r="C4280" s="8"/>
      <c r="D4280" s="8">
        <v>63.217307546936</v>
      </c>
      <c r="E4280" s="9" t="s">
        <v>3174</v>
      </c>
      <c r="I4280" s="12"/>
      <c r="J4280" s="11">
        <v>0.0</v>
      </c>
      <c r="K4280" s="12" t="s">
        <v>3075</v>
      </c>
      <c r="L4280" s="13" t="s">
        <v>3075</v>
      </c>
      <c r="M4280" s="9" t="s">
        <v>3075</v>
      </c>
    </row>
    <row r="4281" ht="15.75" customHeight="1">
      <c r="A4281" s="8"/>
      <c r="B4281" s="8"/>
      <c r="C4281" s="8"/>
      <c r="D4281" s="8">
        <v>63.217307546936</v>
      </c>
      <c r="E4281" s="9" t="s">
        <v>2649</v>
      </c>
      <c r="I4281" s="12"/>
      <c r="J4281" s="11">
        <v>0.0</v>
      </c>
      <c r="K4281" s="12" t="s">
        <v>3075</v>
      </c>
      <c r="L4281" s="13" t="s">
        <v>3075</v>
      </c>
      <c r="M4281" s="9" t="s">
        <v>3075</v>
      </c>
    </row>
    <row r="4282" ht="15.75" customHeight="1">
      <c r="A4282" s="8"/>
      <c r="B4282" s="8"/>
      <c r="C4282" s="8"/>
      <c r="D4282" s="8">
        <v>63.217307546936</v>
      </c>
      <c r="E4282" s="9" t="s">
        <v>2653</v>
      </c>
      <c r="I4282" s="12"/>
      <c r="J4282" s="11">
        <v>0.0</v>
      </c>
      <c r="K4282" s="12" t="s">
        <v>3075</v>
      </c>
      <c r="L4282" s="13" t="s">
        <v>3075</v>
      </c>
      <c r="M4282" s="9" t="s">
        <v>3075</v>
      </c>
    </row>
    <row r="4283" ht="15.75" customHeight="1">
      <c r="A4283" s="8"/>
      <c r="B4283" s="8"/>
      <c r="C4283" s="8"/>
      <c r="D4283" s="8">
        <v>13.1491999697627</v>
      </c>
      <c r="E4283" s="9" t="s">
        <v>2657</v>
      </c>
      <c r="I4283" s="12"/>
      <c r="J4283" s="11">
        <v>0.0</v>
      </c>
      <c r="K4283" s="12" t="s">
        <v>3075</v>
      </c>
      <c r="L4283" s="13" t="s">
        <v>3075</v>
      </c>
      <c r="M4283" s="9" t="s">
        <v>3075</v>
      </c>
    </row>
    <row r="4284" ht="15.75" customHeight="1">
      <c r="A4284" s="8"/>
      <c r="B4284" s="8"/>
      <c r="C4284" s="8"/>
      <c r="D4284" s="8">
        <v>63.217307546936</v>
      </c>
      <c r="E4284" s="9" t="s">
        <v>2663</v>
      </c>
      <c r="I4284" s="12"/>
      <c r="J4284" s="11">
        <v>0.0</v>
      </c>
      <c r="K4284" s="12" t="s">
        <v>3075</v>
      </c>
      <c r="L4284" s="13" t="s">
        <v>3075</v>
      </c>
      <c r="M4284" s="9" t="s">
        <v>3075</v>
      </c>
    </row>
    <row r="4285" ht="15.75" customHeight="1">
      <c r="A4285" s="8"/>
      <c r="B4285" s="8"/>
      <c r="C4285" s="8"/>
      <c r="D4285" s="8">
        <v>63.217307546936</v>
      </c>
      <c r="E4285" s="9" t="s">
        <v>2664</v>
      </c>
      <c r="I4285" s="12"/>
      <c r="J4285" s="11">
        <v>0.0</v>
      </c>
      <c r="K4285" s="12" t="s">
        <v>3075</v>
      </c>
      <c r="L4285" s="13" t="s">
        <v>3075</v>
      </c>
      <c r="M4285" s="9" t="s">
        <v>3075</v>
      </c>
    </row>
    <row r="4286" ht="15.75" customHeight="1">
      <c r="A4286" s="8"/>
      <c r="B4286" s="8"/>
      <c r="C4286" s="8"/>
      <c r="D4286" s="8">
        <v>37.9303845281616</v>
      </c>
      <c r="E4286" s="9" t="s">
        <v>2667</v>
      </c>
      <c r="I4286" s="12"/>
      <c r="J4286" s="11">
        <v>0.0</v>
      </c>
      <c r="K4286" s="12" t="s">
        <v>3075</v>
      </c>
      <c r="L4286" s="13" t="s">
        <v>3075</v>
      </c>
      <c r="M4286" s="9" t="s">
        <v>3075</v>
      </c>
    </row>
    <row r="4287" ht="15.75" customHeight="1">
      <c r="A4287" s="8"/>
      <c r="B4287" s="8"/>
      <c r="C4287" s="8"/>
      <c r="D4287" s="8">
        <v>31.7600889515131</v>
      </c>
      <c r="E4287" s="9" t="s">
        <v>2668</v>
      </c>
      <c r="I4287" s="12"/>
      <c r="J4287" s="11">
        <v>0.0</v>
      </c>
      <c r="K4287" s="12" t="s">
        <v>3075</v>
      </c>
      <c r="L4287" s="13" t="s">
        <v>3075</v>
      </c>
      <c r="M4287" s="9" t="s">
        <v>3075</v>
      </c>
    </row>
    <row r="4288" ht="15.75" customHeight="1">
      <c r="A4288" s="8"/>
      <c r="B4288" s="8"/>
      <c r="C4288" s="8"/>
      <c r="D4288" s="8">
        <v>63.217307546936</v>
      </c>
      <c r="E4288" s="9" t="s">
        <v>3175</v>
      </c>
      <c r="I4288" s="12"/>
      <c r="J4288" s="11">
        <v>0.0</v>
      </c>
      <c r="K4288" s="12" t="s">
        <v>3075</v>
      </c>
      <c r="L4288" s="13" t="s">
        <v>3075</v>
      </c>
      <c r="M4288" s="9" t="s">
        <v>3075</v>
      </c>
    </row>
    <row r="4289" ht="15.75" customHeight="1">
      <c r="A4289" s="8"/>
      <c r="B4289" s="8"/>
      <c r="C4289" s="8"/>
      <c r="D4289" s="8">
        <v>63.217307546936</v>
      </c>
      <c r="E4289" s="9" t="s">
        <v>2672</v>
      </c>
      <c r="I4289" s="12"/>
      <c r="J4289" s="11">
        <v>0.0</v>
      </c>
      <c r="K4289" s="12" t="s">
        <v>3075</v>
      </c>
      <c r="L4289" s="13" t="s">
        <v>3075</v>
      </c>
      <c r="M4289" s="9" t="s">
        <v>3075</v>
      </c>
    </row>
    <row r="4290" ht="15.75" customHeight="1">
      <c r="A4290" s="8"/>
      <c r="B4290" s="8"/>
      <c r="C4290" s="8"/>
      <c r="D4290" s="8">
        <v>63.217307546936</v>
      </c>
      <c r="E4290" s="9" t="s">
        <v>2674</v>
      </c>
      <c r="I4290" s="12"/>
      <c r="J4290" s="11">
        <v>0.0</v>
      </c>
      <c r="K4290" s="12" t="s">
        <v>3075</v>
      </c>
      <c r="L4290" s="13" t="s">
        <v>3075</v>
      </c>
      <c r="M4290" s="9" t="s">
        <v>3075</v>
      </c>
    </row>
    <row r="4291" ht="15.75" customHeight="1">
      <c r="A4291" s="8"/>
      <c r="B4291" s="8"/>
      <c r="C4291" s="8"/>
      <c r="D4291" s="8">
        <v>63.217307546936</v>
      </c>
      <c r="E4291" s="9" t="s">
        <v>2676</v>
      </c>
      <c r="I4291" s="12"/>
      <c r="J4291" s="11">
        <v>0.0</v>
      </c>
      <c r="K4291" s="12" t="s">
        <v>3075</v>
      </c>
      <c r="L4291" s="13" t="s">
        <v>3075</v>
      </c>
      <c r="M4291" s="9" t="s">
        <v>3075</v>
      </c>
    </row>
    <row r="4292" ht="15.75" customHeight="1">
      <c r="A4292" s="8"/>
      <c r="B4292" s="8"/>
      <c r="C4292" s="8"/>
      <c r="D4292" s="8">
        <v>63.217307546936</v>
      </c>
      <c r="E4292" s="9" t="s">
        <v>2677</v>
      </c>
      <c r="I4292" s="12"/>
      <c r="J4292" s="11">
        <v>0.0</v>
      </c>
      <c r="K4292" s="12" t="s">
        <v>3075</v>
      </c>
      <c r="L4292" s="13" t="s">
        <v>3075</v>
      </c>
      <c r="M4292" s="9" t="s">
        <v>3075</v>
      </c>
    </row>
    <row r="4293" ht="15.75" customHeight="1">
      <c r="A4293" s="8"/>
      <c r="B4293" s="8"/>
      <c r="C4293" s="8"/>
      <c r="D4293" s="8">
        <v>63.217307546936</v>
      </c>
      <c r="E4293" s="9" t="s">
        <v>2683</v>
      </c>
      <c r="I4293" s="12"/>
      <c r="J4293" s="11">
        <v>0.0</v>
      </c>
      <c r="K4293" s="12" t="s">
        <v>3075</v>
      </c>
      <c r="L4293" s="13" t="s">
        <v>3075</v>
      </c>
      <c r="M4293" s="9" t="s">
        <v>3075</v>
      </c>
    </row>
    <row r="4294" ht="15.75" customHeight="1">
      <c r="A4294" s="8"/>
      <c r="B4294" s="8"/>
      <c r="C4294" s="8"/>
      <c r="D4294" s="8">
        <v>63.217307546936</v>
      </c>
      <c r="E4294" s="9" t="s">
        <v>2686</v>
      </c>
      <c r="I4294" s="12"/>
      <c r="J4294" s="11">
        <v>0.0</v>
      </c>
      <c r="K4294" s="12" t="s">
        <v>3075</v>
      </c>
      <c r="L4294" s="13" t="s">
        <v>3075</v>
      </c>
      <c r="M4294" s="9" t="s">
        <v>3075</v>
      </c>
    </row>
    <row r="4295" ht="15.75" customHeight="1">
      <c r="A4295" s="8"/>
      <c r="B4295" s="8"/>
      <c r="C4295" s="8"/>
      <c r="D4295" s="8">
        <v>26.9933880110354</v>
      </c>
      <c r="E4295" s="9" t="s">
        <v>2687</v>
      </c>
      <c r="I4295" s="12"/>
      <c r="J4295" s="11">
        <v>0.0</v>
      </c>
      <c r="K4295" s="12" t="s">
        <v>3075</v>
      </c>
      <c r="L4295" s="13" t="s">
        <v>3075</v>
      </c>
      <c r="M4295" s="9" t="s">
        <v>3075</v>
      </c>
    </row>
    <row r="4296" ht="15.75" customHeight="1">
      <c r="A4296" s="8"/>
      <c r="B4296" s="8"/>
      <c r="C4296" s="8"/>
      <c r="D4296" s="8">
        <v>63.217307546936</v>
      </c>
      <c r="E4296" s="9" t="s">
        <v>2691</v>
      </c>
      <c r="I4296" s="12"/>
      <c r="J4296" s="11">
        <v>0.0</v>
      </c>
      <c r="K4296" s="12" t="s">
        <v>3075</v>
      </c>
      <c r="L4296" s="13" t="s">
        <v>3075</v>
      </c>
      <c r="M4296" s="9" t="s">
        <v>3075</v>
      </c>
    </row>
    <row r="4297" ht="15.75" customHeight="1">
      <c r="A4297" s="8"/>
      <c r="B4297" s="8"/>
      <c r="C4297" s="8"/>
      <c r="D4297" s="8">
        <v>63.217307546936</v>
      </c>
      <c r="E4297" s="9" t="s">
        <v>2692</v>
      </c>
      <c r="I4297" s="12"/>
      <c r="J4297" s="11">
        <v>0.0</v>
      </c>
      <c r="K4297" s="12" t="s">
        <v>3075</v>
      </c>
      <c r="L4297" s="13" t="s">
        <v>3075</v>
      </c>
      <c r="M4297" s="9" t="s">
        <v>3075</v>
      </c>
    </row>
    <row r="4298" ht="15.75" customHeight="1">
      <c r="A4298" s="8"/>
      <c r="B4298" s="8"/>
      <c r="C4298" s="8"/>
      <c r="D4298" s="8">
        <v>18.7291811399579</v>
      </c>
      <c r="E4298" s="9" t="s">
        <v>2695</v>
      </c>
      <c r="I4298" s="12"/>
      <c r="J4298" s="11">
        <v>0.0</v>
      </c>
      <c r="K4298" s="12" t="s">
        <v>3075</v>
      </c>
      <c r="L4298" s="13" t="s">
        <v>3075</v>
      </c>
      <c r="M4298" s="9" t="s">
        <v>3075</v>
      </c>
    </row>
    <row r="4299" ht="15.75" customHeight="1">
      <c r="A4299" s="8"/>
      <c r="B4299" s="8"/>
      <c r="C4299" s="8"/>
      <c r="D4299" s="8">
        <v>63.217307546936</v>
      </c>
      <c r="E4299" s="9" t="s">
        <v>2696</v>
      </c>
      <c r="I4299" s="12"/>
      <c r="J4299" s="11">
        <v>0.0</v>
      </c>
      <c r="K4299" s="12" t="s">
        <v>3075</v>
      </c>
      <c r="L4299" s="13" t="s">
        <v>3075</v>
      </c>
      <c r="M4299" s="9" t="s">
        <v>3075</v>
      </c>
    </row>
    <row r="4300" ht="15.75" customHeight="1">
      <c r="A4300" s="8"/>
      <c r="B4300" s="8"/>
      <c r="C4300" s="8"/>
      <c r="D4300" s="8">
        <v>4.71731473813638</v>
      </c>
      <c r="E4300" s="9" t="s">
        <v>3176</v>
      </c>
      <c r="I4300" s="12"/>
      <c r="J4300" s="11">
        <v>0.0</v>
      </c>
      <c r="K4300" s="12" t="s">
        <v>3075</v>
      </c>
      <c r="L4300" s="13" t="s">
        <v>3075</v>
      </c>
      <c r="M4300" s="9" t="s">
        <v>3075</v>
      </c>
    </row>
    <row r="4301" ht="15.75" customHeight="1">
      <c r="A4301" s="8"/>
      <c r="B4301" s="8"/>
      <c r="C4301" s="8"/>
      <c r="D4301" s="8">
        <v>55.8208072611132</v>
      </c>
      <c r="E4301" s="9" t="s">
        <v>2701</v>
      </c>
      <c r="I4301" s="12"/>
      <c r="J4301" s="11">
        <v>0.0</v>
      </c>
      <c r="K4301" s="12" t="s">
        <v>3075</v>
      </c>
      <c r="L4301" s="13" t="s">
        <v>3075</v>
      </c>
      <c r="M4301" s="9" t="s">
        <v>3075</v>
      </c>
    </row>
    <row r="4302" ht="15.75" customHeight="1">
      <c r="A4302" s="8"/>
      <c r="B4302" s="8"/>
      <c r="C4302" s="8"/>
      <c r="D4302" s="8">
        <v>63.217307546936</v>
      </c>
      <c r="E4302" s="9" t="s">
        <v>2703</v>
      </c>
      <c r="I4302" s="12"/>
      <c r="J4302" s="11">
        <v>0.0</v>
      </c>
      <c r="K4302" s="12" t="s">
        <v>3075</v>
      </c>
      <c r="L4302" s="13" t="s">
        <v>3075</v>
      </c>
      <c r="M4302" s="9" t="s">
        <v>3075</v>
      </c>
    </row>
    <row r="4303" ht="15.75" customHeight="1">
      <c r="A4303" s="8"/>
      <c r="B4303" s="8"/>
      <c r="C4303" s="8"/>
      <c r="D4303" s="8">
        <v>25.2869230187744</v>
      </c>
      <c r="E4303" s="9" t="s">
        <v>2705</v>
      </c>
      <c r="I4303" s="12"/>
      <c r="J4303" s="11">
        <v>0.0</v>
      </c>
      <c r="K4303" s="12" t="s">
        <v>3075</v>
      </c>
      <c r="L4303" s="13" t="s">
        <v>3075</v>
      </c>
      <c r="M4303" s="9" t="s">
        <v>3075</v>
      </c>
    </row>
    <row r="4304" ht="15.75" customHeight="1">
      <c r="A4304" s="8"/>
      <c r="B4304" s="8"/>
      <c r="C4304" s="8"/>
      <c r="D4304" s="8">
        <v>10.9407706196075</v>
      </c>
      <c r="E4304" s="9" t="s">
        <v>3177</v>
      </c>
      <c r="I4304" s="12"/>
      <c r="J4304" s="11">
        <v>0.0</v>
      </c>
      <c r="K4304" s="12" t="s">
        <v>3075</v>
      </c>
      <c r="L4304" s="13" t="s">
        <v>3075</v>
      </c>
      <c r="M4304" s="9" t="s">
        <v>3075</v>
      </c>
    </row>
    <row r="4305" ht="15.75" customHeight="1">
      <c r="A4305" s="8"/>
      <c r="B4305" s="8"/>
      <c r="C4305" s="8"/>
      <c r="D4305" s="8">
        <v>63.217307546936</v>
      </c>
      <c r="E4305" s="9" t="s">
        <v>2706</v>
      </c>
      <c r="I4305" s="12"/>
      <c r="J4305" s="11">
        <v>0.0</v>
      </c>
      <c r="K4305" s="12" t="s">
        <v>3075</v>
      </c>
      <c r="L4305" s="13" t="s">
        <v>3075</v>
      </c>
      <c r="M4305" s="9" t="s">
        <v>3075</v>
      </c>
    </row>
    <row r="4306" ht="15.75" customHeight="1">
      <c r="A4306" s="8"/>
      <c r="B4306" s="8"/>
      <c r="C4306" s="8"/>
      <c r="D4306" s="8">
        <v>44.6063245969112</v>
      </c>
      <c r="E4306" s="9" t="s">
        <v>2707</v>
      </c>
      <c r="I4306" s="12"/>
      <c r="J4306" s="11">
        <v>0.0</v>
      </c>
      <c r="K4306" s="12" t="s">
        <v>3075</v>
      </c>
      <c r="L4306" s="13" t="s">
        <v>3075</v>
      </c>
      <c r="M4306" s="9" t="s">
        <v>3075</v>
      </c>
    </row>
    <row r="4307" ht="15.75" customHeight="1">
      <c r="A4307" s="8"/>
      <c r="B4307" s="8"/>
      <c r="C4307" s="8"/>
      <c r="D4307" s="8">
        <v>63.217307546936</v>
      </c>
      <c r="E4307" s="9" t="s">
        <v>2708</v>
      </c>
      <c r="I4307" s="12"/>
      <c r="J4307" s="11">
        <v>0.0</v>
      </c>
      <c r="K4307" s="12" t="s">
        <v>3075</v>
      </c>
      <c r="L4307" s="13" t="s">
        <v>3075</v>
      </c>
      <c r="M4307" s="9" t="s">
        <v>3075</v>
      </c>
    </row>
    <row r="4308" ht="15.75" customHeight="1">
      <c r="A4308" s="8"/>
      <c r="B4308" s="8"/>
      <c r="C4308" s="8"/>
      <c r="D4308" s="8">
        <v>49.4855879030389</v>
      </c>
      <c r="E4308" s="9" t="s">
        <v>2710</v>
      </c>
      <c r="I4308" s="12"/>
      <c r="J4308" s="11">
        <v>0.0</v>
      </c>
      <c r="K4308" s="12" t="s">
        <v>3075</v>
      </c>
      <c r="L4308" s="13" t="s">
        <v>3075</v>
      </c>
      <c r="M4308" s="9" t="s">
        <v>3075</v>
      </c>
    </row>
    <row r="4309" ht="15.75" customHeight="1">
      <c r="A4309" s="8"/>
      <c r="B4309" s="8"/>
      <c r="C4309" s="8"/>
      <c r="D4309" s="8">
        <v>63.217307546936</v>
      </c>
      <c r="E4309" s="9" t="s">
        <v>2713</v>
      </c>
      <c r="I4309" s="12"/>
      <c r="J4309" s="11">
        <v>0.0</v>
      </c>
      <c r="K4309" s="12" t="s">
        <v>3075</v>
      </c>
      <c r="L4309" s="13" t="s">
        <v>3075</v>
      </c>
      <c r="M4309" s="9" t="s">
        <v>3075</v>
      </c>
    </row>
    <row r="4310" ht="15.75" customHeight="1">
      <c r="A4310" s="8"/>
      <c r="B4310" s="8"/>
      <c r="C4310" s="8"/>
      <c r="D4310" s="8">
        <v>63.217307546936</v>
      </c>
      <c r="E4310" s="9" t="s">
        <v>2715</v>
      </c>
      <c r="I4310" s="12"/>
      <c r="J4310" s="11">
        <v>0.0</v>
      </c>
      <c r="K4310" s="12" t="s">
        <v>3075</v>
      </c>
      <c r="L4310" s="13" t="s">
        <v>3075</v>
      </c>
      <c r="M4310" s="9" t="s">
        <v>3075</v>
      </c>
    </row>
    <row r="4311" ht="15.75" customHeight="1">
      <c r="A4311" s="8"/>
      <c r="B4311" s="8"/>
      <c r="C4311" s="8"/>
      <c r="D4311" s="8">
        <v>63.217307546936</v>
      </c>
      <c r="E4311" s="9" t="s">
        <v>2716</v>
      </c>
      <c r="I4311" s="12"/>
      <c r="J4311" s="11">
        <v>0.0</v>
      </c>
      <c r="K4311" s="12" t="s">
        <v>3075</v>
      </c>
      <c r="L4311" s="13" t="s">
        <v>3075</v>
      </c>
      <c r="M4311" s="9" t="s">
        <v>3075</v>
      </c>
    </row>
    <row r="4312" ht="15.75" customHeight="1">
      <c r="A4312" s="8"/>
      <c r="B4312" s="8"/>
      <c r="C4312" s="8"/>
      <c r="D4312" s="8">
        <v>63.217307546936</v>
      </c>
      <c r="E4312" s="9" t="s">
        <v>2717</v>
      </c>
      <c r="I4312" s="12"/>
      <c r="J4312" s="11">
        <v>0.0</v>
      </c>
      <c r="K4312" s="12" t="s">
        <v>3075</v>
      </c>
      <c r="L4312" s="13" t="s">
        <v>3075</v>
      </c>
      <c r="M4312" s="9" t="s">
        <v>3075</v>
      </c>
    </row>
    <row r="4313" ht="15.75" customHeight="1">
      <c r="A4313" s="8"/>
      <c r="B4313" s="8"/>
      <c r="C4313" s="8"/>
      <c r="D4313" s="8">
        <v>63.217307546936</v>
      </c>
      <c r="E4313" s="9" t="s">
        <v>2719</v>
      </c>
      <c r="I4313" s="12"/>
      <c r="J4313" s="11">
        <v>0.0</v>
      </c>
      <c r="K4313" s="12" t="s">
        <v>3075</v>
      </c>
      <c r="L4313" s="13" t="s">
        <v>3075</v>
      </c>
      <c r="M4313" s="9" t="s">
        <v>3075</v>
      </c>
    </row>
    <row r="4314" ht="15.75" customHeight="1">
      <c r="A4314" s="8"/>
      <c r="B4314" s="8"/>
      <c r="C4314" s="8"/>
      <c r="D4314" s="8">
        <v>63.217307546936</v>
      </c>
      <c r="E4314" s="9" t="s">
        <v>2720</v>
      </c>
      <c r="I4314" s="12"/>
      <c r="J4314" s="11">
        <v>0.0</v>
      </c>
      <c r="K4314" s="12" t="s">
        <v>3075</v>
      </c>
      <c r="L4314" s="13" t="s">
        <v>3075</v>
      </c>
      <c r="M4314" s="9" t="s">
        <v>3075</v>
      </c>
    </row>
    <row r="4315" ht="15.75" customHeight="1">
      <c r="A4315" s="8"/>
      <c r="B4315" s="8"/>
      <c r="C4315" s="8"/>
      <c r="D4315" s="8">
        <v>16.7648307365351</v>
      </c>
      <c r="E4315" s="9" t="s">
        <v>2723</v>
      </c>
      <c r="I4315" s="12"/>
      <c r="J4315" s="11">
        <v>0.0</v>
      </c>
      <c r="K4315" s="12" t="s">
        <v>3075</v>
      </c>
      <c r="L4315" s="13" t="s">
        <v>3075</v>
      </c>
      <c r="M4315" s="9" t="s">
        <v>3075</v>
      </c>
    </row>
    <row r="4316" ht="15.75" customHeight="1">
      <c r="A4316" s="8"/>
      <c r="B4316" s="8"/>
      <c r="C4316" s="8"/>
      <c r="D4316" s="8">
        <v>63.217307546936</v>
      </c>
      <c r="E4316" s="9" t="s">
        <v>2725</v>
      </c>
      <c r="I4316" s="12"/>
      <c r="J4316" s="11">
        <v>0.0</v>
      </c>
      <c r="K4316" s="12" t="s">
        <v>3075</v>
      </c>
      <c r="L4316" s="13" t="s">
        <v>3075</v>
      </c>
      <c r="M4316" s="9" t="s">
        <v>3075</v>
      </c>
    </row>
    <row r="4317" ht="15.75" customHeight="1">
      <c r="A4317" s="8"/>
      <c r="B4317" s="8"/>
      <c r="C4317" s="8"/>
      <c r="D4317" s="8">
        <v>62.215337467166</v>
      </c>
      <c r="E4317" s="9" t="s">
        <v>3178</v>
      </c>
      <c r="I4317" s="12"/>
      <c r="J4317" s="11">
        <v>0.0</v>
      </c>
      <c r="K4317" s="12" t="s">
        <v>3075</v>
      </c>
      <c r="L4317" s="13" t="s">
        <v>3075</v>
      </c>
      <c r="M4317" s="9" t="s">
        <v>3075</v>
      </c>
    </row>
    <row r="4318" ht="15.75" customHeight="1">
      <c r="A4318" s="8"/>
      <c r="B4318" s="8"/>
      <c r="C4318" s="8"/>
      <c r="D4318" s="8">
        <v>63.217307546936</v>
      </c>
      <c r="E4318" s="9" t="s">
        <v>2732</v>
      </c>
      <c r="I4318" s="12"/>
      <c r="J4318" s="11">
        <v>0.0</v>
      </c>
      <c r="K4318" s="12" t="s">
        <v>3075</v>
      </c>
      <c r="L4318" s="13" t="s">
        <v>3075</v>
      </c>
      <c r="M4318" s="9" t="s">
        <v>3075</v>
      </c>
    </row>
    <row r="4319" ht="15.75" customHeight="1">
      <c r="A4319" s="8"/>
      <c r="B4319" s="8"/>
      <c r="C4319" s="8"/>
      <c r="D4319" s="8">
        <v>63.217307546936</v>
      </c>
      <c r="E4319" s="9" t="s">
        <v>2733</v>
      </c>
      <c r="I4319" s="12"/>
      <c r="J4319" s="11">
        <v>0.0</v>
      </c>
      <c r="K4319" s="12" t="s">
        <v>3075</v>
      </c>
      <c r="L4319" s="13" t="s">
        <v>3075</v>
      </c>
      <c r="M4319" s="9" t="s">
        <v>3075</v>
      </c>
    </row>
    <row r="4320" ht="15.75" customHeight="1">
      <c r="A4320" s="8"/>
      <c r="B4320" s="8"/>
      <c r="C4320" s="8"/>
      <c r="D4320" s="8">
        <v>63.217307546936</v>
      </c>
      <c r="E4320" s="9" t="s">
        <v>2740</v>
      </c>
      <c r="I4320" s="12"/>
      <c r="J4320" s="11">
        <v>0.0</v>
      </c>
      <c r="K4320" s="12" t="s">
        <v>3075</v>
      </c>
      <c r="L4320" s="13" t="s">
        <v>3075</v>
      </c>
      <c r="M4320" s="9" t="s">
        <v>3075</v>
      </c>
    </row>
    <row r="4321" ht="15.75" customHeight="1">
      <c r="A4321" s="8"/>
      <c r="B4321" s="8"/>
      <c r="C4321" s="8"/>
      <c r="D4321" s="8">
        <v>63.217307546936</v>
      </c>
      <c r="E4321" s="9" t="s">
        <v>2741</v>
      </c>
      <c r="I4321" s="12"/>
      <c r="J4321" s="11">
        <v>0.0</v>
      </c>
      <c r="K4321" s="12" t="s">
        <v>3075</v>
      </c>
      <c r="L4321" s="13" t="s">
        <v>3075</v>
      </c>
      <c r="M4321" s="9" t="s">
        <v>3075</v>
      </c>
    </row>
    <row r="4322" ht="15.75" customHeight="1">
      <c r="A4322" s="8"/>
      <c r="B4322" s="8"/>
      <c r="C4322" s="8"/>
      <c r="D4322" s="8">
        <v>63.217307546936</v>
      </c>
      <c r="E4322" s="9" t="s">
        <v>2743</v>
      </c>
      <c r="I4322" s="12"/>
      <c r="J4322" s="11">
        <v>0.0</v>
      </c>
      <c r="K4322" s="12" t="s">
        <v>3075</v>
      </c>
      <c r="L4322" s="13" t="s">
        <v>3075</v>
      </c>
      <c r="M4322" s="9" t="s">
        <v>3075</v>
      </c>
    </row>
    <row r="4323" ht="15.75" customHeight="1">
      <c r="A4323" s="8"/>
      <c r="B4323" s="8"/>
      <c r="C4323" s="8"/>
      <c r="D4323" s="8">
        <v>63.217307546936</v>
      </c>
      <c r="E4323" s="9" t="s">
        <v>2744</v>
      </c>
      <c r="I4323" s="12"/>
      <c r="J4323" s="11">
        <v>0.0</v>
      </c>
      <c r="K4323" s="12" t="s">
        <v>3075</v>
      </c>
      <c r="L4323" s="13" t="s">
        <v>3075</v>
      </c>
      <c r="M4323" s="9" t="s">
        <v>3075</v>
      </c>
    </row>
    <row r="4324" ht="15.75" customHeight="1">
      <c r="A4324" s="8"/>
      <c r="B4324" s="8"/>
      <c r="C4324" s="8"/>
      <c r="D4324" s="8">
        <v>33.9634523301388</v>
      </c>
      <c r="E4324" s="9" t="s">
        <v>2745</v>
      </c>
      <c r="I4324" s="12"/>
      <c r="J4324" s="11">
        <v>0.0</v>
      </c>
      <c r="K4324" s="12" t="s">
        <v>3075</v>
      </c>
      <c r="L4324" s="13" t="s">
        <v>3075</v>
      </c>
      <c r="M4324" s="9" t="s">
        <v>3075</v>
      </c>
    </row>
    <row r="4325" ht="15.75" customHeight="1">
      <c r="A4325" s="8"/>
      <c r="B4325" s="8"/>
      <c r="C4325" s="8"/>
      <c r="D4325" s="8">
        <v>63.217307546936</v>
      </c>
      <c r="E4325" s="9" t="s">
        <v>2748</v>
      </c>
      <c r="I4325" s="12"/>
      <c r="J4325" s="11">
        <v>0.0</v>
      </c>
      <c r="K4325" s="12" t="s">
        <v>3075</v>
      </c>
      <c r="L4325" s="13" t="s">
        <v>3075</v>
      </c>
      <c r="M4325" s="9" t="s">
        <v>3075</v>
      </c>
    </row>
    <row r="4326" ht="15.75" customHeight="1">
      <c r="A4326" s="8"/>
      <c r="B4326" s="8"/>
      <c r="C4326" s="8"/>
      <c r="D4326" s="8">
        <v>63.217307546936</v>
      </c>
      <c r="E4326" s="9" t="s">
        <v>3179</v>
      </c>
      <c r="I4326" s="12"/>
      <c r="J4326" s="11">
        <v>0.0</v>
      </c>
      <c r="K4326" s="12" t="s">
        <v>3075</v>
      </c>
      <c r="L4326" s="13" t="s">
        <v>3075</v>
      </c>
      <c r="M4326" s="9" t="s">
        <v>3075</v>
      </c>
    </row>
    <row r="4327" ht="15.75" customHeight="1">
      <c r="A4327" s="8"/>
      <c r="B4327" s="8"/>
      <c r="C4327" s="8"/>
      <c r="D4327" s="8">
        <v>45.9869994130379</v>
      </c>
      <c r="E4327" s="9" t="s">
        <v>2753</v>
      </c>
      <c r="I4327" s="12"/>
      <c r="J4327" s="11">
        <v>0.0</v>
      </c>
      <c r="K4327" s="12" t="s">
        <v>3075</v>
      </c>
      <c r="L4327" s="13" t="s">
        <v>3075</v>
      </c>
      <c r="M4327" s="9" t="s">
        <v>3075</v>
      </c>
    </row>
    <row r="4328" ht="15.75" customHeight="1">
      <c r="A4328" s="8"/>
      <c r="B4328" s="8"/>
      <c r="C4328" s="8"/>
      <c r="D4328" s="8">
        <v>63.217307546936</v>
      </c>
      <c r="E4328" s="9" t="s">
        <v>2757</v>
      </c>
      <c r="I4328" s="12"/>
      <c r="J4328" s="11">
        <v>0.0</v>
      </c>
      <c r="K4328" s="12" t="s">
        <v>3075</v>
      </c>
      <c r="L4328" s="13" t="s">
        <v>3075</v>
      </c>
      <c r="M4328" s="9" t="s">
        <v>3075</v>
      </c>
    </row>
    <row r="4329" ht="15.75" customHeight="1">
      <c r="A4329" s="8"/>
      <c r="B4329" s="8"/>
      <c r="C4329" s="8"/>
      <c r="D4329" s="8">
        <v>41.9409834764498</v>
      </c>
      <c r="E4329" s="9" t="s">
        <v>2758</v>
      </c>
      <c r="I4329" s="12"/>
      <c r="J4329" s="11">
        <v>0.0</v>
      </c>
      <c r="K4329" s="12" t="s">
        <v>3075</v>
      </c>
      <c r="L4329" s="13" t="s">
        <v>3075</v>
      </c>
      <c r="M4329" s="9" t="s">
        <v>3075</v>
      </c>
    </row>
    <row r="4330" ht="15.75" customHeight="1">
      <c r="A4330" s="8"/>
      <c r="B4330" s="8"/>
      <c r="C4330" s="8"/>
      <c r="D4330" s="8">
        <v>63.217307546936</v>
      </c>
      <c r="E4330" s="9" t="s">
        <v>2759</v>
      </c>
      <c r="I4330" s="12"/>
      <c r="J4330" s="11">
        <v>0.0</v>
      </c>
      <c r="K4330" s="12" t="s">
        <v>3075</v>
      </c>
      <c r="L4330" s="13" t="s">
        <v>3075</v>
      </c>
      <c r="M4330" s="9" t="s">
        <v>3075</v>
      </c>
    </row>
    <row r="4331" ht="15.75" customHeight="1">
      <c r="A4331" s="8"/>
      <c r="B4331" s="8"/>
      <c r="C4331" s="8"/>
      <c r="D4331" s="8">
        <v>63.217307546936</v>
      </c>
      <c r="E4331" s="9" t="s">
        <v>2760</v>
      </c>
      <c r="I4331" s="12"/>
      <c r="J4331" s="11">
        <v>0.0</v>
      </c>
      <c r="K4331" s="12" t="s">
        <v>3075</v>
      </c>
      <c r="L4331" s="13" t="s">
        <v>3075</v>
      </c>
      <c r="M4331" s="9" t="s">
        <v>3075</v>
      </c>
    </row>
    <row r="4332" ht="15.75" customHeight="1">
      <c r="A4332" s="8"/>
      <c r="B4332" s="8"/>
      <c r="C4332" s="8"/>
      <c r="D4332" s="8">
        <v>63.217307546936</v>
      </c>
      <c r="E4332" s="9" t="s">
        <v>2763</v>
      </c>
      <c r="I4332" s="12"/>
      <c r="J4332" s="11">
        <v>0.0</v>
      </c>
      <c r="K4332" s="12" t="s">
        <v>3075</v>
      </c>
      <c r="L4332" s="13" t="s">
        <v>3075</v>
      </c>
      <c r="M4332" s="9" t="s">
        <v>3075</v>
      </c>
    </row>
    <row r="4333" ht="15.75" customHeight="1">
      <c r="A4333" s="8"/>
      <c r="B4333" s="8"/>
      <c r="C4333" s="8"/>
      <c r="D4333" s="8">
        <v>63.217307546936</v>
      </c>
      <c r="E4333" s="9" t="s">
        <v>2764</v>
      </c>
      <c r="I4333" s="12"/>
      <c r="J4333" s="11">
        <v>0.0</v>
      </c>
      <c r="K4333" s="12" t="s">
        <v>3075</v>
      </c>
      <c r="L4333" s="13" t="s">
        <v>3075</v>
      </c>
      <c r="M4333" s="9" t="s">
        <v>3075</v>
      </c>
    </row>
    <row r="4334" ht="15.75" customHeight="1">
      <c r="A4334" s="8"/>
      <c r="B4334" s="8"/>
      <c r="C4334" s="8"/>
      <c r="D4334" s="8">
        <v>15.7537530406964</v>
      </c>
      <c r="E4334" s="9" t="s">
        <v>2765</v>
      </c>
      <c r="I4334" s="12"/>
      <c r="J4334" s="11">
        <v>0.0</v>
      </c>
      <c r="K4334" s="12" t="s">
        <v>3075</v>
      </c>
      <c r="L4334" s="13" t="s">
        <v>3075</v>
      </c>
      <c r="M4334" s="9" t="s">
        <v>3075</v>
      </c>
    </row>
    <row r="4335" ht="15.75" customHeight="1">
      <c r="A4335" s="8"/>
      <c r="B4335" s="8"/>
      <c r="C4335" s="8"/>
      <c r="D4335" s="8">
        <v>63.217307546936</v>
      </c>
      <c r="E4335" s="9" t="s">
        <v>2767</v>
      </c>
      <c r="I4335" s="12"/>
      <c r="J4335" s="11">
        <v>0.0</v>
      </c>
      <c r="K4335" s="12" t="s">
        <v>3075</v>
      </c>
      <c r="L4335" s="13" t="s">
        <v>3075</v>
      </c>
      <c r="M4335" s="9" t="s">
        <v>3075</v>
      </c>
    </row>
    <row r="4336" ht="15.75" customHeight="1">
      <c r="A4336" s="8"/>
      <c r="B4336" s="8"/>
      <c r="C4336" s="8"/>
      <c r="D4336" s="8">
        <v>63.217307546936</v>
      </c>
      <c r="E4336" s="9" t="s">
        <v>2768</v>
      </c>
      <c r="I4336" s="12"/>
      <c r="J4336" s="11">
        <v>0.0</v>
      </c>
      <c r="K4336" s="12" t="s">
        <v>3075</v>
      </c>
      <c r="L4336" s="13" t="s">
        <v>3075</v>
      </c>
      <c r="M4336" s="9" t="s">
        <v>3075</v>
      </c>
    </row>
    <row r="4337" ht="15.75" customHeight="1">
      <c r="A4337" s="8"/>
      <c r="B4337" s="8"/>
      <c r="C4337" s="8"/>
      <c r="D4337" s="8">
        <v>63.217307546936</v>
      </c>
      <c r="E4337" s="9" t="s">
        <v>2770</v>
      </c>
      <c r="I4337" s="12"/>
      <c r="J4337" s="11">
        <v>0.0</v>
      </c>
      <c r="K4337" s="12" t="s">
        <v>3075</v>
      </c>
      <c r="L4337" s="13" t="s">
        <v>3075</v>
      </c>
      <c r="M4337" s="9" t="s">
        <v>3075</v>
      </c>
    </row>
    <row r="4338" ht="15.75" customHeight="1">
      <c r="A4338" s="8"/>
      <c r="B4338" s="8"/>
      <c r="C4338" s="8"/>
      <c r="D4338" s="8">
        <v>63.217307546936</v>
      </c>
      <c r="E4338" s="9" t="s">
        <v>2771</v>
      </c>
      <c r="I4338" s="12"/>
      <c r="J4338" s="11">
        <v>0.0</v>
      </c>
      <c r="K4338" s="12" t="s">
        <v>3075</v>
      </c>
      <c r="L4338" s="13" t="s">
        <v>3075</v>
      </c>
      <c r="M4338" s="9" t="s">
        <v>3075</v>
      </c>
    </row>
    <row r="4339" ht="15.75" customHeight="1">
      <c r="A4339" s="8"/>
      <c r="B4339" s="8"/>
      <c r="C4339" s="8"/>
      <c r="D4339" s="8">
        <v>11.907333243008</v>
      </c>
      <c r="E4339" s="9" t="s">
        <v>2775</v>
      </c>
      <c r="I4339" s="12"/>
      <c r="J4339" s="11">
        <v>0.0</v>
      </c>
      <c r="K4339" s="12" t="s">
        <v>3075</v>
      </c>
      <c r="L4339" s="13" t="s">
        <v>3075</v>
      </c>
      <c r="M4339" s="9" t="s">
        <v>3075</v>
      </c>
    </row>
    <row r="4340" ht="15.75" customHeight="1">
      <c r="A4340" s="8"/>
      <c r="B4340" s="8"/>
      <c r="C4340" s="8"/>
      <c r="D4340" s="8">
        <v>27.0328078250163</v>
      </c>
      <c r="E4340" s="9" t="s">
        <v>3180</v>
      </c>
      <c r="I4340" s="12"/>
      <c r="J4340" s="11">
        <v>0.0</v>
      </c>
      <c r="K4340" s="12" t="s">
        <v>3075</v>
      </c>
      <c r="L4340" s="13" t="s">
        <v>3075</v>
      </c>
      <c r="M4340" s="9" t="s">
        <v>3075</v>
      </c>
    </row>
    <row r="4341" ht="15.75" customHeight="1">
      <c r="A4341" s="8"/>
      <c r="B4341" s="8"/>
      <c r="C4341" s="8"/>
      <c r="D4341" s="8">
        <v>59.1063692080786</v>
      </c>
      <c r="E4341" s="9" t="s">
        <v>3181</v>
      </c>
      <c r="I4341" s="12"/>
      <c r="J4341" s="11">
        <v>0.0</v>
      </c>
      <c r="K4341" s="12" t="s">
        <v>3075</v>
      </c>
      <c r="L4341" s="13" t="s">
        <v>3075</v>
      </c>
      <c r="M4341" s="9" t="s">
        <v>3075</v>
      </c>
    </row>
    <row r="4342" ht="15.75" customHeight="1">
      <c r="A4342" s="8"/>
      <c r="B4342" s="8"/>
      <c r="C4342" s="8"/>
      <c r="D4342" s="8">
        <v>63.217307546936</v>
      </c>
      <c r="E4342" s="9" t="s">
        <v>2780</v>
      </c>
      <c r="I4342" s="12"/>
      <c r="J4342" s="11">
        <v>0.0</v>
      </c>
      <c r="K4342" s="12" t="s">
        <v>3075</v>
      </c>
      <c r="L4342" s="13" t="s">
        <v>3075</v>
      </c>
      <c r="M4342" s="9" t="s">
        <v>3075</v>
      </c>
    </row>
    <row r="4343" ht="15.75" customHeight="1">
      <c r="A4343" s="8"/>
      <c r="B4343" s="8"/>
      <c r="C4343" s="8"/>
      <c r="D4343" s="8">
        <v>22.9728451816628</v>
      </c>
      <c r="E4343" s="9" t="s">
        <v>2781</v>
      </c>
      <c r="I4343" s="12"/>
      <c r="J4343" s="11">
        <v>0.0</v>
      </c>
      <c r="K4343" s="12" t="s">
        <v>3075</v>
      </c>
      <c r="L4343" s="13" t="s">
        <v>3075</v>
      </c>
      <c r="M4343" s="9" t="s">
        <v>3075</v>
      </c>
    </row>
    <row r="4344" ht="15.75" customHeight="1">
      <c r="A4344" s="8"/>
      <c r="B4344" s="8"/>
      <c r="C4344" s="8"/>
      <c r="D4344" s="8">
        <v>50.6869984626759</v>
      </c>
      <c r="E4344" s="9" t="s">
        <v>3182</v>
      </c>
      <c r="I4344" s="12"/>
      <c r="J4344" s="11">
        <v>0.0</v>
      </c>
      <c r="K4344" s="12" t="s">
        <v>3075</v>
      </c>
      <c r="L4344" s="13" t="s">
        <v>3075</v>
      </c>
      <c r="M4344" s="9" t="s">
        <v>3075</v>
      </c>
    </row>
    <row r="4345" ht="15.75" customHeight="1">
      <c r="A4345" s="8"/>
      <c r="B4345" s="8"/>
      <c r="C4345" s="8"/>
      <c r="D4345" s="8">
        <v>38.0081674509582</v>
      </c>
      <c r="E4345" s="9" t="s">
        <v>2787</v>
      </c>
      <c r="I4345" s="12"/>
      <c r="J4345" s="11">
        <v>0.0</v>
      </c>
      <c r="K4345" s="12" t="s">
        <v>3075</v>
      </c>
      <c r="L4345" s="13" t="s">
        <v>3075</v>
      </c>
      <c r="M4345" s="9" t="s">
        <v>3075</v>
      </c>
    </row>
    <row r="4346" ht="15.75" customHeight="1">
      <c r="A4346" s="8"/>
      <c r="B4346" s="8"/>
      <c r="C4346" s="8"/>
      <c r="D4346" s="8">
        <v>63.217307546936</v>
      </c>
      <c r="E4346" s="9" t="s">
        <v>2790</v>
      </c>
      <c r="I4346" s="12"/>
      <c r="J4346" s="11">
        <v>0.0</v>
      </c>
      <c r="K4346" s="12" t="s">
        <v>3075</v>
      </c>
      <c r="L4346" s="13" t="s">
        <v>3075</v>
      </c>
      <c r="M4346" s="9" t="s">
        <v>3075</v>
      </c>
    </row>
    <row r="4347" ht="15.75" customHeight="1">
      <c r="A4347" s="8"/>
      <c r="B4347" s="8"/>
      <c r="C4347" s="8"/>
      <c r="D4347" s="8">
        <v>63.217307546936</v>
      </c>
      <c r="E4347" s="9" t="s">
        <v>2792</v>
      </c>
      <c r="I4347" s="12"/>
      <c r="J4347" s="11">
        <v>0.0</v>
      </c>
      <c r="K4347" s="12" t="s">
        <v>3075</v>
      </c>
      <c r="L4347" s="13" t="s">
        <v>3075</v>
      </c>
      <c r="M4347" s="9" t="s">
        <v>3075</v>
      </c>
    </row>
    <row r="4348" ht="15.75" customHeight="1">
      <c r="A4348" s="8"/>
      <c r="B4348" s="8"/>
      <c r="C4348" s="8"/>
      <c r="D4348" s="8">
        <v>12.6434615093872</v>
      </c>
      <c r="E4348" s="9" t="s">
        <v>2794</v>
      </c>
      <c r="I4348" s="12"/>
      <c r="J4348" s="11">
        <v>0.0</v>
      </c>
      <c r="K4348" s="12" t="s">
        <v>3075</v>
      </c>
      <c r="L4348" s="13" t="s">
        <v>3075</v>
      </c>
      <c r="M4348" s="9" t="s">
        <v>3075</v>
      </c>
    </row>
    <row r="4349" ht="15.75" customHeight="1">
      <c r="A4349" s="8"/>
      <c r="B4349" s="8"/>
      <c r="C4349" s="8"/>
      <c r="D4349" s="8">
        <v>63.217307546936</v>
      </c>
      <c r="E4349" s="9" t="s">
        <v>2798</v>
      </c>
      <c r="I4349" s="12"/>
      <c r="J4349" s="11">
        <v>0.0</v>
      </c>
      <c r="K4349" s="12" t="s">
        <v>3075</v>
      </c>
      <c r="L4349" s="13" t="s">
        <v>3075</v>
      </c>
      <c r="M4349" s="9" t="s">
        <v>3075</v>
      </c>
    </row>
    <row r="4350" ht="15.75" customHeight="1">
      <c r="A4350" s="8"/>
      <c r="B4350" s="8"/>
      <c r="C4350" s="8"/>
      <c r="D4350" s="8">
        <v>63.217307546936</v>
      </c>
      <c r="E4350" s="9" t="s">
        <v>2800</v>
      </c>
      <c r="I4350" s="12"/>
      <c r="J4350" s="11">
        <v>0.0</v>
      </c>
      <c r="K4350" s="12" t="s">
        <v>3075</v>
      </c>
      <c r="L4350" s="13" t="s">
        <v>3075</v>
      </c>
      <c r="M4350" s="9" t="s">
        <v>3075</v>
      </c>
    </row>
    <row r="4351" ht="15.75" customHeight="1">
      <c r="A4351" s="8"/>
      <c r="B4351" s="8"/>
      <c r="C4351" s="8"/>
      <c r="D4351" s="8">
        <v>63.217307546936</v>
      </c>
      <c r="E4351" s="9" t="s">
        <v>2802</v>
      </c>
      <c r="I4351" s="12"/>
      <c r="J4351" s="11">
        <v>0.0</v>
      </c>
      <c r="K4351" s="12" t="s">
        <v>3075</v>
      </c>
      <c r="L4351" s="13" t="s">
        <v>3075</v>
      </c>
      <c r="M4351" s="9" t="s">
        <v>3075</v>
      </c>
    </row>
    <row r="4352" ht="15.75" customHeight="1">
      <c r="A4352" s="8"/>
      <c r="B4352" s="8"/>
      <c r="C4352" s="8"/>
      <c r="D4352" s="8">
        <v>57.6983570061163</v>
      </c>
      <c r="E4352" s="9" t="s">
        <v>2808</v>
      </c>
      <c r="I4352" s="12"/>
      <c r="J4352" s="11">
        <v>0.0</v>
      </c>
      <c r="K4352" s="12" t="s">
        <v>3075</v>
      </c>
      <c r="L4352" s="13" t="s">
        <v>3075</v>
      </c>
      <c r="M4352" s="9" t="s">
        <v>3075</v>
      </c>
    </row>
    <row r="4353" ht="15.75" customHeight="1">
      <c r="A4353" s="8"/>
      <c r="B4353" s="8"/>
      <c r="C4353" s="8"/>
      <c r="D4353" s="8">
        <v>33.6358847903842</v>
      </c>
      <c r="E4353" s="9" t="s">
        <v>2811</v>
      </c>
      <c r="I4353" s="12"/>
      <c r="J4353" s="11">
        <v>0.0</v>
      </c>
      <c r="K4353" s="12" t="s">
        <v>3075</v>
      </c>
      <c r="L4353" s="13" t="s">
        <v>3075</v>
      </c>
      <c r="M4353" s="9" t="s">
        <v>3075</v>
      </c>
    </row>
    <row r="4354" ht="15.75" customHeight="1">
      <c r="A4354" s="8"/>
      <c r="B4354" s="8"/>
      <c r="C4354" s="8"/>
      <c r="D4354" s="8">
        <v>62.5364161872434</v>
      </c>
      <c r="E4354" s="9" t="s">
        <v>2812</v>
      </c>
      <c r="I4354" s="12"/>
      <c r="J4354" s="11">
        <v>0.0</v>
      </c>
      <c r="K4354" s="12" t="s">
        <v>3075</v>
      </c>
      <c r="L4354" s="13" t="s">
        <v>3075</v>
      </c>
      <c r="M4354" s="9" t="s">
        <v>3075</v>
      </c>
    </row>
    <row r="4355" ht="15.75" customHeight="1">
      <c r="A4355" s="8"/>
      <c r="B4355" s="8"/>
      <c r="C4355" s="8"/>
      <c r="D4355" s="8">
        <v>63.217307546936</v>
      </c>
      <c r="E4355" s="9" t="s">
        <v>2814</v>
      </c>
      <c r="I4355" s="12"/>
      <c r="J4355" s="11">
        <v>0.0</v>
      </c>
      <c r="K4355" s="12" t="s">
        <v>3075</v>
      </c>
      <c r="L4355" s="13" t="s">
        <v>3075</v>
      </c>
      <c r="M4355" s="9" t="s">
        <v>3075</v>
      </c>
    </row>
    <row r="4356" ht="15.75" customHeight="1">
      <c r="A4356" s="8"/>
      <c r="B4356" s="8"/>
      <c r="C4356" s="8"/>
      <c r="D4356" s="8">
        <v>63.217307546936</v>
      </c>
      <c r="E4356" s="9" t="s">
        <v>2815</v>
      </c>
      <c r="I4356" s="12"/>
      <c r="J4356" s="11">
        <v>0.0</v>
      </c>
      <c r="K4356" s="12" t="s">
        <v>3075</v>
      </c>
      <c r="L4356" s="13" t="s">
        <v>3075</v>
      </c>
      <c r="M4356" s="9" t="s">
        <v>3075</v>
      </c>
    </row>
    <row r="4357" ht="15.75" customHeight="1">
      <c r="A4357" s="8"/>
      <c r="B4357" s="8"/>
      <c r="C4357" s="8"/>
      <c r="D4357" s="8">
        <v>9.1002508656319</v>
      </c>
      <c r="E4357" s="9" t="s">
        <v>2816</v>
      </c>
      <c r="I4357" s="12"/>
      <c r="J4357" s="11">
        <v>0.0</v>
      </c>
      <c r="K4357" s="12" t="s">
        <v>3075</v>
      </c>
      <c r="L4357" s="13" t="s">
        <v>3075</v>
      </c>
      <c r="M4357" s="9" t="s">
        <v>3075</v>
      </c>
    </row>
    <row r="4358" ht="15.75" customHeight="1">
      <c r="A4358" s="8"/>
      <c r="B4358" s="8"/>
      <c r="C4358" s="8"/>
      <c r="D4358" s="8">
        <v>63.217307546936</v>
      </c>
      <c r="E4358" s="9" t="s">
        <v>2819</v>
      </c>
      <c r="I4358" s="12"/>
      <c r="J4358" s="11">
        <v>0.0</v>
      </c>
      <c r="K4358" s="12" t="s">
        <v>3075</v>
      </c>
      <c r="L4358" s="13" t="s">
        <v>3075</v>
      </c>
      <c r="M4358" s="9" t="s">
        <v>3075</v>
      </c>
    </row>
    <row r="4359" ht="15.75" customHeight="1">
      <c r="A4359" s="8"/>
      <c r="B4359" s="8"/>
      <c r="C4359" s="8"/>
      <c r="D4359" s="8">
        <v>63.217307546936</v>
      </c>
      <c r="E4359" s="9" t="s">
        <v>2820</v>
      </c>
      <c r="I4359" s="12"/>
      <c r="J4359" s="11">
        <v>0.0</v>
      </c>
      <c r="K4359" s="12" t="s">
        <v>3075</v>
      </c>
      <c r="L4359" s="13" t="s">
        <v>3075</v>
      </c>
      <c r="M4359" s="9" t="s">
        <v>3075</v>
      </c>
    </row>
    <row r="4360" ht="15.75" customHeight="1">
      <c r="A4360" s="8"/>
      <c r="B4360" s="8"/>
      <c r="C4360" s="8"/>
      <c r="D4360" s="8">
        <v>22.2536438017547</v>
      </c>
      <c r="E4360" s="9" t="s">
        <v>2822</v>
      </c>
      <c r="I4360" s="12"/>
      <c r="J4360" s="11">
        <v>0.0</v>
      </c>
      <c r="K4360" s="12" t="s">
        <v>3075</v>
      </c>
      <c r="L4360" s="13" t="s">
        <v>3075</v>
      </c>
      <c r="M4360" s="9" t="s">
        <v>3075</v>
      </c>
    </row>
    <row r="4361" ht="15.75" customHeight="1">
      <c r="A4361" s="8"/>
      <c r="B4361" s="8"/>
      <c r="C4361" s="8"/>
      <c r="D4361" s="8">
        <v>29.5532207749479</v>
      </c>
      <c r="E4361" s="9" t="s">
        <v>3183</v>
      </c>
      <c r="I4361" s="12"/>
      <c r="J4361" s="11">
        <v>0.0</v>
      </c>
      <c r="K4361" s="12" t="s">
        <v>3075</v>
      </c>
      <c r="L4361" s="13" t="s">
        <v>3075</v>
      </c>
      <c r="M4361" s="9" t="s">
        <v>3075</v>
      </c>
    </row>
    <row r="4362" ht="15.75" customHeight="1">
      <c r="A4362" s="8"/>
      <c r="B4362" s="8"/>
      <c r="C4362" s="8"/>
      <c r="D4362" s="8">
        <v>9.47843580625728</v>
      </c>
      <c r="E4362" s="9" t="s">
        <v>2825</v>
      </c>
      <c r="I4362" s="12"/>
      <c r="J4362" s="11">
        <v>0.0</v>
      </c>
      <c r="K4362" s="12" t="s">
        <v>3075</v>
      </c>
      <c r="L4362" s="13" t="s">
        <v>3075</v>
      </c>
      <c r="M4362" s="9" t="s">
        <v>3075</v>
      </c>
    </row>
    <row r="4363" ht="15.75" customHeight="1">
      <c r="A4363" s="8"/>
      <c r="B4363" s="8"/>
      <c r="C4363" s="8"/>
      <c r="D4363" s="8">
        <v>63.217307546936</v>
      </c>
      <c r="E4363" s="9" t="s">
        <v>2829</v>
      </c>
      <c r="I4363" s="12"/>
      <c r="J4363" s="11">
        <v>0.0</v>
      </c>
      <c r="K4363" s="12" t="s">
        <v>3075</v>
      </c>
      <c r="L4363" s="13" t="s">
        <v>3075</v>
      </c>
      <c r="M4363" s="9" t="s">
        <v>3075</v>
      </c>
    </row>
    <row r="4364" ht="15.75" customHeight="1">
      <c r="A4364" s="8"/>
      <c r="B4364" s="8"/>
      <c r="C4364" s="8"/>
      <c r="D4364" s="8">
        <v>63.217307546936</v>
      </c>
      <c r="E4364" s="9" t="s">
        <v>2830</v>
      </c>
      <c r="I4364" s="12"/>
      <c r="J4364" s="11">
        <v>0.0</v>
      </c>
      <c r="K4364" s="12" t="s">
        <v>3075</v>
      </c>
      <c r="L4364" s="13" t="s">
        <v>3075</v>
      </c>
      <c r="M4364" s="9" t="s">
        <v>3075</v>
      </c>
    </row>
    <row r="4365" ht="15.75" customHeight="1">
      <c r="A4365" s="8"/>
      <c r="B4365" s="8"/>
      <c r="C4365" s="8"/>
      <c r="D4365" s="8">
        <v>41.5930195546994</v>
      </c>
      <c r="E4365" s="9" t="s">
        <v>2834</v>
      </c>
      <c r="I4365" s="12"/>
      <c r="J4365" s="11">
        <v>0.0</v>
      </c>
      <c r="K4365" s="12" t="s">
        <v>3075</v>
      </c>
      <c r="L4365" s="13" t="s">
        <v>3075</v>
      </c>
      <c r="M4365" s="9" t="s">
        <v>3075</v>
      </c>
    </row>
    <row r="4366" ht="15.75" customHeight="1">
      <c r="A4366" s="8"/>
      <c r="B4366" s="8"/>
      <c r="C4366" s="8"/>
      <c r="D4366" s="8">
        <v>63.217307546936</v>
      </c>
      <c r="E4366" s="9" t="s">
        <v>2836</v>
      </c>
      <c r="I4366" s="12"/>
      <c r="J4366" s="11">
        <v>0.0</v>
      </c>
      <c r="K4366" s="12" t="s">
        <v>3075</v>
      </c>
      <c r="L4366" s="13" t="s">
        <v>3075</v>
      </c>
      <c r="M4366" s="9" t="s">
        <v>3075</v>
      </c>
    </row>
    <row r="4367" ht="15.75" customHeight="1">
      <c r="A4367" s="8"/>
      <c r="B4367" s="8"/>
      <c r="C4367" s="8"/>
      <c r="D4367" s="8">
        <v>56.6537202651604</v>
      </c>
      <c r="E4367" s="9" t="s">
        <v>2838</v>
      </c>
      <c r="I4367" s="12"/>
      <c r="J4367" s="11">
        <v>0.0</v>
      </c>
      <c r="K4367" s="12" t="s">
        <v>3075</v>
      </c>
      <c r="L4367" s="13" t="s">
        <v>3075</v>
      </c>
      <c r="M4367" s="9" t="s">
        <v>3075</v>
      </c>
    </row>
    <row r="4368" ht="15.75" customHeight="1">
      <c r="A4368" s="8"/>
      <c r="B4368" s="8"/>
      <c r="C4368" s="8"/>
      <c r="D4368" s="8">
        <v>63.217307546936</v>
      </c>
      <c r="E4368" s="9" t="s">
        <v>2841</v>
      </c>
      <c r="I4368" s="12"/>
      <c r="J4368" s="11">
        <v>0.0</v>
      </c>
      <c r="K4368" s="12" t="s">
        <v>3075</v>
      </c>
      <c r="L4368" s="13" t="s">
        <v>3075</v>
      </c>
      <c r="M4368" s="9" t="s">
        <v>3075</v>
      </c>
    </row>
    <row r="4369" ht="15.75" customHeight="1">
      <c r="A4369" s="8"/>
      <c r="B4369" s="8"/>
      <c r="C4369" s="8"/>
      <c r="D4369" s="8">
        <v>50.8193016370254</v>
      </c>
      <c r="E4369" s="9" t="s">
        <v>2844</v>
      </c>
      <c r="I4369" s="12"/>
      <c r="J4369" s="11">
        <v>0.0</v>
      </c>
      <c r="K4369" s="12" t="s">
        <v>3075</v>
      </c>
      <c r="L4369" s="13" t="s">
        <v>3075</v>
      </c>
      <c r="M4369" s="9" t="s">
        <v>3075</v>
      </c>
    </row>
    <row r="4370" ht="15.75" customHeight="1">
      <c r="A4370" s="8"/>
      <c r="B4370" s="8"/>
      <c r="C4370" s="8"/>
      <c r="D4370" s="8">
        <v>63.217307546936</v>
      </c>
      <c r="E4370" s="9" t="s">
        <v>2845</v>
      </c>
      <c r="I4370" s="12"/>
      <c r="J4370" s="11">
        <v>0.0</v>
      </c>
      <c r="K4370" s="12" t="s">
        <v>3075</v>
      </c>
      <c r="L4370" s="13" t="s">
        <v>3075</v>
      </c>
      <c r="M4370" s="9" t="s">
        <v>3075</v>
      </c>
    </row>
    <row r="4371" ht="15.75" customHeight="1">
      <c r="A4371" s="8"/>
      <c r="B4371" s="8"/>
      <c r="C4371" s="8"/>
      <c r="D4371" s="8">
        <v>50.6679083588281</v>
      </c>
      <c r="E4371" s="9" t="s">
        <v>2846</v>
      </c>
      <c r="I4371" s="12"/>
      <c r="J4371" s="11">
        <v>0.0</v>
      </c>
      <c r="K4371" s="12" t="s">
        <v>3075</v>
      </c>
      <c r="L4371" s="13" t="s">
        <v>3075</v>
      </c>
      <c r="M4371" s="9" t="s">
        <v>3075</v>
      </c>
    </row>
    <row r="4372" ht="15.75" customHeight="1">
      <c r="A4372" s="8"/>
      <c r="B4372" s="8"/>
      <c r="C4372" s="8"/>
      <c r="D4372" s="8">
        <v>63.217307546936</v>
      </c>
      <c r="E4372" s="9" t="s">
        <v>2849</v>
      </c>
      <c r="I4372" s="12"/>
      <c r="J4372" s="11">
        <v>0.0</v>
      </c>
      <c r="K4372" s="12" t="s">
        <v>3075</v>
      </c>
      <c r="L4372" s="13" t="s">
        <v>3075</v>
      </c>
      <c r="M4372" s="9" t="s">
        <v>3075</v>
      </c>
    </row>
    <row r="4373" ht="15.75" customHeight="1">
      <c r="A4373" s="8"/>
      <c r="B4373" s="8"/>
      <c r="C4373" s="8"/>
      <c r="D4373" s="8">
        <v>2.50900729385331</v>
      </c>
      <c r="E4373" s="9" t="s">
        <v>3184</v>
      </c>
      <c r="I4373" s="12"/>
      <c r="J4373" s="11">
        <v>0.0</v>
      </c>
      <c r="K4373" s="12" t="s">
        <v>3075</v>
      </c>
      <c r="L4373" s="13" t="s">
        <v>3075</v>
      </c>
      <c r="M4373" s="9" t="s">
        <v>3075</v>
      </c>
    </row>
    <row r="4374" ht="15.75" customHeight="1">
      <c r="A4374" s="8"/>
      <c r="B4374" s="8"/>
      <c r="C4374" s="8"/>
      <c r="D4374" s="8">
        <v>63.217307546936</v>
      </c>
      <c r="E4374" s="9" t="s">
        <v>2856</v>
      </c>
      <c r="I4374" s="12"/>
      <c r="J4374" s="11">
        <v>0.0</v>
      </c>
      <c r="K4374" s="12" t="s">
        <v>3075</v>
      </c>
      <c r="L4374" s="13" t="s">
        <v>3075</v>
      </c>
      <c r="M4374" s="9" t="s">
        <v>3075</v>
      </c>
    </row>
    <row r="4375" ht="15.75" customHeight="1">
      <c r="A4375" s="8"/>
      <c r="B4375" s="8"/>
      <c r="C4375" s="8"/>
      <c r="D4375" s="8">
        <v>63.217307546936</v>
      </c>
      <c r="E4375" s="9" t="s">
        <v>2857</v>
      </c>
      <c r="I4375" s="12"/>
      <c r="J4375" s="11">
        <v>0.0</v>
      </c>
      <c r="K4375" s="12" t="s">
        <v>3075</v>
      </c>
      <c r="L4375" s="13" t="s">
        <v>3075</v>
      </c>
      <c r="M4375" s="9" t="s">
        <v>3075</v>
      </c>
    </row>
    <row r="4376" ht="15.75" customHeight="1">
      <c r="A4376" s="8"/>
      <c r="B4376" s="8"/>
      <c r="C4376" s="8"/>
      <c r="D4376" s="8">
        <v>63.217307546936</v>
      </c>
      <c r="E4376" s="9" t="s">
        <v>2861</v>
      </c>
      <c r="I4376" s="12"/>
      <c r="J4376" s="11">
        <v>0.0</v>
      </c>
      <c r="K4376" s="12" t="s">
        <v>3075</v>
      </c>
      <c r="L4376" s="13" t="s">
        <v>3075</v>
      </c>
      <c r="M4376" s="9" t="s">
        <v>3075</v>
      </c>
    </row>
    <row r="4377" ht="15.75" customHeight="1">
      <c r="A4377" s="8"/>
      <c r="B4377" s="8"/>
      <c r="C4377" s="8"/>
      <c r="D4377" s="8">
        <v>63.217307546936</v>
      </c>
      <c r="E4377" s="9" t="s">
        <v>2867</v>
      </c>
      <c r="I4377" s="12"/>
      <c r="J4377" s="11">
        <v>0.0</v>
      </c>
      <c r="K4377" s="12" t="s">
        <v>3075</v>
      </c>
      <c r="L4377" s="13" t="s">
        <v>3075</v>
      </c>
      <c r="M4377" s="9" t="s">
        <v>3075</v>
      </c>
    </row>
    <row r="4378" ht="15.75" customHeight="1">
      <c r="A4378" s="8"/>
      <c r="B4378" s="8"/>
      <c r="C4378" s="8"/>
      <c r="D4378" s="8">
        <v>63.217307546936</v>
      </c>
      <c r="E4378" s="9" t="s">
        <v>3185</v>
      </c>
      <c r="I4378" s="12"/>
      <c r="J4378" s="11">
        <v>0.0</v>
      </c>
      <c r="K4378" s="12" t="s">
        <v>3075</v>
      </c>
      <c r="L4378" s="13" t="s">
        <v>3075</v>
      </c>
      <c r="M4378" s="9" t="s">
        <v>3075</v>
      </c>
    </row>
    <row r="4379" ht="15.75" customHeight="1">
      <c r="A4379" s="8"/>
      <c r="B4379" s="8"/>
      <c r="C4379" s="8"/>
      <c r="D4379" s="8">
        <v>63.217307546936</v>
      </c>
      <c r="E4379" s="9" t="s">
        <v>2874</v>
      </c>
      <c r="I4379" s="12"/>
      <c r="J4379" s="11">
        <v>0.0</v>
      </c>
      <c r="K4379" s="12" t="s">
        <v>3075</v>
      </c>
      <c r="L4379" s="13" t="s">
        <v>3075</v>
      </c>
      <c r="M4379" s="9" t="s">
        <v>3075</v>
      </c>
    </row>
    <row r="4380" ht="15.75" customHeight="1">
      <c r="A4380" s="8"/>
      <c r="B4380" s="8"/>
      <c r="C4380" s="8"/>
      <c r="D4380" s="8">
        <v>63.217307546936</v>
      </c>
      <c r="E4380" s="9" t="s">
        <v>2875</v>
      </c>
      <c r="I4380" s="12"/>
      <c r="J4380" s="11">
        <v>0.0</v>
      </c>
      <c r="K4380" s="12" t="s">
        <v>3075</v>
      </c>
      <c r="L4380" s="13" t="s">
        <v>3075</v>
      </c>
      <c r="M4380" s="9" t="s">
        <v>3075</v>
      </c>
    </row>
    <row r="4381" ht="15.75" customHeight="1">
      <c r="A4381" s="8"/>
      <c r="B4381" s="8"/>
      <c r="C4381" s="8"/>
      <c r="D4381" s="8">
        <v>63.217307546936</v>
      </c>
      <c r="E4381" s="9" t="s">
        <v>2880</v>
      </c>
      <c r="I4381" s="12"/>
      <c r="J4381" s="11">
        <v>0.0</v>
      </c>
      <c r="K4381" s="12" t="s">
        <v>3075</v>
      </c>
      <c r="L4381" s="13" t="s">
        <v>3075</v>
      </c>
      <c r="M4381" s="9" t="s">
        <v>3075</v>
      </c>
    </row>
    <row r="4382" ht="15.75" customHeight="1">
      <c r="A4382" s="8"/>
      <c r="B4382" s="8"/>
      <c r="C4382" s="8"/>
      <c r="D4382" s="8">
        <v>29.4185525574935</v>
      </c>
      <c r="E4382" s="9" t="s">
        <v>3186</v>
      </c>
      <c r="I4382" s="12"/>
      <c r="J4382" s="11">
        <v>0.0</v>
      </c>
      <c r="K4382" s="12" t="s">
        <v>3075</v>
      </c>
      <c r="L4382" s="13" t="s">
        <v>3075</v>
      </c>
      <c r="M4382" s="9" t="s">
        <v>3075</v>
      </c>
    </row>
    <row r="4383" ht="15.75" customHeight="1">
      <c r="A4383" s="8"/>
      <c r="B4383" s="8"/>
      <c r="C4383" s="8"/>
      <c r="D4383" s="8">
        <v>8.29164084997906</v>
      </c>
      <c r="E4383" s="9" t="s">
        <v>2882</v>
      </c>
      <c r="I4383" s="12"/>
      <c r="J4383" s="11">
        <v>0.0</v>
      </c>
      <c r="K4383" s="12" t="s">
        <v>3075</v>
      </c>
      <c r="L4383" s="13" t="s">
        <v>3075</v>
      </c>
      <c r="M4383" s="9" t="s">
        <v>3075</v>
      </c>
    </row>
    <row r="4384" ht="15.75" customHeight="1">
      <c r="A4384" s="8"/>
      <c r="B4384" s="8"/>
      <c r="C4384" s="8"/>
      <c r="D4384" s="8">
        <v>63.217307546936</v>
      </c>
      <c r="E4384" s="9" t="s">
        <v>2884</v>
      </c>
      <c r="I4384" s="12"/>
      <c r="J4384" s="11">
        <v>0.0</v>
      </c>
      <c r="K4384" s="12" t="s">
        <v>3075</v>
      </c>
      <c r="L4384" s="13" t="s">
        <v>3075</v>
      </c>
      <c r="M4384" s="9" t="s">
        <v>3075</v>
      </c>
    </row>
    <row r="4385" ht="15.75" customHeight="1">
      <c r="A4385" s="8"/>
      <c r="B4385" s="8"/>
      <c r="C4385" s="8"/>
      <c r="D4385" s="8">
        <v>31.608653773468</v>
      </c>
      <c r="E4385" s="9" t="s">
        <v>2885</v>
      </c>
      <c r="I4385" s="12"/>
      <c r="J4385" s="11">
        <v>0.0</v>
      </c>
      <c r="K4385" s="12" t="s">
        <v>3075</v>
      </c>
      <c r="L4385" s="13" t="s">
        <v>3075</v>
      </c>
      <c r="M4385" s="9" t="s">
        <v>3075</v>
      </c>
    </row>
    <row r="4386" ht="15.75" customHeight="1">
      <c r="A4386" s="8"/>
      <c r="B4386" s="8"/>
      <c r="C4386" s="8"/>
      <c r="D4386" s="8">
        <v>63.217307546936</v>
      </c>
      <c r="E4386" s="9" t="s">
        <v>2886</v>
      </c>
      <c r="I4386" s="12"/>
      <c r="J4386" s="11">
        <v>0.0</v>
      </c>
      <c r="K4386" s="12" t="s">
        <v>3075</v>
      </c>
      <c r="L4386" s="13" t="s">
        <v>3075</v>
      </c>
      <c r="M4386" s="9" t="s">
        <v>3075</v>
      </c>
    </row>
    <row r="4387" ht="15.75" customHeight="1">
      <c r="A4387" s="8"/>
      <c r="B4387" s="8"/>
      <c r="C4387" s="8"/>
      <c r="D4387" s="8">
        <v>63.217307546936</v>
      </c>
      <c r="E4387" s="9" t="s">
        <v>2888</v>
      </c>
      <c r="I4387" s="12"/>
      <c r="J4387" s="11">
        <v>0.0</v>
      </c>
      <c r="K4387" s="12" t="s">
        <v>3075</v>
      </c>
      <c r="L4387" s="13" t="s">
        <v>3075</v>
      </c>
      <c r="M4387" s="9" t="s">
        <v>3075</v>
      </c>
    </row>
    <row r="4388" ht="15.75" customHeight="1">
      <c r="A4388" s="8"/>
      <c r="B4388" s="8"/>
      <c r="C4388" s="8"/>
      <c r="D4388" s="8">
        <v>61.2386971033792</v>
      </c>
      <c r="E4388" s="9" t="s">
        <v>2889</v>
      </c>
      <c r="I4388" s="12"/>
      <c r="J4388" s="11">
        <v>0.0</v>
      </c>
      <c r="K4388" s="12" t="s">
        <v>3075</v>
      </c>
      <c r="L4388" s="13" t="s">
        <v>3075</v>
      </c>
      <c r="M4388" s="9" t="s">
        <v>3075</v>
      </c>
    </row>
    <row r="4389" ht="15.75" customHeight="1">
      <c r="A4389" s="8"/>
      <c r="B4389" s="8"/>
      <c r="C4389" s="8"/>
      <c r="D4389" s="8">
        <v>6.75479935528909</v>
      </c>
      <c r="E4389" s="9" t="s">
        <v>2890</v>
      </c>
      <c r="I4389" s="12"/>
      <c r="J4389" s="11">
        <v>0.0</v>
      </c>
      <c r="K4389" s="12" t="s">
        <v>3075</v>
      </c>
      <c r="L4389" s="13" t="s">
        <v>3075</v>
      </c>
      <c r="M4389" s="9" t="s">
        <v>3075</v>
      </c>
    </row>
    <row r="4390" ht="15.75" customHeight="1">
      <c r="A4390" s="8"/>
      <c r="B4390" s="8"/>
      <c r="C4390" s="8"/>
      <c r="D4390" s="8">
        <v>63.217307546936</v>
      </c>
      <c r="E4390" s="9" t="s">
        <v>2892</v>
      </c>
      <c r="I4390" s="12"/>
      <c r="J4390" s="11">
        <v>0.0</v>
      </c>
      <c r="K4390" s="12" t="s">
        <v>3075</v>
      </c>
      <c r="L4390" s="13" t="s">
        <v>3075</v>
      </c>
      <c r="M4390" s="9" t="s">
        <v>3075</v>
      </c>
    </row>
    <row r="4391" ht="15.75" customHeight="1">
      <c r="A4391" s="8"/>
      <c r="B4391" s="8"/>
      <c r="C4391" s="8"/>
      <c r="D4391" s="8">
        <v>55.6574170358976</v>
      </c>
      <c r="E4391" s="9" t="s">
        <v>2895</v>
      </c>
      <c r="I4391" s="12"/>
      <c r="J4391" s="11">
        <v>0.0</v>
      </c>
      <c r="K4391" s="12" t="s">
        <v>3075</v>
      </c>
      <c r="L4391" s="13" t="s">
        <v>3075</v>
      </c>
      <c r="M4391" s="9" t="s">
        <v>3075</v>
      </c>
    </row>
    <row r="4392" ht="15.75" customHeight="1">
      <c r="A4392" s="8"/>
      <c r="B4392" s="8"/>
      <c r="C4392" s="8"/>
      <c r="D4392" s="8">
        <v>60.1452501249694</v>
      </c>
      <c r="E4392" s="9" t="s">
        <v>2900</v>
      </c>
      <c r="I4392" s="12"/>
      <c r="J4392" s="11">
        <v>0.0</v>
      </c>
      <c r="K4392" s="12" t="s">
        <v>3075</v>
      </c>
      <c r="L4392" s="13" t="s">
        <v>3075</v>
      </c>
      <c r="M4392" s="9" t="s">
        <v>3075</v>
      </c>
    </row>
    <row r="4393" ht="15.75" customHeight="1">
      <c r="A4393" s="8"/>
      <c r="B4393" s="8"/>
      <c r="C4393" s="8"/>
      <c r="D4393" s="8">
        <v>63.217307546936</v>
      </c>
      <c r="E4393" s="9" t="s">
        <v>2901</v>
      </c>
      <c r="I4393" s="12"/>
      <c r="J4393" s="11">
        <v>0.0</v>
      </c>
      <c r="K4393" s="12" t="s">
        <v>3075</v>
      </c>
      <c r="L4393" s="13" t="s">
        <v>3075</v>
      </c>
      <c r="M4393" s="9" t="s">
        <v>3075</v>
      </c>
    </row>
    <row r="4394" ht="15.75" customHeight="1">
      <c r="A4394" s="8"/>
      <c r="B4394" s="8"/>
      <c r="C4394" s="8"/>
      <c r="D4394" s="8">
        <v>63.217307546936</v>
      </c>
      <c r="E4394" s="9" t="s">
        <v>2903</v>
      </c>
      <c r="I4394" s="12"/>
      <c r="J4394" s="11">
        <v>0.0</v>
      </c>
      <c r="K4394" s="12" t="s">
        <v>3075</v>
      </c>
      <c r="L4394" s="13" t="s">
        <v>3075</v>
      </c>
      <c r="M4394" s="9" t="s">
        <v>3075</v>
      </c>
    </row>
    <row r="4395" ht="15.75" customHeight="1">
      <c r="A4395" s="8"/>
      <c r="B4395" s="8"/>
      <c r="C4395" s="8"/>
      <c r="D4395" s="8">
        <v>8.06070996397067</v>
      </c>
      <c r="E4395" s="9" t="s">
        <v>2908</v>
      </c>
      <c r="I4395" s="12"/>
      <c r="J4395" s="11">
        <v>0.0</v>
      </c>
      <c r="K4395" s="12" t="s">
        <v>3075</v>
      </c>
      <c r="L4395" s="13" t="s">
        <v>3075</v>
      </c>
      <c r="M4395" s="9" t="s">
        <v>3075</v>
      </c>
    </row>
    <row r="4396" ht="15.75" customHeight="1">
      <c r="A4396" s="8"/>
      <c r="B4396" s="8"/>
      <c r="C4396" s="8"/>
      <c r="D4396" s="8">
        <v>63.217307546936</v>
      </c>
      <c r="E4396" s="9" t="s">
        <v>2910</v>
      </c>
      <c r="I4396" s="12"/>
      <c r="J4396" s="11">
        <v>0.0</v>
      </c>
      <c r="K4396" s="12" t="s">
        <v>3075</v>
      </c>
      <c r="L4396" s="13" t="s">
        <v>3075</v>
      </c>
      <c r="M4396" s="9" t="s">
        <v>3075</v>
      </c>
    </row>
    <row r="4397" ht="15.75" customHeight="1">
      <c r="A4397" s="8"/>
      <c r="B4397" s="8"/>
      <c r="C4397" s="8"/>
      <c r="D4397" s="8">
        <v>63.217307546936</v>
      </c>
      <c r="E4397" s="9" t="s">
        <v>3187</v>
      </c>
      <c r="I4397" s="12"/>
      <c r="J4397" s="11">
        <v>0.0</v>
      </c>
      <c r="K4397" s="12" t="s">
        <v>3075</v>
      </c>
      <c r="L4397" s="13" t="s">
        <v>3075</v>
      </c>
      <c r="M4397" s="9" t="s">
        <v>3075</v>
      </c>
    </row>
    <row r="4398" ht="15.75" customHeight="1">
      <c r="A4398" s="8"/>
      <c r="B4398" s="8"/>
      <c r="C4398" s="8"/>
      <c r="D4398" s="8">
        <v>63.217307546936</v>
      </c>
      <c r="E4398" s="9" t="s">
        <v>3188</v>
      </c>
      <c r="I4398" s="12"/>
      <c r="J4398" s="11">
        <v>0.0</v>
      </c>
      <c r="K4398" s="12" t="s">
        <v>3075</v>
      </c>
      <c r="L4398" s="13" t="s">
        <v>3075</v>
      </c>
      <c r="M4398" s="9" t="s">
        <v>3075</v>
      </c>
    </row>
    <row r="4399" ht="15.75" customHeight="1">
      <c r="A4399" s="8"/>
      <c r="B4399" s="8"/>
      <c r="C4399" s="8"/>
      <c r="D4399" s="8">
        <v>63.217307546936</v>
      </c>
      <c r="E4399" s="9" t="s">
        <v>2912</v>
      </c>
      <c r="I4399" s="12"/>
      <c r="J4399" s="11">
        <v>0.0</v>
      </c>
      <c r="K4399" s="12" t="s">
        <v>3075</v>
      </c>
      <c r="L4399" s="13" t="s">
        <v>3075</v>
      </c>
      <c r="M4399" s="9" t="s">
        <v>3075</v>
      </c>
    </row>
    <row r="4400" ht="15.75" customHeight="1">
      <c r="A4400" s="8"/>
      <c r="B4400" s="8"/>
      <c r="C4400" s="8"/>
      <c r="D4400" s="8">
        <v>63.217307546936</v>
      </c>
      <c r="E4400" s="9" t="s">
        <v>2916</v>
      </c>
      <c r="I4400" s="12"/>
      <c r="J4400" s="11">
        <v>0.0</v>
      </c>
      <c r="K4400" s="12" t="s">
        <v>3075</v>
      </c>
      <c r="L4400" s="13" t="s">
        <v>3075</v>
      </c>
      <c r="M4400" s="9" t="s">
        <v>3075</v>
      </c>
    </row>
    <row r="4401" ht="15.75" customHeight="1">
      <c r="A4401" s="8"/>
      <c r="B4401" s="8"/>
      <c r="C4401" s="8"/>
      <c r="D4401" s="8">
        <v>63.217307546936</v>
      </c>
      <c r="E4401" s="9" t="s">
        <v>2917</v>
      </c>
      <c r="I4401" s="12"/>
      <c r="J4401" s="11">
        <v>0.0</v>
      </c>
      <c r="K4401" s="12" t="s">
        <v>3075</v>
      </c>
      <c r="L4401" s="13" t="s">
        <v>3075</v>
      </c>
      <c r="M4401" s="9" t="s">
        <v>3075</v>
      </c>
    </row>
    <row r="4402" ht="15.75" customHeight="1">
      <c r="A4402" s="8"/>
      <c r="B4402" s="8"/>
      <c r="C4402" s="8"/>
      <c r="D4402" s="8">
        <v>63.217307546936</v>
      </c>
      <c r="E4402" s="9" t="s">
        <v>2921</v>
      </c>
      <c r="I4402" s="12"/>
      <c r="J4402" s="11">
        <v>0.0</v>
      </c>
      <c r="K4402" s="12" t="s">
        <v>3075</v>
      </c>
      <c r="L4402" s="13" t="s">
        <v>3075</v>
      </c>
      <c r="M4402" s="9" t="s">
        <v>3075</v>
      </c>
    </row>
    <row r="4403" ht="15.75" customHeight="1">
      <c r="A4403" s="8"/>
      <c r="B4403" s="8"/>
      <c r="C4403" s="8"/>
      <c r="D4403" s="8">
        <v>12.709638234545</v>
      </c>
      <c r="E4403" s="9" t="s">
        <v>2924</v>
      </c>
      <c r="I4403" s="12"/>
      <c r="J4403" s="11">
        <v>0.0</v>
      </c>
      <c r="K4403" s="12" t="s">
        <v>3075</v>
      </c>
      <c r="L4403" s="13" t="s">
        <v>3075</v>
      </c>
      <c r="M4403" s="9" t="s">
        <v>3075</v>
      </c>
    </row>
    <row r="4404" ht="15.75" customHeight="1">
      <c r="A4404" s="8"/>
      <c r="B4404" s="8"/>
      <c r="C4404" s="8"/>
      <c r="D4404" s="8">
        <v>61.4261795337434</v>
      </c>
      <c r="E4404" s="9" t="s">
        <v>2925</v>
      </c>
      <c r="I4404" s="12"/>
      <c r="J4404" s="11">
        <v>0.0</v>
      </c>
      <c r="K4404" s="12" t="s">
        <v>3075</v>
      </c>
      <c r="L4404" s="13" t="s">
        <v>3075</v>
      </c>
      <c r="M4404" s="9" t="s">
        <v>3075</v>
      </c>
    </row>
    <row r="4405" ht="15.75" customHeight="1">
      <c r="A4405" s="8"/>
      <c r="B4405" s="8"/>
      <c r="C4405" s="8"/>
      <c r="D4405" s="8">
        <v>63.217307546936</v>
      </c>
      <c r="E4405" s="9" t="s">
        <v>2926</v>
      </c>
      <c r="I4405" s="12"/>
      <c r="J4405" s="11">
        <v>0.0</v>
      </c>
      <c r="K4405" s="12" t="s">
        <v>3075</v>
      </c>
      <c r="L4405" s="13" t="s">
        <v>3075</v>
      </c>
      <c r="M4405" s="9" t="s">
        <v>3075</v>
      </c>
    </row>
    <row r="4406" ht="15.75" customHeight="1">
      <c r="A4406" s="8"/>
      <c r="B4406" s="8"/>
      <c r="C4406" s="8"/>
      <c r="D4406" s="8">
        <v>63.217307546936</v>
      </c>
      <c r="E4406" s="9" t="s">
        <v>2927</v>
      </c>
      <c r="I4406" s="12"/>
      <c r="J4406" s="11">
        <v>0.0</v>
      </c>
      <c r="K4406" s="12" t="s">
        <v>3075</v>
      </c>
      <c r="L4406" s="13" t="s">
        <v>3075</v>
      </c>
      <c r="M4406" s="9" t="s">
        <v>3075</v>
      </c>
    </row>
    <row r="4407" ht="15.75" customHeight="1">
      <c r="A4407" s="8"/>
      <c r="B4407" s="8"/>
      <c r="C4407" s="8"/>
      <c r="D4407" s="8">
        <v>63.217307546936</v>
      </c>
      <c r="E4407" s="9" t="s">
        <v>2930</v>
      </c>
      <c r="I4407" s="12"/>
      <c r="J4407" s="11">
        <v>0.0</v>
      </c>
      <c r="K4407" s="12" t="s">
        <v>3075</v>
      </c>
      <c r="L4407" s="13" t="s">
        <v>3075</v>
      </c>
      <c r="M4407" s="9" t="s">
        <v>3075</v>
      </c>
    </row>
    <row r="4408" ht="15.75" customHeight="1">
      <c r="A4408" s="8"/>
      <c r="B4408" s="8"/>
      <c r="C4408" s="8"/>
      <c r="D4408" s="8">
        <v>63.217307546936</v>
      </c>
      <c r="E4408" s="9" t="s">
        <v>2931</v>
      </c>
      <c r="I4408" s="12"/>
      <c r="J4408" s="11">
        <v>0.0</v>
      </c>
      <c r="K4408" s="12" t="s">
        <v>3075</v>
      </c>
      <c r="L4408" s="13" t="s">
        <v>3075</v>
      </c>
      <c r="M4408" s="9" t="s">
        <v>3075</v>
      </c>
    </row>
    <row r="4409" ht="15.75" customHeight="1">
      <c r="A4409" s="8"/>
      <c r="B4409" s="8"/>
      <c r="C4409" s="8"/>
      <c r="D4409" s="8">
        <v>63.217307546936</v>
      </c>
      <c r="E4409" s="9" t="s">
        <v>2932</v>
      </c>
      <c r="I4409" s="12"/>
      <c r="J4409" s="11">
        <v>0.0</v>
      </c>
      <c r="K4409" s="12" t="s">
        <v>3075</v>
      </c>
      <c r="L4409" s="13" t="s">
        <v>3075</v>
      </c>
      <c r="M4409" s="9" t="s">
        <v>3075</v>
      </c>
    </row>
    <row r="4410" ht="15.75" customHeight="1">
      <c r="A4410" s="8"/>
      <c r="B4410" s="8"/>
      <c r="C4410" s="8"/>
      <c r="D4410" s="8">
        <v>63.217307546936</v>
      </c>
      <c r="E4410" s="9" t="s">
        <v>2933</v>
      </c>
      <c r="I4410" s="12"/>
      <c r="J4410" s="11">
        <v>0.0</v>
      </c>
      <c r="K4410" s="12" t="s">
        <v>3075</v>
      </c>
      <c r="L4410" s="13" t="s">
        <v>3075</v>
      </c>
      <c r="M4410" s="9" t="s">
        <v>3075</v>
      </c>
    </row>
    <row r="4411" ht="15.75" customHeight="1">
      <c r="A4411" s="8"/>
      <c r="B4411" s="8"/>
      <c r="C4411" s="8"/>
      <c r="D4411" s="8">
        <v>63.217307546936</v>
      </c>
      <c r="E4411" s="9" t="s">
        <v>2935</v>
      </c>
      <c r="I4411" s="12"/>
      <c r="J4411" s="11">
        <v>0.0</v>
      </c>
      <c r="K4411" s="12" t="s">
        <v>3075</v>
      </c>
      <c r="L4411" s="13" t="s">
        <v>3075</v>
      </c>
      <c r="M4411" s="9" t="s">
        <v>3075</v>
      </c>
    </row>
    <row r="4412" ht="15.75" customHeight="1">
      <c r="A4412" s="8"/>
      <c r="B4412" s="8"/>
      <c r="C4412" s="8"/>
      <c r="D4412" s="8">
        <v>63.217307546936</v>
      </c>
      <c r="E4412" s="9" t="s">
        <v>2936</v>
      </c>
      <c r="I4412" s="12"/>
      <c r="J4412" s="11">
        <v>0.0</v>
      </c>
      <c r="K4412" s="12" t="s">
        <v>3075</v>
      </c>
      <c r="L4412" s="13" t="s">
        <v>3075</v>
      </c>
      <c r="M4412" s="9" t="s">
        <v>3075</v>
      </c>
    </row>
    <row r="4413" ht="15.75" customHeight="1">
      <c r="A4413" s="8"/>
      <c r="B4413" s="8"/>
      <c r="C4413" s="8"/>
      <c r="D4413" s="8">
        <v>56.2338165717557</v>
      </c>
      <c r="E4413" s="9" t="s">
        <v>2941</v>
      </c>
      <c r="I4413" s="12"/>
      <c r="J4413" s="11">
        <v>0.0</v>
      </c>
      <c r="K4413" s="12" t="s">
        <v>3075</v>
      </c>
      <c r="L4413" s="13" t="s">
        <v>3075</v>
      </c>
      <c r="M4413" s="9" t="s">
        <v>3075</v>
      </c>
    </row>
    <row r="4414" ht="15.75" customHeight="1">
      <c r="A4414" s="8"/>
      <c r="B4414" s="8"/>
      <c r="C4414" s="8"/>
      <c r="D4414" s="8">
        <v>63.217307546936</v>
      </c>
      <c r="E4414" s="9" t="s">
        <v>2942</v>
      </c>
      <c r="I4414" s="12"/>
      <c r="J4414" s="11">
        <v>0.0</v>
      </c>
      <c r="K4414" s="12" t="s">
        <v>3075</v>
      </c>
      <c r="L4414" s="13" t="s">
        <v>3075</v>
      </c>
      <c r="M4414" s="9" t="s">
        <v>3075</v>
      </c>
    </row>
    <row r="4415" ht="15.75" customHeight="1">
      <c r="A4415" s="8"/>
      <c r="B4415" s="8"/>
      <c r="C4415" s="8"/>
      <c r="D4415" s="8">
        <v>63.217307546936</v>
      </c>
      <c r="E4415" s="9" t="s">
        <v>2948</v>
      </c>
      <c r="I4415" s="12"/>
      <c r="J4415" s="11">
        <v>0.0</v>
      </c>
      <c r="K4415" s="12" t="s">
        <v>3075</v>
      </c>
      <c r="L4415" s="13" t="s">
        <v>3075</v>
      </c>
      <c r="M4415" s="9" t="s">
        <v>3075</v>
      </c>
    </row>
    <row r="4416" ht="15.75" customHeight="1">
      <c r="A4416" s="8"/>
      <c r="B4416" s="8"/>
      <c r="C4416" s="8"/>
      <c r="D4416" s="8">
        <v>63.217307546936</v>
      </c>
      <c r="E4416" s="9" t="s">
        <v>2949</v>
      </c>
      <c r="I4416" s="12"/>
      <c r="J4416" s="11">
        <v>0.0</v>
      </c>
      <c r="K4416" s="12" t="s">
        <v>3075</v>
      </c>
      <c r="L4416" s="13" t="s">
        <v>3075</v>
      </c>
      <c r="M4416" s="9" t="s">
        <v>3075</v>
      </c>
    </row>
    <row r="4417" ht="15.75" customHeight="1">
      <c r="A4417" s="8"/>
      <c r="B4417" s="8"/>
      <c r="C4417" s="8"/>
      <c r="D4417" s="8">
        <v>45.715835015137</v>
      </c>
      <c r="E4417" s="9" t="s">
        <v>2950</v>
      </c>
      <c r="I4417" s="12"/>
      <c r="J4417" s="11">
        <v>0.0</v>
      </c>
      <c r="K4417" s="12" t="s">
        <v>3075</v>
      </c>
      <c r="L4417" s="13" t="s">
        <v>3075</v>
      </c>
      <c r="M4417" s="9" t="s">
        <v>3075</v>
      </c>
    </row>
    <row r="4418" ht="15.75" customHeight="1">
      <c r="A4418" s="8"/>
      <c r="B4418" s="8"/>
      <c r="C4418" s="8"/>
      <c r="D4418" s="8">
        <v>63.217307546936</v>
      </c>
      <c r="E4418" s="9" t="s">
        <v>2951</v>
      </c>
      <c r="I4418" s="12"/>
      <c r="J4418" s="11">
        <v>0.0</v>
      </c>
      <c r="K4418" s="12" t="s">
        <v>3075</v>
      </c>
      <c r="L4418" s="13" t="s">
        <v>3075</v>
      </c>
      <c r="M4418" s="9" t="s">
        <v>3075</v>
      </c>
    </row>
    <row r="4419" ht="15.75" customHeight="1">
      <c r="A4419" s="8"/>
      <c r="B4419" s="8"/>
      <c r="C4419" s="8"/>
      <c r="D4419" s="8">
        <v>42.418091700498</v>
      </c>
      <c r="E4419" s="9" t="s">
        <v>3189</v>
      </c>
      <c r="I4419" s="12"/>
      <c r="J4419" s="11">
        <v>0.0</v>
      </c>
      <c r="K4419" s="12" t="s">
        <v>3075</v>
      </c>
      <c r="L4419" s="13" t="s">
        <v>3075</v>
      </c>
      <c r="M4419" s="9" t="s">
        <v>3075</v>
      </c>
    </row>
    <row r="4420" ht="15.75" customHeight="1">
      <c r="A4420" s="8"/>
      <c r="B4420" s="8"/>
      <c r="C4420" s="8"/>
      <c r="D4420" s="8">
        <v>63.217307546936</v>
      </c>
      <c r="E4420" s="9" t="s">
        <v>2952</v>
      </c>
      <c r="I4420" s="12"/>
      <c r="J4420" s="11">
        <v>0.0</v>
      </c>
      <c r="K4420" s="12" t="s">
        <v>3075</v>
      </c>
      <c r="L4420" s="13" t="s">
        <v>3075</v>
      </c>
      <c r="M4420" s="9" t="s">
        <v>3075</v>
      </c>
    </row>
    <row r="4421" ht="15.75" customHeight="1">
      <c r="A4421" s="8"/>
      <c r="B4421" s="8"/>
      <c r="C4421" s="8"/>
      <c r="D4421" s="8">
        <v>52.397510251682</v>
      </c>
      <c r="E4421" s="9" t="s">
        <v>2953</v>
      </c>
      <c r="I4421" s="12"/>
      <c r="J4421" s="11">
        <v>0.0</v>
      </c>
      <c r="K4421" s="12" t="s">
        <v>3075</v>
      </c>
      <c r="L4421" s="13" t="s">
        <v>3075</v>
      </c>
      <c r="M4421" s="9" t="s">
        <v>3075</v>
      </c>
    </row>
    <row r="4422" ht="15.75" customHeight="1">
      <c r="A4422" s="8"/>
      <c r="B4422" s="8"/>
      <c r="C4422" s="8"/>
      <c r="D4422" s="8">
        <v>12.6434615093872</v>
      </c>
      <c r="E4422" s="9" t="s">
        <v>2954</v>
      </c>
      <c r="I4422" s="12"/>
      <c r="J4422" s="11">
        <v>0.0</v>
      </c>
      <c r="K4422" s="12" t="s">
        <v>3075</v>
      </c>
      <c r="L4422" s="13" t="s">
        <v>3075</v>
      </c>
      <c r="M4422" s="9" t="s">
        <v>3075</v>
      </c>
    </row>
    <row r="4423" ht="15.75" customHeight="1">
      <c r="A4423" s="8"/>
      <c r="B4423" s="8"/>
      <c r="C4423" s="8"/>
      <c r="D4423" s="8">
        <v>63.217307546936</v>
      </c>
      <c r="E4423" s="9" t="s">
        <v>2956</v>
      </c>
      <c r="I4423" s="12"/>
      <c r="J4423" s="11">
        <v>0.0</v>
      </c>
      <c r="K4423" s="12" t="s">
        <v>3075</v>
      </c>
      <c r="L4423" s="13" t="s">
        <v>3075</v>
      </c>
      <c r="M4423" s="9" t="s">
        <v>3075</v>
      </c>
    </row>
    <row r="4424" ht="15.75" customHeight="1">
      <c r="A4424" s="8"/>
      <c r="B4424" s="8"/>
      <c r="C4424" s="8"/>
      <c r="D4424" s="8">
        <v>63.217307546936</v>
      </c>
      <c r="E4424" s="9" t="s">
        <v>2957</v>
      </c>
      <c r="I4424" s="12"/>
      <c r="J4424" s="11">
        <v>0.0</v>
      </c>
      <c r="K4424" s="12" t="s">
        <v>3075</v>
      </c>
      <c r="L4424" s="13" t="s">
        <v>3075</v>
      </c>
      <c r="M4424" s="9" t="s">
        <v>3075</v>
      </c>
    </row>
    <row r="4425" ht="15.75" customHeight="1">
      <c r="A4425" s="8"/>
      <c r="B4425" s="8"/>
      <c r="C4425" s="8"/>
      <c r="D4425" s="8">
        <v>63.217307546936</v>
      </c>
      <c r="E4425" s="9" t="s">
        <v>2958</v>
      </c>
      <c r="I4425" s="12"/>
      <c r="J4425" s="11">
        <v>0.0</v>
      </c>
      <c r="K4425" s="12" t="s">
        <v>3075</v>
      </c>
      <c r="L4425" s="13" t="s">
        <v>3075</v>
      </c>
      <c r="M4425" s="9" t="s">
        <v>3075</v>
      </c>
    </row>
    <row r="4426" ht="15.75" customHeight="1">
      <c r="A4426" s="8"/>
      <c r="B4426" s="8"/>
      <c r="C4426" s="8"/>
      <c r="D4426" s="8">
        <v>63.217307546936</v>
      </c>
      <c r="E4426" s="9" t="s">
        <v>2960</v>
      </c>
      <c r="I4426" s="12"/>
      <c r="J4426" s="11">
        <v>0.0</v>
      </c>
      <c r="K4426" s="12" t="s">
        <v>3075</v>
      </c>
      <c r="L4426" s="13" t="s">
        <v>3075</v>
      </c>
      <c r="M4426" s="9" t="s">
        <v>3075</v>
      </c>
    </row>
    <row r="4427" ht="15.75" customHeight="1">
      <c r="A4427" s="8"/>
      <c r="B4427" s="8"/>
      <c r="C4427" s="8"/>
      <c r="D4427" s="8">
        <v>63.217307546936</v>
      </c>
      <c r="E4427" s="9" t="s">
        <v>2965</v>
      </c>
      <c r="I4427" s="12"/>
      <c r="J4427" s="11">
        <v>0.0</v>
      </c>
      <c r="K4427" s="12" t="s">
        <v>3075</v>
      </c>
      <c r="L4427" s="13" t="s">
        <v>3075</v>
      </c>
      <c r="M4427" s="9" t="s">
        <v>3075</v>
      </c>
    </row>
    <row r="4428" ht="15.75" customHeight="1">
      <c r="A4428" s="8"/>
      <c r="B4428" s="8"/>
      <c r="C4428" s="8"/>
      <c r="D4428" s="8">
        <v>63.217307546936</v>
      </c>
      <c r="E4428" s="9" t="s">
        <v>2966</v>
      </c>
      <c r="I4428" s="12"/>
      <c r="J4428" s="11">
        <v>0.0</v>
      </c>
      <c r="K4428" s="12" t="s">
        <v>3075</v>
      </c>
      <c r="L4428" s="13" t="s">
        <v>3075</v>
      </c>
      <c r="M4428" s="9" t="s">
        <v>3075</v>
      </c>
    </row>
    <row r="4429" ht="15.75" customHeight="1">
      <c r="A4429" s="8"/>
      <c r="B4429" s="8"/>
      <c r="C4429" s="8"/>
      <c r="D4429" s="8">
        <v>60.3356870310368</v>
      </c>
      <c r="E4429" s="9" t="s">
        <v>3190</v>
      </c>
      <c r="I4429" s="12"/>
      <c r="J4429" s="11">
        <v>0.0</v>
      </c>
      <c r="K4429" s="12" t="s">
        <v>3075</v>
      </c>
      <c r="L4429" s="13" t="s">
        <v>3075</v>
      </c>
      <c r="M4429" s="9" t="s">
        <v>3075</v>
      </c>
    </row>
    <row r="4430" ht="15.75" customHeight="1">
      <c r="A4430" s="8"/>
      <c r="B4430" s="8"/>
      <c r="C4430" s="8"/>
      <c r="D4430" s="8">
        <v>63.217307546936</v>
      </c>
      <c r="E4430" s="9" t="s">
        <v>2971</v>
      </c>
      <c r="I4430" s="12"/>
      <c r="J4430" s="11">
        <v>0.0</v>
      </c>
      <c r="K4430" s="12" t="s">
        <v>3075</v>
      </c>
      <c r="L4430" s="13" t="s">
        <v>3075</v>
      </c>
      <c r="M4430" s="9" t="s">
        <v>3075</v>
      </c>
    </row>
    <row r="4431" ht="15.75" customHeight="1">
      <c r="A4431" s="8"/>
      <c r="B4431" s="8"/>
      <c r="C4431" s="8"/>
      <c r="D4431" s="8">
        <v>63.217307546936</v>
      </c>
      <c r="E4431" s="9" t="s">
        <v>2973</v>
      </c>
      <c r="I4431" s="12"/>
      <c r="J4431" s="11">
        <v>0.0</v>
      </c>
      <c r="K4431" s="12" t="s">
        <v>3075</v>
      </c>
      <c r="L4431" s="13" t="s">
        <v>3075</v>
      </c>
      <c r="M4431" s="9" t="s">
        <v>3075</v>
      </c>
    </row>
    <row r="4432" ht="15.75" customHeight="1">
      <c r="A4432" s="8"/>
      <c r="B4432" s="8"/>
      <c r="C4432" s="8"/>
      <c r="D4432" s="8">
        <v>63.217307546936</v>
      </c>
      <c r="E4432" s="9" t="s">
        <v>2975</v>
      </c>
      <c r="I4432" s="12"/>
      <c r="J4432" s="11">
        <v>0.0</v>
      </c>
      <c r="K4432" s="12" t="s">
        <v>3075</v>
      </c>
      <c r="L4432" s="13" t="s">
        <v>3075</v>
      </c>
      <c r="M4432" s="9" t="s">
        <v>3075</v>
      </c>
    </row>
    <row r="4433" ht="15.75" customHeight="1">
      <c r="A4433" s="8"/>
      <c r="B4433" s="8"/>
      <c r="C4433" s="8"/>
      <c r="D4433" s="8">
        <v>58.157558271105</v>
      </c>
      <c r="E4433" s="9" t="s">
        <v>2976</v>
      </c>
      <c r="I4433" s="12"/>
      <c r="J4433" s="11">
        <v>0.0</v>
      </c>
      <c r="K4433" s="12" t="s">
        <v>3075</v>
      </c>
      <c r="L4433" s="13" t="s">
        <v>3075</v>
      </c>
      <c r="M4433" s="9" t="s">
        <v>3075</v>
      </c>
    </row>
    <row r="4434" ht="15.75" customHeight="1">
      <c r="A4434" s="8"/>
      <c r="B4434" s="8"/>
      <c r="C4434" s="8"/>
      <c r="D4434" s="8">
        <v>15.2888189313725</v>
      </c>
      <c r="E4434" s="9" t="s">
        <v>3191</v>
      </c>
      <c r="I4434" s="12"/>
      <c r="J4434" s="11">
        <v>0.0</v>
      </c>
      <c r="K4434" s="12" t="s">
        <v>3075</v>
      </c>
      <c r="L4434" s="13" t="s">
        <v>3075</v>
      </c>
      <c r="M4434" s="9" t="s">
        <v>3075</v>
      </c>
    </row>
    <row r="4435" ht="15.75" customHeight="1">
      <c r="A4435" s="8"/>
      <c r="B4435" s="8"/>
      <c r="C4435" s="8"/>
      <c r="D4435" s="8">
        <v>62.6015145928339</v>
      </c>
      <c r="E4435" s="9" t="s">
        <v>2981</v>
      </c>
      <c r="I4435" s="12"/>
      <c r="J4435" s="11">
        <v>0.0</v>
      </c>
      <c r="K4435" s="12" t="s">
        <v>3075</v>
      </c>
      <c r="L4435" s="13" t="s">
        <v>3075</v>
      </c>
      <c r="M4435" s="9" t="s">
        <v>3075</v>
      </c>
    </row>
    <row r="4436" ht="15.75" customHeight="1">
      <c r="A4436" s="8"/>
      <c r="B4436" s="8"/>
      <c r="C4436" s="8"/>
      <c r="D4436" s="8">
        <v>63.217307546936</v>
      </c>
      <c r="E4436" s="9" t="s">
        <v>2985</v>
      </c>
      <c r="I4436" s="12"/>
      <c r="J4436" s="11">
        <v>0.0</v>
      </c>
      <c r="K4436" s="12" t="s">
        <v>3075</v>
      </c>
      <c r="L4436" s="13" t="s">
        <v>3075</v>
      </c>
      <c r="M4436" s="9" t="s">
        <v>3075</v>
      </c>
    </row>
    <row r="4437" ht="15.75" customHeight="1">
      <c r="A4437" s="8"/>
      <c r="B4437" s="8"/>
      <c r="C4437" s="8"/>
      <c r="D4437" s="8">
        <v>63.217307546936</v>
      </c>
      <c r="E4437" s="9" t="s">
        <v>2986</v>
      </c>
      <c r="I4437" s="12"/>
      <c r="J4437" s="11">
        <v>0.0</v>
      </c>
      <c r="K4437" s="12" t="s">
        <v>3075</v>
      </c>
      <c r="L4437" s="13" t="s">
        <v>3075</v>
      </c>
      <c r="M4437" s="9" t="s">
        <v>3075</v>
      </c>
    </row>
    <row r="4438" ht="15.75" customHeight="1">
      <c r="A4438" s="8"/>
      <c r="B4438" s="8"/>
      <c r="C4438" s="8"/>
      <c r="D4438" s="8">
        <v>55.0568500557912</v>
      </c>
      <c r="E4438" s="9" t="s">
        <v>3192</v>
      </c>
      <c r="I4438" s="12"/>
      <c r="J4438" s="11">
        <v>0.0</v>
      </c>
      <c r="K4438" s="12" t="s">
        <v>3075</v>
      </c>
      <c r="L4438" s="13" t="s">
        <v>3075</v>
      </c>
      <c r="M4438" s="9" t="s">
        <v>3075</v>
      </c>
    </row>
    <row r="4439" ht="15.75" customHeight="1">
      <c r="A4439" s="8"/>
      <c r="B4439" s="8"/>
      <c r="C4439" s="8"/>
      <c r="D4439" s="8">
        <v>25.292174085326</v>
      </c>
      <c r="E4439" s="9" t="s">
        <v>3193</v>
      </c>
      <c r="I4439" s="12"/>
      <c r="J4439" s="11">
        <v>0.0</v>
      </c>
      <c r="K4439" s="12" t="s">
        <v>3075</v>
      </c>
      <c r="L4439" s="13" t="s">
        <v>3075</v>
      </c>
      <c r="M4439" s="9" t="s">
        <v>3075</v>
      </c>
    </row>
    <row r="4440" ht="15.75" customHeight="1">
      <c r="A4440" s="8"/>
      <c r="B4440" s="8"/>
      <c r="C4440" s="8"/>
      <c r="D4440" s="8">
        <v>57.105360424785</v>
      </c>
      <c r="E4440" s="9" t="s">
        <v>2988</v>
      </c>
      <c r="I4440" s="12"/>
      <c r="J4440" s="11">
        <v>0.0</v>
      </c>
      <c r="K4440" s="12" t="s">
        <v>3075</v>
      </c>
      <c r="L4440" s="13" t="s">
        <v>3075</v>
      </c>
      <c r="M4440" s="9" t="s">
        <v>3075</v>
      </c>
    </row>
    <row r="4441" ht="15.75" customHeight="1">
      <c r="A4441" s="8"/>
      <c r="B4441" s="8"/>
      <c r="C4441" s="8"/>
      <c r="D4441" s="8">
        <v>32.6766907740387</v>
      </c>
      <c r="E4441" s="9" t="s">
        <v>3194</v>
      </c>
      <c r="I4441" s="12"/>
      <c r="J4441" s="11">
        <v>0.0</v>
      </c>
      <c r="K4441" s="12" t="s">
        <v>3075</v>
      </c>
      <c r="L4441" s="13" t="s">
        <v>3075</v>
      </c>
      <c r="M4441" s="9" t="s">
        <v>3075</v>
      </c>
    </row>
    <row r="4442" ht="15.75" customHeight="1">
      <c r="A4442" s="8"/>
      <c r="B4442" s="8"/>
      <c r="C4442" s="8"/>
      <c r="D4442" s="8">
        <v>63.217307546936</v>
      </c>
      <c r="E4442" s="9" t="s">
        <v>2995</v>
      </c>
      <c r="I4442" s="12"/>
      <c r="J4442" s="11">
        <v>0.0</v>
      </c>
      <c r="K4442" s="12" t="s">
        <v>3075</v>
      </c>
      <c r="L4442" s="13" t="s">
        <v>3075</v>
      </c>
      <c r="M4442" s="9" t="s">
        <v>3075</v>
      </c>
    </row>
    <row r="4443" ht="15.75" customHeight="1">
      <c r="A4443" s="8"/>
      <c r="B4443" s="8"/>
      <c r="C4443" s="8"/>
      <c r="D4443" s="8">
        <v>63.217307546936</v>
      </c>
      <c r="E4443" s="9" t="s">
        <v>2999</v>
      </c>
      <c r="I4443" s="12"/>
      <c r="J4443" s="11">
        <v>0.0</v>
      </c>
      <c r="K4443" s="12" t="s">
        <v>3075</v>
      </c>
      <c r="L4443" s="13" t="s">
        <v>3075</v>
      </c>
      <c r="M4443" s="9" t="s">
        <v>3075</v>
      </c>
    </row>
    <row r="4444" ht="15.75" customHeight="1">
      <c r="A4444" s="8"/>
      <c r="B4444" s="8"/>
      <c r="C4444" s="8"/>
      <c r="D4444" s="8">
        <v>63.217307546936</v>
      </c>
      <c r="E4444" s="9" t="s">
        <v>3000</v>
      </c>
      <c r="I4444" s="12"/>
      <c r="J4444" s="11">
        <v>0.0</v>
      </c>
      <c r="K4444" s="12" t="s">
        <v>3075</v>
      </c>
      <c r="L4444" s="13" t="s">
        <v>3075</v>
      </c>
      <c r="M4444" s="9" t="s">
        <v>3075</v>
      </c>
    </row>
    <row r="4445" ht="15.75" customHeight="1">
      <c r="A4445" s="8"/>
      <c r="B4445" s="8"/>
      <c r="C4445" s="8"/>
      <c r="D4445" s="8">
        <v>63.217307546936</v>
      </c>
      <c r="E4445" s="9" t="s">
        <v>3002</v>
      </c>
      <c r="I4445" s="12"/>
      <c r="J4445" s="11">
        <v>0.0</v>
      </c>
      <c r="K4445" s="12" t="s">
        <v>3075</v>
      </c>
      <c r="L4445" s="13" t="s">
        <v>3075</v>
      </c>
      <c r="M4445" s="9" t="s">
        <v>3075</v>
      </c>
    </row>
    <row r="4446" ht="15.75" customHeight="1">
      <c r="A4446" s="8"/>
      <c r="B4446" s="8"/>
      <c r="C4446" s="8"/>
      <c r="D4446" s="8">
        <v>63.217307546936</v>
      </c>
      <c r="E4446" s="9" t="s">
        <v>3004</v>
      </c>
      <c r="I4446" s="12"/>
      <c r="J4446" s="11">
        <v>0.0</v>
      </c>
      <c r="K4446" s="12" t="s">
        <v>3075</v>
      </c>
      <c r="L4446" s="13" t="s">
        <v>3075</v>
      </c>
      <c r="M4446" s="9" t="s">
        <v>3075</v>
      </c>
    </row>
    <row r="4447" ht="15.75" customHeight="1">
      <c r="A4447" s="8"/>
      <c r="B4447" s="8"/>
      <c r="C4447" s="8"/>
      <c r="D4447" s="8">
        <v>63.217307546936</v>
      </c>
      <c r="E4447" s="9" t="s">
        <v>3005</v>
      </c>
      <c r="I4447" s="12"/>
      <c r="J4447" s="11">
        <v>0.0</v>
      </c>
      <c r="K4447" s="12" t="s">
        <v>3075</v>
      </c>
      <c r="L4447" s="13" t="s">
        <v>3075</v>
      </c>
      <c r="M4447" s="9" t="s">
        <v>3075</v>
      </c>
    </row>
    <row r="4448" ht="15.75" customHeight="1">
      <c r="A4448" s="8"/>
      <c r="B4448" s="8"/>
      <c r="C4448" s="8"/>
      <c r="D4448" s="8">
        <v>63.217307546936</v>
      </c>
      <c r="E4448" s="9" t="s">
        <v>3007</v>
      </c>
      <c r="I4448" s="12"/>
      <c r="J4448" s="11">
        <v>0.0</v>
      </c>
      <c r="K4448" s="12" t="s">
        <v>3075</v>
      </c>
      <c r="L4448" s="13" t="s">
        <v>3075</v>
      </c>
      <c r="M4448" s="9" t="s">
        <v>3075</v>
      </c>
    </row>
    <row r="4449" ht="15.75" customHeight="1">
      <c r="A4449" s="8"/>
      <c r="B4449" s="8"/>
      <c r="C4449" s="8"/>
      <c r="D4449" s="8">
        <v>63.217307546936</v>
      </c>
      <c r="E4449" s="9" t="s">
        <v>3008</v>
      </c>
      <c r="I4449" s="12"/>
      <c r="J4449" s="11">
        <v>0.0</v>
      </c>
      <c r="K4449" s="12" t="s">
        <v>3075</v>
      </c>
      <c r="L4449" s="13" t="s">
        <v>3075</v>
      </c>
      <c r="M4449" s="9" t="s">
        <v>3075</v>
      </c>
    </row>
    <row r="4450" ht="15.75" customHeight="1">
      <c r="A4450" s="8"/>
      <c r="B4450" s="8"/>
      <c r="C4450" s="8"/>
      <c r="D4450" s="8">
        <v>63.217307546936</v>
      </c>
      <c r="E4450" s="9" t="s">
        <v>3009</v>
      </c>
      <c r="I4450" s="12"/>
      <c r="J4450" s="11">
        <v>0.0</v>
      </c>
      <c r="K4450" s="12" t="s">
        <v>3075</v>
      </c>
      <c r="L4450" s="13" t="s">
        <v>3075</v>
      </c>
      <c r="M4450" s="9" t="s">
        <v>3075</v>
      </c>
    </row>
    <row r="4451" ht="15.75" customHeight="1">
      <c r="A4451" s="8"/>
      <c r="B4451" s="8"/>
      <c r="C4451" s="8"/>
      <c r="D4451" s="8">
        <v>9.34455895931381</v>
      </c>
      <c r="E4451" s="9" t="s">
        <v>3010</v>
      </c>
      <c r="I4451" s="12"/>
      <c r="J4451" s="11">
        <v>0.0</v>
      </c>
      <c r="K4451" s="12" t="s">
        <v>3075</v>
      </c>
      <c r="L4451" s="13" t="s">
        <v>3075</v>
      </c>
      <c r="M4451" s="9" t="s">
        <v>3075</v>
      </c>
    </row>
    <row r="4452" ht="15.75" customHeight="1">
      <c r="A4452" s="8"/>
      <c r="B4452" s="8"/>
      <c r="C4452" s="8"/>
      <c r="D4452" s="8">
        <v>63.217307546936</v>
      </c>
      <c r="E4452" s="9" t="s">
        <v>3011</v>
      </c>
      <c r="I4452" s="12"/>
      <c r="J4452" s="11">
        <v>0.0</v>
      </c>
      <c r="K4452" s="12" t="s">
        <v>3075</v>
      </c>
      <c r="L4452" s="13" t="s">
        <v>3075</v>
      </c>
      <c r="M4452" s="9" t="s">
        <v>3075</v>
      </c>
    </row>
    <row r="4453" ht="15.75" customHeight="1">
      <c r="A4453" s="8"/>
      <c r="B4453" s="8"/>
      <c r="C4453" s="8"/>
      <c r="D4453" s="8">
        <v>55.3991080203339</v>
      </c>
      <c r="E4453" s="9" t="s">
        <v>3012</v>
      </c>
      <c r="I4453" s="12"/>
      <c r="J4453" s="11">
        <v>0.0</v>
      </c>
      <c r="K4453" s="12" t="s">
        <v>3075</v>
      </c>
      <c r="L4453" s="13" t="s">
        <v>3075</v>
      </c>
      <c r="M4453" s="9" t="s">
        <v>3075</v>
      </c>
    </row>
    <row r="4454" ht="15.75" customHeight="1">
      <c r="A4454" s="8"/>
      <c r="B4454" s="8"/>
      <c r="C4454" s="8"/>
      <c r="D4454" s="8">
        <v>63.217307546936</v>
      </c>
      <c r="E4454" s="9" t="s">
        <v>3013</v>
      </c>
      <c r="I4454" s="12"/>
      <c r="J4454" s="11">
        <v>0.0</v>
      </c>
      <c r="K4454" s="12" t="s">
        <v>3075</v>
      </c>
      <c r="L4454" s="13" t="s">
        <v>3075</v>
      </c>
      <c r="M4454" s="9" t="s">
        <v>3075</v>
      </c>
    </row>
    <row r="4455" ht="15.75" customHeight="1">
      <c r="A4455" s="8"/>
      <c r="B4455" s="8"/>
      <c r="C4455" s="8"/>
      <c r="D4455" s="8">
        <v>46.0221998941694</v>
      </c>
      <c r="E4455" s="9" t="s">
        <v>3018</v>
      </c>
      <c r="I4455" s="12"/>
      <c r="J4455" s="11">
        <v>0.0</v>
      </c>
      <c r="K4455" s="12" t="s">
        <v>3075</v>
      </c>
      <c r="L4455" s="13" t="s">
        <v>3075</v>
      </c>
      <c r="M4455" s="9" t="s">
        <v>3075</v>
      </c>
    </row>
    <row r="4456" ht="15.75" customHeight="1">
      <c r="A4456" s="8"/>
      <c r="B4456" s="8"/>
      <c r="C4456" s="8"/>
      <c r="D4456" s="8">
        <v>63.217307546936</v>
      </c>
      <c r="E4456" s="9" t="s">
        <v>3020</v>
      </c>
      <c r="I4456" s="12"/>
      <c r="J4456" s="11">
        <v>0.0</v>
      </c>
      <c r="K4456" s="12" t="s">
        <v>3075</v>
      </c>
      <c r="L4456" s="13" t="s">
        <v>3075</v>
      </c>
      <c r="M4456" s="9" t="s">
        <v>3075</v>
      </c>
    </row>
    <row r="4457" ht="15.75" customHeight="1">
      <c r="A4457" s="8"/>
      <c r="B4457" s="8"/>
      <c r="C4457" s="8"/>
      <c r="D4457" s="8">
        <v>60.0451960516431</v>
      </c>
      <c r="E4457" s="9" t="s">
        <v>3023</v>
      </c>
      <c r="I4457" s="12"/>
      <c r="J4457" s="11">
        <v>0.0</v>
      </c>
      <c r="K4457" s="12" t="s">
        <v>3075</v>
      </c>
      <c r="L4457" s="13" t="s">
        <v>3075</v>
      </c>
      <c r="M4457" s="9" t="s">
        <v>3075</v>
      </c>
    </row>
    <row r="4458" ht="15.75" customHeight="1">
      <c r="A4458" s="8"/>
      <c r="B4458" s="8"/>
      <c r="C4458" s="8"/>
      <c r="D4458" s="8">
        <v>63.217307546936</v>
      </c>
      <c r="E4458" s="9" t="s">
        <v>3195</v>
      </c>
      <c r="I4458" s="12"/>
      <c r="J4458" s="11">
        <v>0.0</v>
      </c>
      <c r="K4458" s="12" t="s">
        <v>3075</v>
      </c>
      <c r="L4458" s="13" t="s">
        <v>3075</v>
      </c>
      <c r="M4458" s="9" t="s">
        <v>3075</v>
      </c>
    </row>
    <row r="4459" ht="15.75" customHeight="1">
      <c r="A4459" s="8"/>
      <c r="B4459" s="8"/>
      <c r="C4459" s="8"/>
      <c r="D4459" s="8">
        <v>63.217307546936</v>
      </c>
      <c r="E4459" s="9" t="s">
        <v>3024</v>
      </c>
      <c r="I4459" s="12"/>
      <c r="J4459" s="11">
        <v>0.0</v>
      </c>
      <c r="K4459" s="12" t="s">
        <v>3075</v>
      </c>
      <c r="L4459" s="13" t="s">
        <v>3075</v>
      </c>
      <c r="M4459" s="9" t="s">
        <v>3075</v>
      </c>
    </row>
    <row r="4460" ht="15.75" customHeight="1">
      <c r="A4460" s="8"/>
      <c r="B4460" s="8"/>
      <c r="C4460" s="8"/>
      <c r="D4460" s="8">
        <v>63.217307546936</v>
      </c>
      <c r="E4460" s="9" t="s">
        <v>3029</v>
      </c>
      <c r="I4460" s="12"/>
      <c r="J4460" s="11">
        <v>0.0</v>
      </c>
      <c r="K4460" s="12" t="s">
        <v>3075</v>
      </c>
      <c r="L4460" s="13" t="s">
        <v>3075</v>
      </c>
      <c r="M4460" s="9" t="s">
        <v>3075</v>
      </c>
    </row>
    <row r="4461" ht="15.75" customHeight="1">
      <c r="A4461" s="8"/>
      <c r="B4461" s="8"/>
      <c r="C4461" s="8"/>
      <c r="D4461" s="8">
        <v>61.0349285720381</v>
      </c>
      <c r="E4461" s="9" t="s">
        <v>3034</v>
      </c>
      <c r="I4461" s="12"/>
      <c r="J4461" s="11">
        <v>0.0</v>
      </c>
      <c r="K4461" s="12" t="s">
        <v>3075</v>
      </c>
      <c r="L4461" s="13" t="s">
        <v>3075</v>
      </c>
      <c r="M4461" s="9" t="s">
        <v>3075</v>
      </c>
    </row>
    <row r="4462" ht="15.75" customHeight="1">
      <c r="A4462" s="8"/>
      <c r="B4462" s="8"/>
      <c r="C4462" s="8"/>
      <c r="D4462" s="8">
        <v>63.217307546936</v>
      </c>
      <c r="E4462" s="9" t="s">
        <v>3035</v>
      </c>
      <c r="I4462" s="12"/>
      <c r="J4462" s="11">
        <v>0.0</v>
      </c>
      <c r="K4462" s="12" t="s">
        <v>3075</v>
      </c>
      <c r="L4462" s="13" t="s">
        <v>3075</v>
      </c>
      <c r="M4462" s="9" t="s">
        <v>3075</v>
      </c>
    </row>
    <row r="4463" ht="15.75" customHeight="1">
      <c r="A4463" s="8"/>
      <c r="B4463" s="8"/>
      <c r="C4463" s="8"/>
      <c r="D4463" s="8">
        <v>63.217307546936</v>
      </c>
      <c r="E4463" s="9" t="s">
        <v>3040</v>
      </c>
      <c r="I4463" s="12"/>
      <c r="J4463" s="11">
        <v>0.0</v>
      </c>
      <c r="K4463" s="12" t="s">
        <v>3075</v>
      </c>
      <c r="L4463" s="13" t="s">
        <v>3075</v>
      </c>
      <c r="M4463" s="9" t="s">
        <v>3075</v>
      </c>
    </row>
    <row r="4464" ht="15.75" customHeight="1">
      <c r="A4464" s="8"/>
      <c r="B4464" s="8"/>
      <c r="C4464" s="8"/>
      <c r="D4464" s="8">
        <v>63.217307546936</v>
      </c>
      <c r="E4464" s="9" t="s">
        <v>3041</v>
      </c>
      <c r="I4464" s="12"/>
      <c r="J4464" s="11">
        <v>0.0</v>
      </c>
      <c r="K4464" s="12" t="s">
        <v>3075</v>
      </c>
      <c r="L4464" s="13" t="s">
        <v>3075</v>
      </c>
      <c r="M4464" s="9" t="s">
        <v>3075</v>
      </c>
    </row>
    <row r="4465" ht="15.75" customHeight="1">
      <c r="A4465" s="8"/>
      <c r="B4465" s="8"/>
      <c r="C4465" s="8"/>
      <c r="D4465" s="8">
        <v>63.217307546936</v>
      </c>
      <c r="E4465" s="9" t="s">
        <v>3043</v>
      </c>
      <c r="I4465" s="12"/>
      <c r="J4465" s="11">
        <v>0.0</v>
      </c>
      <c r="K4465" s="12" t="s">
        <v>3075</v>
      </c>
      <c r="L4465" s="13" t="s">
        <v>3075</v>
      </c>
      <c r="M4465" s="9" t="s">
        <v>3075</v>
      </c>
    </row>
    <row r="4466" ht="15.75" customHeight="1">
      <c r="A4466" s="8"/>
      <c r="B4466" s="8"/>
      <c r="C4466" s="8"/>
      <c r="D4466" s="8">
        <v>17.5375109103064</v>
      </c>
      <c r="E4466" s="9" t="s">
        <v>8</v>
      </c>
      <c r="I4466" s="12"/>
      <c r="J4466" s="11">
        <v>0.0</v>
      </c>
      <c r="K4466" s="12" t="s">
        <v>3075</v>
      </c>
      <c r="L4466" s="13" t="s">
        <v>3075</v>
      </c>
      <c r="M4466" s="9" t="s">
        <v>3075</v>
      </c>
    </row>
    <row r="4467" ht="15.75" customHeight="1">
      <c r="A4467" s="8"/>
      <c r="B4467" s="8"/>
      <c r="C4467" s="8"/>
      <c r="D4467" s="8">
        <v>182.982123365785</v>
      </c>
      <c r="E4467" s="9" t="s">
        <v>15</v>
      </c>
      <c r="I4467" s="12"/>
      <c r="J4467" s="11">
        <v>0.0</v>
      </c>
      <c r="K4467" s="12" t="s">
        <v>3075</v>
      </c>
      <c r="L4467" s="13" t="s">
        <v>3075</v>
      </c>
      <c r="M4467" s="9" t="s">
        <v>3075</v>
      </c>
    </row>
    <row r="4468" ht="15.75" customHeight="1">
      <c r="A4468" s="8"/>
      <c r="B4468" s="8"/>
      <c r="C4468" s="8"/>
      <c r="D4468" s="8">
        <v>17.0309030784454</v>
      </c>
      <c r="E4468" s="9" t="s">
        <v>18</v>
      </c>
      <c r="I4468" s="12"/>
      <c r="J4468" s="11">
        <v>0.0</v>
      </c>
      <c r="K4468" s="12" t="s">
        <v>3075</v>
      </c>
      <c r="L4468" s="13" t="s">
        <v>3075</v>
      </c>
      <c r="M4468" s="9" t="s">
        <v>3075</v>
      </c>
    </row>
    <row r="4469" ht="15.75" customHeight="1">
      <c r="A4469" s="8"/>
      <c r="B4469" s="8"/>
      <c r="C4469" s="8"/>
      <c r="D4469" s="8">
        <v>0.706935098166273</v>
      </c>
      <c r="E4469" s="9" t="s">
        <v>3044</v>
      </c>
      <c r="I4469" s="12"/>
      <c r="J4469" s="11">
        <v>0.0</v>
      </c>
      <c r="K4469" s="12" t="s">
        <v>3075</v>
      </c>
      <c r="L4469" s="13" t="s">
        <v>3075</v>
      </c>
      <c r="M4469" s="9" t="s">
        <v>3075</v>
      </c>
    </row>
    <row r="4470" ht="15.75" customHeight="1">
      <c r="A4470" s="8"/>
      <c r="B4470" s="8"/>
      <c r="C4470" s="8"/>
      <c r="D4470" s="8">
        <v>57.7055257317072</v>
      </c>
      <c r="E4470" s="9" t="s">
        <v>23</v>
      </c>
      <c r="I4470" s="12"/>
      <c r="J4470" s="11">
        <v>0.0</v>
      </c>
      <c r="K4470" s="12" t="s">
        <v>3075</v>
      </c>
      <c r="L4470" s="13" t="s">
        <v>3075</v>
      </c>
      <c r="M4470" s="9" t="s">
        <v>3075</v>
      </c>
    </row>
    <row r="4471" ht="15.75" customHeight="1">
      <c r="A4471" s="8"/>
      <c r="B4471" s="8"/>
      <c r="C4471" s="8"/>
      <c r="D4471" s="8">
        <v>6.27899016353313</v>
      </c>
      <c r="E4471" s="9" t="s">
        <v>3196</v>
      </c>
      <c r="I4471" s="12"/>
      <c r="J4471" s="11">
        <v>0.0</v>
      </c>
      <c r="K4471" s="12" t="s">
        <v>3075</v>
      </c>
      <c r="L4471" s="13" t="s">
        <v>3075</v>
      </c>
      <c r="M4471" s="9" t="s">
        <v>3075</v>
      </c>
    </row>
    <row r="4472" ht="15.75" customHeight="1">
      <c r="A4472" s="8"/>
      <c r="B4472" s="8"/>
      <c r="C4472" s="8"/>
      <c r="D4472" s="8">
        <v>1.97124127540843</v>
      </c>
      <c r="E4472" s="9" t="s">
        <v>3197</v>
      </c>
      <c r="I4472" s="12"/>
      <c r="J4472" s="11">
        <v>0.0</v>
      </c>
      <c r="K4472" s="12" t="s">
        <v>3075</v>
      </c>
      <c r="L4472" s="13" t="s">
        <v>3075</v>
      </c>
      <c r="M4472" s="9" t="s">
        <v>3075</v>
      </c>
    </row>
    <row r="4473" ht="15.75" customHeight="1">
      <c r="A4473" s="8"/>
      <c r="B4473" s="8"/>
      <c r="C4473" s="8"/>
      <c r="D4473" s="8">
        <v>166.939414189608</v>
      </c>
      <c r="E4473" s="9" t="s">
        <v>31</v>
      </c>
      <c r="I4473" s="12"/>
      <c r="J4473" s="11">
        <v>0.0</v>
      </c>
      <c r="K4473" s="12" t="s">
        <v>3075</v>
      </c>
      <c r="L4473" s="13" t="s">
        <v>3075</v>
      </c>
      <c r="M4473" s="9" t="s">
        <v>3075</v>
      </c>
    </row>
    <row r="4474" ht="15.75" customHeight="1">
      <c r="A4474" s="8"/>
      <c r="B4474" s="8"/>
      <c r="C4474" s="8"/>
      <c r="D4474" s="8">
        <v>34.4794047856413</v>
      </c>
      <c r="E4474" s="9" t="s">
        <v>33</v>
      </c>
      <c r="I4474" s="12"/>
      <c r="J4474" s="11">
        <v>0.0</v>
      </c>
      <c r="K4474" s="12" t="s">
        <v>3075</v>
      </c>
      <c r="L4474" s="13" t="s">
        <v>3075</v>
      </c>
      <c r="M4474" s="9" t="s">
        <v>3075</v>
      </c>
    </row>
    <row r="4475" ht="15.75" customHeight="1">
      <c r="A4475" s="8"/>
      <c r="B4475" s="8"/>
      <c r="C4475" s="8"/>
      <c r="D4475" s="8">
        <v>991.220922669941</v>
      </c>
      <c r="E4475" s="9" t="s">
        <v>37</v>
      </c>
      <c r="I4475" s="12"/>
      <c r="J4475" s="11">
        <v>0.0</v>
      </c>
      <c r="K4475" s="12" t="s">
        <v>3075</v>
      </c>
      <c r="L4475" s="13" t="s">
        <v>3075</v>
      </c>
      <c r="M4475" s="9" t="s">
        <v>3075</v>
      </c>
    </row>
    <row r="4476" ht="15.75" customHeight="1">
      <c r="A4476" s="8"/>
      <c r="B4476" s="8"/>
      <c r="C4476" s="8"/>
      <c r="D4476" s="8">
        <v>266.645694702041</v>
      </c>
      <c r="E4476" s="9" t="s">
        <v>49</v>
      </c>
      <c r="I4476" s="12"/>
      <c r="J4476" s="11">
        <v>0.0</v>
      </c>
      <c r="K4476" s="12" t="s">
        <v>3075</v>
      </c>
      <c r="L4476" s="13" t="s">
        <v>3075</v>
      </c>
      <c r="M4476" s="9" t="s">
        <v>3075</v>
      </c>
    </row>
    <row r="4477" ht="15.75" customHeight="1">
      <c r="A4477" s="8"/>
      <c r="B4477" s="8"/>
      <c r="C4477" s="8"/>
      <c r="D4477" s="8">
        <v>0.167272017054406</v>
      </c>
      <c r="E4477" s="9" t="s">
        <v>3198</v>
      </c>
      <c r="I4477" s="12"/>
      <c r="J4477" s="11">
        <v>0.0</v>
      </c>
      <c r="K4477" s="12" t="s">
        <v>3075</v>
      </c>
      <c r="L4477" s="13" t="s">
        <v>3075</v>
      </c>
      <c r="M4477" s="9" t="s">
        <v>3075</v>
      </c>
    </row>
    <row r="4478" ht="15.75" customHeight="1">
      <c r="A4478" s="8"/>
      <c r="B4478" s="8"/>
      <c r="C4478" s="8"/>
      <c r="D4478" s="8">
        <v>27.4667734057744</v>
      </c>
      <c r="E4478" s="9" t="s">
        <v>64</v>
      </c>
      <c r="I4478" s="12"/>
      <c r="J4478" s="11">
        <v>0.0</v>
      </c>
      <c r="K4478" s="12" t="s">
        <v>3075</v>
      </c>
      <c r="L4478" s="13" t="s">
        <v>3075</v>
      </c>
      <c r="M4478" s="9" t="s">
        <v>3075</v>
      </c>
    </row>
    <row r="4479" ht="15.75" customHeight="1">
      <c r="A4479" s="8"/>
      <c r="B4479" s="8"/>
      <c r="C4479" s="8"/>
      <c r="D4479" s="8">
        <v>9.75406597452516</v>
      </c>
      <c r="E4479" s="9" t="s">
        <v>78</v>
      </c>
      <c r="I4479" s="12"/>
      <c r="J4479" s="11">
        <v>0.0</v>
      </c>
      <c r="K4479" s="12" t="s">
        <v>3075</v>
      </c>
      <c r="L4479" s="13" t="s">
        <v>3075</v>
      </c>
      <c r="M4479" s="9" t="s">
        <v>3075</v>
      </c>
    </row>
    <row r="4480" ht="15.75" customHeight="1">
      <c r="A4480" s="8"/>
      <c r="B4480" s="8"/>
      <c r="C4480" s="8"/>
      <c r="D4480" s="8">
        <v>183.877186921168</v>
      </c>
      <c r="E4480" s="9" t="s">
        <v>99</v>
      </c>
      <c r="I4480" s="12"/>
      <c r="J4480" s="11">
        <v>0.0</v>
      </c>
      <c r="K4480" s="12" t="s">
        <v>3075</v>
      </c>
      <c r="L4480" s="13" t="s">
        <v>3075</v>
      </c>
      <c r="M4480" s="9" t="s">
        <v>3075</v>
      </c>
    </row>
    <row r="4481" ht="15.75" customHeight="1">
      <c r="A4481" s="8"/>
      <c r="B4481" s="8"/>
      <c r="C4481" s="8"/>
      <c r="D4481" s="8">
        <v>25.0526887051895</v>
      </c>
      <c r="E4481" s="9" t="s">
        <v>101</v>
      </c>
      <c r="I4481" s="12"/>
      <c r="J4481" s="11">
        <v>0.0</v>
      </c>
      <c r="K4481" s="12" t="s">
        <v>3075</v>
      </c>
      <c r="L4481" s="13" t="s">
        <v>3075</v>
      </c>
      <c r="M4481" s="9" t="s">
        <v>3075</v>
      </c>
    </row>
    <row r="4482" ht="15.75" customHeight="1">
      <c r="A4482" s="8"/>
      <c r="B4482" s="8"/>
      <c r="C4482" s="8"/>
      <c r="D4482" s="8">
        <v>3.77483325531288</v>
      </c>
      <c r="E4482" s="9" t="s">
        <v>102</v>
      </c>
      <c r="I4482" s="12"/>
      <c r="J4482" s="11">
        <v>0.0</v>
      </c>
      <c r="K4482" s="12" t="s">
        <v>3075</v>
      </c>
      <c r="L4482" s="13" t="s">
        <v>3075</v>
      </c>
      <c r="M4482" s="9" t="s">
        <v>3075</v>
      </c>
    </row>
    <row r="4483" ht="15.75" customHeight="1">
      <c r="A4483" s="8"/>
      <c r="B4483" s="8"/>
      <c r="C4483" s="8"/>
      <c r="D4483" s="8">
        <v>4.25556801800825</v>
      </c>
      <c r="E4483" s="9" t="s">
        <v>104</v>
      </c>
      <c r="I4483" s="12"/>
      <c r="J4483" s="11">
        <v>0.0</v>
      </c>
      <c r="K4483" s="12" t="s">
        <v>3075</v>
      </c>
      <c r="L4483" s="13" t="s">
        <v>3075</v>
      </c>
      <c r="M4483" s="9" t="s">
        <v>3075</v>
      </c>
    </row>
    <row r="4484" ht="15.75" customHeight="1">
      <c r="A4484" s="8"/>
      <c r="B4484" s="8"/>
      <c r="C4484" s="8"/>
      <c r="D4484" s="8">
        <v>11.6747420267408</v>
      </c>
      <c r="E4484" s="9" t="s">
        <v>106</v>
      </c>
      <c r="I4484" s="12"/>
      <c r="J4484" s="11">
        <v>0.0</v>
      </c>
      <c r="K4484" s="12" t="s">
        <v>3075</v>
      </c>
      <c r="L4484" s="13" t="s">
        <v>3075</v>
      </c>
      <c r="M4484" s="9" t="s">
        <v>3075</v>
      </c>
    </row>
    <row r="4485" ht="15.75" customHeight="1">
      <c r="A4485" s="8"/>
      <c r="B4485" s="8"/>
      <c r="C4485" s="8"/>
      <c r="D4485" s="8">
        <v>4.05016374935785</v>
      </c>
      <c r="E4485" s="9" t="s">
        <v>127</v>
      </c>
      <c r="I4485" s="12"/>
      <c r="J4485" s="11">
        <v>0.0</v>
      </c>
      <c r="K4485" s="12" t="s">
        <v>3075</v>
      </c>
      <c r="L4485" s="13" t="s">
        <v>3075</v>
      </c>
      <c r="M4485" s="9" t="s">
        <v>3075</v>
      </c>
    </row>
    <row r="4486" ht="15.75" customHeight="1">
      <c r="A4486" s="8"/>
      <c r="B4486" s="8"/>
      <c r="C4486" s="8"/>
      <c r="D4486" s="8">
        <v>27.2964636632082</v>
      </c>
      <c r="E4486" s="9" t="s">
        <v>128</v>
      </c>
      <c r="I4486" s="12"/>
      <c r="J4486" s="11">
        <v>0.0</v>
      </c>
      <c r="K4486" s="12" t="s">
        <v>3075</v>
      </c>
      <c r="L4486" s="13" t="s">
        <v>3075</v>
      </c>
      <c r="M4486" s="9" t="s">
        <v>3075</v>
      </c>
    </row>
    <row r="4487" ht="15.75" customHeight="1">
      <c r="A4487" s="8"/>
      <c r="B4487" s="8"/>
      <c r="C4487" s="8"/>
      <c r="D4487" s="8">
        <v>5.86263946722118</v>
      </c>
      <c r="E4487" s="9" t="s">
        <v>129</v>
      </c>
      <c r="I4487" s="12"/>
      <c r="J4487" s="11">
        <v>0.0</v>
      </c>
      <c r="K4487" s="12" t="s">
        <v>3075</v>
      </c>
      <c r="L4487" s="13" t="s">
        <v>3075</v>
      </c>
      <c r="M4487" s="9" t="s">
        <v>3075</v>
      </c>
    </row>
    <row r="4488" ht="15.75" customHeight="1">
      <c r="A4488" s="8"/>
      <c r="B4488" s="8"/>
      <c r="C4488" s="8"/>
      <c r="D4488" s="8">
        <v>262.261738487772</v>
      </c>
      <c r="E4488" s="9" t="s">
        <v>135</v>
      </c>
      <c r="I4488" s="12"/>
      <c r="J4488" s="11">
        <v>0.0</v>
      </c>
      <c r="K4488" s="12" t="s">
        <v>3075</v>
      </c>
      <c r="L4488" s="13" t="s">
        <v>3075</v>
      </c>
      <c r="M4488" s="9" t="s">
        <v>3075</v>
      </c>
    </row>
    <row r="4489" ht="15.75" customHeight="1">
      <c r="A4489" s="8"/>
      <c r="B4489" s="8"/>
      <c r="C4489" s="8"/>
      <c r="D4489" s="8">
        <v>235.696744019466</v>
      </c>
      <c r="E4489" s="9" t="s">
        <v>138</v>
      </c>
      <c r="I4489" s="12"/>
      <c r="J4489" s="11">
        <v>0.0</v>
      </c>
      <c r="K4489" s="12" t="s">
        <v>3075</v>
      </c>
      <c r="L4489" s="13" t="s">
        <v>3075</v>
      </c>
      <c r="M4489" s="9" t="s">
        <v>3075</v>
      </c>
    </row>
    <row r="4490" ht="15.75" customHeight="1">
      <c r="A4490" s="8"/>
      <c r="B4490" s="8"/>
      <c r="C4490" s="8"/>
      <c r="D4490" s="8">
        <v>7.7865996447998</v>
      </c>
      <c r="E4490" s="9" t="s">
        <v>140</v>
      </c>
      <c r="I4490" s="12"/>
      <c r="J4490" s="11">
        <v>0.0</v>
      </c>
      <c r="K4490" s="12" t="s">
        <v>3075</v>
      </c>
      <c r="L4490" s="13" t="s">
        <v>3075</v>
      </c>
      <c r="M4490" s="9" t="s">
        <v>3075</v>
      </c>
    </row>
    <row r="4491" ht="15.75" customHeight="1">
      <c r="A4491" s="8"/>
      <c r="B4491" s="8"/>
      <c r="C4491" s="8"/>
      <c r="D4491" s="8">
        <v>2.25185070542452</v>
      </c>
      <c r="E4491" s="9" t="s">
        <v>143</v>
      </c>
      <c r="I4491" s="12"/>
      <c r="J4491" s="11">
        <v>0.0</v>
      </c>
      <c r="K4491" s="12" t="s">
        <v>3075</v>
      </c>
      <c r="L4491" s="13" t="s">
        <v>3075</v>
      </c>
      <c r="M4491" s="9" t="s">
        <v>3075</v>
      </c>
    </row>
    <row r="4492" ht="15.75" customHeight="1">
      <c r="A4492" s="8"/>
      <c r="B4492" s="8"/>
      <c r="C4492" s="8"/>
      <c r="D4492" s="8">
        <v>805.557199845119</v>
      </c>
      <c r="E4492" s="9" t="s">
        <v>163</v>
      </c>
      <c r="I4492" s="12"/>
      <c r="J4492" s="11">
        <v>0.0</v>
      </c>
      <c r="K4492" s="12" t="s">
        <v>3075</v>
      </c>
      <c r="L4492" s="13" t="s">
        <v>3075</v>
      </c>
      <c r="M4492" s="9" t="s">
        <v>3075</v>
      </c>
    </row>
    <row r="4493" ht="15.75" customHeight="1">
      <c r="A4493" s="8"/>
      <c r="B4493" s="8"/>
      <c r="C4493" s="8"/>
      <c r="D4493" s="8">
        <v>1.12106208951657</v>
      </c>
      <c r="E4493" s="9" t="s">
        <v>165</v>
      </c>
      <c r="I4493" s="12"/>
      <c r="J4493" s="11">
        <v>0.0</v>
      </c>
      <c r="K4493" s="12" t="s">
        <v>3075</v>
      </c>
      <c r="L4493" s="13" t="s">
        <v>3075</v>
      </c>
      <c r="M4493" s="9" t="s">
        <v>3075</v>
      </c>
    </row>
    <row r="4494" ht="15.75" customHeight="1">
      <c r="A4494" s="8"/>
      <c r="B4494" s="8"/>
      <c r="C4494" s="8"/>
      <c r="D4494" s="8">
        <v>1.94037369926197</v>
      </c>
      <c r="E4494" s="9" t="s">
        <v>3199</v>
      </c>
      <c r="I4494" s="12"/>
      <c r="J4494" s="11">
        <v>0.0</v>
      </c>
      <c r="K4494" s="12" t="s">
        <v>3075</v>
      </c>
      <c r="L4494" s="13" t="s">
        <v>3075</v>
      </c>
      <c r="M4494" s="9" t="s">
        <v>3075</v>
      </c>
    </row>
    <row r="4495" ht="15.75" customHeight="1">
      <c r="A4495" s="8"/>
      <c r="B4495" s="8"/>
      <c r="C4495" s="8"/>
      <c r="D4495" s="8">
        <v>1.73881552260373</v>
      </c>
      <c r="E4495" s="9" t="s">
        <v>167</v>
      </c>
      <c r="I4495" s="12"/>
      <c r="J4495" s="11">
        <v>0.0</v>
      </c>
      <c r="K4495" s="12" t="s">
        <v>3075</v>
      </c>
      <c r="L4495" s="13" t="s">
        <v>3075</v>
      </c>
      <c r="M4495" s="9" t="s">
        <v>3075</v>
      </c>
    </row>
    <row r="4496" ht="15.75" customHeight="1">
      <c r="A4496" s="8"/>
      <c r="B4496" s="8"/>
      <c r="C4496" s="8"/>
      <c r="D4496" s="8">
        <v>39.4732334870843</v>
      </c>
      <c r="E4496" s="9" t="s">
        <v>3200</v>
      </c>
      <c r="I4496" s="12"/>
      <c r="J4496" s="11">
        <v>0.0</v>
      </c>
      <c r="K4496" s="12" t="s">
        <v>3075</v>
      </c>
      <c r="L4496" s="13" t="s">
        <v>3075</v>
      </c>
      <c r="M4496" s="9" t="s">
        <v>3075</v>
      </c>
    </row>
    <row r="4497" ht="15.75" customHeight="1">
      <c r="A4497" s="8"/>
      <c r="B4497" s="8"/>
      <c r="C4497" s="8"/>
      <c r="D4497" s="8">
        <v>6.31720844216169</v>
      </c>
      <c r="E4497" s="9" t="s">
        <v>172</v>
      </c>
      <c r="I4497" s="12"/>
      <c r="J4497" s="11">
        <v>0.0</v>
      </c>
      <c r="K4497" s="12" t="s">
        <v>3075</v>
      </c>
      <c r="L4497" s="13" t="s">
        <v>3075</v>
      </c>
      <c r="M4497" s="9" t="s">
        <v>3075</v>
      </c>
    </row>
    <row r="4498" ht="15.75" customHeight="1">
      <c r="A4498" s="8"/>
      <c r="B4498" s="8"/>
      <c r="C4498" s="8"/>
      <c r="D4498" s="8">
        <v>305.178383683034</v>
      </c>
      <c r="E4498" s="9" t="s">
        <v>173</v>
      </c>
      <c r="I4498" s="12"/>
      <c r="J4498" s="11">
        <v>0.0</v>
      </c>
      <c r="K4498" s="12" t="s">
        <v>3075</v>
      </c>
      <c r="L4498" s="13" t="s">
        <v>3075</v>
      </c>
      <c r="M4498" s="9" t="s">
        <v>3075</v>
      </c>
    </row>
    <row r="4499" ht="15.75" customHeight="1">
      <c r="A4499" s="8"/>
      <c r="B4499" s="8"/>
      <c r="C4499" s="8"/>
      <c r="D4499" s="8">
        <v>7.78316135116057</v>
      </c>
      <c r="E4499" s="9" t="s">
        <v>184</v>
      </c>
      <c r="I4499" s="12"/>
      <c r="J4499" s="11">
        <v>0.0</v>
      </c>
      <c r="K4499" s="12" t="s">
        <v>3075</v>
      </c>
      <c r="L4499" s="13" t="s">
        <v>3075</v>
      </c>
      <c r="M4499" s="9" t="s">
        <v>3075</v>
      </c>
    </row>
    <row r="4500" ht="15.75" customHeight="1">
      <c r="A4500" s="8"/>
      <c r="B4500" s="8"/>
      <c r="C4500" s="8"/>
      <c r="D4500" s="8">
        <v>66.1569878497428</v>
      </c>
      <c r="E4500" s="9" t="s">
        <v>188</v>
      </c>
      <c r="I4500" s="12"/>
      <c r="J4500" s="11">
        <v>0.0</v>
      </c>
      <c r="K4500" s="12" t="s">
        <v>3075</v>
      </c>
      <c r="L4500" s="13" t="s">
        <v>3075</v>
      </c>
      <c r="M4500" s="9" t="s">
        <v>3075</v>
      </c>
    </row>
    <row r="4501" ht="15.75" customHeight="1">
      <c r="A4501" s="8"/>
      <c r="B4501" s="8"/>
      <c r="C4501" s="8"/>
      <c r="D4501" s="8">
        <v>1.94579033779014</v>
      </c>
      <c r="E4501" s="9" t="s">
        <v>191</v>
      </c>
      <c r="I4501" s="12"/>
      <c r="J4501" s="11">
        <v>0.0</v>
      </c>
      <c r="K4501" s="12" t="s">
        <v>3075</v>
      </c>
      <c r="L4501" s="13" t="s">
        <v>3075</v>
      </c>
      <c r="M4501" s="9" t="s">
        <v>3075</v>
      </c>
    </row>
    <row r="4502" ht="15.75" customHeight="1">
      <c r="A4502" s="8"/>
      <c r="B4502" s="8"/>
      <c r="C4502" s="8"/>
      <c r="D4502" s="8">
        <v>5.56807362583363</v>
      </c>
      <c r="E4502" s="9" t="s">
        <v>196</v>
      </c>
      <c r="I4502" s="12"/>
      <c r="J4502" s="11">
        <v>0.0</v>
      </c>
      <c r="K4502" s="12" t="s">
        <v>3075</v>
      </c>
      <c r="L4502" s="13" t="s">
        <v>3075</v>
      </c>
      <c r="M4502" s="9" t="s">
        <v>3075</v>
      </c>
    </row>
    <row r="4503" ht="15.75" customHeight="1">
      <c r="A4503" s="8"/>
      <c r="B4503" s="8"/>
      <c r="C4503" s="8"/>
      <c r="D4503" s="8">
        <v>1.77143381284271</v>
      </c>
      <c r="E4503" s="9" t="s">
        <v>3201</v>
      </c>
      <c r="I4503" s="12"/>
      <c r="J4503" s="11">
        <v>0.0</v>
      </c>
      <c r="K4503" s="12" t="s">
        <v>3075</v>
      </c>
      <c r="L4503" s="13" t="s">
        <v>3075</v>
      </c>
      <c r="M4503" s="9" t="s">
        <v>3075</v>
      </c>
    </row>
    <row r="4504" ht="15.75" customHeight="1">
      <c r="A4504" s="8"/>
      <c r="B4504" s="8"/>
      <c r="C4504" s="8"/>
      <c r="D4504" s="8">
        <v>377.483325531288</v>
      </c>
      <c r="E4504" s="9" t="s">
        <v>198</v>
      </c>
      <c r="I4504" s="12"/>
      <c r="J4504" s="11">
        <v>0.0</v>
      </c>
      <c r="K4504" s="12" t="s">
        <v>3075</v>
      </c>
      <c r="L4504" s="13" t="s">
        <v>3075</v>
      </c>
      <c r="M4504" s="9" t="s">
        <v>3075</v>
      </c>
    </row>
    <row r="4505" ht="15.75" customHeight="1">
      <c r="A4505" s="8"/>
      <c r="B4505" s="8"/>
      <c r="C4505" s="8"/>
      <c r="D4505" s="8">
        <v>36.9700164180127</v>
      </c>
      <c r="E4505" s="9" t="s">
        <v>209</v>
      </c>
      <c r="I4505" s="12"/>
      <c r="J4505" s="11">
        <v>0.0</v>
      </c>
      <c r="K4505" s="12" t="s">
        <v>3075</v>
      </c>
      <c r="L4505" s="13" t="s">
        <v>3075</v>
      </c>
      <c r="M4505" s="9" t="s">
        <v>3075</v>
      </c>
    </row>
    <row r="4506" ht="15.75" customHeight="1">
      <c r="A4506" s="8"/>
      <c r="B4506" s="8"/>
      <c r="C4506" s="8"/>
      <c r="D4506" s="8">
        <v>0.0434072618892326</v>
      </c>
      <c r="E4506" s="9" t="s">
        <v>3052</v>
      </c>
      <c r="I4506" s="12"/>
      <c r="J4506" s="11">
        <v>0.0</v>
      </c>
      <c r="K4506" s="12" t="s">
        <v>3075</v>
      </c>
      <c r="L4506" s="13" t="s">
        <v>3075</v>
      </c>
      <c r="M4506" s="9" t="s">
        <v>3075</v>
      </c>
    </row>
    <row r="4507" ht="15.75" customHeight="1">
      <c r="A4507" s="8"/>
      <c r="B4507" s="8"/>
      <c r="C4507" s="8"/>
      <c r="D4507" s="8">
        <v>44.67196124264</v>
      </c>
      <c r="E4507" s="9" t="s">
        <v>222</v>
      </c>
      <c r="I4507" s="12"/>
      <c r="J4507" s="11">
        <v>0.0</v>
      </c>
      <c r="K4507" s="12" t="s">
        <v>3075</v>
      </c>
      <c r="L4507" s="13" t="s">
        <v>3075</v>
      </c>
      <c r="M4507" s="9" t="s">
        <v>3075</v>
      </c>
    </row>
    <row r="4508" ht="15.75" customHeight="1">
      <c r="A4508" s="8"/>
      <c r="B4508" s="8"/>
      <c r="C4508" s="8"/>
      <c r="D4508" s="8">
        <v>0.0940476531799896</v>
      </c>
      <c r="E4508" s="9" t="s">
        <v>232</v>
      </c>
      <c r="I4508" s="12"/>
      <c r="J4508" s="11">
        <v>0.0</v>
      </c>
      <c r="K4508" s="12" t="s">
        <v>3075</v>
      </c>
      <c r="L4508" s="13" t="s">
        <v>3075</v>
      </c>
      <c r="M4508" s="9" t="s">
        <v>3075</v>
      </c>
    </row>
    <row r="4509" ht="15.75" customHeight="1">
      <c r="A4509" s="8"/>
      <c r="B4509" s="8"/>
      <c r="C4509" s="8"/>
      <c r="D4509" s="8">
        <v>0.149026353540479</v>
      </c>
      <c r="E4509" s="9" t="s">
        <v>234</v>
      </c>
      <c r="I4509" s="12"/>
      <c r="J4509" s="11">
        <v>0.0</v>
      </c>
      <c r="K4509" s="12" t="s">
        <v>3075</v>
      </c>
      <c r="L4509" s="13" t="s">
        <v>3075</v>
      </c>
      <c r="M4509" s="9" t="s">
        <v>3075</v>
      </c>
    </row>
    <row r="4510" ht="15.75" customHeight="1">
      <c r="A4510" s="8"/>
      <c r="B4510" s="8"/>
      <c r="C4510" s="8"/>
      <c r="D4510" s="8">
        <v>1.83431580267574</v>
      </c>
      <c r="E4510" s="9" t="s">
        <v>239</v>
      </c>
      <c r="I4510" s="12"/>
      <c r="J4510" s="11">
        <v>0.0</v>
      </c>
      <c r="K4510" s="12" t="s">
        <v>3075</v>
      </c>
      <c r="L4510" s="13" t="s">
        <v>3075</v>
      </c>
      <c r="M4510" s="9" t="s">
        <v>3075</v>
      </c>
    </row>
    <row r="4511" ht="15.75" customHeight="1">
      <c r="A4511" s="8"/>
      <c r="B4511" s="8"/>
      <c r="C4511" s="8"/>
      <c r="D4511" s="8">
        <v>1.90687453103434</v>
      </c>
      <c r="E4511" s="9" t="s">
        <v>242</v>
      </c>
      <c r="I4511" s="12"/>
      <c r="J4511" s="11">
        <v>0.0</v>
      </c>
      <c r="K4511" s="12" t="s">
        <v>3075</v>
      </c>
      <c r="L4511" s="13" t="s">
        <v>3075</v>
      </c>
      <c r="M4511" s="9" t="s">
        <v>3075</v>
      </c>
    </row>
    <row r="4512" ht="15.75" customHeight="1">
      <c r="A4512" s="8"/>
      <c r="B4512" s="8"/>
      <c r="C4512" s="8"/>
      <c r="D4512" s="8">
        <v>1.98470614454594</v>
      </c>
      <c r="E4512" s="9" t="s">
        <v>3055</v>
      </c>
      <c r="I4512" s="12"/>
      <c r="J4512" s="11">
        <v>0.0</v>
      </c>
      <c r="K4512" s="12" t="s">
        <v>3075</v>
      </c>
      <c r="L4512" s="13" t="s">
        <v>3075</v>
      </c>
      <c r="M4512" s="9" t="s">
        <v>3075</v>
      </c>
    </row>
    <row r="4513" ht="15.75" customHeight="1">
      <c r="A4513" s="8"/>
      <c r="B4513" s="8"/>
      <c r="C4513" s="8"/>
      <c r="D4513" s="8">
        <v>26.8252368194826</v>
      </c>
      <c r="E4513" s="9" t="s">
        <v>248</v>
      </c>
      <c r="I4513" s="12"/>
      <c r="J4513" s="11">
        <v>0.0</v>
      </c>
      <c r="K4513" s="12" t="s">
        <v>3075</v>
      </c>
      <c r="L4513" s="13" t="s">
        <v>3075</v>
      </c>
      <c r="M4513" s="9" t="s">
        <v>3075</v>
      </c>
    </row>
    <row r="4514" ht="15.75" customHeight="1">
      <c r="A4514" s="8"/>
      <c r="B4514" s="8"/>
      <c r="C4514" s="8"/>
      <c r="D4514" s="8">
        <v>118.796517366104</v>
      </c>
      <c r="E4514" s="9" t="s">
        <v>251</v>
      </c>
      <c r="I4514" s="12"/>
      <c r="J4514" s="11">
        <v>0.0</v>
      </c>
      <c r="K4514" s="12" t="s">
        <v>3075</v>
      </c>
      <c r="L4514" s="13" t="s">
        <v>3075</v>
      </c>
      <c r="M4514" s="9" t="s">
        <v>3075</v>
      </c>
    </row>
    <row r="4515" ht="15.75" customHeight="1">
      <c r="A4515" s="8"/>
      <c r="B4515" s="8"/>
      <c r="C4515" s="8"/>
      <c r="D4515" s="8">
        <v>103.28304620249</v>
      </c>
      <c r="E4515" s="9" t="s">
        <v>3056</v>
      </c>
      <c r="I4515" s="12"/>
      <c r="J4515" s="11">
        <v>0.0</v>
      </c>
      <c r="K4515" s="12" t="s">
        <v>3075</v>
      </c>
      <c r="L4515" s="13" t="s">
        <v>3075</v>
      </c>
      <c r="M4515" s="9" t="s">
        <v>3075</v>
      </c>
    </row>
    <row r="4516" ht="15.75" customHeight="1">
      <c r="A4516" s="8"/>
      <c r="B4516" s="8"/>
      <c r="C4516" s="8"/>
      <c r="D4516" s="8">
        <v>87.4959649613418</v>
      </c>
      <c r="E4516" s="9" t="s">
        <v>260</v>
      </c>
      <c r="I4516" s="12"/>
      <c r="J4516" s="11">
        <v>0.0</v>
      </c>
      <c r="K4516" s="12" t="s">
        <v>3075</v>
      </c>
      <c r="L4516" s="13" t="s">
        <v>3075</v>
      </c>
      <c r="M4516" s="9" t="s">
        <v>3075</v>
      </c>
    </row>
    <row r="4517" ht="15.75" customHeight="1">
      <c r="A4517" s="8"/>
      <c r="B4517" s="8"/>
      <c r="C4517" s="8"/>
      <c r="D4517" s="8">
        <v>1153.99316618068</v>
      </c>
      <c r="E4517" s="9" t="s">
        <v>261</v>
      </c>
      <c r="I4517" s="12"/>
      <c r="J4517" s="11">
        <v>0.0</v>
      </c>
      <c r="K4517" s="12" t="s">
        <v>3075</v>
      </c>
      <c r="L4517" s="13" t="s">
        <v>3075</v>
      </c>
      <c r="M4517" s="9" t="s">
        <v>3075</v>
      </c>
    </row>
    <row r="4518" ht="15.75" customHeight="1">
      <c r="A4518" s="8"/>
      <c r="B4518" s="8"/>
      <c r="C4518" s="8"/>
      <c r="D4518" s="8">
        <v>5.93872231175948</v>
      </c>
      <c r="E4518" s="9" t="s">
        <v>263</v>
      </c>
      <c r="I4518" s="12"/>
      <c r="J4518" s="11">
        <v>0.0</v>
      </c>
      <c r="K4518" s="12" t="s">
        <v>3075</v>
      </c>
      <c r="L4518" s="13" t="s">
        <v>3075</v>
      </c>
      <c r="M4518" s="9" t="s">
        <v>3075</v>
      </c>
    </row>
    <row r="4519" ht="15.75" customHeight="1">
      <c r="A4519" s="8"/>
      <c r="B4519" s="8"/>
      <c r="C4519" s="8"/>
      <c r="D4519" s="8">
        <v>66.5460295524229</v>
      </c>
      <c r="E4519" s="9" t="s">
        <v>273</v>
      </c>
      <c r="I4519" s="12"/>
      <c r="J4519" s="11">
        <v>0.0</v>
      </c>
      <c r="K4519" s="12" t="s">
        <v>3075</v>
      </c>
      <c r="L4519" s="13" t="s">
        <v>3075</v>
      </c>
      <c r="M4519" s="9" t="s">
        <v>3075</v>
      </c>
    </row>
    <row r="4520" ht="15.75" customHeight="1">
      <c r="A4520" s="8"/>
      <c r="B4520" s="8"/>
      <c r="C4520" s="8"/>
      <c r="D4520" s="8">
        <v>74.1430370151922</v>
      </c>
      <c r="E4520" s="9" t="s">
        <v>280</v>
      </c>
      <c r="I4520" s="12"/>
      <c r="J4520" s="11">
        <v>0.0</v>
      </c>
      <c r="K4520" s="12" t="s">
        <v>3075</v>
      </c>
      <c r="L4520" s="13" t="s">
        <v>3075</v>
      </c>
      <c r="M4520" s="9" t="s">
        <v>3075</v>
      </c>
    </row>
    <row r="4521" ht="15.75" customHeight="1">
      <c r="A4521" s="8"/>
      <c r="B4521" s="8"/>
      <c r="C4521" s="8"/>
      <c r="D4521" s="8">
        <v>2.25985252262081</v>
      </c>
      <c r="E4521" s="9" t="s">
        <v>287</v>
      </c>
      <c r="I4521" s="12"/>
      <c r="J4521" s="11">
        <v>0.0</v>
      </c>
      <c r="K4521" s="12" t="s">
        <v>3075</v>
      </c>
      <c r="L4521" s="13" t="s">
        <v>3075</v>
      </c>
      <c r="M4521" s="9" t="s">
        <v>3075</v>
      </c>
    </row>
    <row r="4522" ht="15.75" customHeight="1">
      <c r="A4522" s="8"/>
      <c r="B4522" s="8"/>
      <c r="C4522" s="8"/>
      <c r="D4522" s="8">
        <v>87.1724389717995</v>
      </c>
      <c r="E4522" s="9" t="s">
        <v>293</v>
      </c>
      <c r="I4522" s="12"/>
      <c r="J4522" s="11">
        <v>0.0</v>
      </c>
      <c r="K4522" s="12" t="s">
        <v>3075</v>
      </c>
      <c r="L4522" s="13" t="s">
        <v>3075</v>
      </c>
      <c r="M4522" s="9" t="s">
        <v>3075</v>
      </c>
    </row>
    <row r="4523" ht="15.75" customHeight="1">
      <c r="A4523" s="8"/>
      <c r="B4523" s="8"/>
      <c r="C4523" s="8"/>
      <c r="D4523" s="8">
        <v>11.7136578334966</v>
      </c>
      <c r="E4523" s="9" t="s">
        <v>302</v>
      </c>
      <c r="I4523" s="12"/>
      <c r="J4523" s="11">
        <v>0.0</v>
      </c>
      <c r="K4523" s="12" t="s">
        <v>3075</v>
      </c>
      <c r="L4523" s="13" t="s">
        <v>3075</v>
      </c>
      <c r="M4523" s="9" t="s">
        <v>3075</v>
      </c>
    </row>
    <row r="4524" ht="15.75" customHeight="1">
      <c r="A4524" s="8"/>
      <c r="B4524" s="8"/>
      <c r="C4524" s="8"/>
      <c r="D4524" s="8">
        <v>0.102377575368293</v>
      </c>
      <c r="E4524" s="9" t="s">
        <v>305</v>
      </c>
      <c r="I4524" s="12"/>
      <c r="J4524" s="11">
        <v>0.0</v>
      </c>
      <c r="K4524" s="12" t="s">
        <v>3075</v>
      </c>
      <c r="L4524" s="13" t="s">
        <v>3075</v>
      </c>
      <c r="M4524" s="9" t="s">
        <v>3075</v>
      </c>
    </row>
    <row r="4525" ht="15.75" customHeight="1">
      <c r="A4525" s="8"/>
      <c r="B4525" s="8"/>
      <c r="C4525" s="8"/>
      <c r="D4525" s="8">
        <v>1.48870324688921</v>
      </c>
      <c r="E4525" s="9" t="s">
        <v>316</v>
      </c>
      <c r="I4525" s="12"/>
      <c r="J4525" s="11">
        <v>0.0</v>
      </c>
      <c r="K4525" s="12" t="s">
        <v>3075</v>
      </c>
      <c r="L4525" s="13" t="s">
        <v>3075</v>
      </c>
      <c r="M4525" s="9" t="s">
        <v>3075</v>
      </c>
    </row>
    <row r="4526" ht="15.75" customHeight="1">
      <c r="A4526" s="8"/>
      <c r="B4526" s="8"/>
      <c r="C4526" s="8"/>
      <c r="D4526" s="8">
        <v>18.6596726299983</v>
      </c>
      <c r="E4526" s="9" t="s">
        <v>319</v>
      </c>
      <c r="I4526" s="12"/>
      <c r="J4526" s="11">
        <v>0.0</v>
      </c>
      <c r="K4526" s="12" t="s">
        <v>3075</v>
      </c>
      <c r="L4526" s="13" t="s">
        <v>3075</v>
      </c>
      <c r="M4526" s="9" t="s">
        <v>3075</v>
      </c>
    </row>
    <row r="4527" ht="15.75" customHeight="1">
      <c r="A4527" s="8"/>
      <c r="B4527" s="8"/>
      <c r="C4527" s="8"/>
      <c r="D4527" s="8">
        <v>7.78316135116057</v>
      </c>
      <c r="E4527" s="9" t="s">
        <v>322</v>
      </c>
      <c r="I4527" s="12"/>
      <c r="J4527" s="11">
        <v>0.0</v>
      </c>
      <c r="K4527" s="12" t="s">
        <v>3075</v>
      </c>
      <c r="L4527" s="13" t="s">
        <v>3075</v>
      </c>
      <c r="M4527" s="9" t="s">
        <v>3075</v>
      </c>
    </row>
    <row r="4528" ht="15.75" customHeight="1">
      <c r="A4528" s="8"/>
      <c r="B4528" s="8"/>
      <c r="C4528" s="8"/>
      <c r="D4528" s="8">
        <v>1.79298412126205</v>
      </c>
      <c r="E4528" s="9" t="s">
        <v>331</v>
      </c>
      <c r="I4528" s="12"/>
      <c r="J4528" s="11">
        <v>0.0</v>
      </c>
      <c r="K4528" s="12" t="s">
        <v>3075</v>
      </c>
      <c r="L4528" s="13" t="s">
        <v>3075</v>
      </c>
      <c r="M4528" s="9" t="s">
        <v>3075</v>
      </c>
    </row>
    <row r="4529" ht="15.75" customHeight="1">
      <c r="A4529" s="8"/>
      <c r="B4529" s="8"/>
      <c r="C4529" s="8"/>
      <c r="D4529" s="8">
        <v>22.2368200264159</v>
      </c>
      <c r="E4529" s="9" t="s">
        <v>334</v>
      </c>
      <c r="I4529" s="12"/>
      <c r="J4529" s="11">
        <v>0.0</v>
      </c>
      <c r="K4529" s="12" t="s">
        <v>3075</v>
      </c>
      <c r="L4529" s="13" t="s">
        <v>3075</v>
      </c>
      <c r="M4529" s="9" t="s">
        <v>3075</v>
      </c>
    </row>
    <row r="4530" ht="15.75" customHeight="1">
      <c r="A4530" s="8"/>
      <c r="B4530" s="8"/>
      <c r="C4530" s="8"/>
      <c r="D4530" s="8">
        <v>1.94579033779014</v>
      </c>
      <c r="E4530" s="9" t="s">
        <v>335</v>
      </c>
      <c r="I4530" s="12"/>
      <c r="J4530" s="11">
        <v>0.0</v>
      </c>
      <c r="K4530" s="12" t="s">
        <v>3075</v>
      </c>
      <c r="L4530" s="13" t="s">
        <v>3075</v>
      </c>
      <c r="M4530" s="9" t="s">
        <v>3075</v>
      </c>
    </row>
    <row r="4531" ht="15.75" customHeight="1">
      <c r="A4531" s="8"/>
      <c r="B4531" s="8"/>
      <c r="C4531" s="8"/>
      <c r="D4531" s="8">
        <v>0.0012050113946953</v>
      </c>
      <c r="E4531" s="9" t="s">
        <v>336</v>
      </c>
      <c r="I4531" s="12"/>
      <c r="J4531" s="11">
        <v>0.0</v>
      </c>
      <c r="K4531" s="12" t="s">
        <v>3075</v>
      </c>
      <c r="L4531" s="13" t="s">
        <v>3075</v>
      </c>
      <c r="M4531" s="9" t="s">
        <v>3075</v>
      </c>
    </row>
    <row r="4532" ht="15.75" customHeight="1">
      <c r="A4532" s="8"/>
      <c r="B4532" s="8"/>
      <c r="C4532" s="8"/>
      <c r="D4532" s="8">
        <v>64.8337340551676</v>
      </c>
      <c r="E4532" s="9" t="s">
        <v>3202</v>
      </c>
      <c r="I4532" s="12"/>
      <c r="J4532" s="11">
        <v>0.0</v>
      </c>
      <c r="K4532" s="12" t="s">
        <v>3075</v>
      </c>
      <c r="L4532" s="13" t="s">
        <v>3075</v>
      </c>
      <c r="M4532" s="9" t="s">
        <v>3075</v>
      </c>
    </row>
    <row r="4533" ht="15.75" customHeight="1">
      <c r="A4533" s="8"/>
      <c r="B4533" s="8"/>
      <c r="C4533" s="8"/>
      <c r="D4533" s="8">
        <v>9.80957392819071</v>
      </c>
      <c r="E4533" s="9" t="s">
        <v>340</v>
      </c>
      <c r="I4533" s="12"/>
      <c r="J4533" s="11">
        <v>0.0</v>
      </c>
      <c r="K4533" s="12" t="s">
        <v>3075</v>
      </c>
      <c r="L4533" s="13" t="s">
        <v>3075</v>
      </c>
      <c r="M4533" s="9" t="s">
        <v>3075</v>
      </c>
    </row>
    <row r="4534" ht="15.75" customHeight="1">
      <c r="A4534" s="8"/>
      <c r="B4534" s="8"/>
      <c r="C4534" s="8"/>
      <c r="D4534" s="8">
        <v>66.1568714848649</v>
      </c>
      <c r="E4534" s="9" t="s">
        <v>343</v>
      </c>
      <c r="I4534" s="12"/>
      <c r="J4534" s="11">
        <v>0.0</v>
      </c>
      <c r="K4534" s="12" t="s">
        <v>3075</v>
      </c>
      <c r="L4534" s="13" t="s">
        <v>3075</v>
      </c>
      <c r="M4534" s="9" t="s">
        <v>3075</v>
      </c>
    </row>
    <row r="4535" ht="15.75" customHeight="1">
      <c r="A4535" s="8"/>
      <c r="B4535" s="8"/>
      <c r="C4535" s="8"/>
      <c r="D4535" s="8">
        <v>20.5469828467896</v>
      </c>
      <c r="E4535" s="9" t="s">
        <v>3203</v>
      </c>
      <c r="I4535" s="12"/>
      <c r="J4535" s="11">
        <v>0.0</v>
      </c>
      <c r="K4535" s="12" t="s">
        <v>3075</v>
      </c>
      <c r="L4535" s="13" t="s">
        <v>3075</v>
      </c>
      <c r="M4535" s="9" t="s">
        <v>3075</v>
      </c>
    </row>
    <row r="4536" ht="15.75" customHeight="1">
      <c r="A4536" s="8"/>
      <c r="B4536" s="8"/>
      <c r="C4536" s="8"/>
      <c r="D4536" s="8">
        <v>2.14036937156915</v>
      </c>
      <c r="E4536" s="9" t="s">
        <v>347</v>
      </c>
      <c r="I4536" s="12"/>
      <c r="J4536" s="11">
        <v>0.0</v>
      </c>
      <c r="K4536" s="12" t="s">
        <v>3075</v>
      </c>
      <c r="L4536" s="13" t="s">
        <v>3075</v>
      </c>
      <c r="M4536" s="9" t="s">
        <v>3075</v>
      </c>
    </row>
    <row r="4537" ht="15.75" customHeight="1">
      <c r="A4537" s="8"/>
      <c r="B4537" s="8"/>
      <c r="C4537" s="8"/>
      <c r="D4537" s="8">
        <v>0.933979362139269</v>
      </c>
      <c r="E4537" s="9" t="s">
        <v>348</v>
      </c>
      <c r="I4537" s="12"/>
      <c r="J4537" s="11">
        <v>0.0</v>
      </c>
      <c r="K4537" s="12" t="s">
        <v>3075</v>
      </c>
      <c r="L4537" s="13" t="s">
        <v>3075</v>
      </c>
      <c r="M4537" s="9" t="s">
        <v>3075</v>
      </c>
    </row>
    <row r="4538" ht="15.75" customHeight="1">
      <c r="A4538" s="8"/>
      <c r="B4538" s="8"/>
      <c r="C4538" s="8"/>
      <c r="D4538" s="8">
        <v>258.207083530062</v>
      </c>
      <c r="E4538" s="9" t="s">
        <v>349</v>
      </c>
      <c r="I4538" s="12"/>
      <c r="J4538" s="11">
        <v>0.0</v>
      </c>
      <c r="K4538" s="12" t="s">
        <v>3075</v>
      </c>
      <c r="L4538" s="13" t="s">
        <v>3075</v>
      </c>
      <c r="M4538" s="9" t="s">
        <v>3075</v>
      </c>
    </row>
    <row r="4539" ht="15.75" customHeight="1">
      <c r="A4539" s="8"/>
      <c r="B4539" s="8"/>
      <c r="C4539" s="8"/>
      <c r="D4539" s="8">
        <v>27.2817509723476</v>
      </c>
      <c r="E4539" s="9" t="s">
        <v>350</v>
      </c>
      <c r="I4539" s="12"/>
      <c r="J4539" s="11">
        <v>0.0</v>
      </c>
      <c r="K4539" s="12" t="s">
        <v>3075</v>
      </c>
      <c r="L4539" s="13" t="s">
        <v>3075</v>
      </c>
      <c r="M4539" s="9" t="s">
        <v>3075</v>
      </c>
    </row>
    <row r="4540" ht="15.75" customHeight="1">
      <c r="A4540" s="8"/>
      <c r="B4540" s="8"/>
      <c r="C4540" s="8"/>
      <c r="D4540" s="8">
        <v>86.7433332586846</v>
      </c>
      <c r="E4540" s="9" t="s">
        <v>355</v>
      </c>
      <c r="I4540" s="12"/>
      <c r="J4540" s="11">
        <v>0.0</v>
      </c>
      <c r="K4540" s="12" t="s">
        <v>3075</v>
      </c>
      <c r="L4540" s="13" t="s">
        <v>3075</v>
      </c>
      <c r="M4540" s="9" t="s">
        <v>3075</v>
      </c>
    </row>
    <row r="4541" ht="15.75" customHeight="1">
      <c r="A4541" s="8"/>
      <c r="B4541" s="8"/>
      <c r="C4541" s="8"/>
      <c r="D4541" s="8">
        <v>79.4489862212429</v>
      </c>
      <c r="E4541" s="9" t="s">
        <v>357</v>
      </c>
      <c r="I4541" s="12"/>
      <c r="J4541" s="11">
        <v>0.0</v>
      </c>
      <c r="K4541" s="12" t="s">
        <v>3075</v>
      </c>
      <c r="L4541" s="13" t="s">
        <v>3075</v>
      </c>
      <c r="M4541" s="9" t="s">
        <v>3075</v>
      </c>
    </row>
    <row r="4542" ht="15.75" customHeight="1">
      <c r="A4542" s="8"/>
      <c r="B4542" s="8"/>
      <c r="C4542" s="8"/>
      <c r="D4542" s="8">
        <v>1.8538241424294</v>
      </c>
      <c r="E4542" s="9" t="s">
        <v>3064</v>
      </c>
      <c r="I4542" s="12"/>
      <c r="J4542" s="11">
        <v>0.0</v>
      </c>
      <c r="K4542" s="12" t="s">
        <v>3075</v>
      </c>
      <c r="L4542" s="13" t="s">
        <v>3075</v>
      </c>
      <c r="M4542" s="9" t="s">
        <v>3075</v>
      </c>
    </row>
    <row r="4543" ht="15.75" customHeight="1">
      <c r="A4543" s="8"/>
      <c r="B4543" s="8"/>
      <c r="C4543" s="8"/>
      <c r="D4543" s="8">
        <v>9.735798555099</v>
      </c>
      <c r="E4543" s="9" t="s">
        <v>374</v>
      </c>
      <c r="I4543" s="12"/>
      <c r="J4543" s="11">
        <v>0.0</v>
      </c>
      <c r="K4543" s="12" t="s">
        <v>3075</v>
      </c>
      <c r="L4543" s="13" t="s">
        <v>3075</v>
      </c>
      <c r="M4543" s="9" t="s">
        <v>3075</v>
      </c>
    </row>
    <row r="4544" ht="15.75" customHeight="1">
      <c r="A4544" s="8"/>
      <c r="B4544" s="8"/>
      <c r="C4544" s="8"/>
      <c r="D4544" s="8">
        <v>1.44164310779359</v>
      </c>
      <c r="E4544" s="9" t="s">
        <v>3204</v>
      </c>
      <c r="I4544" s="12"/>
      <c r="J4544" s="11">
        <v>0.0</v>
      </c>
      <c r="K4544" s="12" t="s">
        <v>3075</v>
      </c>
      <c r="L4544" s="13" t="s">
        <v>3075</v>
      </c>
      <c r="M4544" s="9" t="s">
        <v>3075</v>
      </c>
    </row>
    <row r="4545" ht="15.75" customHeight="1">
      <c r="A4545" s="8"/>
      <c r="B4545" s="8"/>
      <c r="C4545" s="8"/>
      <c r="D4545" s="8">
        <v>8.65196153728755</v>
      </c>
      <c r="E4545" s="9" t="s">
        <v>377</v>
      </c>
      <c r="I4545" s="12"/>
      <c r="J4545" s="11">
        <v>0.0</v>
      </c>
      <c r="K4545" s="12" t="s">
        <v>3075</v>
      </c>
      <c r="L4545" s="13" t="s">
        <v>3075</v>
      </c>
      <c r="M4545" s="9" t="s">
        <v>3075</v>
      </c>
    </row>
    <row r="4546" ht="15.75" customHeight="1">
      <c r="A4546" s="8"/>
      <c r="B4546" s="8"/>
      <c r="C4546" s="8"/>
      <c r="D4546" s="8">
        <v>11.6888945152234</v>
      </c>
      <c r="E4546" s="9" t="s">
        <v>387</v>
      </c>
      <c r="I4546" s="12"/>
      <c r="J4546" s="11">
        <v>0.0</v>
      </c>
      <c r="K4546" s="12" t="s">
        <v>3075</v>
      </c>
      <c r="L4546" s="13" t="s">
        <v>3075</v>
      </c>
      <c r="M4546" s="9" t="s">
        <v>3075</v>
      </c>
    </row>
    <row r="4547" ht="15.75" customHeight="1">
      <c r="A4547" s="8"/>
      <c r="B4547" s="8"/>
      <c r="C4547" s="8"/>
      <c r="D4547" s="8">
        <v>1.94579033779014</v>
      </c>
      <c r="E4547" s="9" t="s">
        <v>388</v>
      </c>
      <c r="I4547" s="12"/>
      <c r="J4547" s="11">
        <v>0.0</v>
      </c>
      <c r="K4547" s="12" t="s">
        <v>3075</v>
      </c>
      <c r="L4547" s="13" t="s">
        <v>3075</v>
      </c>
      <c r="M4547" s="9" t="s">
        <v>3075</v>
      </c>
    </row>
    <row r="4548" ht="15.75" customHeight="1">
      <c r="A4548" s="8"/>
      <c r="B4548" s="8"/>
      <c r="C4548" s="8"/>
      <c r="D4548" s="8">
        <v>890.860648253839</v>
      </c>
      <c r="E4548" s="9" t="s">
        <v>391</v>
      </c>
      <c r="I4548" s="12"/>
      <c r="J4548" s="11">
        <v>0.0</v>
      </c>
      <c r="K4548" s="12" t="s">
        <v>3075</v>
      </c>
      <c r="L4548" s="13" t="s">
        <v>3075</v>
      </c>
      <c r="M4548" s="9" t="s">
        <v>3075</v>
      </c>
    </row>
    <row r="4549" ht="15.75" customHeight="1">
      <c r="A4549" s="8"/>
      <c r="B4549" s="8"/>
      <c r="C4549" s="8"/>
      <c r="D4549" s="8">
        <v>10.613274831834</v>
      </c>
      <c r="E4549" s="9" t="s">
        <v>398</v>
      </c>
      <c r="I4549" s="12"/>
      <c r="J4549" s="11">
        <v>0.0</v>
      </c>
      <c r="K4549" s="12" t="s">
        <v>3075</v>
      </c>
      <c r="L4549" s="13" t="s">
        <v>3075</v>
      </c>
      <c r="M4549" s="9" t="s">
        <v>3075</v>
      </c>
    </row>
    <row r="4550" ht="15.75" customHeight="1">
      <c r="A4550" s="8"/>
      <c r="B4550" s="8"/>
      <c r="C4550" s="8"/>
      <c r="D4550" s="8">
        <v>66.1568714848649</v>
      </c>
      <c r="E4550" s="9" t="s">
        <v>404</v>
      </c>
      <c r="I4550" s="12"/>
      <c r="J4550" s="11">
        <v>0.0</v>
      </c>
      <c r="K4550" s="12" t="s">
        <v>3075</v>
      </c>
      <c r="L4550" s="13" t="s">
        <v>3075</v>
      </c>
      <c r="M4550" s="9" t="s">
        <v>3075</v>
      </c>
    </row>
    <row r="4551" ht="15.75" customHeight="1">
      <c r="A4551" s="8"/>
      <c r="B4551" s="8"/>
      <c r="C4551" s="8"/>
      <c r="D4551" s="8">
        <v>22.1119846767985</v>
      </c>
      <c r="E4551" s="9" t="s">
        <v>424</v>
      </c>
      <c r="I4551" s="12"/>
      <c r="J4551" s="11">
        <v>0.0</v>
      </c>
      <c r="K4551" s="12" t="s">
        <v>3075</v>
      </c>
      <c r="L4551" s="13" t="s">
        <v>3075</v>
      </c>
      <c r="M4551" s="9" t="s">
        <v>3075</v>
      </c>
    </row>
    <row r="4552" ht="15.75" customHeight="1">
      <c r="A4552" s="8"/>
      <c r="B4552" s="8"/>
      <c r="C4552" s="8"/>
      <c r="D4552" s="8">
        <v>1.95879411537471</v>
      </c>
      <c r="E4552" s="9" t="s">
        <v>3205</v>
      </c>
      <c r="I4552" s="12"/>
      <c r="J4552" s="11">
        <v>0.0</v>
      </c>
      <c r="K4552" s="12" t="s">
        <v>3075</v>
      </c>
      <c r="L4552" s="13" t="s">
        <v>3075</v>
      </c>
      <c r="M4552" s="9" t="s">
        <v>3075</v>
      </c>
    </row>
    <row r="4553" ht="15.75" customHeight="1">
      <c r="A4553" s="8"/>
      <c r="B4553" s="8"/>
      <c r="C4553" s="8"/>
      <c r="D4553" s="8">
        <v>1.90527482240334</v>
      </c>
      <c r="E4553" s="9" t="s">
        <v>426</v>
      </c>
      <c r="I4553" s="12"/>
      <c r="J4553" s="11">
        <v>0.0</v>
      </c>
      <c r="K4553" s="12" t="s">
        <v>3075</v>
      </c>
      <c r="L4553" s="13" t="s">
        <v>3075</v>
      </c>
      <c r="M4553" s="9" t="s">
        <v>3075</v>
      </c>
    </row>
    <row r="4554" ht="15.75" customHeight="1">
      <c r="A4554" s="8"/>
      <c r="B4554" s="8"/>
      <c r="C4554" s="8"/>
      <c r="D4554" s="8">
        <v>1.74023009718632</v>
      </c>
      <c r="E4554" s="9" t="s">
        <v>427</v>
      </c>
      <c r="I4554" s="12"/>
      <c r="J4554" s="11">
        <v>0.0</v>
      </c>
      <c r="K4554" s="12" t="s">
        <v>3075</v>
      </c>
      <c r="L4554" s="13" t="s">
        <v>3075</v>
      </c>
      <c r="M4554" s="9" t="s">
        <v>3075</v>
      </c>
    </row>
    <row r="4555" ht="15.75" customHeight="1">
      <c r="A4555" s="8"/>
      <c r="B4555" s="8"/>
      <c r="C4555" s="8"/>
      <c r="D4555" s="8">
        <v>7.80173771484859</v>
      </c>
      <c r="E4555" s="9" t="s">
        <v>436</v>
      </c>
      <c r="I4555" s="12"/>
      <c r="J4555" s="11">
        <v>0.0</v>
      </c>
      <c r="K4555" s="12" t="s">
        <v>3075</v>
      </c>
      <c r="L4555" s="13" t="s">
        <v>3075</v>
      </c>
      <c r="M4555" s="9" t="s">
        <v>3075</v>
      </c>
    </row>
    <row r="4556" ht="15.75" customHeight="1">
      <c r="A4556" s="8"/>
      <c r="B4556" s="8"/>
      <c r="C4556" s="8"/>
      <c r="D4556" s="8">
        <v>1.97580264179363</v>
      </c>
      <c r="E4556" s="9" t="s">
        <v>3206</v>
      </c>
      <c r="I4556" s="12"/>
      <c r="J4556" s="11">
        <v>0.0</v>
      </c>
      <c r="K4556" s="12" t="s">
        <v>3075</v>
      </c>
      <c r="L4556" s="13" t="s">
        <v>3075</v>
      </c>
      <c r="M4556" s="9" t="s">
        <v>3075</v>
      </c>
    </row>
    <row r="4557" ht="15.75" customHeight="1">
      <c r="A4557" s="8"/>
      <c r="B4557" s="8"/>
      <c r="C4557" s="8"/>
      <c r="D4557" s="8">
        <v>25.4235480341525</v>
      </c>
      <c r="E4557" s="9" t="s">
        <v>442</v>
      </c>
      <c r="I4557" s="12"/>
      <c r="J4557" s="11">
        <v>0.0</v>
      </c>
      <c r="K4557" s="12" t="s">
        <v>3075</v>
      </c>
      <c r="L4557" s="13" t="s">
        <v>3075</v>
      </c>
      <c r="M4557" s="9" t="s">
        <v>3075</v>
      </c>
    </row>
    <row r="4558" ht="15.75" customHeight="1">
      <c r="A4558" s="8"/>
      <c r="B4558" s="8"/>
      <c r="C4558" s="8"/>
      <c r="D4558" s="8">
        <v>5.83737101337043</v>
      </c>
      <c r="E4558" s="9" t="s">
        <v>444</v>
      </c>
      <c r="I4558" s="12"/>
      <c r="J4558" s="11">
        <v>0.0</v>
      </c>
      <c r="K4558" s="12" t="s">
        <v>3075</v>
      </c>
      <c r="L4558" s="13" t="s">
        <v>3075</v>
      </c>
      <c r="M4558" s="9" t="s">
        <v>3075</v>
      </c>
    </row>
    <row r="4559" ht="15.75" customHeight="1">
      <c r="A4559" s="8"/>
      <c r="B4559" s="8"/>
      <c r="C4559" s="8"/>
      <c r="D4559" s="8">
        <v>1.90461288602671</v>
      </c>
      <c r="E4559" s="9" t="s">
        <v>447</v>
      </c>
      <c r="I4559" s="12"/>
      <c r="J4559" s="11">
        <v>0.0</v>
      </c>
      <c r="K4559" s="12" t="s">
        <v>3075</v>
      </c>
      <c r="L4559" s="13" t="s">
        <v>3075</v>
      </c>
      <c r="M4559" s="9" t="s">
        <v>3075</v>
      </c>
    </row>
    <row r="4560" ht="15.75" customHeight="1">
      <c r="A4560" s="8"/>
      <c r="B4560" s="8"/>
      <c r="C4560" s="8"/>
      <c r="D4560" s="8">
        <v>39.051233763313</v>
      </c>
      <c r="E4560" s="9" t="s">
        <v>449</v>
      </c>
      <c r="I4560" s="12"/>
      <c r="J4560" s="11">
        <v>0.0</v>
      </c>
      <c r="K4560" s="12" t="s">
        <v>3075</v>
      </c>
      <c r="L4560" s="13" t="s">
        <v>3075</v>
      </c>
      <c r="M4560" s="9" t="s">
        <v>3075</v>
      </c>
    </row>
    <row r="4561" ht="15.75" customHeight="1">
      <c r="A4561" s="8"/>
      <c r="B4561" s="8"/>
      <c r="C4561" s="8"/>
      <c r="D4561" s="8">
        <v>66.0301219306775</v>
      </c>
      <c r="E4561" s="9" t="s">
        <v>450</v>
      </c>
      <c r="I4561" s="12"/>
      <c r="J4561" s="11">
        <v>0.0</v>
      </c>
      <c r="K4561" s="12" t="s">
        <v>3075</v>
      </c>
      <c r="L4561" s="13" t="s">
        <v>3075</v>
      </c>
      <c r="M4561" s="9" t="s">
        <v>3075</v>
      </c>
    </row>
    <row r="4562" ht="15.75" customHeight="1">
      <c r="A4562" s="8"/>
      <c r="B4562" s="8"/>
      <c r="C4562" s="8"/>
      <c r="D4562" s="8">
        <v>0.191490075234217</v>
      </c>
      <c r="E4562" s="9" t="s">
        <v>3207</v>
      </c>
      <c r="I4562" s="12"/>
      <c r="J4562" s="11">
        <v>0.0</v>
      </c>
      <c r="K4562" s="12" t="s">
        <v>3075</v>
      </c>
      <c r="L4562" s="13" t="s">
        <v>3075</v>
      </c>
      <c r="M4562" s="9" t="s">
        <v>3075</v>
      </c>
    </row>
    <row r="4563" ht="15.75" customHeight="1">
      <c r="A4563" s="8"/>
      <c r="B4563" s="8"/>
      <c r="C4563" s="8"/>
      <c r="D4563" s="8">
        <v>15.1634195718169</v>
      </c>
      <c r="E4563" s="9" t="s">
        <v>3208</v>
      </c>
      <c r="I4563" s="12"/>
      <c r="J4563" s="11">
        <v>0.0</v>
      </c>
      <c r="K4563" s="12" t="s">
        <v>3075</v>
      </c>
      <c r="L4563" s="13" t="s">
        <v>3075</v>
      </c>
      <c r="M4563" s="9" t="s">
        <v>3075</v>
      </c>
    </row>
    <row r="4564" ht="15.75" customHeight="1">
      <c r="A4564" s="8"/>
      <c r="B4564" s="8"/>
      <c r="C4564" s="8"/>
      <c r="D4564" s="8">
        <v>2.49691158273744</v>
      </c>
      <c r="E4564" s="9" t="s">
        <v>458</v>
      </c>
      <c r="I4564" s="12"/>
      <c r="J4564" s="11">
        <v>0.0</v>
      </c>
      <c r="K4564" s="12" t="s">
        <v>3075</v>
      </c>
      <c r="L4564" s="13" t="s">
        <v>3075</v>
      </c>
      <c r="M4564" s="9" t="s">
        <v>3075</v>
      </c>
    </row>
    <row r="4565" ht="15.75" customHeight="1">
      <c r="A4565" s="8"/>
      <c r="B4565" s="8"/>
      <c r="C4565" s="8"/>
      <c r="D4565" s="8">
        <v>1.94579033779014</v>
      </c>
      <c r="E4565" s="9" t="s">
        <v>471</v>
      </c>
      <c r="I4565" s="12"/>
      <c r="J4565" s="11">
        <v>0.0</v>
      </c>
      <c r="K4565" s="12" t="s">
        <v>3075</v>
      </c>
      <c r="L4565" s="13" t="s">
        <v>3075</v>
      </c>
      <c r="M4565" s="9" t="s">
        <v>3075</v>
      </c>
    </row>
    <row r="4566" ht="15.75" customHeight="1">
      <c r="A4566" s="8"/>
      <c r="B4566" s="8"/>
      <c r="C4566" s="8"/>
      <c r="D4566" s="8">
        <v>0.778316135116057</v>
      </c>
      <c r="E4566" s="9" t="s">
        <v>474</v>
      </c>
      <c r="I4566" s="12"/>
      <c r="J4566" s="11">
        <v>0.0</v>
      </c>
      <c r="K4566" s="12" t="s">
        <v>3075</v>
      </c>
      <c r="L4566" s="13" t="s">
        <v>3075</v>
      </c>
      <c r="M4566" s="9" t="s">
        <v>3075</v>
      </c>
    </row>
    <row r="4567" ht="15.75" customHeight="1">
      <c r="A4567" s="8"/>
      <c r="B4567" s="8"/>
      <c r="C4567" s="8"/>
      <c r="D4567" s="8">
        <v>0.00940867169342806</v>
      </c>
      <c r="E4567" s="9" t="s">
        <v>477</v>
      </c>
      <c r="I4567" s="12"/>
      <c r="J4567" s="11">
        <v>0.0</v>
      </c>
      <c r="K4567" s="12" t="s">
        <v>3075</v>
      </c>
      <c r="L4567" s="13" t="s">
        <v>3075</v>
      </c>
      <c r="M4567" s="9" t="s">
        <v>3075</v>
      </c>
    </row>
    <row r="4568" ht="15.75" customHeight="1">
      <c r="A4568" s="8"/>
      <c r="B4568" s="8"/>
      <c r="C4568" s="8"/>
      <c r="D4568" s="8">
        <v>2.2344619212715</v>
      </c>
      <c r="E4568" s="9" t="s">
        <v>479</v>
      </c>
      <c r="I4568" s="12"/>
      <c r="J4568" s="11">
        <v>0.0</v>
      </c>
      <c r="K4568" s="12" t="s">
        <v>3075</v>
      </c>
      <c r="L4568" s="13" t="s">
        <v>3075</v>
      </c>
      <c r="M4568" s="9" t="s">
        <v>3075</v>
      </c>
    </row>
    <row r="4569" ht="15.75" customHeight="1">
      <c r="A4569" s="8"/>
      <c r="B4569" s="8"/>
      <c r="C4569" s="8"/>
      <c r="D4569" s="8">
        <v>86.0861654909766</v>
      </c>
      <c r="E4569" s="9" t="s">
        <v>483</v>
      </c>
      <c r="I4569" s="12"/>
      <c r="J4569" s="11">
        <v>0.0</v>
      </c>
      <c r="K4569" s="12" t="s">
        <v>3075</v>
      </c>
      <c r="L4569" s="13" t="s">
        <v>3075</v>
      </c>
      <c r="M4569" s="9" t="s">
        <v>3075</v>
      </c>
    </row>
    <row r="4570" ht="15.75" customHeight="1">
      <c r="A4570" s="8"/>
      <c r="B4570" s="8"/>
      <c r="C4570" s="8"/>
      <c r="D4570" s="8">
        <v>1.94137268911095</v>
      </c>
      <c r="E4570" s="9" t="s">
        <v>495</v>
      </c>
      <c r="I4570" s="12"/>
      <c r="J4570" s="11">
        <v>0.0</v>
      </c>
      <c r="K4570" s="12" t="s">
        <v>3075</v>
      </c>
      <c r="L4570" s="13" t="s">
        <v>3075</v>
      </c>
      <c r="M4570" s="9" t="s">
        <v>3075</v>
      </c>
    </row>
    <row r="4571" ht="15.75" customHeight="1">
      <c r="A4571" s="8"/>
      <c r="B4571" s="8"/>
      <c r="C4571" s="8"/>
      <c r="D4571" s="8">
        <v>46.8963255437942</v>
      </c>
      <c r="E4571" s="9" t="s">
        <v>497</v>
      </c>
      <c r="I4571" s="12"/>
      <c r="J4571" s="11">
        <v>0.0</v>
      </c>
      <c r="K4571" s="12" t="s">
        <v>3075</v>
      </c>
      <c r="L4571" s="13" t="s">
        <v>3075</v>
      </c>
      <c r="M4571" s="9" t="s">
        <v>3075</v>
      </c>
    </row>
    <row r="4572" ht="15.75" customHeight="1">
      <c r="A4572" s="8"/>
      <c r="B4572" s="8"/>
      <c r="C4572" s="8"/>
      <c r="D4572" s="8">
        <v>1.94579033779014</v>
      </c>
      <c r="E4572" s="9" t="s">
        <v>506</v>
      </c>
      <c r="I4572" s="12"/>
      <c r="J4572" s="11">
        <v>0.0</v>
      </c>
      <c r="K4572" s="12" t="s">
        <v>3075</v>
      </c>
      <c r="L4572" s="13" t="s">
        <v>3075</v>
      </c>
      <c r="M4572" s="9" t="s">
        <v>3075</v>
      </c>
    </row>
    <row r="4573" ht="15.75" customHeight="1">
      <c r="A4573" s="8"/>
      <c r="B4573" s="8"/>
      <c r="C4573" s="8"/>
      <c r="D4573" s="8">
        <v>1.94579033779014</v>
      </c>
      <c r="E4573" s="9" t="s">
        <v>3070</v>
      </c>
      <c r="I4573" s="12"/>
      <c r="J4573" s="11">
        <v>0.0</v>
      </c>
      <c r="K4573" s="12" t="s">
        <v>3075</v>
      </c>
      <c r="L4573" s="13" t="s">
        <v>3075</v>
      </c>
      <c r="M4573" s="9" t="s">
        <v>3075</v>
      </c>
    </row>
    <row r="4574" ht="15.75" customHeight="1">
      <c r="A4574" s="8"/>
      <c r="B4574" s="8"/>
      <c r="C4574" s="8"/>
      <c r="D4574" s="8">
        <v>183.750691672633</v>
      </c>
      <c r="E4574" s="9" t="s">
        <v>514</v>
      </c>
      <c r="I4574" s="12"/>
      <c r="J4574" s="11">
        <v>0.0</v>
      </c>
      <c r="K4574" s="12" t="s">
        <v>3075</v>
      </c>
      <c r="L4574" s="13" t="s">
        <v>3075</v>
      </c>
      <c r="M4574" s="9" t="s">
        <v>3075</v>
      </c>
    </row>
    <row r="4575" ht="15.75" customHeight="1">
      <c r="A4575" s="8"/>
      <c r="B4575" s="8"/>
      <c r="C4575" s="8"/>
      <c r="D4575" s="8">
        <v>11.6747420267408</v>
      </c>
      <c r="E4575" s="9" t="s">
        <v>518</v>
      </c>
      <c r="I4575" s="12"/>
      <c r="J4575" s="11">
        <v>0.0</v>
      </c>
      <c r="K4575" s="12" t="s">
        <v>3075</v>
      </c>
      <c r="L4575" s="13" t="s">
        <v>3075</v>
      </c>
      <c r="M4575" s="9" t="s">
        <v>3075</v>
      </c>
    </row>
    <row r="4576" ht="15.75" customHeight="1">
      <c r="A4576" s="8"/>
      <c r="B4576" s="8"/>
      <c r="C4576" s="8"/>
      <c r="D4576" s="8">
        <v>91.8618802445067</v>
      </c>
      <c r="E4576" s="9" t="s">
        <v>519</v>
      </c>
      <c r="I4576" s="12"/>
      <c r="J4576" s="11">
        <v>0.0</v>
      </c>
      <c r="K4576" s="12" t="s">
        <v>3075</v>
      </c>
      <c r="L4576" s="13" t="s">
        <v>3075</v>
      </c>
      <c r="M4576" s="9" t="s">
        <v>3075</v>
      </c>
    </row>
    <row r="4577" ht="15.75" customHeight="1">
      <c r="A4577" s="8"/>
      <c r="B4577" s="8"/>
      <c r="C4577" s="8"/>
      <c r="D4577" s="8">
        <v>50.5905487825437</v>
      </c>
      <c r="E4577" s="9" t="s">
        <v>532</v>
      </c>
      <c r="I4577" s="12"/>
      <c r="J4577" s="11">
        <v>0.0</v>
      </c>
      <c r="K4577" s="12" t="s">
        <v>3075</v>
      </c>
      <c r="L4577" s="13" t="s">
        <v>3075</v>
      </c>
      <c r="M4577" s="9" t="s">
        <v>3075</v>
      </c>
    </row>
    <row r="4578" ht="15.75" customHeight="1">
      <c r="A4578" s="8"/>
      <c r="B4578" s="8"/>
      <c r="C4578" s="8"/>
      <c r="D4578" s="8">
        <v>1.94579033779014</v>
      </c>
      <c r="E4578" s="9" t="s">
        <v>3209</v>
      </c>
      <c r="I4578" s="12"/>
      <c r="J4578" s="11">
        <v>0.0</v>
      </c>
      <c r="K4578" s="12" t="s">
        <v>3075</v>
      </c>
      <c r="L4578" s="13" t="s">
        <v>3075</v>
      </c>
      <c r="M4578" s="9" t="s">
        <v>3075</v>
      </c>
    </row>
    <row r="4579" ht="15.75" customHeight="1">
      <c r="A4579" s="8"/>
      <c r="B4579" s="8"/>
      <c r="C4579" s="8"/>
      <c r="D4579" s="8">
        <v>1.94579033779014</v>
      </c>
      <c r="E4579" s="9" t="s">
        <v>545</v>
      </c>
      <c r="I4579" s="12"/>
      <c r="J4579" s="11">
        <v>0.0</v>
      </c>
      <c r="K4579" s="12" t="s">
        <v>3075</v>
      </c>
      <c r="L4579" s="13" t="s">
        <v>3075</v>
      </c>
      <c r="M4579" s="9" t="s">
        <v>3075</v>
      </c>
    </row>
    <row r="4580" ht="15.75" customHeight="1">
      <c r="A4580" s="8"/>
      <c r="B4580" s="8"/>
      <c r="C4580" s="8"/>
      <c r="D4580" s="8">
        <v>1.94579033779014</v>
      </c>
      <c r="E4580" s="9" t="s">
        <v>547</v>
      </c>
      <c r="I4580" s="12"/>
      <c r="J4580" s="11">
        <v>0.0</v>
      </c>
      <c r="K4580" s="12" t="s">
        <v>3075</v>
      </c>
      <c r="L4580" s="13" t="s">
        <v>3075</v>
      </c>
      <c r="M4580" s="9" t="s">
        <v>3075</v>
      </c>
    </row>
    <row r="4581" ht="15.75" customHeight="1">
      <c r="A4581" s="8"/>
      <c r="B4581" s="8"/>
      <c r="C4581" s="8"/>
      <c r="D4581" s="8">
        <v>1.72104403516198</v>
      </c>
      <c r="E4581" s="9" t="s">
        <v>548</v>
      </c>
      <c r="I4581" s="12"/>
      <c r="J4581" s="11">
        <v>0.0</v>
      </c>
      <c r="K4581" s="12" t="s">
        <v>3075</v>
      </c>
      <c r="L4581" s="13" t="s">
        <v>3075</v>
      </c>
      <c r="M4581" s="9" t="s">
        <v>3075</v>
      </c>
    </row>
    <row r="4582" ht="15.75" customHeight="1">
      <c r="A4582" s="8"/>
      <c r="B4582" s="8"/>
      <c r="C4582" s="8"/>
      <c r="D4582" s="8">
        <v>1.31101748422558</v>
      </c>
      <c r="E4582" s="9" t="s">
        <v>550</v>
      </c>
      <c r="I4582" s="12"/>
      <c r="J4582" s="11">
        <v>0.0</v>
      </c>
      <c r="K4582" s="12" t="s">
        <v>3075</v>
      </c>
      <c r="L4582" s="13" t="s">
        <v>3075</v>
      </c>
      <c r="M4582" s="9" t="s">
        <v>3075</v>
      </c>
    </row>
    <row r="4583" ht="15.75" customHeight="1">
      <c r="A4583" s="8"/>
      <c r="B4583" s="8"/>
      <c r="C4583" s="8"/>
      <c r="D4583" s="8">
        <v>28.4085389317361</v>
      </c>
      <c r="E4583" s="9" t="s">
        <v>557</v>
      </c>
      <c r="I4583" s="12"/>
      <c r="J4583" s="11">
        <v>0.0</v>
      </c>
      <c r="K4583" s="12" t="s">
        <v>3075</v>
      </c>
      <c r="L4583" s="13" t="s">
        <v>3075</v>
      </c>
      <c r="M4583" s="9" t="s">
        <v>3075</v>
      </c>
    </row>
    <row r="4584" ht="15.75" customHeight="1">
      <c r="A4584" s="8"/>
      <c r="B4584" s="8"/>
      <c r="C4584" s="8"/>
      <c r="D4584" s="8">
        <v>11.6747420267408</v>
      </c>
      <c r="E4584" s="9" t="s">
        <v>564</v>
      </c>
      <c r="I4584" s="12"/>
      <c r="J4584" s="11">
        <v>0.0</v>
      </c>
      <c r="K4584" s="12" t="s">
        <v>3075</v>
      </c>
      <c r="L4584" s="13" t="s">
        <v>3075</v>
      </c>
      <c r="M4584" s="9" t="s">
        <v>3075</v>
      </c>
    </row>
    <row r="4585" ht="15.75" customHeight="1">
      <c r="A4585" s="8"/>
      <c r="B4585" s="8"/>
      <c r="C4585" s="8"/>
      <c r="D4585" s="8">
        <v>1.94579033779014</v>
      </c>
      <c r="E4585" s="9" t="s">
        <v>565</v>
      </c>
      <c r="I4585" s="12"/>
      <c r="J4585" s="11">
        <v>0.0</v>
      </c>
      <c r="K4585" s="12" t="s">
        <v>3075</v>
      </c>
      <c r="L4585" s="13" t="s">
        <v>3075</v>
      </c>
      <c r="M4585" s="9" t="s">
        <v>3075</v>
      </c>
    </row>
    <row r="4586" ht="15.75" customHeight="1">
      <c r="A4586" s="8"/>
      <c r="B4586" s="8"/>
      <c r="C4586" s="8"/>
      <c r="D4586" s="8">
        <v>58.4909895681979</v>
      </c>
      <c r="E4586" s="9" t="s">
        <v>571</v>
      </c>
      <c r="I4586" s="12"/>
      <c r="J4586" s="11">
        <v>0.0</v>
      </c>
      <c r="K4586" s="12" t="s">
        <v>3075</v>
      </c>
      <c r="L4586" s="13" t="s">
        <v>3075</v>
      </c>
      <c r="M4586" s="9" t="s">
        <v>3075</v>
      </c>
    </row>
    <row r="4587" ht="15.75" customHeight="1">
      <c r="A4587" s="8"/>
      <c r="B4587" s="8"/>
      <c r="C4587" s="8"/>
      <c r="D4587" s="8">
        <v>11.6747420267408</v>
      </c>
      <c r="E4587" s="9" t="s">
        <v>577</v>
      </c>
      <c r="I4587" s="12"/>
      <c r="J4587" s="11">
        <v>0.0</v>
      </c>
      <c r="K4587" s="12" t="s">
        <v>3075</v>
      </c>
      <c r="L4587" s="13" t="s">
        <v>3075</v>
      </c>
      <c r="M4587" s="9" t="s">
        <v>3075</v>
      </c>
    </row>
    <row r="4588" ht="15.75" customHeight="1">
      <c r="A4588" s="8"/>
      <c r="B4588" s="8"/>
      <c r="C4588" s="8"/>
      <c r="D4588" s="8">
        <v>11.6747420267408</v>
      </c>
      <c r="E4588" s="9" t="s">
        <v>580</v>
      </c>
      <c r="I4588" s="12"/>
      <c r="J4588" s="11">
        <v>0.0</v>
      </c>
      <c r="K4588" s="12" t="s">
        <v>3075</v>
      </c>
      <c r="L4588" s="13" t="s">
        <v>3075</v>
      </c>
      <c r="M4588" s="9" t="s">
        <v>3075</v>
      </c>
    </row>
    <row r="4589" ht="15.75" customHeight="1">
      <c r="A4589" s="8"/>
      <c r="B4589" s="8"/>
      <c r="C4589" s="8"/>
      <c r="D4589" s="8">
        <v>66.1568714848649</v>
      </c>
      <c r="E4589" s="9" t="s">
        <v>582</v>
      </c>
      <c r="I4589" s="12"/>
      <c r="J4589" s="11">
        <v>0.0</v>
      </c>
      <c r="K4589" s="12" t="s">
        <v>3075</v>
      </c>
      <c r="L4589" s="13" t="s">
        <v>3075</v>
      </c>
      <c r="M4589" s="9" t="s">
        <v>3075</v>
      </c>
    </row>
    <row r="4590" ht="15.75" customHeight="1">
      <c r="A4590" s="8"/>
      <c r="B4590" s="8"/>
      <c r="C4590" s="8"/>
      <c r="D4590" s="8">
        <v>212.597052306951</v>
      </c>
      <c r="E4590" s="9" t="s">
        <v>591</v>
      </c>
      <c r="I4590" s="12"/>
      <c r="J4590" s="11">
        <v>0.0</v>
      </c>
      <c r="K4590" s="12" t="s">
        <v>3075</v>
      </c>
      <c r="L4590" s="13" t="s">
        <v>3075</v>
      </c>
      <c r="M4590" s="9" t="s">
        <v>3075</v>
      </c>
    </row>
    <row r="4591" ht="15.75" customHeight="1">
      <c r="A4591" s="8"/>
      <c r="B4591" s="8"/>
      <c r="C4591" s="8"/>
      <c r="D4591" s="8">
        <v>7.04332006728806</v>
      </c>
      <c r="E4591" s="9" t="s">
        <v>594</v>
      </c>
      <c r="I4591" s="12"/>
      <c r="J4591" s="11">
        <v>0.0</v>
      </c>
      <c r="K4591" s="12" t="s">
        <v>3075</v>
      </c>
      <c r="L4591" s="13" t="s">
        <v>3075</v>
      </c>
      <c r="M4591" s="9" t="s">
        <v>3075</v>
      </c>
    </row>
    <row r="4592" ht="15.75" customHeight="1">
      <c r="A4592" s="8"/>
      <c r="B4592" s="8"/>
      <c r="C4592" s="8"/>
      <c r="D4592" s="8">
        <v>54.1030494010471</v>
      </c>
      <c r="E4592" s="9" t="s">
        <v>598</v>
      </c>
      <c r="I4592" s="12"/>
      <c r="J4592" s="11">
        <v>0.0</v>
      </c>
      <c r="K4592" s="12" t="s">
        <v>3075</v>
      </c>
      <c r="L4592" s="13" t="s">
        <v>3075</v>
      </c>
      <c r="M4592" s="9" t="s">
        <v>3075</v>
      </c>
    </row>
    <row r="4593" ht="15.75" customHeight="1">
      <c r="A4593" s="8"/>
      <c r="B4593" s="8"/>
      <c r="C4593" s="8"/>
      <c r="D4593" s="8">
        <v>38.8085248799494</v>
      </c>
      <c r="E4593" s="9" t="s">
        <v>3210</v>
      </c>
      <c r="I4593" s="12"/>
      <c r="J4593" s="11">
        <v>0.0</v>
      </c>
      <c r="K4593" s="12" t="s">
        <v>3075</v>
      </c>
      <c r="L4593" s="13" t="s">
        <v>3075</v>
      </c>
      <c r="M4593" s="9" t="s">
        <v>3075</v>
      </c>
    </row>
    <row r="4594" ht="15.75" customHeight="1">
      <c r="A4594" s="8"/>
      <c r="B4594" s="8"/>
      <c r="C4594" s="8"/>
      <c r="D4594" s="8">
        <v>212.991245486</v>
      </c>
      <c r="E4594" s="9" t="s">
        <v>604</v>
      </c>
      <c r="I4594" s="12"/>
      <c r="J4594" s="11">
        <v>0.0</v>
      </c>
      <c r="K4594" s="12" t="s">
        <v>3075</v>
      </c>
      <c r="L4594" s="13" t="s">
        <v>3075</v>
      </c>
      <c r="M4594" s="9" t="s">
        <v>3075</v>
      </c>
    </row>
    <row r="4595" ht="15.75" customHeight="1">
      <c r="A4595" s="8"/>
      <c r="B4595" s="8"/>
      <c r="C4595" s="8"/>
      <c r="D4595" s="8">
        <v>9.72895168895072</v>
      </c>
      <c r="E4595" s="9" t="s">
        <v>3211</v>
      </c>
      <c r="I4595" s="12"/>
      <c r="J4595" s="11">
        <v>0.0</v>
      </c>
      <c r="K4595" s="12" t="s">
        <v>3075</v>
      </c>
      <c r="L4595" s="13" t="s">
        <v>3075</v>
      </c>
      <c r="M4595" s="9" t="s">
        <v>3075</v>
      </c>
    </row>
    <row r="4596" ht="15.75" customHeight="1">
      <c r="A4596" s="8"/>
      <c r="B4596" s="8"/>
      <c r="C4596" s="8"/>
      <c r="D4596" s="8">
        <v>27.3423389994353</v>
      </c>
      <c r="E4596" s="9" t="s">
        <v>611</v>
      </c>
      <c r="I4596" s="12"/>
      <c r="J4596" s="11">
        <v>0.0</v>
      </c>
      <c r="K4596" s="12" t="s">
        <v>3075</v>
      </c>
      <c r="L4596" s="13" t="s">
        <v>3075</v>
      </c>
      <c r="M4596" s="9" t="s">
        <v>3075</v>
      </c>
    </row>
    <row r="4597" ht="15.75" customHeight="1">
      <c r="A4597" s="8"/>
      <c r="B4597" s="8"/>
      <c r="C4597" s="8"/>
      <c r="D4597" s="8">
        <v>3.98027493004834</v>
      </c>
      <c r="E4597" s="9" t="s">
        <v>612</v>
      </c>
      <c r="I4597" s="12"/>
      <c r="J4597" s="11">
        <v>0.0</v>
      </c>
      <c r="K4597" s="12" t="s">
        <v>3075</v>
      </c>
      <c r="L4597" s="13" t="s">
        <v>3075</v>
      </c>
      <c r="M4597" s="9" t="s">
        <v>3075</v>
      </c>
    </row>
    <row r="4598" ht="15.75" customHeight="1">
      <c r="A4598" s="8"/>
      <c r="B4598" s="8"/>
      <c r="C4598" s="8"/>
      <c r="D4598" s="8">
        <v>3.81977872439982</v>
      </c>
      <c r="E4598" s="9" t="s">
        <v>617</v>
      </c>
      <c r="I4598" s="12"/>
      <c r="J4598" s="11">
        <v>0.0</v>
      </c>
      <c r="K4598" s="12" t="s">
        <v>3075</v>
      </c>
      <c r="L4598" s="13" t="s">
        <v>3075</v>
      </c>
      <c r="M4598" s="9" t="s">
        <v>3075</v>
      </c>
    </row>
    <row r="4599" ht="15.75" customHeight="1">
      <c r="A4599" s="8"/>
      <c r="B4599" s="8"/>
      <c r="C4599" s="8"/>
      <c r="D4599" s="8">
        <v>37.5756639418172</v>
      </c>
      <c r="E4599" s="9" t="s">
        <v>626</v>
      </c>
      <c r="I4599" s="12"/>
      <c r="J4599" s="11">
        <v>0.0</v>
      </c>
      <c r="K4599" s="12" t="s">
        <v>3075</v>
      </c>
      <c r="L4599" s="13" t="s">
        <v>3075</v>
      </c>
      <c r="M4599" s="9" t="s">
        <v>3075</v>
      </c>
    </row>
    <row r="4600" ht="15.75" customHeight="1">
      <c r="A4600" s="8"/>
      <c r="B4600" s="8"/>
      <c r="C4600" s="8"/>
      <c r="D4600" s="8">
        <v>1.94579033779014</v>
      </c>
      <c r="E4600" s="9" t="s">
        <v>3212</v>
      </c>
      <c r="I4600" s="12"/>
      <c r="J4600" s="11">
        <v>0.0</v>
      </c>
      <c r="K4600" s="12" t="s">
        <v>3075</v>
      </c>
      <c r="L4600" s="13" t="s">
        <v>3075</v>
      </c>
      <c r="M4600" s="9" t="s">
        <v>3075</v>
      </c>
    </row>
    <row r="4601" ht="15.75" customHeight="1">
      <c r="A4601" s="8"/>
      <c r="B4601" s="8"/>
      <c r="C4601" s="8"/>
      <c r="D4601" s="8">
        <v>8.70994478578717</v>
      </c>
      <c r="E4601" s="9" t="s">
        <v>628</v>
      </c>
      <c r="I4601" s="12"/>
      <c r="J4601" s="11">
        <v>0.0</v>
      </c>
      <c r="K4601" s="12" t="s">
        <v>3075</v>
      </c>
      <c r="L4601" s="13" t="s">
        <v>3075</v>
      </c>
      <c r="M4601" s="9" t="s">
        <v>3075</v>
      </c>
    </row>
    <row r="4602" ht="15.75" customHeight="1">
      <c r="A4602" s="8"/>
      <c r="B4602" s="8"/>
      <c r="C4602" s="8"/>
      <c r="D4602" s="8">
        <v>195.501727557194</v>
      </c>
      <c r="E4602" s="9" t="s">
        <v>632</v>
      </c>
      <c r="I4602" s="12"/>
      <c r="J4602" s="11">
        <v>0.0</v>
      </c>
      <c r="K4602" s="12" t="s">
        <v>3075</v>
      </c>
      <c r="L4602" s="13" t="s">
        <v>3075</v>
      </c>
      <c r="M4602" s="9" t="s">
        <v>3075</v>
      </c>
    </row>
    <row r="4603" ht="15.75" customHeight="1">
      <c r="A4603" s="8"/>
      <c r="B4603" s="8"/>
      <c r="C4603" s="8"/>
      <c r="D4603" s="8">
        <v>27.241064729062</v>
      </c>
      <c r="E4603" s="9" t="s">
        <v>640</v>
      </c>
      <c r="I4603" s="12"/>
      <c r="J4603" s="11">
        <v>0.0</v>
      </c>
      <c r="K4603" s="12" t="s">
        <v>3075</v>
      </c>
      <c r="L4603" s="13" t="s">
        <v>3075</v>
      </c>
      <c r="M4603" s="9" t="s">
        <v>3075</v>
      </c>
    </row>
    <row r="4604" ht="15.75" customHeight="1">
      <c r="A4604" s="8"/>
      <c r="B4604" s="8"/>
      <c r="C4604" s="8"/>
      <c r="D4604" s="8">
        <v>491.03964964472</v>
      </c>
      <c r="E4604" s="9" t="s">
        <v>643</v>
      </c>
      <c r="I4604" s="12"/>
      <c r="J4604" s="11">
        <v>0.0</v>
      </c>
      <c r="K4604" s="12" t="s">
        <v>3075</v>
      </c>
      <c r="L4604" s="13" t="s">
        <v>3075</v>
      </c>
      <c r="M4604" s="9" t="s">
        <v>3075</v>
      </c>
    </row>
    <row r="4605" ht="15.75" customHeight="1">
      <c r="A4605" s="8"/>
      <c r="B4605" s="8"/>
      <c r="C4605" s="8"/>
      <c r="D4605" s="8">
        <v>261.217980670902</v>
      </c>
      <c r="E4605" s="9" t="s">
        <v>649</v>
      </c>
      <c r="I4605" s="12"/>
      <c r="J4605" s="11">
        <v>0.0</v>
      </c>
      <c r="K4605" s="12" t="s">
        <v>3075</v>
      </c>
      <c r="L4605" s="13" t="s">
        <v>3075</v>
      </c>
      <c r="M4605" s="9" t="s">
        <v>3075</v>
      </c>
    </row>
    <row r="4606" ht="15.75" customHeight="1">
      <c r="A4606" s="8"/>
      <c r="B4606" s="8"/>
      <c r="C4606" s="8"/>
      <c r="D4606" s="8">
        <v>16.6122843594787</v>
      </c>
      <c r="E4606" s="9" t="s">
        <v>653</v>
      </c>
      <c r="I4606" s="12"/>
      <c r="J4606" s="11">
        <v>0.0</v>
      </c>
      <c r="K4606" s="12" t="s">
        <v>3075</v>
      </c>
      <c r="L4606" s="13" t="s">
        <v>3075</v>
      </c>
      <c r="M4606" s="9" t="s">
        <v>3075</v>
      </c>
    </row>
    <row r="4607" ht="15.75" customHeight="1">
      <c r="A4607" s="8"/>
      <c r="B4607" s="8"/>
      <c r="C4607" s="8"/>
      <c r="D4607" s="8">
        <v>163.550044206737</v>
      </c>
      <c r="E4607" s="9" t="s">
        <v>659</v>
      </c>
      <c r="I4607" s="12"/>
      <c r="J4607" s="11">
        <v>0.0</v>
      </c>
      <c r="K4607" s="12" t="s">
        <v>3075</v>
      </c>
      <c r="L4607" s="13" t="s">
        <v>3075</v>
      </c>
      <c r="M4607" s="9" t="s">
        <v>3075</v>
      </c>
    </row>
    <row r="4608" ht="15.75" customHeight="1">
      <c r="A4608" s="8"/>
      <c r="B4608" s="8"/>
      <c r="C4608" s="8"/>
      <c r="D4608" s="8">
        <v>66.6693413149849</v>
      </c>
      <c r="E4608" s="9" t="s">
        <v>663</v>
      </c>
      <c r="I4608" s="12"/>
      <c r="J4608" s="11">
        <v>0.0</v>
      </c>
      <c r="K4608" s="12" t="s">
        <v>3075</v>
      </c>
      <c r="L4608" s="13" t="s">
        <v>3075</v>
      </c>
      <c r="M4608" s="9" t="s">
        <v>3075</v>
      </c>
    </row>
    <row r="4609" ht="15.75" customHeight="1">
      <c r="A4609" s="8"/>
      <c r="B4609" s="8"/>
      <c r="C4609" s="8"/>
      <c r="D4609" s="8">
        <v>26.5016644007017</v>
      </c>
      <c r="E4609" s="9" t="s">
        <v>668</v>
      </c>
      <c r="I4609" s="12"/>
      <c r="J4609" s="11">
        <v>0.0</v>
      </c>
      <c r="K4609" s="12" t="s">
        <v>3075</v>
      </c>
      <c r="L4609" s="13" t="s">
        <v>3075</v>
      </c>
      <c r="M4609" s="9" t="s">
        <v>3075</v>
      </c>
    </row>
    <row r="4610" ht="15.75" customHeight="1">
      <c r="A4610" s="8"/>
      <c r="B4610" s="8"/>
      <c r="C4610" s="8"/>
      <c r="D4610" s="8">
        <v>7.78329755648422</v>
      </c>
      <c r="E4610" s="9" t="s">
        <v>669</v>
      </c>
      <c r="I4610" s="12"/>
      <c r="J4610" s="11">
        <v>0.0</v>
      </c>
      <c r="K4610" s="12" t="s">
        <v>3075</v>
      </c>
      <c r="L4610" s="13" t="s">
        <v>3075</v>
      </c>
      <c r="M4610" s="9" t="s">
        <v>3075</v>
      </c>
    </row>
    <row r="4611" ht="15.75" customHeight="1">
      <c r="A4611" s="8"/>
      <c r="B4611" s="8"/>
      <c r="C4611" s="8"/>
      <c r="D4611" s="8">
        <v>73.9400328360255</v>
      </c>
      <c r="E4611" s="9" t="s">
        <v>671</v>
      </c>
      <c r="I4611" s="12"/>
      <c r="J4611" s="11">
        <v>0.0</v>
      </c>
      <c r="K4611" s="12" t="s">
        <v>3075</v>
      </c>
      <c r="L4611" s="13" t="s">
        <v>3075</v>
      </c>
      <c r="M4611" s="9" t="s">
        <v>3075</v>
      </c>
    </row>
    <row r="4612" ht="15.75" customHeight="1">
      <c r="A4612" s="8"/>
      <c r="B4612" s="8"/>
      <c r="C4612" s="8"/>
      <c r="D4612" s="8">
        <v>1.41274058705964</v>
      </c>
      <c r="E4612" s="9" t="s">
        <v>3213</v>
      </c>
      <c r="I4612" s="12"/>
      <c r="J4612" s="11">
        <v>0.0</v>
      </c>
      <c r="K4612" s="12" t="s">
        <v>3075</v>
      </c>
      <c r="L4612" s="13" t="s">
        <v>3075</v>
      </c>
      <c r="M4612" s="9" t="s">
        <v>3075</v>
      </c>
    </row>
    <row r="4613" ht="15.75" customHeight="1">
      <c r="A4613" s="8"/>
      <c r="B4613" s="8"/>
      <c r="C4613" s="8"/>
      <c r="D4613" s="8">
        <v>154.271986931691</v>
      </c>
      <c r="E4613" s="9" t="s">
        <v>674</v>
      </c>
      <c r="I4613" s="12"/>
      <c r="J4613" s="11">
        <v>0.0</v>
      </c>
      <c r="K4613" s="12" t="s">
        <v>3075</v>
      </c>
      <c r="L4613" s="13" t="s">
        <v>3075</v>
      </c>
      <c r="M4613" s="9" t="s">
        <v>3075</v>
      </c>
    </row>
    <row r="4614" ht="15.75" customHeight="1">
      <c r="A4614" s="8"/>
      <c r="B4614" s="8"/>
      <c r="C4614" s="8"/>
      <c r="D4614" s="8">
        <v>84.608967610594</v>
      </c>
      <c r="E4614" s="9" t="s">
        <v>680</v>
      </c>
      <c r="I4614" s="12"/>
      <c r="J4614" s="11">
        <v>0.0</v>
      </c>
      <c r="K4614" s="12" t="s">
        <v>3075</v>
      </c>
      <c r="L4614" s="13" t="s">
        <v>3075</v>
      </c>
      <c r="M4614" s="9" t="s">
        <v>3075</v>
      </c>
    </row>
    <row r="4615" ht="15.75" customHeight="1">
      <c r="A4615" s="8"/>
      <c r="B4615" s="8"/>
      <c r="C4615" s="8"/>
      <c r="D4615" s="8">
        <v>97.2506010827514</v>
      </c>
      <c r="E4615" s="9" t="s">
        <v>684</v>
      </c>
      <c r="I4615" s="12"/>
      <c r="J4615" s="11">
        <v>0.0</v>
      </c>
      <c r="K4615" s="12" t="s">
        <v>3075</v>
      </c>
      <c r="L4615" s="13" t="s">
        <v>3075</v>
      </c>
      <c r="M4615" s="9" t="s">
        <v>3075</v>
      </c>
    </row>
    <row r="4616" ht="15.75" customHeight="1">
      <c r="A4616" s="8"/>
      <c r="B4616" s="8"/>
      <c r="C4616" s="8"/>
      <c r="D4616" s="8">
        <v>60.4503550980062</v>
      </c>
      <c r="E4616" s="9" t="s">
        <v>690</v>
      </c>
      <c r="I4616" s="12"/>
      <c r="J4616" s="11">
        <v>0.0</v>
      </c>
      <c r="K4616" s="12" t="s">
        <v>3075</v>
      </c>
      <c r="L4616" s="13" t="s">
        <v>3075</v>
      </c>
      <c r="M4616" s="9" t="s">
        <v>3075</v>
      </c>
    </row>
    <row r="4617" ht="15.75" customHeight="1">
      <c r="A4617" s="8"/>
      <c r="B4617" s="8"/>
      <c r="C4617" s="8"/>
      <c r="D4617" s="8">
        <v>39.3008403345871</v>
      </c>
      <c r="E4617" s="9" t="s">
        <v>691</v>
      </c>
      <c r="I4617" s="12"/>
      <c r="J4617" s="11">
        <v>0.0</v>
      </c>
      <c r="K4617" s="12" t="s">
        <v>3075</v>
      </c>
      <c r="L4617" s="13" t="s">
        <v>3075</v>
      </c>
      <c r="M4617" s="9" t="s">
        <v>3075</v>
      </c>
    </row>
    <row r="4618" ht="15.75" customHeight="1">
      <c r="A4618" s="8"/>
      <c r="B4618" s="8"/>
      <c r="C4618" s="8"/>
      <c r="D4618" s="8">
        <v>638.802967896504</v>
      </c>
      <c r="E4618" s="9" t="s">
        <v>3214</v>
      </c>
      <c r="I4618" s="12"/>
      <c r="J4618" s="11">
        <v>0.0</v>
      </c>
      <c r="K4618" s="12" t="s">
        <v>3075</v>
      </c>
      <c r="L4618" s="13" t="s">
        <v>3075</v>
      </c>
      <c r="M4618" s="9" t="s">
        <v>3075</v>
      </c>
    </row>
    <row r="4619" ht="15.75" customHeight="1">
      <c r="A4619" s="8"/>
      <c r="B4619" s="8"/>
      <c r="C4619" s="8"/>
      <c r="D4619" s="8">
        <v>819.755767730144</v>
      </c>
      <c r="E4619" s="9" t="s">
        <v>697</v>
      </c>
      <c r="I4619" s="12"/>
      <c r="J4619" s="11">
        <v>0.0</v>
      </c>
      <c r="K4619" s="12" t="s">
        <v>3075</v>
      </c>
      <c r="L4619" s="13" t="s">
        <v>3075</v>
      </c>
      <c r="M4619" s="9" t="s">
        <v>3075</v>
      </c>
    </row>
    <row r="4620" ht="15.75" customHeight="1">
      <c r="A4620" s="8"/>
      <c r="B4620" s="8"/>
      <c r="C4620" s="8"/>
      <c r="D4620" s="8">
        <v>8.80776862249121</v>
      </c>
      <c r="E4620" s="9" t="s">
        <v>3215</v>
      </c>
      <c r="I4620" s="12"/>
      <c r="J4620" s="11">
        <v>0.0</v>
      </c>
      <c r="K4620" s="12" t="s">
        <v>3075</v>
      </c>
      <c r="L4620" s="13" t="s">
        <v>3075</v>
      </c>
      <c r="M4620" s="9" t="s">
        <v>3075</v>
      </c>
    </row>
    <row r="4621" ht="15.75" customHeight="1">
      <c r="A4621" s="8"/>
      <c r="B4621" s="8"/>
      <c r="C4621" s="8"/>
      <c r="D4621" s="8">
        <v>0.0389158067558028</v>
      </c>
      <c r="E4621" s="9" t="s">
        <v>699</v>
      </c>
      <c r="I4621" s="12"/>
      <c r="J4621" s="11">
        <v>0.0</v>
      </c>
      <c r="K4621" s="12" t="s">
        <v>3075</v>
      </c>
      <c r="L4621" s="13" t="s">
        <v>3075</v>
      </c>
      <c r="M4621" s="9" t="s">
        <v>3075</v>
      </c>
    </row>
    <row r="4622" ht="15.75" customHeight="1">
      <c r="A4622" s="8"/>
      <c r="B4622" s="8"/>
      <c r="C4622" s="8"/>
      <c r="D4622" s="8">
        <v>12.1955976665664</v>
      </c>
      <c r="E4622" s="9" t="s">
        <v>704</v>
      </c>
      <c r="I4622" s="12"/>
      <c r="J4622" s="11">
        <v>0.0</v>
      </c>
      <c r="K4622" s="12" t="s">
        <v>3075</v>
      </c>
      <c r="L4622" s="13" t="s">
        <v>3075</v>
      </c>
      <c r="M4622" s="9" t="s">
        <v>3075</v>
      </c>
    </row>
    <row r="4623" ht="15.75" customHeight="1">
      <c r="A4623" s="8"/>
      <c r="B4623" s="8"/>
      <c r="C4623" s="8"/>
      <c r="D4623" s="8">
        <v>1.91973864941808</v>
      </c>
      <c r="E4623" s="9" t="s">
        <v>708</v>
      </c>
      <c r="I4623" s="12"/>
      <c r="J4623" s="11">
        <v>0.0</v>
      </c>
      <c r="K4623" s="12" t="s">
        <v>3075</v>
      </c>
      <c r="L4623" s="13" t="s">
        <v>3075</v>
      </c>
      <c r="M4623" s="9" t="s">
        <v>3075</v>
      </c>
    </row>
    <row r="4624" ht="15.75" customHeight="1">
      <c r="A4624" s="8"/>
      <c r="B4624" s="8"/>
      <c r="C4624" s="8"/>
      <c r="D4624" s="8">
        <v>41.8226372871949</v>
      </c>
      <c r="E4624" s="9" t="s">
        <v>711</v>
      </c>
      <c r="I4624" s="12"/>
      <c r="J4624" s="11">
        <v>0.0</v>
      </c>
      <c r="K4624" s="12" t="s">
        <v>3075</v>
      </c>
      <c r="L4624" s="13" t="s">
        <v>3075</v>
      </c>
      <c r="M4624" s="9" t="s">
        <v>3075</v>
      </c>
    </row>
    <row r="4625" ht="15.75" customHeight="1">
      <c r="A4625" s="8"/>
      <c r="B4625" s="8"/>
      <c r="C4625" s="8"/>
      <c r="D4625" s="8">
        <v>1.94579033779014</v>
      </c>
      <c r="E4625" s="9" t="s">
        <v>716</v>
      </c>
      <c r="I4625" s="12"/>
      <c r="J4625" s="11">
        <v>0.0</v>
      </c>
      <c r="K4625" s="12" t="s">
        <v>3075</v>
      </c>
      <c r="L4625" s="13" t="s">
        <v>3075</v>
      </c>
      <c r="M4625" s="9" t="s">
        <v>3075</v>
      </c>
    </row>
    <row r="4626" ht="15.75" customHeight="1">
      <c r="A4626" s="8"/>
      <c r="B4626" s="8"/>
      <c r="C4626" s="8"/>
      <c r="D4626" s="8">
        <v>9.72895168895072</v>
      </c>
      <c r="E4626" s="9" t="s">
        <v>718</v>
      </c>
      <c r="I4626" s="12"/>
      <c r="J4626" s="11">
        <v>0.0</v>
      </c>
      <c r="K4626" s="12" t="s">
        <v>3075</v>
      </c>
      <c r="L4626" s="13" t="s">
        <v>3075</v>
      </c>
      <c r="M4626" s="9" t="s">
        <v>3075</v>
      </c>
    </row>
    <row r="4627" ht="15.75" customHeight="1">
      <c r="A4627" s="8"/>
      <c r="B4627" s="8"/>
      <c r="C4627" s="8"/>
      <c r="D4627" s="8">
        <v>7.78316135116057</v>
      </c>
      <c r="E4627" s="9" t="s">
        <v>721</v>
      </c>
      <c r="I4627" s="12"/>
      <c r="J4627" s="11">
        <v>0.0</v>
      </c>
      <c r="K4627" s="12" t="s">
        <v>3075</v>
      </c>
      <c r="L4627" s="13" t="s">
        <v>3075</v>
      </c>
      <c r="M4627" s="9" t="s">
        <v>3075</v>
      </c>
    </row>
    <row r="4628" ht="15.75" customHeight="1">
      <c r="A4628" s="8"/>
      <c r="B4628" s="8"/>
      <c r="C4628" s="8"/>
      <c r="D4628" s="8">
        <v>11.6747420267408</v>
      </c>
      <c r="E4628" s="9" t="s">
        <v>722</v>
      </c>
      <c r="I4628" s="12"/>
      <c r="J4628" s="11">
        <v>0.0</v>
      </c>
      <c r="K4628" s="12" t="s">
        <v>3075</v>
      </c>
      <c r="L4628" s="13" t="s">
        <v>3075</v>
      </c>
      <c r="M4628" s="9" t="s">
        <v>3075</v>
      </c>
    </row>
    <row r="4629" ht="15.75" customHeight="1">
      <c r="A4629" s="8"/>
      <c r="B4629" s="8"/>
      <c r="C4629" s="8"/>
      <c r="D4629" s="8">
        <v>11.7136578334966</v>
      </c>
      <c r="E4629" s="9" t="s">
        <v>723</v>
      </c>
      <c r="I4629" s="12"/>
      <c r="J4629" s="11">
        <v>0.0</v>
      </c>
      <c r="K4629" s="12" t="s">
        <v>3075</v>
      </c>
      <c r="L4629" s="13" t="s">
        <v>3075</v>
      </c>
      <c r="M4629" s="9" t="s">
        <v>3075</v>
      </c>
    </row>
    <row r="4630" ht="15.75" customHeight="1">
      <c r="A4630" s="8"/>
      <c r="B4630" s="8"/>
      <c r="C4630" s="8"/>
      <c r="D4630" s="8">
        <v>7.84591034038605</v>
      </c>
      <c r="E4630" s="9" t="s">
        <v>725</v>
      </c>
      <c r="I4630" s="12"/>
      <c r="J4630" s="11">
        <v>0.0</v>
      </c>
      <c r="K4630" s="12" t="s">
        <v>3075</v>
      </c>
      <c r="L4630" s="13" t="s">
        <v>3075</v>
      </c>
      <c r="M4630" s="9" t="s">
        <v>3075</v>
      </c>
    </row>
    <row r="4631" ht="15.75" customHeight="1">
      <c r="A4631" s="8"/>
      <c r="B4631" s="8"/>
      <c r="C4631" s="8"/>
      <c r="D4631" s="8">
        <v>27.0597631084276</v>
      </c>
      <c r="E4631" s="9" t="s">
        <v>732</v>
      </c>
      <c r="I4631" s="12"/>
      <c r="J4631" s="11">
        <v>0.0</v>
      </c>
      <c r="K4631" s="12" t="s">
        <v>3075</v>
      </c>
      <c r="L4631" s="13" t="s">
        <v>3075</v>
      </c>
      <c r="M4631" s="9" t="s">
        <v>3075</v>
      </c>
    </row>
    <row r="4632" ht="15.75" customHeight="1">
      <c r="A4632" s="8"/>
      <c r="B4632" s="8"/>
      <c r="C4632" s="8"/>
      <c r="D4632" s="8">
        <v>91.7518826494859</v>
      </c>
      <c r="E4632" s="9" t="s">
        <v>3216</v>
      </c>
      <c r="I4632" s="12"/>
      <c r="J4632" s="11">
        <v>0.0</v>
      </c>
      <c r="K4632" s="12" t="s">
        <v>3075</v>
      </c>
      <c r="L4632" s="13" t="s">
        <v>3075</v>
      </c>
      <c r="M4632" s="9" t="s">
        <v>3075</v>
      </c>
    </row>
    <row r="4633" ht="15.75" customHeight="1">
      <c r="A4633" s="8"/>
      <c r="B4633" s="8"/>
      <c r="C4633" s="8"/>
      <c r="D4633" s="8">
        <v>2.3318351408077</v>
      </c>
      <c r="E4633" s="9" t="s">
        <v>734</v>
      </c>
      <c r="I4633" s="12"/>
      <c r="J4633" s="11">
        <v>0.0</v>
      </c>
      <c r="K4633" s="12" t="s">
        <v>3075</v>
      </c>
      <c r="L4633" s="13" t="s">
        <v>3075</v>
      </c>
      <c r="M4633" s="9" t="s">
        <v>3075</v>
      </c>
    </row>
    <row r="4634" ht="15.75" customHeight="1">
      <c r="A4634" s="8"/>
      <c r="B4634" s="8"/>
      <c r="C4634" s="8"/>
      <c r="D4634" s="8">
        <v>1.91814424648958</v>
      </c>
      <c r="E4634" s="9" t="s">
        <v>737</v>
      </c>
      <c r="I4634" s="12"/>
      <c r="J4634" s="11">
        <v>0.0</v>
      </c>
      <c r="K4634" s="12" t="s">
        <v>3075</v>
      </c>
      <c r="L4634" s="13" t="s">
        <v>3075</v>
      </c>
      <c r="M4634" s="9" t="s">
        <v>3075</v>
      </c>
    </row>
    <row r="4635" ht="15.75" customHeight="1">
      <c r="A4635" s="8"/>
      <c r="B4635" s="8"/>
      <c r="C4635" s="8"/>
      <c r="D4635" s="8">
        <v>45.8476893997438</v>
      </c>
      <c r="E4635" s="9" t="s">
        <v>739</v>
      </c>
      <c r="I4635" s="12"/>
      <c r="J4635" s="11">
        <v>0.0</v>
      </c>
      <c r="K4635" s="12" t="s">
        <v>3075</v>
      </c>
      <c r="L4635" s="13" t="s">
        <v>3075</v>
      </c>
      <c r="M4635" s="9" t="s">
        <v>3075</v>
      </c>
    </row>
    <row r="4636" ht="15.75" customHeight="1">
      <c r="A4636" s="8"/>
      <c r="B4636" s="8"/>
      <c r="C4636" s="8"/>
      <c r="D4636" s="8">
        <v>7.80495420290491</v>
      </c>
      <c r="E4636" s="9" t="s">
        <v>743</v>
      </c>
      <c r="I4636" s="12"/>
      <c r="J4636" s="11">
        <v>0.0</v>
      </c>
      <c r="K4636" s="12" t="s">
        <v>3075</v>
      </c>
      <c r="L4636" s="13" t="s">
        <v>3075</v>
      </c>
      <c r="M4636" s="9" t="s">
        <v>3075</v>
      </c>
    </row>
    <row r="4637" ht="15.75" customHeight="1">
      <c r="A4637" s="8"/>
      <c r="B4637" s="8"/>
      <c r="C4637" s="8"/>
      <c r="D4637" s="8">
        <v>80.5340789646945</v>
      </c>
      <c r="E4637" s="9" t="s">
        <v>749</v>
      </c>
      <c r="I4637" s="12"/>
      <c r="J4637" s="11">
        <v>0.0</v>
      </c>
      <c r="K4637" s="12" t="s">
        <v>3075</v>
      </c>
      <c r="L4637" s="13" t="s">
        <v>3075</v>
      </c>
      <c r="M4637" s="9" t="s">
        <v>3075</v>
      </c>
    </row>
    <row r="4638" ht="15.75" customHeight="1">
      <c r="A4638" s="8"/>
      <c r="B4638" s="8"/>
      <c r="C4638" s="8"/>
      <c r="D4638" s="8">
        <v>12.6579527411188</v>
      </c>
      <c r="E4638" s="9" t="s">
        <v>752</v>
      </c>
      <c r="I4638" s="12"/>
      <c r="J4638" s="11">
        <v>0.0</v>
      </c>
      <c r="K4638" s="12" t="s">
        <v>3075</v>
      </c>
      <c r="L4638" s="13" t="s">
        <v>3075</v>
      </c>
      <c r="M4638" s="9" t="s">
        <v>3075</v>
      </c>
    </row>
    <row r="4639" ht="15.75" customHeight="1">
      <c r="A4639" s="8"/>
      <c r="B4639" s="8"/>
      <c r="C4639" s="8"/>
      <c r="D4639" s="8">
        <v>97.6793112245516</v>
      </c>
      <c r="E4639" s="9" t="s">
        <v>754</v>
      </c>
      <c r="I4639" s="12"/>
      <c r="J4639" s="11">
        <v>0.0</v>
      </c>
      <c r="K4639" s="12" t="s">
        <v>3075</v>
      </c>
      <c r="L4639" s="13" t="s">
        <v>3075</v>
      </c>
      <c r="M4639" s="9" t="s">
        <v>3075</v>
      </c>
    </row>
    <row r="4640" ht="15.75" customHeight="1">
      <c r="A4640" s="8"/>
      <c r="B4640" s="8"/>
      <c r="C4640" s="8"/>
      <c r="D4640" s="8">
        <v>1.94579033779014</v>
      </c>
      <c r="E4640" s="9" t="s">
        <v>755</v>
      </c>
      <c r="I4640" s="12"/>
      <c r="J4640" s="11">
        <v>0.0</v>
      </c>
      <c r="K4640" s="12" t="s">
        <v>3075</v>
      </c>
      <c r="L4640" s="13" t="s">
        <v>3075</v>
      </c>
      <c r="M4640" s="9" t="s">
        <v>3075</v>
      </c>
    </row>
    <row r="4641" ht="15.75" customHeight="1">
      <c r="A4641" s="8"/>
      <c r="B4641" s="8"/>
      <c r="C4641" s="8"/>
      <c r="D4641" s="8">
        <v>8.82837349113773</v>
      </c>
      <c r="E4641" s="9" t="s">
        <v>758</v>
      </c>
      <c r="I4641" s="12"/>
      <c r="J4641" s="11">
        <v>0.0</v>
      </c>
      <c r="K4641" s="12" t="s">
        <v>3075</v>
      </c>
      <c r="L4641" s="13" t="s">
        <v>3075</v>
      </c>
      <c r="M4641" s="9" t="s">
        <v>3075</v>
      </c>
    </row>
    <row r="4642" ht="15.75" customHeight="1">
      <c r="A4642" s="8"/>
      <c r="B4642" s="8"/>
      <c r="C4642" s="8"/>
      <c r="D4642" s="8">
        <v>11.6747420267408</v>
      </c>
      <c r="E4642" s="9" t="s">
        <v>764</v>
      </c>
      <c r="I4642" s="12"/>
      <c r="J4642" s="11">
        <v>0.0</v>
      </c>
      <c r="K4642" s="12" t="s">
        <v>3075</v>
      </c>
      <c r="L4642" s="13" t="s">
        <v>3075</v>
      </c>
      <c r="M4642" s="9" t="s">
        <v>3075</v>
      </c>
    </row>
    <row r="4643" ht="15.75" customHeight="1">
      <c r="A4643" s="8"/>
      <c r="B4643" s="8"/>
      <c r="C4643" s="8"/>
      <c r="D4643" s="8">
        <v>27.2799805358178</v>
      </c>
      <c r="E4643" s="9" t="s">
        <v>780</v>
      </c>
      <c r="I4643" s="12"/>
      <c r="J4643" s="11">
        <v>0.0</v>
      </c>
      <c r="K4643" s="12" t="s">
        <v>3075</v>
      </c>
      <c r="L4643" s="13" t="s">
        <v>3075</v>
      </c>
      <c r="M4643" s="9" t="s">
        <v>3075</v>
      </c>
    </row>
    <row r="4644" ht="15.75" customHeight="1">
      <c r="A4644" s="8"/>
      <c r="B4644" s="8"/>
      <c r="C4644" s="8"/>
      <c r="D4644" s="8">
        <v>0.428073874313831</v>
      </c>
      <c r="E4644" s="9" t="s">
        <v>783</v>
      </c>
      <c r="I4644" s="12"/>
      <c r="J4644" s="11">
        <v>0.0</v>
      </c>
      <c r="K4644" s="12" t="s">
        <v>3075</v>
      </c>
      <c r="L4644" s="13" t="s">
        <v>3075</v>
      </c>
      <c r="M4644" s="9" t="s">
        <v>3075</v>
      </c>
    </row>
    <row r="4645" ht="15.75" customHeight="1">
      <c r="A4645" s="8"/>
      <c r="B4645" s="8"/>
      <c r="C4645" s="8"/>
      <c r="D4645" s="8">
        <v>39.1882174030935</v>
      </c>
      <c r="E4645" s="9" t="s">
        <v>785</v>
      </c>
      <c r="I4645" s="12"/>
      <c r="J4645" s="11">
        <v>0.0</v>
      </c>
      <c r="K4645" s="12" t="s">
        <v>3075</v>
      </c>
      <c r="L4645" s="13" t="s">
        <v>3075</v>
      </c>
      <c r="M4645" s="9" t="s">
        <v>3075</v>
      </c>
    </row>
    <row r="4646" ht="15.75" customHeight="1">
      <c r="A4646" s="8"/>
      <c r="B4646" s="8"/>
      <c r="C4646" s="8"/>
      <c r="D4646" s="8">
        <v>6.46054655336808</v>
      </c>
      <c r="E4646" s="9" t="s">
        <v>787</v>
      </c>
      <c r="I4646" s="12"/>
      <c r="J4646" s="11">
        <v>0.0</v>
      </c>
      <c r="K4646" s="12" t="s">
        <v>3075</v>
      </c>
      <c r="L4646" s="13" t="s">
        <v>3075</v>
      </c>
      <c r="M4646" s="9" t="s">
        <v>3075</v>
      </c>
    </row>
    <row r="4647" ht="15.75" customHeight="1">
      <c r="A4647" s="8"/>
      <c r="B4647" s="8"/>
      <c r="C4647" s="8"/>
      <c r="D4647" s="8">
        <v>4.10295490116417</v>
      </c>
      <c r="E4647" s="9" t="s">
        <v>788</v>
      </c>
      <c r="I4647" s="12"/>
      <c r="J4647" s="11">
        <v>0.0</v>
      </c>
      <c r="K4647" s="12" t="s">
        <v>3075</v>
      </c>
      <c r="L4647" s="13" t="s">
        <v>3075</v>
      </c>
      <c r="M4647" s="9" t="s">
        <v>3075</v>
      </c>
    </row>
    <row r="4648" ht="15.75" customHeight="1">
      <c r="A4648" s="8"/>
      <c r="B4648" s="8"/>
      <c r="C4648" s="8"/>
      <c r="D4648" s="8">
        <v>11.2077523456712</v>
      </c>
      <c r="E4648" s="9" t="s">
        <v>797</v>
      </c>
      <c r="I4648" s="12"/>
      <c r="J4648" s="11">
        <v>0.0</v>
      </c>
      <c r="K4648" s="12" t="s">
        <v>3075</v>
      </c>
      <c r="L4648" s="13" t="s">
        <v>3075</v>
      </c>
      <c r="M4648" s="9" t="s">
        <v>3075</v>
      </c>
    </row>
    <row r="4649" ht="15.75" customHeight="1">
      <c r="A4649" s="8"/>
      <c r="B4649" s="8"/>
      <c r="C4649" s="8"/>
      <c r="D4649" s="8">
        <v>370.419021937128</v>
      </c>
      <c r="E4649" s="9" t="s">
        <v>3217</v>
      </c>
      <c r="I4649" s="12"/>
      <c r="J4649" s="11">
        <v>0.0</v>
      </c>
      <c r="K4649" s="12" t="s">
        <v>3075</v>
      </c>
      <c r="L4649" s="13" t="s">
        <v>3075</v>
      </c>
      <c r="M4649" s="9" t="s">
        <v>3075</v>
      </c>
    </row>
    <row r="4650" ht="15.75" customHeight="1">
      <c r="A4650" s="8"/>
      <c r="B4650" s="8"/>
      <c r="C4650" s="8"/>
      <c r="D4650" s="8">
        <v>18.5719493833385</v>
      </c>
      <c r="E4650" s="9" t="s">
        <v>799</v>
      </c>
      <c r="I4650" s="12"/>
      <c r="J4650" s="11">
        <v>0.0</v>
      </c>
      <c r="K4650" s="12" t="s">
        <v>3075</v>
      </c>
      <c r="L4650" s="13" t="s">
        <v>3075</v>
      </c>
      <c r="M4650" s="9" t="s">
        <v>3075</v>
      </c>
    </row>
    <row r="4651" ht="15.75" customHeight="1">
      <c r="A4651" s="8"/>
      <c r="B4651" s="8"/>
      <c r="C4651" s="8"/>
      <c r="D4651" s="8">
        <v>28.6795573266572</v>
      </c>
      <c r="E4651" s="9" t="s">
        <v>800</v>
      </c>
      <c r="I4651" s="12"/>
      <c r="J4651" s="11">
        <v>0.0</v>
      </c>
      <c r="K4651" s="12" t="s">
        <v>3075</v>
      </c>
      <c r="L4651" s="13" t="s">
        <v>3075</v>
      </c>
      <c r="M4651" s="9" t="s">
        <v>3075</v>
      </c>
    </row>
    <row r="4652" ht="15.75" customHeight="1">
      <c r="A4652" s="8"/>
      <c r="B4652" s="8"/>
      <c r="C4652" s="8"/>
      <c r="D4652" s="8">
        <v>7.7940577770522</v>
      </c>
      <c r="E4652" s="9" t="s">
        <v>804</v>
      </c>
      <c r="I4652" s="12"/>
      <c r="J4652" s="11">
        <v>0.0</v>
      </c>
      <c r="K4652" s="12" t="s">
        <v>3075</v>
      </c>
      <c r="L4652" s="13" t="s">
        <v>3075</v>
      </c>
      <c r="M4652" s="9" t="s">
        <v>3075</v>
      </c>
    </row>
    <row r="4653" ht="15.75" customHeight="1">
      <c r="A4653" s="8"/>
      <c r="B4653" s="8"/>
      <c r="C4653" s="8"/>
      <c r="D4653" s="8">
        <v>2.08197456323082</v>
      </c>
      <c r="E4653" s="9" t="s">
        <v>3218</v>
      </c>
      <c r="I4653" s="12"/>
      <c r="J4653" s="11">
        <v>0.0</v>
      </c>
      <c r="K4653" s="12" t="s">
        <v>3075</v>
      </c>
      <c r="L4653" s="13" t="s">
        <v>3075</v>
      </c>
      <c r="M4653" s="9" t="s">
        <v>3075</v>
      </c>
    </row>
    <row r="4654" ht="15.75" customHeight="1">
      <c r="A4654" s="8"/>
      <c r="B4654" s="8"/>
      <c r="C4654" s="8"/>
      <c r="D4654" s="8">
        <v>198.843839417971</v>
      </c>
      <c r="E4654" s="9" t="s">
        <v>817</v>
      </c>
      <c r="I4654" s="12"/>
      <c r="J4654" s="11">
        <v>0.0</v>
      </c>
      <c r="K4654" s="12" t="s">
        <v>3075</v>
      </c>
      <c r="L4654" s="13" t="s">
        <v>3075</v>
      </c>
      <c r="M4654" s="9" t="s">
        <v>3075</v>
      </c>
    </row>
    <row r="4655" ht="15.75" customHeight="1">
      <c r="A4655" s="8"/>
      <c r="B4655" s="8"/>
      <c r="C4655" s="8"/>
      <c r="D4655" s="8">
        <v>0.0778316135116057</v>
      </c>
      <c r="E4655" s="9" t="s">
        <v>820</v>
      </c>
      <c r="I4655" s="12"/>
      <c r="J4655" s="11">
        <v>0.0</v>
      </c>
      <c r="K4655" s="12" t="s">
        <v>3075</v>
      </c>
      <c r="L4655" s="13" t="s">
        <v>3075</v>
      </c>
      <c r="M4655" s="9" t="s">
        <v>3075</v>
      </c>
    </row>
    <row r="4656" ht="15.75" customHeight="1">
      <c r="A4656" s="8"/>
      <c r="B4656" s="8"/>
      <c r="C4656" s="8"/>
      <c r="D4656" s="8">
        <v>1.15969104132292</v>
      </c>
      <c r="E4656" s="9" t="s">
        <v>823</v>
      </c>
      <c r="I4656" s="12"/>
      <c r="J4656" s="11">
        <v>0.0</v>
      </c>
      <c r="K4656" s="12" t="s">
        <v>3075</v>
      </c>
      <c r="L4656" s="13" t="s">
        <v>3075</v>
      </c>
      <c r="M4656" s="9" t="s">
        <v>3075</v>
      </c>
    </row>
    <row r="4657" ht="15.75" customHeight="1">
      <c r="A4657" s="8"/>
      <c r="B4657" s="8"/>
      <c r="C4657" s="8"/>
      <c r="D4657" s="8">
        <v>1.94579033779014</v>
      </c>
      <c r="E4657" s="9" t="s">
        <v>835</v>
      </c>
      <c r="I4657" s="12"/>
      <c r="J4657" s="11">
        <v>0.0</v>
      </c>
      <c r="K4657" s="12" t="s">
        <v>3075</v>
      </c>
      <c r="L4657" s="13" t="s">
        <v>3075</v>
      </c>
      <c r="M4657" s="9" t="s">
        <v>3075</v>
      </c>
    </row>
    <row r="4658" ht="15.75" customHeight="1">
      <c r="A4658" s="8"/>
      <c r="B4658" s="8"/>
      <c r="C4658" s="8"/>
      <c r="D4658" s="8">
        <v>1416.38748584555</v>
      </c>
      <c r="E4658" s="9" t="s">
        <v>838</v>
      </c>
      <c r="I4658" s="12"/>
      <c r="J4658" s="11">
        <v>0.0</v>
      </c>
      <c r="K4658" s="12" t="s">
        <v>3075</v>
      </c>
      <c r="L4658" s="13" t="s">
        <v>3075</v>
      </c>
      <c r="M4658" s="9" t="s">
        <v>3075</v>
      </c>
    </row>
    <row r="4659" ht="15.75" customHeight="1">
      <c r="A4659" s="8"/>
      <c r="B4659" s="8"/>
      <c r="C4659" s="8"/>
      <c r="D4659" s="8">
        <v>8.14997886816515</v>
      </c>
      <c r="E4659" s="9" t="s">
        <v>840</v>
      </c>
      <c r="I4659" s="12"/>
      <c r="J4659" s="11">
        <v>0.0</v>
      </c>
      <c r="K4659" s="12" t="s">
        <v>3075</v>
      </c>
      <c r="L4659" s="13" t="s">
        <v>3075</v>
      </c>
      <c r="M4659" s="9" t="s">
        <v>3075</v>
      </c>
    </row>
    <row r="4660" ht="15.75" customHeight="1">
      <c r="A4660" s="8"/>
      <c r="B4660" s="8"/>
      <c r="C4660" s="8"/>
      <c r="D4660" s="8">
        <v>27.241064729062</v>
      </c>
      <c r="E4660" s="9" t="s">
        <v>842</v>
      </c>
      <c r="I4660" s="12"/>
      <c r="J4660" s="11">
        <v>0.0</v>
      </c>
      <c r="K4660" s="12" t="s">
        <v>3075</v>
      </c>
      <c r="L4660" s="13" t="s">
        <v>3075</v>
      </c>
      <c r="M4660" s="9" t="s">
        <v>3075</v>
      </c>
    </row>
    <row r="4661" ht="15.75" customHeight="1">
      <c r="A4661" s="8"/>
      <c r="B4661" s="8"/>
      <c r="C4661" s="8"/>
      <c r="D4661" s="8">
        <v>0.353511792175423</v>
      </c>
      <c r="E4661" s="9" t="s">
        <v>846</v>
      </c>
      <c r="I4661" s="12"/>
      <c r="J4661" s="11">
        <v>0.0</v>
      </c>
      <c r="K4661" s="12" t="s">
        <v>3075</v>
      </c>
      <c r="L4661" s="13" t="s">
        <v>3075</v>
      </c>
      <c r="M4661" s="9" t="s">
        <v>3075</v>
      </c>
    </row>
    <row r="4662" ht="15.75" customHeight="1">
      <c r="A4662" s="8"/>
      <c r="B4662" s="8"/>
      <c r="C4662" s="8"/>
      <c r="D4662" s="8">
        <v>4.54915754224327</v>
      </c>
      <c r="E4662" s="9" t="s">
        <v>3219</v>
      </c>
      <c r="I4662" s="12"/>
      <c r="J4662" s="11">
        <v>0.0</v>
      </c>
      <c r="K4662" s="12" t="s">
        <v>3075</v>
      </c>
      <c r="L4662" s="13" t="s">
        <v>3075</v>
      </c>
      <c r="M4662" s="9" t="s">
        <v>3075</v>
      </c>
    </row>
    <row r="4663" ht="15.75" customHeight="1">
      <c r="A4663" s="8"/>
      <c r="B4663" s="8"/>
      <c r="C4663" s="8"/>
      <c r="D4663" s="8">
        <v>0.583737101337043</v>
      </c>
      <c r="E4663" s="9" t="s">
        <v>855</v>
      </c>
      <c r="I4663" s="12"/>
      <c r="J4663" s="11">
        <v>0.0</v>
      </c>
      <c r="K4663" s="12" t="s">
        <v>3075</v>
      </c>
      <c r="L4663" s="13" t="s">
        <v>3075</v>
      </c>
      <c r="M4663" s="9" t="s">
        <v>3075</v>
      </c>
    </row>
    <row r="4664" ht="15.75" customHeight="1">
      <c r="A4664" s="8"/>
      <c r="B4664" s="8"/>
      <c r="C4664" s="8"/>
      <c r="D4664" s="8">
        <v>22.6084668489252</v>
      </c>
      <c r="E4664" s="9" t="s">
        <v>856</v>
      </c>
      <c r="I4664" s="12"/>
      <c r="J4664" s="11">
        <v>0.0</v>
      </c>
      <c r="K4664" s="12" t="s">
        <v>3075</v>
      </c>
      <c r="L4664" s="13" t="s">
        <v>3075</v>
      </c>
      <c r="M4664" s="9" t="s">
        <v>3075</v>
      </c>
    </row>
    <row r="4665" ht="15.75" customHeight="1">
      <c r="A4665" s="8"/>
      <c r="B4665" s="8"/>
      <c r="C4665" s="8"/>
      <c r="D4665" s="8">
        <v>1.41158817922674</v>
      </c>
      <c r="E4665" s="9" t="s">
        <v>3220</v>
      </c>
      <c r="I4665" s="12"/>
      <c r="J4665" s="11">
        <v>0.0</v>
      </c>
      <c r="K4665" s="12" t="s">
        <v>3075</v>
      </c>
      <c r="L4665" s="13" t="s">
        <v>3075</v>
      </c>
      <c r="M4665" s="9" t="s">
        <v>3075</v>
      </c>
    </row>
    <row r="4666" ht="15.75" customHeight="1">
      <c r="A4666" s="8"/>
      <c r="B4666" s="8"/>
      <c r="C4666" s="8"/>
      <c r="D4666" s="8">
        <v>0.282478155523592</v>
      </c>
      <c r="E4666" s="9" t="s">
        <v>870</v>
      </c>
      <c r="I4666" s="12"/>
      <c r="J4666" s="11">
        <v>0.0</v>
      </c>
      <c r="K4666" s="12" t="s">
        <v>3075</v>
      </c>
      <c r="L4666" s="13" t="s">
        <v>3075</v>
      </c>
      <c r="M4666" s="9" t="s">
        <v>3075</v>
      </c>
    </row>
    <row r="4667" ht="15.75" customHeight="1">
      <c r="A4667" s="8"/>
      <c r="B4667" s="8"/>
      <c r="C4667" s="8"/>
      <c r="D4667" s="8">
        <v>174.811282037159</v>
      </c>
      <c r="E4667" s="9" t="s">
        <v>871</v>
      </c>
      <c r="I4667" s="12"/>
      <c r="J4667" s="11">
        <v>0.0</v>
      </c>
      <c r="K4667" s="12" t="s">
        <v>3075</v>
      </c>
      <c r="L4667" s="13" t="s">
        <v>3075</v>
      </c>
      <c r="M4667" s="9" t="s">
        <v>3075</v>
      </c>
    </row>
    <row r="4668" ht="15.75" customHeight="1">
      <c r="A4668" s="8"/>
      <c r="B4668" s="8"/>
      <c r="C4668" s="8"/>
      <c r="D4668" s="8">
        <v>7.78316135116057</v>
      </c>
      <c r="E4668" s="9" t="s">
        <v>879</v>
      </c>
      <c r="I4668" s="12"/>
      <c r="J4668" s="11">
        <v>0.0</v>
      </c>
      <c r="K4668" s="12" t="s">
        <v>3075</v>
      </c>
      <c r="L4668" s="13" t="s">
        <v>3075</v>
      </c>
      <c r="M4668" s="9" t="s">
        <v>3075</v>
      </c>
    </row>
    <row r="4669" ht="15.75" customHeight="1">
      <c r="A4669" s="8"/>
      <c r="B4669" s="8"/>
      <c r="C4669" s="8"/>
      <c r="D4669" s="8">
        <v>3.45998054953706</v>
      </c>
      <c r="E4669" s="9" t="s">
        <v>881</v>
      </c>
      <c r="I4669" s="12"/>
      <c r="J4669" s="11">
        <v>0.0</v>
      </c>
      <c r="K4669" s="12" t="s">
        <v>3075</v>
      </c>
      <c r="L4669" s="13" t="s">
        <v>3075</v>
      </c>
      <c r="M4669" s="9" t="s">
        <v>3075</v>
      </c>
    </row>
    <row r="4670" ht="15.75" customHeight="1">
      <c r="A4670" s="8"/>
      <c r="B4670" s="8"/>
      <c r="C4670" s="8"/>
      <c r="D4670" s="8">
        <v>30.393245076282</v>
      </c>
      <c r="E4670" s="9" t="s">
        <v>883</v>
      </c>
      <c r="I4670" s="12"/>
      <c r="J4670" s="11">
        <v>0.0</v>
      </c>
      <c r="K4670" s="12" t="s">
        <v>3075</v>
      </c>
      <c r="L4670" s="13" t="s">
        <v>3075</v>
      </c>
      <c r="M4670" s="9" t="s">
        <v>3075</v>
      </c>
    </row>
    <row r="4671" ht="15.75" customHeight="1">
      <c r="A4671" s="8"/>
      <c r="B4671" s="8"/>
      <c r="C4671" s="8"/>
      <c r="D4671" s="8">
        <v>66.1642215342235</v>
      </c>
      <c r="E4671" s="9" t="s">
        <v>884</v>
      </c>
      <c r="I4671" s="12"/>
      <c r="J4671" s="11">
        <v>0.0</v>
      </c>
      <c r="K4671" s="12" t="s">
        <v>3075</v>
      </c>
      <c r="L4671" s="13" t="s">
        <v>3075</v>
      </c>
      <c r="M4671" s="9" t="s">
        <v>3075</v>
      </c>
    </row>
    <row r="4672" ht="15.75" customHeight="1">
      <c r="A4672" s="8"/>
      <c r="B4672" s="8"/>
      <c r="C4672" s="8"/>
      <c r="D4672" s="8">
        <v>126.602757176171</v>
      </c>
      <c r="E4672" s="9" t="s">
        <v>888</v>
      </c>
      <c r="I4672" s="12"/>
      <c r="J4672" s="11">
        <v>0.0</v>
      </c>
      <c r="K4672" s="12" t="s">
        <v>3075</v>
      </c>
      <c r="L4672" s="13" t="s">
        <v>3075</v>
      </c>
      <c r="M4672" s="9" t="s">
        <v>3075</v>
      </c>
    </row>
    <row r="4673" ht="15.75" customHeight="1">
      <c r="A4673" s="8"/>
      <c r="B4673" s="8"/>
      <c r="C4673" s="8"/>
      <c r="D4673" s="8">
        <v>7.65781341557969</v>
      </c>
      <c r="E4673" s="9" t="s">
        <v>899</v>
      </c>
      <c r="I4673" s="12"/>
      <c r="J4673" s="11">
        <v>0.0</v>
      </c>
      <c r="K4673" s="12" t="s">
        <v>3075</v>
      </c>
      <c r="L4673" s="13" t="s">
        <v>3075</v>
      </c>
      <c r="M4673" s="9" t="s">
        <v>3075</v>
      </c>
    </row>
    <row r="4674" ht="15.75" customHeight="1">
      <c r="A4674" s="8"/>
      <c r="B4674" s="8"/>
      <c r="C4674" s="8"/>
      <c r="D4674" s="8">
        <v>11.6747420267408</v>
      </c>
      <c r="E4674" s="9" t="s">
        <v>3221</v>
      </c>
      <c r="I4674" s="12"/>
      <c r="J4674" s="11">
        <v>0.0</v>
      </c>
      <c r="K4674" s="12" t="s">
        <v>3075</v>
      </c>
      <c r="L4674" s="13" t="s">
        <v>3075</v>
      </c>
      <c r="M4674" s="9" t="s">
        <v>3075</v>
      </c>
    </row>
    <row r="4675" ht="15.75" customHeight="1">
      <c r="A4675" s="8"/>
      <c r="B4675" s="8"/>
      <c r="C4675" s="8"/>
      <c r="D4675" s="8">
        <v>7.29682860010835</v>
      </c>
      <c r="E4675" s="9" t="s">
        <v>902</v>
      </c>
      <c r="I4675" s="12"/>
      <c r="J4675" s="11">
        <v>0.0</v>
      </c>
      <c r="K4675" s="12" t="s">
        <v>3075</v>
      </c>
      <c r="L4675" s="13" t="s">
        <v>3075</v>
      </c>
      <c r="M4675" s="9" t="s">
        <v>3075</v>
      </c>
    </row>
    <row r="4676" ht="15.75" customHeight="1">
      <c r="A4676" s="8"/>
      <c r="B4676" s="8"/>
      <c r="C4676" s="8"/>
      <c r="D4676" s="8">
        <v>3.17536653116965</v>
      </c>
      <c r="E4676" s="9" t="s">
        <v>910</v>
      </c>
      <c r="I4676" s="12"/>
      <c r="J4676" s="11">
        <v>0.0</v>
      </c>
      <c r="K4676" s="12" t="s">
        <v>3075</v>
      </c>
      <c r="L4676" s="13" t="s">
        <v>3075</v>
      </c>
      <c r="M4676" s="9" t="s">
        <v>3075</v>
      </c>
    </row>
    <row r="4677" ht="15.75" customHeight="1">
      <c r="A4677" s="8"/>
      <c r="B4677" s="8"/>
      <c r="C4677" s="8"/>
      <c r="D4677" s="8">
        <v>1.92766119056377</v>
      </c>
      <c r="E4677" s="9" t="s">
        <v>915</v>
      </c>
      <c r="I4677" s="12"/>
      <c r="J4677" s="11">
        <v>0.0</v>
      </c>
      <c r="K4677" s="12" t="s">
        <v>3075</v>
      </c>
      <c r="L4677" s="13" t="s">
        <v>3075</v>
      </c>
      <c r="M4677" s="9" t="s">
        <v>3075</v>
      </c>
    </row>
    <row r="4678" ht="15.75" customHeight="1">
      <c r="A4678" s="8"/>
      <c r="B4678" s="8"/>
      <c r="C4678" s="8"/>
      <c r="D4678" s="8">
        <v>18.7981167324122</v>
      </c>
      <c r="E4678" s="9" t="s">
        <v>922</v>
      </c>
      <c r="I4678" s="12"/>
      <c r="J4678" s="11">
        <v>0.0</v>
      </c>
      <c r="K4678" s="12" t="s">
        <v>3075</v>
      </c>
      <c r="L4678" s="13" t="s">
        <v>3075</v>
      </c>
      <c r="M4678" s="9" t="s">
        <v>3075</v>
      </c>
    </row>
    <row r="4679" ht="15.75" customHeight="1">
      <c r="A4679" s="8"/>
      <c r="B4679" s="8"/>
      <c r="C4679" s="8"/>
      <c r="D4679" s="8">
        <v>0.0449760054536978</v>
      </c>
      <c r="E4679" s="9" t="s">
        <v>924</v>
      </c>
      <c r="I4679" s="12"/>
      <c r="J4679" s="11">
        <v>0.0</v>
      </c>
      <c r="K4679" s="12" t="s">
        <v>3075</v>
      </c>
      <c r="L4679" s="13" t="s">
        <v>3075</v>
      </c>
      <c r="M4679" s="9" t="s">
        <v>3075</v>
      </c>
    </row>
    <row r="4680" ht="15.75" customHeight="1">
      <c r="A4680" s="8"/>
      <c r="B4680" s="8"/>
      <c r="C4680" s="8"/>
      <c r="D4680" s="8">
        <v>0.515361436098568</v>
      </c>
      <c r="E4680" s="9" t="s">
        <v>930</v>
      </c>
      <c r="I4680" s="12"/>
      <c r="J4680" s="11">
        <v>0.0</v>
      </c>
      <c r="K4680" s="12" t="s">
        <v>3075</v>
      </c>
      <c r="L4680" s="13" t="s">
        <v>3075</v>
      </c>
      <c r="M4680" s="9" t="s">
        <v>3075</v>
      </c>
    </row>
    <row r="4681" ht="15.75" customHeight="1">
      <c r="A4681" s="8"/>
      <c r="B4681" s="8"/>
      <c r="C4681" s="8"/>
      <c r="D4681" s="8">
        <v>12.6850050061616</v>
      </c>
      <c r="E4681" s="9" t="s">
        <v>931</v>
      </c>
      <c r="I4681" s="12"/>
      <c r="J4681" s="11">
        <v>0.0</v>
      </c>
      <c r="K4681" s="12" t="s">
        <v>3075</v>
      </c>
      <c r="L4681" s="13" t="s">
        <v>3075</v>
      </c>
      <c r="M4681" s="9" t="s">
        <v>3075</v>
      </c>
    </row>
    <row r="4682" ht="15.75" customHeight="1">
      <c r="A4682" s="8"/>
      <c r="B4682" s="8"/>
      <c r="C4682" s="8"/>
      <c r="D4682" s="8">
        <v>34.8296470464435</v>
      </c>
      <c r="E4682" s="9" t="s">
        <v>933</v>
      </c>
      <c r="I4682" s="12"/>
      <c r="J4682" s="11">
        <v>0.0</v>
      </c>
      <c r="K4682" s="12" t="s">
        <v>3075</v>
      </c>
      <c r="L4682" s="13" t="s">
        <v>3075</v>
      </c>
      <c r="M4682" s="9" t="s">
        <v>3075</v>
      </c>
    </row>
    <row r="4683" ht="15.75" customHeight="1">
      <c r="A4683" s="8"/>
      <c r="B4683" s="8"/>
      <c r="C4683" s="8"/>
      <c r="D4683" s="8">
        <v>4.47751035896525</v>
      </c>
      <c r="E4683" s="9" t="s">
        <v>940</v>
      </c>
      <c r="I4683" s="12"/>
      <c r="J4683" s="11">
        <v>0.0</v>
      </c>
      <c r="K4683" s="12" t="s">
        <v>3075</v>
      </c>
      <c r="L4683" s="13" t="s">
        <v>3075</v>
      </c>
      <c r="M4683" s="9" t="s">
        <v>3075</v>
      </c>
    </row>
    <row r="4684" ht="15.75" customHeight="1">
      <c r="A4684" s="8"/>
      <c r="B4684" s="8"/>
      <c r="C4684" s="8"/>
      <c r="D4684" s="8">
        <v>27.3815277727118</v>
      </c>
      <c r="E4684" s="9" t="s">
        <v>941</v>
      </c>
      <c r="I4684" s="12"/>
      <c r="J4684" s="11">
        <v>0.0</v>
      </c>
      <c r="K4684" s="12" t="s">
        <v>3075</v>
      </c>
      <c r="L4684" s="13" t="s">
        <v>3075</v>
      </c>
      <c r="M4684" s="9" t="s">
        <v>3075</v>
      </c>
    </row>
    <row r="4685" ht="15.75" customHeight="1">
      <c r="A4685" s="8"/>
      <c r="B4685" s="8"/>
      <c r="C4685" s="8"/>
      <c r="D4685" s="8">
        <v>1.94579033779014</v>
      </c>
      <c r="E4685" s="9" t="s">
        <v>3093</v>
      </c>
      <c r="I4685" s="12"/>
      <c r="J4685" s="11">
        <v>0.0</v>
      </c>
      <c r="K4685" s="12" t="s">
        <v>3075</v>
      </c>
      <c r="L4685" s="13" t="s">
        <v>3075</v>
      </c>
      <c r="M4685" s="9" t="s">
        <v>3075</v>
      </c>
    </row>
    <row r="4686" ht="15.75" customHeight="1">
      <c r="A4686" s="8"/>
      <c r="B4686" s="8"/>
      <c r="C4686" s="8"/>
      <c r="D4686" s="8">
        <v>9.70967471537266</v>
      </c>
      <c r="E4686" s="9" t="s">
        <v>944</v>
      </c>
      <c r="I4686" s="12"/>
      <c r="J4686" s="11">
        <v>0.0</v>
      </c>
      <c r="K4686" s="12" t="s">
        <v>3075</v>
      </c>
      <c r="L4686" s="13" t="s">
        <v>3075</v>
      </c>
      <c r="M4686" s="9" t="s">
        <v>3075</v>
      </c>
    </row>
    <row r="4687" ht="15.75" customHeight="1">
      <c r="A4687" s="8"/>
      <c r="B4687" s="8"/>
      <c r="C4687" s="8"/>
      <c r="D4687" s="8">
        <v>27.3360192975461</v>
      </c>
      <c r="E4687" s="9" t="s">
        <v>952</v>
      </c>
      <c r="I4687" s="12"/>
      <c r="J4687" s="11">
        <v>0.0</v>
      </c>
      <c r="K4687" s="12" t="s">
        <v>3075</v>
      </c>
      <c r="L4687" s="13" t="s">
        <v>3075</v>
      </c>
      <c r="M4687" s="9" t="s">
        <v>3075</v>
      </c>
    </row>
    <row r="4688" ht="15.75" customHeight="1">
      <c r="A4688" s="8"/>
      <c r="B4688" s="8"/>
      <c r="C4688" s="8"/>
      <c r="D4688" s="8">
        <v>3.45748146769332</v>
      </c>
      <c r="E4688" s="9" t="s">
        <v>956</v>
      </c>
      <c r="I4688" s="12"/>
      <c r="J4688" s="11">
        <v>0.0</v>
      </c>
      <c r="K4688" s="12" t="s">
        <v>3075</v>
      </c>
      <c r="L4688" s="13" t="s">
        <v>3075</v>
      </c>
      <c r="M4688" s="9" t="s">
        <v>3075</v>
      </c>
    </row>
    <row r="4689" ht="15.75" customHeight="1">
      <c r="A4689" s="8"/>
      <c r="B4689" s="8"/>
      <c r="C4689" s="8"/>
      <c r="D4689" s="8">
        <v>9.87639424842288</v>
      </c>
      <c r="E4689" s="9" t="s">
        <v>958</v>
      </c>
      <c r="I4689" s="12"/>
      <c r="J4689" s="11">
        <v>0.0</v>
      </c>
      <c r="K4689" s="12" t="s">
        <v>3075</v>
      </c>
      <c r="L4689" s="13" t="s">
        <v>3075</v>
      </c>
      <c r="M4689" s="9" t="s">
        <v>3075</v>
      </c>
    </row>
    <row r="4690" ht="15.75" customHeight="1">
      <c r="A4690" s="8"/>
      <c r="B4690" s="8"/>
      <c r="C4690" s="8"/>
      <c r="D4690" s="8">
        <v>27.241064729062</v>
      </c>
      <c r="E4690" s="9" t="s">
        <v>959</v>
      </c>
      <c r="I4690" s="12"/>
      <c r="J4690" s="11">
        <v>0.0</v>
      </c>
      <c r="K4690" s="12" t="s">
        <v>3075</v>
      </c>
      <c r="L4690" s="13" t="s">
        <v>3075</v>
      </c>
      <c r="M4690" s="9" t="s">
        <v>3075</v>
      </c>
    </row>
    <row r="4691" ht="15.75" customHeight="1">
      <c r="A4691" s="8"/>
      <c r="B4691" s="8"/>
      <c r="C4691" s="8"/>
      <c r="D4691" s="8">
        <v>1.94579033779014</v>
      </c>
      <c r="E4691" s="9" t="s">
        <v>960</v>
      </c>
      <c r="I4691" s="12"/>
      <c r="J4691" s="11">
        <v>0.0</v>
      </c>
      <c r="K4691" s="12" t="s">
        <v>3075</v>
      </c>
      <c r="L4691" s="13" t="s">
        <v>3075</v>
      </c>
      <c r="M4691" s="9" t="s">
        <v>3075</v>
      </c>
    </row>
    <row r="4692" ht="15.75" customHeight="1">
      <c r="A4692" s="8"/>
      <c r="B4692" s="8"/>
      <c r="C4692" s="8"/>
      <c r="D4692" s="8">
        <v>3.44973568231972</v>
      </c>
      <c r="E4692" s="9" t="s">
        <v>964</v>
      </c>
      <c r="I4692" s="12"/>
      <c r="J4692" s="11">
        <v>0.0</v>
      </c>
      <c r="K4692" s="12" t="s">
        <v>3075</v>
      </c>
      <c r="L4692" s="13" t="s">
        <v>3075</v>
      </c>
      <c r="M4692" s="9" t="s">
        <v>3075</v>
      </c>
    </row>
    <row r="4693" ht="15.75" customHeight="1">
      <c r="A4693" s="8"/>
      <c r="B4693" s="8"/>
      <c r="C4693" s="8"/>
      <c r="D4693" s="8">
        <v>11.6747420267408</v>
      </c>
      <c r="E4693" s="9" t="s">
        <v>969</v>
      </c>
      <c r="I4693" s="12"/>
      <c r="J4693" s="11">
        <v>0.0</v>
      </c>
      <c r="K4693" s="12" t="s">
        <v>3075</v>
      </c>
      <c r="L4693" s="13" t="s">
        <v>3075</v>
      </c>
      <c r="M4693" s="9" t="s">
        <v>3075</v>
      </c>
    </row>
    <row r="4694" ht="15.75" customHeight="1">
      <c r="A4694" s="8"/>
      <c r="B4694" s="8"/>
      <c r="C4694" s="8"/>
      <c r="D4694" s="8">
        <v>77.8316135116057</v>
      </c>
      <c r="E4694" s="9" t="s">
        <v>970</v>
      </c>
      <c r="I4694" s="12"/>
      <c r="J4694" s="11">
        <v>0.0</v>
      </c>
      <c r="K4694" s="12" t="s">
        <v>3075</v>
      </c>
      <c r="L4694" s="13" t="s">
        <v>3075</v>
      </c>
      <c r="M4694" s="9" t="s">
        <v>3075</v>
      </c>
    </row>
    <row r="4695" ht="15.75" customHeight="1">
      <c r="A4695" s="8"/>
      <c r="B4695" s="8"/>
      <c r="C4695" s="8"/>
      <c r="D4695" s="8">
        <v>54.7169571255407</v>
      </c>
      <c r="E4695" s="9" t="s">
        <v>985</v>
      </c>
      <c r="I4695" s="12"/>
      <c r="J4695" s="11">
        <v>0.0</v>
      </c>
      <c r="K4695" s="12" t="s">
        <v>3075</v>
      </c>
      <c r="L4695" s="13" t="s">
        <v>3075</v>
      </c>
      <c r="M4695" s="9" t="s">
        <v>3075</v>
      </c>
    </row>
    <row r="4696" ht="15.75" customHeight="1">
      <c r="A4696" s="8"/>
      <c r="B4696" s="8"/>
      <c r="C4696" s="8"/>
      <c r="D4696" s="8">
        <v>11.7545270566482</v>
      </c>
      <c r="E4696" s="9" t="s">
        <v>986</v>
      </c>
      <c r="I4696" s="12"/>
      <c r="J4696" s="11">
        <v>0.0</v>
      </c>
      <c r="K4696" s="12" t="s">
        <v>3075</v>
      </c>
      <c r="L4696" s="13" t="s">
        <v>3075</v>
      </c>
      <c r="M4696" s="9" t="s">
        <v>3075</v>
      </c>
    </row>
    <row r="4697" ht="15.75" customHeight="1">
      <c r="A4697" s="8"/>
      <c r="B4697" s="8"/>
      <c r="C4697" s="8"/>
      <c r="D4697" s="8">
        <v>377.638313981182</v>
      </c>
      <c r="E4697" s="9" t="s">
        <v>989</v>
      </c>
      <c r="I4697" s="12"/>
      <c r="J4697" s="11">
        <v>0.0</v>
      </c>
      <c r="K4697" s="12" t="s">
        <v>3075</v>
      </c>
      <c r="L4697" s="13" t="s">
        <v>3075</v>
      </c>
      <c r="M4697" s="9" t="s">
        <v>3075</v>
      </c>
    </row>
    <row r="4698" ht="15.75" customHeight="1">
      <c r="A4698" s="8"/>
      <c r="B4698" s="8"/>
      <c r="C4698" s="8"/>
      <c r="D4698" s="8">
        <v>18.3625726222518</v>
      </c>
      <c r="E4698" s="9" t="s">
        <v>990</v>
      </c>
      <c r="I4698" s="12"/>
      <c r="J4698" s="11">
        <v>0.0</v>
      </c>
      <c r="K4698" s="12" t="s">
        <v>3075</v>
      </c>
      <c r="L4698" s="13" t="s">
        <v>3075</v>
      </c>
      <c r="M4698" s="9" t="s">
        <v>3075</v>
      </c>
    </row>
    <row r="4699" ht="15.75" customHeight="1">
      <c r="A4699" s="8"/>
      <c r="B4699" s="8"/>
      <c r="C4699" s="8"/>
      <c r="D4699" s="8">
        <v>0.312420329741381</v>
      </c>
      <c r="E4699" s="9" t="s">
        <v>3222</v>
      </c>
      <c r="I4699" s="12"/>
      <c r="J4699" s="11">
        <v>0.0</v>
      </c>
      <c r="K4699" s="12" t="s">
        <v>3075</v>
      </c>
      <c r="L4699" s="13" t="s">
        <v>3075</v>
      </c>
      <c r="M4699" s="9" t="s">
        <v>3075</v>
      </c>
    </row>
    <row r="4700" ht="15.75" customHeight="1">
      <c r="A4700" s="8"/>
      <c r="B4700" s="8"/>
      <c r="C4700" s="8"/>
      <c r="D4700" s="8">
        <v>0.342143437386987</v>
      </c>
      <c r="E4700" s="9" t="s">
        <v>1001</v>
      </c>
      <c r="I4700" s="12"/>
      <c r="J4700" s="11">
        <v>0.0</v>
      </c>
      <c r="K4700" s="12" t="s">
        <v>3075</v>
      </c>
      <c r="L4700" s="13" t="s">
        <v>3075</v>
      </c>
      <c r="M4700" s="9" t="s">
        <v>3075</v>
      </c>
    </row>
    <row r="4701" ht="15.75" customHeight="1">
      <c r="A4701" s="8"/>
      <c r="B4701" s="8"/>
      <c r="C4701" s="8"/>
      <c r="D4701" s="8">
        <v>64.7422180717242</v>
      </c>
      <c r="E4701" s="9" t="s">
        <v>1004</v>
      </c>
      <c r="I4701" s="12"/>
      <c r="J4701" s="11">
        <v>0.0</v>
      </c>
      <c r="K4701" s="12" t="s">
        <v>3075</v>
      </c>
      <c r="L4701" s="13" t="s">
        <v>3075</v>
      </c>
      <c r="M4701" s="9" t="s">
        <v>3075</v>
      </c>
    </row>
    <row r="4702" ht="15.75" customHeight="1">
      <c r="A4702" s="8"/>
      <c r="B4702" s="8"/>
      <c r="C4702" s="8"/>
      <c r="D4702" s="8">
        <v>95.5629014371019</v>
      </c>
      <c r="E4702" s="9" t="s">
        <v>1005</v>
      </c>
      <c r="I4702" s="12"/>
      <c r="J4702" s="11">
        <v>0.0</v>
      </c>
      <c r="K4702" s="12" t="s">
        <v>3075</v>
      </c>
      <c r="L4702" s="13" t="s">
        <v>3075</v>
      </c>
      <c r="M4702" s="9" t="s">
        <v>3075</v>
      </c>
    </row>
    <row r="4703" ht="15.75" customHeight="1">
      <c r="A4703" s="8"/>
      <c r="B4703" s="8"/>
      <c r="C4703" s="8"/>
      <c r="D4703" s="8">
        <v>23.4909162665789</v>
      </c>
      <c r="E4703" s="9" t="s">
        <v>1010</v>
      </c>
      <c r="I4703" s="12"/>
      <c r="J4703" s="11">
        <v>0.0</v>
      </c>
      <c r="K4703" s="12" t="s">
        <v>3075</v>
      </c>
      <c r="L4703" s="13" t="s">
        <v>3075</v>
      </c>
      <c r="M4703" s="9" t="s">
        <v>3075</v>
      </c>
    </row>
    <row r="4704" ht="15.75" customHeight="1">
      <c r="A4704" s="8"/>
      <c r="B4704" s="8"/>
      <c r="C4704" s="8"/>
      <c r="D4704" s="8">
        <v>39.1103857895819</v>
      </c>
      <c r="E4704" s="9" t="s">
        <v>3223</v>
      </c>
      <c r="I4704" s="12"/>
      <c r="J4704" s="11">
        <v>0.0</v>
      </c>
      <c r="K4704" s="12" t="s">
        <v>3075</v>
      </c>
      <c r="L4704" s="13" t="s">
        <v>3075</v>
      </c>
      <c r="M4704" s="9" t="s">
        <v>3075</v>
      </c>
    </row>
    <row r="4705" ht="15.75" customHeight="1">
      <c r="A4705" s="8"/>
      <c r="B4705" s="8"/>
      <c r="C4705" s="8"/>
      <c r="D4705" s="8">
        <v>327.682440425549</v>
      </c>
      <c r="E4705" s="9" t="s">
        <v>3224</v>
      </c>
      <c r="I4705" s="12"/>
      <c r="J4705" s="11">
        <v>0.0</v>
      </c>
      <c r="K4705" s="12" t="s">
        <v>3075</v>
      </c>
      <c r="L4705" s="13" t="s">
        <v>3075</v>
      </c>
      <c r="M4705" s="9" t="s">
        <v>3075</v>
      </c>
    </row>
    <row r="4706" ht="15.75" customHeight="1">
      <c r="A4706" s="8"/>
      <c r="B4706" s="8"/>
      <c r="C4706" s="8"/>
      <c r="D4706" s="8">
        <v>11.6747420267408</v>
      </c>
      <c r="E4706" s="9" t="s">
        <v>1019</v>
      </c>
      <c r="I4706" s="12"/>
      <c r="J4706" s="11">
        <v>0.0</v>
      </c>
      <c r="K4706" s="12" t="s">
        <v>3075</v>
      </c>
      <c r="L4706" s="13" t="s">
        <v>3075</v>
      </c>
      <c r="M4706" s="9" t="s">
        <v>3075</v>
      </c>
    </row>
    <row r="4707" ht="15.75" customHeight="1">
      <c r="A4707" s="8"/>
      <c r="B4707" s="8"/>
      <c r="C4707" s="8"/>
      <c r="D4707" s="8">
        <v>1.94450547289022</v>
      </c>
      <c r="E4707" s="9" t="s">
        <v>1026</v>
      </c>
      <c r="I4707" s="12"/>
      <c r="J4707" s="11">
        <v>0.0</v>
      </c>
      <c r="K4707" s="12" t="s">
        <v>3075</v>
      </c>
      <c r="L4707" s="13" t="s">
        <v>3075</v>
      </c>
      <c r="M4707" s="9" t="s">
        <v>3075</v>
      </c>
    </row>
    <row r="4708" ht="15.75" customHeight="1">
      <c r="A4708" s="8"/>
      <c r="B4708" s="8"/>
      <c r="C4708" s="8"/>
      <c r="D4708" s="8">
        <v>2.90332012152834</v>
      </c>
      <c r="E4708" s="9" t="s">
        <v>1029</v>
      </c>
      <c r="I4708" s="12"/>
      <c r="J4708" s="11">
        <v>0.0</v>
      </c>
      <c r="K4708" s="12" t="s">
        <v>3075</v>
      </c>
      <c r="L4708" s="13" t="s">
        <v>3075</v>
      </c>
      <c r="M4708" s="9" t="s">
        <v>3075</v>
      </c>
    </row>
    <row r="4709" ht="15.75" customHeight="1">
      <c r="A4709" s="8"/>
      <c r="B4709" s="8"/>
      <c r="C4709" s="8"/>
      <c r="D4709" s="8">
        <v>10.8964258916248</v>
      </c>
      <c r="E4709" s="9" t="s">
        <v>1031</v>
      </c>
      <c r="I4709" s="12"/>
      <c r="J4709" s="11">
        <v>0.0</v>
      </c>
      <c r="K4709" s="12" t="s">
        <v>3075</v>
      </c>
      <c r="L4709" s="13" t="s">
        <v>3075</v>
      </c>
      <c r="M4709" s="9" t="s">
        <v>3075</v>
      </c>
    </row>
    <row r="4710" ht="15.75" customHeight="1">
      <c r="A4710" s="8"/>
      <c r="B4710" s="8"/>
      <c r="C4710" s="8"/>
      <c r="D4710" s="8">
        <v>0.856271285956443</v>
      </c>
      <c r="E4710" s="9" t="s">
        <v>3225</v>
      </c>
      <c r="I4710" s="12"/>
      <c r="J4710" s="11">
        <v>0.0</v>
      </c>
      <c r="K4710" s="12" t="s">
        <v>3075</v>
      </c>
      <c r="L4710" s="13" t="s">
        <v>3075</v>
      </c>
      <c r="M4710" s="9" t="s">
        <v>3075</v>
      </c>
    </row>
    <row r="4711" ht="15.75" customHeight="1">
      <c r="A4711" s="8"/>
      <c r="B4711" s="8"/>
      <c r="C4711" s="8"/>
      <c r="D4711" s="8">
        <v>11.2572205883492</v>
      </c>
      <c r="E4711" s="9" t="s">
        <v>1036</v>
      </c>
      <c r="I4711" s="12"/>
      <c r="J4711" s="11">
        <v>0.0</v>
      </c>
      <c r="K4711" s="12" t="s">
        <v>3075</v>
      </c>
      <c r="L4711" s="13" t="s">
        <v>3075</v>
      </c>
      <c r="M4711" s="9" t="s">
        <v>3075</v>
      </c>
    </row>
    <row r="4712" ht="15.75" customHeight="1">
      <c r="A4712" s="8"/>
      <c r="B4712" s="8"/>
      <c r="C4712" s="8"/>
      <c r="D4712" s="8">
        <v>443.634272137188</v>
      </c>
      <c r="E4712" s="9" t="s">
        <v>1038</v>
      </c>
      <c r="I4712" s="12"/>
      <c r="J4712" s="11">
        <v>0.0</v>
      </c>
      <c r="K4712" s="12" t="s">
        <v>3075</v>
      </c>
      <c r="L4712" s="13" t="s">
        <v>3075</v>
      </c>
      <c r="M4712" s="9" t="s">
        <v>3075</v>
      </c>
    </row>
    <row r="4713" ht="15.75" customHeight="1">
      <c r="A4713" s="8"/>
      <c r="B4713" s="8"/>
      <c r="C4713" s="8"/>
      <c r="D4713" s="8">
        <v>11.6747420267408</v>
      </c>
      <c r="E4713" s="9" t="s">
        <v>1040</v>
      </c>
      <c r="I4713" s="12"/>
      <c r="J4713" s="11">
        <v>0.0</v>
      </c>
      <c r="K4713" s="12" t="s">
        <v>3075</v>
      </c>
      <c r="L4713" s="13" t="s">
        <v>3075</v>
      </c>
      <c r="M4713" s="9" t="s">
        <v>3075</v>
      </c>
    </row>
    <row r="4714" ht="15.75" customHeight="1">
      <c r="A4714" s="8"/>
      <c r="B4714" s="8"/>
      <c r="C4714" s="8"/>
      <c r="D4714" s="8">
        <v>82.7468417213963</v>
      </c>
      <c r="E4714" s="9" t="s">
        <v>1055</v>
      </c>
      <c r="I4714" s="12"/>
      <c r="J4714" s="11">
        <v>0.0</v>
      </c>
      <c r="K4714" s="12" t="s">
        <v>3075</v>
      </c>
      <c r="L4714" s="13" t="s">
        <v>3075</v>
      </c>
      <c r="M4714" s="9" t="s">
        <v>3075</v>
      </c>
    </row>
    <row r="4715" ht="15.75" customHeight="1">
      <c r="A4715" s="8"/>
      <c r="B4715" s="8"/>
      <c r="C4715" s="8"/>
      <c r="D4715" s="8">
        <v>9.99306291425642</v>
      </c>
      <c r="E4715" s="9" t="s">
        <v>1063</v>
      </c>
      <c r="I4715" s="12"/>
      <c r="J4715" s="11">
        <v>0.0</v>
      </c>
      <c r="K4715" s="12" t="s">
        <v>3075</v>
      </c>
      <c r="L4715" s="13" t="s">
        <v>3075</v>
      </c>
      <c r="M4715" s="9" t="s">
        <v>3075</v>
      </c>
    </row>
    <row r="4716" ht="15.75" customHeight="1">
      <c r="A4716" s="8"/>
      <c r="B4716" s="8"/>
      <c r="C4716" s="8"/>
      <c r="D4716" s="8">
        <v>3.92596294791323</v>
      </c>
      <c r="E4716" s="9" t="s">
        <v>1066</v>
      </c>
      <c r="I4716" s="12"/>
      <c r="J4716" s="11">
        <v>0.0</v>
      </c>
      <c r="K4716" s="12" t="s">
        <v>3075</v>
      </c>
      <c r="L4716" s="13" t="s">
        <v>3075</v>
      </c>
      <c r="M4716" s="9" t="s">
        <v>3075</v>
      </c>
    </row>
    <row r="4717" ht="15.75" customHeight="1">
      <c r="A4717" s="8"/>
      <c r="B4717" s="8"/>
      <c r="C4717" s="8"/>
      <c r="D4717" s="8">
        <v>1.94579033779014</v>
      </c>
      <c r="E4717" s="9" t="s">
        <v>3226</v>
      </c>
      <c r="I4717" s="12"/>
      <c r="J4717" s="11">
        <v>0.0</v>
      </c>
      <c r="K4717" s="12" t="s">
        <v>3075</v>
      </c>
      <c r="L4717" s="13" t="s">
        <v>3075</v>
      </c>
      <c r="M4717" s="9" t="s">
        <v>3075</v>
      </c>
    </row>
    <row r="4718" ht="15.75" customHeight="1">
      <c r="A4718" s="8"/>
      <c r="B4718" s="8"/>
      <c r="C4718" s="8"/>
      <c r="D4718" s="8">
        <v>105.282046679959</v>
      </c>
      <c r="E4718" s="9" t="s">
        <v>1069</v>
      </c>
      <c r="I4718" s="12"/>
      <c r="J4718" s="11">
        <v>0.0</v>
      </c>
      <c r="K4718" s="12" t="s">
        <v>3075</v>
      </c>
      <c r="L4718" s="13" t="s">
        <v>3075</v>
      </c>
      <c r="M4718" s="9" t="s">
        <v>3075</v>
      </c>
    </row>
    <row r="4719" ht="15.75" customHeight="1">
      <c r="A4719" s="8"/>
      <c r="B4719" s="8"/>
      <c r="C4719" s="8"/>
      <c r="D4719" s="8">
        <v>1.85568707148154</v>
      </c>
      <c r="E4719" s="9" t="s">
        <v>1073</v>
      </c>
      <c r="I4719" s="12"/>
      <c r="J4719" s="11">
        <v>0.0</v>
      </c>
      <c r="K4719" s="12" t="s">
        <v>3075</v>
      </c>
      <c r="L4719" s="13" t="s">
        <v>3075</v>
      </c>
      <c r="M4719" s="9" t="s">
        <v>3075</v>
      </c>
    </row>
    <row r="4720" ht="15.75" customHeight="1">
      <c r="A4720" s="8"/>
      <c r="B4720" s="8"/>
      <c r="C4720" s="8"/>
      <c r="D4720" s="8">
        <v>12.7826024281078</v>
      </c>
      <c r="E4720" s="9" t="s">
        <v>1079</v>
      </c>
      <c r="I4720" s="12"/>
      <c r="J4720" s="11">
        <v>0.0</v>
      </c>
      <c r="K4720" s="12" t="s">
        <v>3075</v>
      </c>
      <c r="L4720" s="13" t="s">
        <v>3075</v>
      </c>
      <c r="M4720" s="9" t="s">
        <v>3075</v>
      </c>
    </row>
    <row r="4721" ht="15.75" customHeight="1">
      <c r="A4721" s="8"/>
      <c r="B4721" s="8"/>
      <c r="C4721" s="8"/>
      <c r="D4721" s="8">
        <v>2.79250084679906</v>
      </c>
      <c r="E4721" s="9" t="s">
        <v>3227</v>
      </c>
      <c r="I4721" s="12"/>
      <c r="J4721" s="11">
        <v>0.0</v>
      </c>
      <c r="K4721" s="12" t="s">
        <v>3075</v>
      </c>
      <c r="L4721" s="13" t="s">
        <v>3075</v>
      </c>
      <c r="M4721" s="9" t="s">
        <v>3075</v>
      </c>
    </row>
    <row r="4722" ht="15.75" customHeight="1">
      <c r="A4722" s="8"/>
      <c r="B4722" s="8"/>
      <c r="C4722" s="8"/>
      <c r="D4722" s="8">
        <v>1.75297497600012</v>
      </c>
      <c r="E4722" s="9" t="s">
        <v>3228</v>
      </c>
      <c r="I4722" s="12"/>
      <c r="J4722" s="11">
        <v>0.0</v>
      </c>
      <c r="K4722" s="12" t="s">
        <v>3075</v>
      </c>
      <c r="L4722" s="13" t="s">
        <v>3075</v>
      </c>
      <c r="M4722" s="9" t="s">
        <v>3075</v>
      </c>
    </row>
    <row r="4723" ht="15.75" customHeight="1">
      <c r="A4723" s="8"/>
      <c r="B4723" s="8"/>
      <c r="C4723" s="8"/>
      <c r="D4723" s="8">
        <v>329.059679225647</v>
      </c>
      <c r="E4723" s="9" t="s">
        <v>1088</v>
      </c>
      <c r="I4723" s="12"/>
      <c r="J4723" s="11">
        <v>0.0</v>
      </c>
      <c r="K4723" s="12" t="s">
        <v>3075</v>
      </c>
      <c r="L4723" s="13" t="s">
        <v>3075</v>
      </c>
      <c r="M4723" s="9" t="s">
        <v>3075</v>
      </c>
    </row>
    <row r="4724" ht="15.75" customHeight="1">
      <c r="A4724" s="8"/>
      <c r="B4724" s="8"/>
      <c r="C4724" s="8"/>
      <c r="D4724" s="8">
        <v>1409.44989998654</v>
      </c>
      <c r="E4724" s="9" t="s">
        <v>1089</v>
      </c>
      <c r="I4724" s="12"/>
      <c r="J4724" s="11">
        <v>0.0</v>
      </c>
      <c r="K4724" s="12" t="s">
        <v>3075</v>
      </c>
      <c r="L4724" s="13" t="s">
        <v>3075</v>
      </c>
      <c r="M4724" s="9" t="s">
        <v>3075</v>
      </c>
    </row>
    <row r="4725" ht="15.75" customHeight="1">
      <c r="A4725" s="8"/>
      <c r="B4725" s="8"/>
      <c r="C4725" s="8"/>
      <c r="D4725" s="8">
        <v>2.54173412684251</v>
      </c>
      <c r="E4725" s="9" t="s">
        <v>1091</v>
      </c>
      <c r="I4725" s="12"/>
      <c r="J4725" s="11">
        <v>0.0</v>
      </c>
      <c r="K4725" s="12" t="s">
        <v>3075</v>
      </c>
      <c r="L4725" s="13" t="s">
        <v>3075</v>
      </c>
      <c r="M4725" s="9" t="s">
        <v>3075</v>
      </c>
    </row>
    <row r="4726" ht="15.75" customHeight="1">
      <c r="A4726" s="8"/>
      <c r="B4726" s="8"/>
      <c r="C4726" s="8"/>
      <c r="D4726" s="8">
        <v>1.78714809028316</v>
      </c>
      <c r="E4726" s="9" t="s">
        <v>3229</v>
      </c>
      <c r="I4726" s="12"/>
      <c r="J4726" s="11">
        <v>0.0</v>
      </c>
      <c r="K4726" s="12" t="s">
        <v>3075</v>
      </c>
      <c r="L4726" s="13" t="s">
        <v>3075</v>
      </c>
      <c r="M4726" s="9" t="s">
        <v>3075</v>
      </c>
    </row>
    <row r="4727" ht="15.75" customHeight="1">
      <c r="A4727" s="8"/>
      <c r="B4727" s="8"/>
      <c r="C4727" s="8"/>
      <c r="D4727" s="8">
        <v>70.2182756847578</v>
      </c>
      <c r="E4727" s="9" t="s">
        <v>1098</v>
      </c>
      <c r="I4727" s="12"/>
      <c r="J4727" s="11">
        <v>0.0</v>
      </c>
      <c r="K4727" s="12" t="s">
        <v>3075</v>
      </c>
      <c r="L4727" s="13" t="s">
        <v>3075</v>
      </c>
      <c r="M4727" s="9" t="s">
        <v>3075</v>
      </c>
    </row>
    <row r="4728" ht="15.75" customHeight="1">
      <c r="A4728" s="8"/>
      <c r="B4728" s="8"/>
      <c r="C4728" s="8"/>
      <c r="D4728" s="8">
        <v>119.607779784702</v>
      </c>
      <c r="E4728" s="9" t="s">
        <v>1099</v>
      </c>
      <c r="I4728" s="12"/>
      <c r="J4728" s="11">
        <v>0.0</v>
      </c>
      <c r="K4728" s="12" t="s">
        <v>3075</v>
      </c>
      <c r="L4728" s="13" t="s">
        <v>3075</v>
      </c>
      <c r="M4728" s="9" t="s">
        <v>3075</v>
      </c>
    </row>
    <row r="4729" ht="15.75" customHeight="1">
      <c r="A4729" s="8"/>
      <c r="B4729" s="8"/>
      <c r="C4729" s="8"/>
      <c r="D4729" s="8">
        <v>1.06024344593848</v>
      </c>
      <c r="E4729" s="9" t="s">
        <v>1103</v>
      </c>
      <c r="I4729" s="12"/>
      <c r="J4729" s="11">
        <v>0.0</v>
      </c>
      <c r="K4729" s="12" t="s">
        <v>3075</v>
      </c>
      <c r="L4729" s="13" t="s">
        <v>3075</v>
      </c>
      <c r="M4729" s="9" t="s">
        <v>3075</v>
      </c>
    </row>
    <row r="4730" ht="15.75" customHeight="1">
      <c r="A4730" s="8"/>
      <c r="B4730" s="8"/>
      <c r="C4730" s="8"/>
      <c r="D4730" s="8">
        <v>4.12951422686896</v>
      </c>
      <c r="E4730" s="9" t="s">
        <v>3230</v>
      </c>
      <c r="I4730" s="12"/>
      <c r="J4730" s="11">
        <v>0.0</v>
      </c>
      <c r="K4730" s="12" t="s">
        <v>3075</v>
      </c>
      <c r="L4730" s="13" t="s">
        <v>3075</v>
      </c>
      <c r="M4730" s="9" t="s">
        <v>3075</v>
      </c>
    </row>
    <row r="4731" ht="15.75" customHeight="1">
      <c r="A4731" s="8"/>
      <c r="B4731" s="8"/>
      <c r="C4731" s="8"/>
      <c r="D4731" s="8">
        <v>168.550306889367</v>
      </c>
      <c r="E4731" s="9" t="s">
        <v>1114</v>
      </c>
      <c r="I4731" s="12"/>
      <c r="J4731" s="11">
        <v>0.0</v>
      </c>
      <c r="K4731" s="12" t="s">
        <v>3075</v>
      </c>
      <c r="L4731" s="13" t="s">
        <v>3075</v>
      </c>
      <c r="M4731" s="9" t="s">
        <v>3075</v>
      </c>
    </row>
    <row r="4732" ht="15.75" customHeight="1">
      <c r="A4732" s="8"/>
      <c r="B4732" s="8"/>
      <c r="C4732" s="8"/>
      <c r="D4732" s="8">
        <v>121.070143282939</v>
      </c>
      <c r="E4732" s="9" t="s">
        <v>1117</v>
      </c>
      <c r="I4732" s="12"/>
      <c r="J4732" s="11">
        <v>0.0</v>
      </c>
      <c r="K4732" s="12" t="s">
        <v>3075</v>
      </c>
      <c r="L4732" s="13" t="s">
        <v>3075</v>
      </c>
      <c r="M4732" s="9" t="s">
        <v>3075</v>
      </c>
    </row>
    <row r="4733" ht="15.75" customHeight="1">
      <c r="A4733" s="8"/>
      <c r="B4733" s="8"/>
      <c r="C4733" s="8"/>
      <c r="D4733" s="8">
        <v>5.65226998456553</v>
      </c>
      <c r="E4733" s="9" t="s">
        <v>1121</v>
      </c>
      <c r="I4733" s="12"/>
      <c r="J4733" s="11">
        <v>0.0</v>
      </c>
      <c r="K4733" s="12" t="s">
        <v>3075</v>
      </c>
      <c r="L4733" s="13" t="s">
        <v>3075</v>
      </c>
      <c r="M4733" s="9" t="s">
        <v>3075</v>
      </c>
    </row>
    <row r="4734" ht="15.75" customHeight="1">
      <c r="A4734" s="8"/>
      <c r="B4734" s="8"/>
      <c r="C4734" s="8"/>
      <c r="D4734" s="8">
        <v>1.94579033779014</v>
      </c>
      <c r="E4734" s="9" t="s">
        <v>1124</v>
      </c>
      <c r="I4734" s="12"/>
      <c r="J4734" s="11">
        <v>0.0</v>
      </c>
      <c r="K4734" s="12" t="s">
        <v>3075</v>
      </c>
      <c r="L4734" s="13" t="s">
        <v>3075</v>
      </c>
      <c r="M4734" s="9" t="s">
        <v>3075</v>
      </c>
    </row>
    <row r="4735" ht="15.75" customHeight="1">
      <c r="A4735" s="8"/>
      <c r="B4735" s="8"/>
      <c r="C4735" s="8"/>
      <c r="D4735" s="8">
        <v>23.416175603829</v>
      </c>
      <c r="E4735" s="9" t="s">
        <v>3231</v>
      </c>
      <c r="I4735" s="12"/>
      <c r="J4735" s="11">
        <v>0.0</v>
      </c>
      <c r="K4735" s="12" t="s">
        <v>3075</v>
      </c>
      <c r="L4735" s="13" t="s">
        <v>3075</v>
      </c>
      <c r="M4735" s="9" t="s">
        <v>3075</v>
      </c>
    </row>
    <row r="4736" ht="15.75" customHeight="1">
      <c r="A4736" s="8"/>
      <c r="B4736" s="8"/>
      <c r="C4736" s="8"/>
      <c r="D4736" s="8">
        <v>1.96718617884085</v>
      </c>
      <c r="E4736" s="9" t="s">
        <v>1128</v>
      </c>
      <c r="I4736" s="12"/>
      <c r="J4736" s="11">
        <v>0.0</v>
      </c>
      <c r="K4736" s="12" t="s">
        <v>3075</v>
      </c>
      <c r="L4736" s="13" t="s">
        <v>3075</v>
      </c>
      <c r="M4736" s="9" t="s">
        <v>3075</v>
      </c>
    </row>
    <row r="4737" ht="15.75" customHeight="1">
      <c r="A4737" s="8"/>
      <c r="B4737" s="8"/>
      <c r="C4737" s="8"/>
      <c r="D4737" s="8">
        <v>1.94579033779014</v>
      </c>
      <c r="E4737" s="9" t="s">
        <v>1131</v>
      </c>
      <c r="I4737" s="12"/>
      <c r="J4737" s="11">
        <v>0.0</v>
      </c>
      <c r="K4737" s="12" t="s">
        <v>3075</v>
      </c>
      <c r="L4737" s="13" t="s">
        <v>3075</v>
      </c>
      <c r="M4737" s="9" t="s">
        <v>3075</v>
      </c>
    </row>
    <row r="4738" ht="15.75" customHeight="1">
      <c r="A4738" s="8"/>
      <c r="B4738" s="8"/>
      <c r="C4738" s="8"/>
      <c r="D4738" s="8">
        <v>1.94579033779014</v>
      </c>
      <c r="E4738" s="9" t="s">
        <v>1132</v>
      </c>
      <c r="I4738" s="12"/>
      <c r="J4738" s="11">
        <v>0.0</v>
      </c>
      <c r="K4738" s="12" t="s">
        <v>3075</v>
      </c>
      <c r="L4738" s="13" t="s">
        <v>3075</v>
      </c>
      <c r="M4738" s="9" t="s">
        <v>3075</v>
      </c>
    </row>
    <row r="4739" ht="15.75" customHeight="1">
      <c r="A4739" s="8"/>
      <c r="B4739" s="8"/>
      <c r="C4739" s="8"/>
      <c r="D4739" s="8">
        <v>83.9206306213502</v>
      </c>
      <c r="E4739" s="9" t="s">
        <v>1135</v>
      </c>
      <c r="I4739" s="12"/>
      <c r="J4739" s="11">
        <v>0.0</v>
      </c>
      <c r="K4739" s="12" t="s">
        <v>3075</v>
      </c>
      <c r="L4739" s="13" t="s">
        <v>3075</v>
      </c>
      <c r="M4739" s="9" t="s">
        <v>3075</v>
      </c>
    </row>
    <row r="4740" ht="15.75" customHeight="1">
      <c r="A4740" s="8"/>
      <c r="B4740" s="8"/>
      <c r="C4740" s="8"/>
      <c r="D4740" s="8">
        <v>2.74084026667E-7</v>
      </c>
      <c r="E4740" s="9" t="s">
        <v>1146</v>
      </c>
      <c r="I4740" s="12"/>
      <c r="J4740" s="11">
        <v>0.0</v>
      </c>
      <c r="K4740" s="12" t="s">
        <v>3075</v>
      </c>
      <c r="L4740" s="13" t="s">
        <v>3075</v>
      </c>
      <c r="M4740" s="9" t="s">
        <v>3075</v>
      </c>
    </row>
    <row r="4741" ht="15.75" customHeight="1">
      <c r="A4741" s="8"/>
      <c r="B4741" s="8"/>
      <c r="C4741" s="8"/>
      <c r="D4741" s="8">
        <v>1.94579033779014</v>
      </c>
      <c r="E4741" s="9" t="s">
        <v>3232</v>
      </c>
      <c r="I4741" s="12"/>
      <c r="J4741" s="11">
        <v>0.0</v>
      </c>
      <c r="K4741" s="12" t="s">
        <v>3075</v>
      </c>
      <c r="L4741" s="13" t="s">
        <v>3075</v>
      </c>
      <c r="M4741" s="9" t="s">
        <v>3075</v>
      </c>
    </row>
    <row r="4742" ht="15.75" customHeight="1">
      <c r="A4742" s="8"/>
      <c r="B4742" s="8"/>
      <c r="C4742" s="8"/>
      <c r="D4742" s="8">
        <v>2534.46469483034</v>
      </c>
      <c r="E4742" s="9" t="s">
        <v>3233</v>
      </c>
      <c r="I4742" s="12"/>
      <c r="J4742" s="11">
        <v>0.0</v>
      </c>
      <c r="K4742" s="12" t="s">
        <v>3075</v>
      </c>
      <c r="L4742" s="13" t="s">
        <v>3075</v>
      </c>
      <c r="M4742" s="9" t="s">
        <v>3075</v>
      </c>
    </row>
    <row r="4743" ht="15.75" customHeight="1">
      <c r="A4743" s="8"/>
      <c r="B4743" s="8"/>
      <c r="C4743" s="8"/>
      <c r="D4743" s="8">
        <v>1.08720874417381</v>
      </c>
      <c r="E4743" s="9" t="s">
        <v>3234</v>
      </c>
      <c r="I4743" s="12"/>
      <c r="J4743" s="11">
        <v>0.0</v>
      </c>
      <c r="K4743" s="12" t="s">
        <v>3075</v>
      </c>
      <c r="L4743" s="13" t="s">
        <v>3075</v>
      </c>
      <c r="M4743" s="9" t="s">
        <v>3075</v>
      </c>
    </row>
    <row r="4744" ht="15.75" customHeight="1">
      <c r="A4744" s="8"/>
      <c r="B4744" s="8"/>
      <c r="C4744" s="8"/>
      <c r="D4744" s="8">
        <v>65.5022043482064</v>
      </c>
      <c r="E4744" s="9" t="s">
        <v>1163</v>
      </c>
      <c r="I4744" s="12"/>
      <c r="J4744" s="11">
        <v>0.0</v>
      </c>
      <c r="K4744" s="12" t="s">
        <v>3075</v>
      </c>
      <c r="L4744" s="13" t="s">
        <v>3075</v>
      </c>
      <c r="M4744" s="9" t="s">
        <v>3075</v>
      </c>
    </row>
    <row r="4745" ht="15.75" customHeight="1">
      <c r="A4745" s="8"/>
      <c r="B4745" s="8"/>
      <c r="C4745" s="8"/>
      <c r="D4745" s="8">
        <v>8.48364587276503</v>
      </c>
      <c r="E4745" s="9" t="s">
        <v>1164</v>
      </c>
      <c r="I4745" s="12"/>
      <c r="J4745" s="11">
        <v>0.0</v>
      </c>
      <c r="K4745" s="12" t="s">
        <v>3075</v>
      </c>
      <c r="L4745" s="13" t="s">
        <v>3075</v>
      </c>
      <c r="M4745" s="9" t="s">
        <v>3075</v>
      </c>
    </row>
    <row r="4746" ht="15.75" customHeight="1">
      <c r="A4746" s="8"/>
      <c r="B4746" s="8"/>
      <c r="C4746" s="8"/>
      <c r="D4746" s="8">
        <v>66.3126650171474</v>
      </c>
      <c r="E4746" s="9" t="s">
        <v>1166</v>
      </c>
      <c r="I4746" s="12"/>
      <c r="J4746" s="11">
        <v>0.0</v>
      </c>
      <c r="K4746" s="12" t="s">
        <v>3075</v>
      </c>
      <c r="L4746" s="13" t="s">
        <v>3075</v>
      </c>
      <c r="M4746" s="9" t="s">
        <v>3075</v>
      </c>
    </row>
    <row r="4747" ht="15.75" customHeight="1">
      <c r="A4747" s="8"/>
      <c r="B4747" s="8"/>
      <c r="C4747" s="8"/>
      <c r="D4747" s="8">
        <v>4.41661859521214</v>
      </c>
      <c r="E4747" s="9" t="s">
        <v>1168</v>
      </c>
      <c r="I4747" s="12"/>
      <c r="J4747" s="11">
        <v>0.0</v>
      </c>
      <c r="K4747" s="12" t="s">
        <v>3075</v>
      </c>
      <c r="L4747" s="13" t="s">
        <v>3075</v>
      </c>
      <c r="M4747" s="9" t="s">
        <v>3075</v>
      </c>
    </row>
    <row r="4748" ht="15.75" customHeight="1">
      <c r="A4748" s="8"/>
      <c r="B4748" s="8"/>
      <c r="C4748" s="8"/>
      <c r="D4748" s="8">
        <v>29.0595693269045</v>
      </c>
      <c r="E4748" s="9" t="s">
        <v>1170</v>
      </c>
      <c r="I4748" s="12"/>
      <c r="J4748" s="11">
        <v>0.0</v>
      </c>
      <c r="K4748" s="12" t="s">
        <v>3075</v>
      </c>
      <c r="L4748" s="13" t="s">
        <v>3075</v>
      </c>
      <c r="M4748" s="9" t="s">
        <v>3075</v>
      </c>
    </row>
    <row r="4749" ht="15.75" customHeight="1">
      <c r="A4749" s="8"/>
      <c r="B4749" s="8"/>
      <c r="C4749" s="8"/>
      <c r="D4749" s="8">
        <v>236.94662167156</v>
      </c>
      <c r="E4749" s="9" t="s">
        <v>1171</v>
      </c>
      <c r="I4749" s="12"/>
      <c r="J4749" s="11">
        <v>0.0</v>
      </c>
      <c r="K4749" s="12" t="s">
        <v>3075</v>
      </c>
      <c r="L4749" s="13" t="s">
        <v>3075</v>
      </c>
      <c r="M4749" s="9" t="s">
        <v>3075</v>
      </c>
    </row>
    <row r="4750" ht="15.75" customHeight="1">
      <c r="A4750" s="8"/>
      <c r="B4750" s="8"/>
      <c r="C4750" s="8"/>
      <c r="D4750" s="8">
        <v>46.7515044460838</v>
      </c>
      <c r="E4750" s="9" t="s">
        <v>1175</v>
      </c>
      <c r="I4750" s="12"/>
      <c r="J4750" s="11">
        <v>0.0</v>
      </c>
      <c r="K4750" s="12" t="s">
        <v>3075</v>
      </c>
      <c r="L4750" s="13" t="s">
        <v>3075</v>
      </c>
      <c r="M4750" s="9" t="s">
        <v>3075</v>
      </c>
    </row>
    <row r="4751" ht="15.75" customHeight="1">
      <c r="A4751" s="8"/>
      <c r="B4751" s="8"/>
      <c r="C4751" s="8"/>
      <c r="D4751" s="8">
        <v>27.604108832851</v>
      </c>
      <c r="E4751" s="9" t="s">
        <v>1177</v>
      </c>
      <c r="I4751" s="12"/>
      <c r="J4751" s="11">
        <v>0.0</v>
      </c>
      <c r="K4751" s="12" t="s">
        <v>3075</v>
      </c>
      <c r="L4751" s="13" t="s">
        <v>3075</v>
      </c>
      <c r="M4751" s="9" t="s">
        <v>3075</v>
      </c>
    </row>
    <row r="4752" ht="15.75" customHeight="1">
      <c r="A4752" s="8"/>
      <c r="B4752" s="8"/>
      <c r="C4752" s="8"/>
      <c r="D4752" s="8">
        <v>19.4579033779014</v>
      </c>
      <c r="E4752" s="9" t="s">
        <v>3235</v>
      </c>
      <c r="I4752" s="12"/>
      <c r="J4752" s="11">
        <v>0.0</v>
      </c>
      <c r="K4752" s="12" t="s">
        <v>3075</v>
      </c>
      <c r="L4752" s="13" t="s">
        <v>3075</v>
      </c>
      <c r="M4752" s="9" t="s">
        <v>3075</v>
      </c>
    </row>
    <row r="4753" ht="15.75" customHeight="1">
      <c r="A4753" s="8"/>
      <c r="B4753" s="8"/>
      <c r="C4753" s="8"/>
      <c r="D4753" s="8">
        <v>1.18508464934218</v>
      </c>
      <c r="E4753" s="9" t="s">
        <v>1181</v>
      </c>
      <c r="I4753" s="12"/>
      <c r="J4753" s="11">
        <v>0.0</v>
      </c>
      <c r="K4753" s="12" t="s">
        <v>3075</v>
      </c>
      <c r="L4753" s="13" t="s">
        <v>3075</v>
      </c>
      <c r="M4753" s="9" t="s">
        <v>3075</v>
      </c>
    </row>
    <row r="4754" ht="15.75" customHeight="1">
      <c r="A4754" s="8"/>
      <c r="B4754" s="8"/>
      <c r="C4754" s="8"/>
      <c r="D4754" s="8">
        <v>0.79625548300448</v>
      </c>
      <c r="E4754" s="9" t="s">
        <v>1183</v>
      </c>
      <c r="I4754" s="12"/>
      <c r="J4754" s="11">
        <v>0.0</v>
      </c>
      <c r="K4754" s="12" t="s">
        <v>3075</v>
      </c>
      <c r="L4754" s="13" t="s">
        <v>3075</v>
      </c>
      <c r="M4754" s="9" t="s">
        <v>3075</v>
      </c>
    </row>
    <row r="4755" ht="15.75" customHeight="1">
      <c r="A4755" s="8"/>
      <c r="B4755" s="8"/>
      <c r="C4755" s="8"/>
      <c r="D4755" s="8">
        <v>19.6215949612089</v>
      </c>
      <c r="E4755" s="9" t="s">
        <v>1185</v>
      </c>
      <c r="I4755" s="12"/>
      <c r="J4755" s="11">
        <v>0.0</v>
      </c>
      <c r="K4755" s="12" t="s">
        <v>3075</v>
      </c>
      <c r="L4755" s="13" t="s">
        <v>3075</v>
      </c>
      <c r="M4755" s="9" t="s">
        <v>3075</v>
      </c>
    </row>
    <row r="4756" ht="15.75" customHeight="1">
      <c r="A4756" s="8"/>
      <c r="B4756" s="8"/>
      <c r="C4756" s="8"/>
      <c r="D4756" s="8">
        <v>46.6993335268169</v>
      </c>
      <c r="E4756" s="9" t="s">
        <v>1186</v>
      </c>
      <c r="I4756" s="12"/>
      <c r="J4756" s="11">
        <v>0.0</v>
      </c>
      <c r="K4756" s="12" t="s">
        <v>3075</v>
      </c>
      <c r="L4756" s="13" t="s">
        <v>3075</v>
      </c>
      <c r="M4756" s="9" t="s">
        <v>3075</v>
      </c>
    </row>
    <row r="4757" ht="15.75" customHeight="1">
      <c r="A4757" s="8"/>
      <c r="B4757" s="8"/>
      <c r="C4757" s="8"/>
      <c r="D4757" s="8">
        <v>3.96445267203872</v>
      </c>
      <c r="E4757" s="9" t="s">
        <v>3236</v>
      </c>
      <c r="I4757" s="12"/>
      <c r="J4757" s="11">
        <v>0.0</v>
      </c>
      <c r="K4757" s="12" t="s">
        <v>3075</v>
      </c>
      <c r="L4757" s="13" t="s">
        <v>3075</v>
      </c>
      <c r="M4757" s="9" t="s">
        <v>3075</v>
      </c>
    </row>
    <row r="4758" ht="15.75" customHeight="1">
      <c r="A4758" s="8"/>
      <c r="B4758" s="8"/>
      <c r="C4758" s="8"/>
      <c r="D4758" s="8">
        <v>87.5680876226167</v>
      </c>
      <c r="E4758" s="9" t="s">
        <v>1193</v>
      </c>
      <c r="I4758" s="12"/>
      <c r="J4758" s="11">
        <v>0.0</v>
      </c>
      <c r="K4758" s="12" t="s">
        <v>3075</v>
      </c>
      <c r="L4758" s="13" t="s">
        <v>3075</v>
      </c>
      <c r="M4758" s="9" t="s">
        <v>3075</v>
      </c>
    </row>
    <row r="4759" ht="15.75" customHeight="1">
      <c r="A4759" s="8"/>
      <c r="B4759" s="8"/>
      <c r="C4759" s="8"/>
      <c r="D4759" s="8">
        <v>1.83775312838157</v>
      </c>
      <c r="E4759" s="9" t="s">
        <v>1208</v>
      </c>
      <c r="I4759" s="12"/>
      <c r="J4759" s="11">
        <v>0.0</v>
      </c>
      <c r="K4759" s="12" t="s">
        <v>3075</v>
      </c>
      <c r="L4759" s="13" t="s">
        <v>3075</v>
      </c>
      <c r="M4759" s="9" t="s">
        <v>3075</v>
      </c>
    </row>
    <row r="4760" ht="15.75" customHeight="1">
      <c r="A4760" s="8"/>
      <c r="B4760" s="8"/>
      <c r="C4760" s="8"/>
      <c r="D4760" s="8">
        <v>1.94579033779014</v>
      </c>
      <c r="E4760" s="9" t="s">
        <v>3237</v>
      </c>
      <c r="I4760" s="12"/>
      <c r="J4760" s="11">
        <v>0.0</v>
      </c>
      <c r="K4760" s="12" t="s">
        <v>3075</v>
      </c>
      <c r="L4760" s="13" t="s">
        <v>3075</v>
      </c>
      <c r="M4760" s="9" t="s">
        <v>3075</v>
      </c>
    </row>
    <row r="4761" ht="15.75" customHeight="1">
      <c r="A4761" s="8"/>
      <c r="B4761" s="8"/>
      <c r="C4761" s="8"/>
      <c r="D4761" s="8">
        <v>0.194579033779014</v>
      </c>
      <c r="E4761" s="9" t="s">
        <v>1216</v>
      </c>
      <c r="I4761" s="12"/>
      <c r="J4761" s="11">
        <v>0.0</v>
      </c>
      <c r="K4761" s="12" t="s">
        <v>3075</v>
      </c>
      <c r="L4761" s="13" t="s">
        <v>3075</v>
      </c>
      <c r="M4761" s="9" t="s">
        <v>3075</v>
      </c>
    </row>
    <row r="4762" ht="15.75" customHeight="1">
      <c r="A4762" s="8"/>
      <c r="B4762" s="8"/>
      <c r="C4762" s="8"/>
      <c r="D4762" s="8">
        <v>58.2048865608217</v>
      </c>
      <c r="E4762" s="9" t="s">
        <v>1219</v>
      </c>
      <c r="I4762" s="12"/>
      <c r="J4762" s="11">
        <v>0.0</v>
      </c>
      <c r="K4762" s="12" t="s">
        <v>3075</v>
      </c>
      <c r="L4762" s="13" t="s">
        <v>3075</v>
      </c>
      <c r="M4762" s="9" t="s">
        <v>3075</v>
      </c>
    </row>
    <row r="4763" ht="15.75" customHeight="1">
      <c r="A4763" s="8"/>
      <c r="B4763" s="8"/>
      <c r="C4763" s="8"/>
      <c r="D4763" s="8">
        <v>3.53537711770121</v>
      </c>
      <c r="E4763" s="9" t="s">
        <v>1223</v>
      </c>
      <c r="I4763" s="12"/>
      <c r="J4763" s="11">
        <v>0.0</v>
      </c>
      <c r="K4763" s="12" t="s">
        <v>3075</v>
      </c>
      <c r="L4763" s="13" t="s">
        <v>3075</v>
      </c>
      <c r="M4763" s="9" t="s">
        <v>3075</v>
      </c>
    </row>
    <row r="4764" ht="15.75" customHeight="1">
      <c r="A4764" s="8"/>
      <c r="B4764" s="8"/>
      <c r="C4764" s="8"/>
      <c r="D4764" s="8">
        <v>28.2917915114687</v>
      </c>
      <c r="E4764" s="9" t="s">
        <v>1229</v>
      </c>
      <c r="I4764" s="12"/>
      <c r="J4764" s="11">
        <v>0.0</v>
      </c>
      <c r="K4764" s="12" t="s">
        <v>3075</v>
      </c>
      <c r="L4764" s="13" t="s">
        <v>3075</v>
      </c>
      <c r="M4764" s="9" t="s">
        <v>3075</v>
      </c>
    </row>
    <row r="4765" ht="15.75" customHeight="1">
      <c r="A4765" s="8"/>
      <c r="B4765" s="8"/>
      <c r="C4765" s="8"/>
      <c r="D4765" s="8">
        <v>299.651712019682</v>
      </c>
      <c r="E4765" s="9" t="s">
        <v>1243</v>
      </c>
      <c r="I4765" s="12"/>
      <c r="J4765" s="11">
        <v>0.0</v>
      </c>
      <c r="K4765" s="12" t="s">
        <v>3075</v>
      </c>
      <c r="L4765" s="13" t="s">
        <v>3075</v>
      </c>
      <c r="M4765" s="9" t="s">
        <v>3075</v>
      </c>
    </row>
    <row r="4766" ht="15.75" customHeight="1">
      <c r="A4766" s="8"/>
      <c r="B4766" s="8"/>
      <c r="C4766" s="8"/>
      <c r="D4766" s="8">
        <v>66.1568714848649</v>
      </c>
      <c r="E4766" s="9" t="s">
        <v>1244</v>
      </c>
      <c r="I4766" s="12"/>
      <c r="J4766" s="11">
        <v>0.0</v>
      </c>
      <c r="K4766" s="12" t="s">
        <v>3075</v>
      </c>
      <c r="L4766" s="13" t="s">
        <v>3075</v>
      </c>
      <c r="M4766" s="9" t="s">
        <v>3075</v>
      </c>
    </row>
    <row r="4767" ht="15.75" customHeight="1">
      <c r="A4767" s="8"/>
      <c r="B4767" s="8"/>
      <c r="C4767" s="8"/>
      <c r="D4767" s="8">
        <v>11.6747420267408</v>
      </c>
      <c r="E4767" s="9" t="s">
        <v>1246</v>
      </c>
      <c r="I4767" s="12"/>
      <c r="J4767" s="11">
        <v>0.0</v>
      </c>
      <c r="K4767" s="12" t="s">
        <v>3075</v>
      </c>
      <c r="L4767" s="13" t="s">
        <v>3075</v>
      </c>
      <c r="M4767" s="9" t="s">
        <v>3075</v>
      </c>
    </row>
    <row r="4768" ht="15.75" customHeight="1">
      <c r="A4768" s="8"/>
      <c r="B4768" s="8"/>
      <c r="C4768" s="8"/>
      <c r="D4768" s="8">
        <v>11.6747420267408</v>
      </c>
      <c r="E4768" s="9" t="s">
        <v>1247</v>
      </c>
      <c r="I4768" s="12"/>
      <c r="J4768" s="11">
        <v>0.0</v>
      </c>
      <c r="K4768" s="12" t="s">
        <v>3075</v>
      </c>
      <c r="L4768" s="13" t="s">
        <v>3075</v>
      </c>
      <c r="M4768" s="9" t="s">
        <v>3075</v>
      </c>
    </row>
    <row r="4769" ht="15.75" customHeight="1">
      <c r="A4769" s="8"/>
      <c r="B4769" s="8"/>
      <c r="C4769" s="8"/>
      <c r="D4769" s="8">
        <v>25.8520817543339</v>
      </c>
      <c r="E4769" s="9" t="s">
        <v>1252</v>
      </c>
      <c r="I4769" s="12"/>
      <c r="J4769" s="11">
        <v>0.0</v>
      </c>
      <c r="K4769" s="12" t="s">
        <v>3075</v>
      </c>
      <c r="L4769" s="13" t="s">
        <v>3075</v>
      </c>
      <c r="M4769" s="9" t="s">
        <v>3075</v>
      </c>
    </row>
    <row r="4770" ht="15.75" customHeight="1">
      <c r="A4770" s="8"/>
      <c r="B4770" s="8"/>
      <c r="C4770" s="8"/>
      <c r="D4770" s="8">
        <v>7591.74617247081</v>
      </c>
      <c r="E4770" s="9" t="s">
        <v>1253</v>
      </c>
      <c r="I4770" s="12"/>
      <c r="J4770" s="11">
        <v>0.0</v>
      </c>
      <c r="K4770" s="12" t="s">
        <v>3075</v>
      </c>
      <c r="L4770" s="13" t="s">
        <v>3075</v>
      </c>
      <c r="M4770" s="9" t="s">
        <v>3075</v>
      </c>
    </row>
    <row r="4771" ht="15.75" customHeight="1">
      <c r="A4771" s="8"/>
      <c r="B4771" s="8"/>
      <c r="C4771" s="8"/>
      <c r="D4771" s="8">
        <v>10.908308728612</v>
      </c>
      <c r="E4771" s="9" t="s">
        <v>1256</v>
      </c>
      <c r="I4771" s="12"/>
      <c r="J4771" s="11">
        <v>0.0</v>
      </c>
      <c r="K4771" s="12" t="s">
        <v>3075</v>
      </c>
      <c r="L4771" s="13" t="s">
        <v>3075</v>
      </c>
      <c r="M4771" s="9" t="s">
        <v>3075</v>
      </c>
    </row>
    <row r="4772" ht="15.75" customHeight="1">
      <c r="A4772" s="8"/>
      <c r="B4772" s="8"/>
      <c r="C4772" s="8"/>
      <c r="D4772" s="8">
        <v>1.75068551550365</v>
      </c>
      <c r="E4772" s="9" t="s">
        <v>1269</v>
      </c>
      <c r="I4772" s="12"/>
      <c r="J4772" s="11">
        <v>0.0</v>
      </c>
      <c r="K4772" s="12" t="s">
        <v>3075</v>
      </c>
      <c r="L4772" s="13" t="s">
        <v>3075</v>
      </c>
      <c r="M4772" s="9" t="s">
        <v>3075</v>
      </c>
    </row>
    <row r="4773" ht="15.75" customHeight="1">
      <c r="A4773" s="8"/>
      <c r="B4773" s="8"/>
      <c r="C4773" s="8"/>
      <c r="D4773" s="8">
        <v>1.94600342455896</v>
      </c>
      <c r="E4773" s="9" t="s">
        <v>3238</v>
      </c>
      <c r="I4773" s="12"/>
      <c r="J4773" s="11">
        <v>0.0</v>
      </c>
      <c r="K4773" s="12" t="s">
        <v>3075</v>
      </c>
      <c r="L4773" s="13" t="s">
        <v>3075</v>
      </c>
      <c r="M4773" s="9" t="s">
        <v>3075</v>
      </c>
    </row>
    <row r="4774" ht="15.75" customHeight="1">
      <c r="A4774" s="8"/>
      <c r="B4774" s="8"/>
      <c r="C4774" s="8"/>
      <c r="D4774" s="8">
        <v>175.59730738223</v>
      </c>
      <c r="E4774" s="9" t="s">
        <v>3239</v>
      </c>
      <c r="I4774" s="12"/>
      <c r="J4774" s="11">
        <v>0.0</v>
      </c>
      <c r="K4774" s="12" t="s">
        <v>3075</v>
      </c>
      <c r="L4774" s="13" t="s">
        <v>3075</v>
      </c>
      <c r="M4774" s="9" t="s">
        <v>3075</v>
      </c>
    </row>
    <row r="4775" ht="15.75" customHeight="1">
      <c r="A4775" s="8"/>
      <c r="B4775" s="8"/>
      <c r="C4775" s="8"/>
      <c r="D4775" s="8">
        <v>6.40003685569074</v>
      </c>
      <c r="E4775" s="9" t="s">
        <v>1283</v>
      </c>
      <c r="I4775" s="12"/>
      <c r="J4775" s="11">
        <v>0.0</v>
      </c>
      <c r="K4775" s="12" t="s">
        <v>3075</v>
      </c>
      <c r="L4775" s="13" t="s">
        <v>3075</v>
      </c>
      <c r="M4775" s="9" t="s">
        <v>3075</v>
      </c>
    </row>
    <row r="4776" ht="15.75" customHeight="1">
      <c r="A4776" s="8"/>
      <c r="B4776" s="8"/>
      <c r="C4776" s="8"/>
      <c r="D4776" s="8">
        <v>8.82779391822929</v>
      </c>
      <c r="E4776" s="9" t="s">
        <v>1286</v>
      </c>
      <c r="I4776" s="12"/>
      <c r="J4776" s="11">
        <v>0.0</v>
      </c>
      <c r="K4776" s="12" t="s">
        <v>3075</v>
      </c>
      <c r="L4776" s="13" t="s">
        <v>3075</v>
      </c>
      <c r="M4776" s="9" t="s">
        <v>3075</v>
      </c>
    </row>
    <row r="4777" ht="15.75" customHeight="1">
      <c r="A4777" s="8"/>
      <c r="B4777" s="8"/>
      <c r="C4777" s="8"/>
      <c r="D4777" s="8">
        <v>172.841565427662</v>
      </c>
      <c r="E4777" s="9" t="s">
        <v>1289</v>
      </c>
      <c r="I4777" s="12"/>
      <c r="J4777" s="11">
        <v>0.0</v>
      </c>
      <c r="K4777" s="12" t="s">
        <v>3075</v>
      </c>
      <c r="L4777" s="13" t="s">
        <v>3075</v>
      </c>
      <c r="M4777" s="9" t="s">
        <v>3075</v>
      </c>
    </row>
    <row r="4778" ht="15.75" customHeight="1">
      <c r="A4778" s="8"/>
      <c r="B4778" s="8"/>
      <c r="C4778" s="8"/>
      <c r="D4778" s="8">
        <v>358.188251471714</v>
      </c>
      <c r="E4778" s="9" t="s">
        <v>1290</v>
      </c>
      <c r="I4778" s="12"/>
      <c r="J4778" s="11">
        <v>0.0</v>
      </c>
      <c r="K4778" s="12" t="s">
        <v>3075</v>
      </c>
      <c r="L4778" s="13" t="s">
        <v>3075</v>
      </c>
      <c r="M4778" s="9" t="s">
        <v>3075</v>
      </c>
    </row>
    <row r="4779" ht="15.75" customHeight="1">
      <c r="A4779" s="8"/>
      <c r="B4779" s="8"/>
      <c r="C4779" s="8"/>
      <c r="D4779" s="8">
        <v>1069.0172115819</v>
      </c>
      <c r="E4779" s="9" t="s">
        <v>1293</v>
      </c>
      <c r="I4779" s="12"/>
      <c r="J4779" s="11">
        <v>0.0</v>
      </c>
      <c r="K4779" s="12" t="s">
        <v>3075</v>
      </c>
      <c r="L4779" s="13" t="s">
        <v>3075</v>
      </c>
      <c r="M4779" s="9" t="s">
        <v>3075</v>
      </c>
    </row>
    <row r="4780" ht="15.75" customHeight="1">
      <c r="A4780" s="8"/>
      <c r="B4780" s="8"/>
      <c r="C4780" s="8"/>
      <c r="D4780" s="8">
        <v>0.389158067558028</v>
      </c>
      <c r="E4780" s="9" t="s">
        <v>1294</v>
      </c>
      <c r="I4780" s="12"/>
      <c r="J4780" s="11">
        <v>0.0</v>
      </c>
      <c r="K4780" s="12" t="s">
        <v>3075</v>
      </c>
      <c r="L4780" s="13" t="s">
        <v>3075</v>
      </c>
      <c r="M4780" s="9" t="s">
        <v>3075</v>
      </c>
    </row>
    <row r="4781" ht="15.75" customHeight="1">
      <c r="A4781" s="8"/>
      <c r="B4781" s="8"/>
      <c r="C4781" s="8"/>
      <c r="D4781" s="8">
        <v>28.213959897957</v>
      </c>
      <c r="E4781" s="9" t="s">
        <v>1300</v>
      </c>
      <c r="I4781" s="12"/>
      <c r="J4781" s="11">
        <v>0.0</v>
      </c>
      <c r="K4781" s="12" t="s">
        <v>3075</v>
      </c>
      <c r="L4781" s="13" t="s">
        <v>3075</v>
      </c>
      <c r="M4781" s="9" t="s">
        <v>3075</v>
      </c>
    </row>
    <row r="4782" ht="15.75" customHeight="1">
      <c r="A4782" s="8"/>
      <c r="B4782" s="8"/>
      <c r="C4782" s="8"/>
      <c r="D4782" s="8">
        <v>29.8704406439198</v>
      </c>
      <c r="E4782" s="9" t="s">
        <v>1302</v>
      </c>
      <c r="I4782" s="12"/>
      <c r="J4782" s="11">
        <v>0.0</v>
      </c>
      <c r="K4782" s="12" t="s">
        <v>3075</v>
      </c>
      <c r="L4782" s="13" t="s">
        <v>3075</v>
      </c>
      <c r="M4782" s="9" t="s">
        <v>3075</v>
      </c>
    </row>
    <row r="4783" ht="15.75" customHeight="1">
      <c r="A4783" s="8"/>
      <c r="B4783" s="8"/>
      <c r="C4783" s="8"/>
      <c r="D4783" s="8">
        <v>11.6747420267408</v>
      </c>
      <c r="E4783" s="9" t="s">
        <v>3240</v>
      </c>
      <c r="I4783" s="12"/>
      <c r="J4783" s="11">
        <v>0.0</v>
      </c>
      <c r="K4783" s="12" t="s">
        <v>3075</v>
      </c>
      <c r="L4783" s="13" t="s">
        <v>3075</v>
      </c>
      <c r="M4783" s="9" t="s">
        <v>3075</v>
      </c>
    </row>
    <row r="4784" ht="15.75" customHeight="1">
      <c r="A4784" s="8"/>
      <c r="B4784" s="8"/>
      <c r="C4784" s="8"/>
      <c r="D4784" s="8">
        <v>1.94579033779014</v>
      </c>
      <c r="E4784" s="9" t="s">
        <v>1307</v>
      </c>
      <c r="I4784" s="12"/>
      <c r="J4784" s="11">
        <v>0.0</v>
      </c>
      <c r="K4784" s="12" t="s">
        <v>3075</v>
      </c>
      <c r="L4784" s="13" t="s">
        <v>3075</v>
      </c>
      <c r="M4784" s="9" t="s">
        <v>3075</v>
      </c>
    </row>
    <row r="4785" ht="15.75" customHeight="1">
      <c r="A4785" s="8"/>
      <c r="B4785" s="8"/>
      <c r="C4785" s="8"/>
      <c r="D4785" s="8">
        <v>177.299780838307</v>
      </c>
      <c r="E4785" s="9" t="s">
        <v>3241</v>
      </c>
      <c r="I4785" s="12"/>
      <c r="J4785" s="11">
        <v>0.0</v>
      </c>
      <c r="K4785" s="12" t="s">
        <v>3075</v>
      </c>
      <c r="L4785" s="13" t="s">
        <v>3075</v>
      </c>
      <c r="M4785" s="9" t="s">
        <v>3075</v>
      </c>
    </row>
    <row r="4786" ht="15.75" customHeight="1">
      <c r="A4786" s="8"/>
      <c r="B4786" s="8"/>
      <c r="C4786" s="8"/>
      <c r="D4786" s="8">
        <v>1.94579033779014</v>
      </c>
      <c r="E4786" s="9" t="s">
        <v>3107</v>
      </c>
      <c r="I4786" s="12"/>
      <c r="J4786" s="11">
        <v>0.0</v>
      </c>
      <c r="K4786" s="12" t="s">
        <v>3075</v>
      </c>
      <c r="L4786" s="13" t="s">
        <v>3075</v>
      </c>
      <c r="M4786" s="9" t="s">
        <v>3075</v>
      </c>
    </row>
    <row r="4787" ht="15.75" customHeight="1">
      <c r="A4787" s="8"/>
      <c r="B4787" s="8"/>
      <c r="C4787" s="8"/>
      <c r="D4787" s="8">
        <v>0.642119391472157</v>
      </c>
      <c r="E4787" s="9" t="s">
        <v>3108</v>
      </c>
      <c r="I4787" s="12"/>
      <c r="J4787" s="11">
        <v>0.0</v>
      </c>
      <c r="K4787" s="12" t="s">
        <v>3075</v>
      </c>
      <c r="L4787" s="13" t="s">
        <v>3075</v>
      </c>
      <c r="M4787" s="9" t="s">
        <v>3075</v>
      </c>
    </row>
    <row r="4788" ht="15.75" customHeight="1">
      <c r="A4788" s="8"/>
      <c r="B4788" s="8"/>
      <c r="C4788" s="8"/>
      <c r="D4788" s="8">
        <v>33.5843412302578</v>
      </c>
      <c r="E4788" s="9" t="s">
        <v>1326</v>
      </c>
      <c r="I4788" s="12"/>
      <c r="J4788" s="11">
        <v>0.0</v>
      </c>
      <c r="K4788" s="12" t="s">
        <v>3075</v>
      </c>
      <c r="L4788" s="13" t="s">
        <v>3075</v>
      </c>
      <c r="M4788" s="9" t="s">
        <v>3075</v>
      </c>
    </row>
    <row r="4789" ht="15.75" customHeight="1">
      <c r="A4789" s="8"/>
      <c r="B4789" s="8"/>
      <c r="C4789" s="8"/>
      <c r="D4789" s="8">
        <v>6.35139726538187</v>
      </c>
      <c r="E4789" s="9" t="s">
        <v>1328</v>
      </c>
      <c r="I4789" s="12"/>
      <c r="J4789" s="11">
        <v>0.0</v>
      </c>
      <c r="K4789" s="12" t="s">
        <v>3075</v>
      </c>
      <c r="L4789" s="13" t="s">
        <v>3075</v>
      </c>
      <c r="M4789" s="9" t="s">
        <v>3075</v>
      </c>
    </row>
    <row r="4790" ht="15.75" customHeight="1">
      <c r="A4790" s="8"/>
      <c r="B4790" s="8"/>
      <c r="C4790" s="8"/>
      <c r="D4790" s="8">
        <v>48.4117671057215</v>
      </c>
      <c r="E4790" s="9" t="s">
        <v>1334</v>
      </c>
      <c r="I4790" s="12"/>
      <c r="J4790" s="11">
        <v>0.0</v>
      </c>
      <c r="K4790" s="12" t="s">
        <v>3075</v>
      </c>
      <c r="L4790" s="13" t="s">
        <v>3075</v>
      </c>
      <c r="M4790" s="9" t="s">
        <v>3075</v>
      </c>
    </row>
    <row r="4791" ht="15.75" customHeight="1">
      <c r="A4791" s="8"/>
      <c r="B4791" s="8"/>
      <c r="C4791" s="8"/>
      <c r="D4791" s="8">
        <v>30.6724802814293</v>
      </c>
      <c r="E4791" s="9" t="s">
        <v>1335</v>
      </c>
      <c r="I4791" s="12"/>
      <c r="J4791" s="11">
        <v>0.0</v>
      </c>
      <c r="K4791" s="12" t="s">
        <v>3075</v>
      </c>
      <c r="L4791" s="13" t="s">
        <v>3075</v>
      </c>
      <c r="M4791" s="9" t="s">
        <v>3075</v>
      </c>
    </row>
    <row r="4792" ht="15.75" customHeight="1">
      <c r="A4792" s="8"/>
      <c r="B4792" s="8"/>
      <c r="C4792" s="8"/>
      <c r="D4792" s="8">
        <v>4.15597855825988</v>
      </c>
      <c r="E4792" s="9" t="s">
        <v>1337</v>
      </c>
      <c r="I4792" s="12"/>
      <c r="J4792" s="11">
        <v>0.0</v>
      </c>
      <c r="K4792" s="12" t="s">
        <v>3075</v>
      </c>
      <c r="L4792" s="13" t="s">
        <v>3075</v>
      </c>
      <c r="M4792" s="9" t="s">
        <v>3075</v>
      </c>
    </row>
    <row r="4793" ht="15.75" customHeight="1">
      <c r="A4793" s="8"/>
      <c r="B4793" s="8"/>
      <c r="C4793" s="8"/>
      <c r="D4793" s="8">
        <v>7.78619678408753</v>
      </c>
      <c r="E4793" s="9" t="s">
        <v>1342</v>
      </c>
      <c r="I4793" s="12"/>
      <c r="J4793" s="11">
        <v>0.0</v>
      </c>
      <c r="K4793" s="12" t="s">
        <v>3075</v>
      </c>
      <c r="L4793" s="13" t="s">
        <v>3075</v>
      </c>
      <c r="M4793" s="9" t="s">
        <v>3075</v>
      </c>
    </row>
    <row r="4794" ht="15.75" customHeight="1">
      <c r="A4794" s="8"/>
      <c r="B4794" s="8"/>
      <c r="C4794" s="8"/>
      <c r="D4794" s="8">
        <v>66.1568738661231</v>
      </c>
      <c r="E4794" s="9" t="s">
        <v>1344</v>
      </c>
      <c r="I4794" s="12"/>
      <c r="J4794" s="11">
        <v>0.0</v>
      </c>
      <c r="K4794" s="12" t="s">
        <v>3075</v>
      </c>
      <c r="L4794" s="13" t="s">
        <v>3075</v>
      </c>
      <c r="M4794" s="9" t="s">
        <v>3075</v>
      </c>
    </row>
    <row r="4795" ht="15.75" customHeight="1">
      <c r="A4795" s="8"/>
      <c r="B4795" s="8"/>
      <c r="C4795" s="8"/>
      <c r="D4795" s="8">
        <v>202.362195130175</v>
      </c>
      <c r="E4795" s="9" t="s">
        <v>1346</v>
      </c>
      <c r="I4795" s="12"/>
      <c r="J4795" s="11">
        <v>0.0</v>
      </c>
      <c r="K4795" s="12" t="s">
        <v>3075</v>
      </c>
      <c r="L4795" s="13" t="s">
        <v>3075</v>
      </c>
      <c r="M4795" s="9" t="s">
        <v>3075</v>
      </c>
    </row>
    <row r="4796" ht="15.75" customHeight="1">
      <c r="A4796" s="8"/>
      <c r="B4796" s="8"/>
      <c r="C4796" s="8"/>
      <c r="D4796" s="8">
        <v>1.80130049913692</v>
      </c>
      <c r="E4796" s="9" t="s">
        <v>3242</v>
      </c>
      <c r="I4796" s="12"/>
      <c r="J4796" s="11">
        <v>0.0</v>
      </c>
      <c r="K4796" s="12" t="s">
        <v>3075</v>
      </c>
      <c r="L4796" s="13" t="s">
        <v>3075</v>
      </c>
      <c r="M4796" s="9" t="s">
        <v>3075</v>
      </c>
    </row>
    <row r="4797" ht="15.75" customHeight="1">
      <c r="A4797" s="8"/>
      <c r="B4797" s="8"/>
      <c r="C4797" s="8"/>
      <c r="D4797" s="8">
        <v>9.18000586569828</v>
      </c>
      <c r="E4797" s="9" t="s">
        <v>1356</v>
      </c>
      <c r="I4797" s="12"/>
      <c r="J4797" s="11">
        <v>0.0</v>
      </c>
      <c r="K4797" s="12" t="s">
        <v>3075</v>
      </c>
      <c r="L4797" s="13" t="s">
        <v>3075</v>
      </c>
      <c r="M4797" s="9" t="s">
        <v>3075</v>
      </c>
    </row>
    <row r="4798" ht="15.75" customHeight="1">
      <c r="A4798" s="8"/>
      <c r="B4798" s="8"/>
      <c r="C4798" s="8"/>
      <c r="D4798" s="8">
        <v>71.4992080980641</v>
      </c>
      <c r="E4798" s="9" t="s">
        <v>1363</v>
      </c>
      <c r="I4798" s="12"/>
      <c r="J4798" s="11">
        <v>0.0</v>
      </c>
      <c r="K4798" s="12" t="s">
        <v>3075</v>
      </c>
      <c r="L4798" s="13" t="s">
        <v>3075</v>
      </c>
      <c r="M4798" s="9" t="s">
        <v>3075</v>
      </c>
    </row>
    <row r="4799" ht="15.75" customHeight="1">
      <c r="A4799" s="8"/>
      <c r="B4799" s="8"/>
      <c r="C4799" s="8"/>
      <c r="D4799" s="8">
        <v>52.9931966251006</v>
      </c>
      <c r="E4799" s="9" t="s">
        <v>3243</v>
      </c>
      <c r="I4799" s="12"/>
      <c r="J4799" s="11">
        <v>0.0</v>
      </c>
      <c r="K4799" s="12" t="s">
        <v>3075</v>
      </c>
      <c r="L4799" s="13" t="s">
        <v>3075</v>
      </c>
      <c r="M4799" s="9" t="s">
        <v>3075</v>
      </c>
    </row>
    <row r="4800" ht="15.75" customHeight="1">
      <c r="A4800" s="8"/>
      <c r="B4800" s="8"/>
      <c r="C4800" s="8"/>
      <c r="D4800" s="8">
        <v>1.92351264517237</v>
      </c>
      <c r="E4800" s="9" t="s">
        <v>1373</v>
      </c>
      <c r="I4800" s="12"/>
      <c r="J4800" s="11">
        <v>0.0</v>
      </c>
      <c r="K4800" s="12" t="s">
        <v>3075</v>
      </c>
      <c r="L4800" s="13" t="s">
        <v>3075</v>
      </c>
      <c r="M4800" s="9" t="s">
        <v>3075</v>
      </c>
    </row>
    <row r="4801" ht="15.75" customHeight="1">
      <c r="A4801" s="8"/>
      <c r="B4801" s="8"/>
      <c r="C4801" s="8"/>
      <c r="D4801" s="8">
        <v>41.1526979124864</v>
      </c>
      <c r="E4801" s="9" t="s">
        <v>1379</v>
      </c>
      <c r="I4801" s="12"/>
      <c r="J4801" s="11">
        <v>0.0</v>
      </c>
      <c r="K4801" s="12" t="s">
        <v>3075</v>
      </c>
      <c r="L4801" s="13" t="s">
        <v>3075</v>
      </c>
      <c r="M4801" s="9" t="s">
        <v>3075</v>
      </c>
    </row>
    <row r="4802" ht="15.75" customHeight="1">
      <c r="A4802" s="8"/>
      <c r="B4802" s="8"/>
      <c r="C4802" s="8"/>
      <c r="D4802" s="8">
        <v>182.904291752273</v>
      </c>
      <c r="E4802" s="9" t="s">
        <v>1381</v>
      </c>
      <c r="I4802" s="12"/>
      <c r="J4802" s="11">
        <v>0.0</v>
      </c>
      <c r="K4802" s="12" t="s">
        <v>3075</v>
      </c>
      <c r="L4802" s="13" t="s">
        <v>3075</v>
      </c>
      <c r="M4802" s="9" t="s">
        <v>3075</v>
      </c>
    </row>
    <row r="4803" ht="15.75" customHeight="1">
      <c r="A4803" s="8"/>
      <c r="B4803" s="8"/>
      <c r="C4803" s="8"/>
      <c r="D4803" s="8">
        <v>6.23889848838449</v>
      </c>
      <c r="E4803" s="9" t="s">
        <v>1385</v>
      </c>
      <c r="I4803" s="12"/>
      <c r="J4803" s="11">
        <v>0.0</v>
      </c>
      <c r="K4803" s="12" t="s">
        <v>3075</v>
      </c>
      <c r="L4803" s="13" t="s">
        <v>3075</v>
      </c>
      <c r="M4803" s="9" t="s">
        <v>3075</v>
      </c>
    </row>
    <row r="4804" ht="15.75" customHeight="1">
      <c r="A4804" s="8"/>
      <c r="B4804" s="8"/>
      <c r="C4804" s="8"/>
      <c r="D4804" s="8">
        <v>1.94579033779014</v>
      </c>
      <c r="E4804" s="9" t="s">
        <v>1392</v>
      </c>
      <c r="I4804" s="12"/>
      <c r="J4804" s="11">
        <v>0.0</v>
      </c>
      <c r="K4804" s="12" t="s">
        <v>3075</v>
      </c>
      <c r="L4804" s="13" t="s">
        <v>3075</v>
      </c>
      <c r="M4804" s="9" t="s">
        <v>3075</v>
      </c>
    </row>
    <row r="4805" ht="15.75" customHeight="1">
      <c r="A4805" s="8"/>
      <c r="B4805" s="8"/>
      <c r="C4805" s="8"/>
      <c r="D4805" s="8">
        <v>66.4787052067354</v>
      </c>
      <c r="E4805" s="9" t="s">
        <v>1393</v>
      </c>
      <c r="I4805" s="12"/>
      <c r="J4805" s="11">
        <v>0.0</v>
      </c>
      <c r="K4805" s="12" t="s">
        <v>3075</v>
      </c>
      <c r="L4805" s="13" t="s">
        <v>3075</v>
      </c>
      <c r="M4805" s="9" t="s">
        <v>3075</v>
      </c>
    </row>
    <row r="4806" ht="15.75" customHeight="1">
      <c r="A4806" s="8"/>
      <c r="B4806" s="8"/>
      <c r="C4806" s="8"/>
      <c r="D4806" s="8">
        <v>1.98377162226938</v>
      </c>
      <c r="E4806" s="9" t="s">
        <v>1394</v>
      </c>
      <c r="I4806" s="12"/>
      <c r="J4806" s="11">
        <v>0.0</v>
      </c>
      <c r="K4806" s="12" t="s">
        <v>3075</v>
      </c>
      <c r="L4806" s="13" t="s">
        <v>3075</v>
      </c>
      <c r="M4806" s="9" t="s">
        <v>3075</v>
      </c>
    </row>
    <row r="4807" ht="15.75" customHeight="1">
      <c r="A4807" s="8"/>
      <c r="B4807" s="8"/>
      <c r="C4807" s="8"/>
      <c r="D4807" s="8">
        <v>8.28246949565919</v>
      </c>
      <c r="E4807" s="9" t="s">
        <v>1406</v>
      </c>
      <c r="I4807" s="12"/>
      <c r="J4807" s="11">
        <v>0.0</v>
      </c>
      <c r="K4807" s="12" t="s">
        <v>3075</v>
      </c>
      <c r="L4807" s="13" t="s">
        <v>3075</v>
      </c>
      <c r="M4807" s="9" t="s">
        <v>3075</v>
      </c>
    </row>
    <row r="4808" ht="15.75" customHeight="1">
      <c r="A4808" s="8"/>
      <c r="B4808" s="8"/>
      <c r="C4808" s="8"/>
      <c r="D4808" s="8">
        <v>113.030149272072</v>
      </c>
      <c r="E4808" s="9" t="s">
        <v>1408</v>
      </c>
      <c r="I4808" s="12"/>
      <c r="J4808" s="11">
        <v>0.0</v>
      </c>
      <c r="K4808" s="12" t="s">
        <v>3075</v>
      </c>
      <c r="L4808" s="13" t="s">
        <v>3075</v>
      </c>
      <c r="M4808" s="9" t="s">
        <v>3075</v>
      </c>
    </row>
    <row r="4809" ht="15.75" customHeight="1">
      <c r="A4809" s="8"/>
      <c r="B4809" s="8"/>
      <c r="C4809" s="8"/>
      <c r="D4809" s="8">
        <v>11.6747420267408</v>
      </c>
      <c r="E4809" s="9" t="s">
        <v>1416</v>
      </c>
      <c r="I4809" s="12"/>
      <c r="J4809" s="11">
        <v>0.0</v>
      </c>
      <c r="K4809" s="12" t="s">
        <v>3075</v>
      </c>
      <c r="L4809" s="13" t="s">
        <v>3075</v>
      </c>
      <c r="M4809" s="9" t="s">
        <v>3075</v>
      </c>
    </row>
    <row r="4810" ht="15.75" customHeight="1">
      <c r="A4810" s="8"/>
      <c r="B4810" s="8"/>
      <c r="C4810" s="8"/>
      <c r="D4810" s="8">
        <v>46.5371557750586</v>
      </c>
      <c r="E4810" s="9" t="s">
        <v>1418</v>
      </c>
      <c r="I4810" s="12"/>
      <c r="J4810" s="11">
        <v>0.0</v>
      </c>
      <c r="K4810" s="12" t="s">
        <v>3075</v>
      </c>
      <c r="L4810" s="13" t="s">
        <v>3075</v>
      </c>
      <c r="M4810" s="9" t="s">
        <v>3075</v>
      </c>
    </row>
    <row r="4811" ht="15.75" customHeight="1">
      <c r="A4811" s="8"/>
      <c r="B4811" s="8"/>
      <c r="C4811" s="8"/>
      <c r="D4811" s="8">
        <v>1.06102913161735</v>
      </c>
      <c r="E4811" s="9" t="s">
        <v>1425</v>
      </c>
      <c r="I4811" s="12"/>
      <c r="J4811" s="11">
        <v>0.0</v>
      </c>
      <c r="K4811" s="12" t="s">
        <v>3075</v>
      </c>
      <c r="L4811" s="13" t="s">
        <v>3075</v>
      </c>
      <c r="M4811" s="9" t="s">
        <v>3075</v>
      </c>
    </row>
    <row r="4812" ht="15.75" customHeight="1">
      <c r="A4812" s="8"/>
      <c r="B4812" s="8"/>
      <c r="C4812" s="8"/>
      <c r="D4812" s="8">
        <v>0.997962842594984</v>
      </c>
      <c r="E4812" s="9" t="s">
        <v>3244</v>
      </c>
      <c r="I4812" s="12"/>
      <c r="J4812" s="11">
        <v>0.0</v>
      </c>
      <c r="K4812" s="12" t="s">
        <v>3075</v>
      </c>
      <c r="L4812" s="13" t="s">
        <v>3075</v>
      </c>
      <c r="M4812" s="9" t="s">
        <v>3075</v>
      </c>
    </row>
    <row r="4813" ht="15.75" customHeight="1">
      <c r="A4813" s="8"/>
      <c r="B4813" s="8"/>
      <c r="C4813" s="8"/>
      <c r="D4813" s="8">
        <v>34.6739838194203</v>
      </c>
      <c r="E4813" s="9" t="s">
        <v>1437</v>
      </c>
      <c r="I4813" s="12"/>
      <c r="J4813" s="11">
        <v>0.0</v>
      </c>
      <c r="K4813" s="12" t="s">
        <v>3075</v>
      </c>
      <c r="L4813" s="13" t="s">
        <v>3075</v>
      </c>
      <c r="M4813" s="9" t="s">
        <v>3075</v>
      </c>
    </row>
    <row r="4814" ht="15.75" customHeight="1">
      <c r="A4814" s="8"/>
      <c r="B4814" s="8"/>
      <c r="C4814" s="8"/>
      <c r="D4814" s="8">
        <v>145.66416686673</v>
      </c>
      <c r="E4814" s="9" t="s">
        <v>1441</v>
      </c>
      <c r="I4814" s="12"/>
      <c r="J4814" s="11">
        <v>0.0</v>
      </c>
      <c r="K4814" s="12" t="s">
        <v>3075</v>
      </c>
      <c r="L4814" s="13" t="s">
        <v>3075</v>
      </c>
      <c r="M4814" s="9" t="s">
        <v>3075</v>
      </c>
    </row>
    <row r="4815" ht="15.75" customHeight="1">
      <c r="A4815" s="8"/>
      <c r="B4815" s="8"/>
      <c r="C4815" s="8"/>
      <c r="D4815" s="8">
        <v>38.9158067558028</v>
      </c>
      <c r="E4815" s="9" t="s">
        <v>1444</v>
      </c>
      <c r="I4815" s="12"/>
      <c r="J4815" s="11">
        <v>0.0</v>
      </c>
      <c r="K4815" s="12" t="s">
        <v>3075</v>
      </c>
      <c r="L4815" s="13" t="s">
        <v>3075</v>
      </c>
      <c r="M4815" s="9" t="s">
        <v>3075</v>
      </c>
    </row>
    <row r="4816" ht="15.75" customHeight="1">
      <c r="A4816" s="8"/>
      <c r="B4816" s="8"/>
      <c r="C4816" s="8"/>
      <c r="D4816" s="8">
        <v>2.9683616647333</v>
      </c>
      <c r="E4816" s="9" t="s">
        <v>3245</v>
      </c>
      <c r="I4816" s="12"/>
      <c r="J4816" s="11">
        <v>0.0</v>
      </c>
      <c r="K4816" s="12" t="s">
        <v>3075</v>
      </c>
      <c r="L4816" s="13" t="s">
        <v>3075</v>
      </c>
      <c r="M4816" s="9" t="s">
        <v>3075</v>
      </c>
    </row>
    <row r="4817" ht="15.75" customHeight="1">
      <c r="A4817" s="8"/>
      <c r="B4817" s="8"/>
      <c r="C4817" s="8"/>
      <c r="D4817" s="8">
        <v>241.706075760291</v>
      </c>
      <c r="E4817" s="9" t="s">
        <v>1461</v>
      </c>
      <c r="I4817" s="12"/>
      <c r="J4817" s="11">
        <v>0.0</v>
      </c>
      <c r="K4817" s="12" t="s">
        <v>3075</v>
      </c>
      <c r="L4817" s="13" t="s">
        <v>3075</v>
      </c>
      <c r="M4817" s="9" t="s">
        <v>3075</v>
      </c>
    </row>
    <row r="4818" ht="15.75" customHeight="1">
      <c r="A4818" s="8"/>
      <c r="B4818" s="8"/>
      <c r="C4818" s="8"/>
      <c r="D4818" s="8">
        <v>485.163362824594</v>
      </c>
      <c r="E4818" s="9" t="s">
        <v>1471</v>
      </c>
      <c r="I4818" s="12"/>
      <c r="J4818" s="11">
        <v>0.0</v>
      </c>
      <c r="K4818" s="12" t="s">
        <v>3075</v>
      </c>
      <c r="L4818" s="13" t="s">
        <v>3075</v>
      </c>
      <c r="M4818" s="9" t="s">
        <v>3075</v>
      </c>
    </row>
    <row r="4819" ht="15.75" customHeight="1">
      <c r="A4819" s="8"/>
      <c r="B4819" s="8"/>
      <c r="C4819" s="8"/>
      <c r="D4819" s="8">
        <v>4.85848377202239</v>
      </c>
      <c r="E4819" s="9" t="s">
        <v>1474</v>
      </c>
      <c r="I4819" s="12"/>
      <c r="J4819" s="11">
        <v>0.0</v>
      </c>
      <c r="K4819" s="12" t="s">
        <v>3075</v>
      </c>
      <c r="L4819" s="13" t="s">
        <v>3075</v>
      </c>
      <c r="M4819" s="9" t="s">
        <v>3075</v>
      </c>
    </row>
    <row r="4820" ht="15.75" customHeight="1">
      <c r="A4820" s="8"/>
      <c r="B4820" s="8"/>
      <c r="C4820" s="8"/>
      <c r="D4820" s="8">
        <v>9.72895168895072</v>
      </c>
      <c r="E4820" s="9" t="s">
        <v>1477</v>
      </c>
      <c r="I4820" s="12"/>
      <c r="J4820" s="11">
        <v>0.0</v>
      </c>
      <c r="K4820" s="12" t="s">
        <v>3075</v>
      </c>
      <c r="L4820" s="13" t="s">
        <v>3075</v>
      </c>
      <c r="M4820" s="9" t="s">
        <v>3075</v>
      </c>
    </row>
    <row r="4821" ht="15.75" customHeight="1">
      <c r="A4821" s="8"/>
      <c r="B4821" s="8"/>
      <c r="C4821" s="8"/>
      <c r="D4821" s="8">
        <v>9.72895168895072</v>
      </c>
      <c r="E4821" s="9" t="s">
        <v>1481</v>
      </c>
      <c r="I4821" s="12"/>
      <c r="J4821" s="11">
        <v>0.0</v>
      </c>
      <c r="K4821" s="12" t="s">
        <v>3075</v>
      </c>
      <c r="L4821" s="13" t="s">
        <v>3075</v>
      </c>
      <c r="M4821" s="9" t="s">
        <v>3075</v>
      </c>
    </row>
    <row r="4822" ht="15.75" customHeight="1">
      <c r="A4822" s="8"/>
      <c r="B4822" s="8"/>
      <c r="C4822" s="8"/>
      <c r="D4822" s="8">
        <v>11.7136578334966</v>
      </c>
      <c r="E4822" s="9" t="s">
        <v>1482</v>
      </c>
      <c r="I4822" s="12"/>
      <c r="J4822" s="11">
        <v>0.0</v>
      </c>
      <c r="K4822" s="12" t="s">
        <v>3075</v>
      </c>
      <c r="L4822" s="13" t="s">
        <v>3075</v>
      </c>
      <c r="M4822" s="9" t="s">
        <v>3075</v>
      </c>
    </row>
    <row r="4823" ht="15.75" customHeight="1">
      <c r="A4823" s="8"/>
      <c r="B4823" s="8"/>
      <c r="C4823" s="8"/>
      <c r="D4823" s="8">
        <v>1017.54375837368</v>
      </c>
      <c r="E4823" s="9" t="s">
        <v>1489</v>
      </c>
      <c r="I4823" s="12"/>
      <c r="J4823" s="11">
        <v>0.0</v>
      </c>
      <c r="K4823" s="12" t="s">
        <v>3075</v>
      </c>
      <c r="L4823" s="13" t="s">
        <v>3075</v>
      </c>
      <c r="M4823" s="9" t="s">
        <v>3075</v>
      </c>
    </row>
    <row r="4824" ht="15.75" customHeight="1">
      <c r="A4824" s="8"/>
      <c r="B4824" s="8"/>
      <c r="C4824" s="8"/>
      <c r="D4824" s="8">
        <v>19.5264581628665</v>
      </c>
      <c r="E4824" s="9" t="s">
        <v>1490</v>
      </c>
      <c r="I4824" s="12"/>
      <c r="J4824" s="11">
        <v>0.0</v>
      </c>
      <c r="K4824" s="12" t="s">
        <v>3075</v>
      </c>
      <c r="L4824" s="13" t="s">
        <v>3075</v>
      </c>
      <c r="M4824" s="9" t="s">
        <v>3075</v>
      </c>
    </row>
    <row r="4825" ht="15.75" customHeight="1">
      <c r="A4825" s="8"/>
      <c r="B4825" s="8"/>
      <c r="C4825" s="8"/>
      <c r="D4825" s="8">
        <v>1.70329565184395</v>
      </c>
      <c r="E4825" s="9" t="s">
        <v>3246</v>
      </c>
      <c r="I4825" s="12"/>
      <c r="J4825" s="11">
        <v>0.0</v>
      </c>
      <c r="K4825" s="12" t="s">
        <v>3075</v>
      </c>
      <c r="L4825" s="13" t="s">
        <v>3075</v>
      </c>
      <c r="M4825" s="9" t="s">
        <v>3075</v>
      </c>
    </row>
    <row r="4826" ht="15.75" customHeight="1">
      <c r="A4826" s="8"/>
      <c r="B4826" s="8"/>
      <c r="C4826" s="8"/>
      <c r="D4826" s="8">
        <v>619.216502828665</v>
      </c>
      <c r="E4826" s="9" t="s">
        <v>1497</v>
      </c>
      <c r="I4826" s="12"/>
      <c r="J4826" s="11">
        <v>0.0</v>
      </c>
      <c r="K4826" s="12" t="s">
        <v>3075</v>
      </c>
      <c r="L4826" s="13" t="s">
        <v>3075</v>
      </c>
      <c r="M4826" s="9" t="s">
        <v>3075</v>
      </c>
    </row>
    <row r="4827" ht="15.75" customHeight="1">
      <c r="A4827" s="8"/>
      <c r="B4827" s="8"/>
      <c r="C4827" s="8"/>
      <c r="D4827" s="8">
        <v>75.7833467909415</v>
      </c>
      <c r="E4827" s="9" t="s">
        <v>1505</v>
      </c>
      <c r="I4827" s="12"/>
      <c r="J4827" s="11">
        <v>0.0</v>
      </c>
      <c r="K4827" s="12" t="s">
        <v>3075</v>
      </c>
      <c r="L4827" s="13" t="s">
        <v>3075</v>
      </c>
      <c r="M4827" s="9" t="s">
        <v>3075</v>
      </c>
    </row>
    <row r="4828" ht="15.75" customHeight="1">
      <c r="A4828" s="8"/>
      <c r="B4828" s="8"/>
      <c r="C4828" s="8"/>
      <c r="D4828" s="8">
        <v>47.1630803992411</v>
      </c>
      <c r="E4828" s="9" t="s">
        <v>1508</v>
      </c>
      <c r="I4828" s="12"/>
      <c r="J4828" s="11">
        <v>0.0</v>
      </c>
      <c r="K4828" s="12" t="s">
        <v>3075</v>
      </c>
      <c r="L4828" s="13" t="s">
        <v>3075</v>
      </c>
      <c r="M4828" s="9" t="s">
        <v>3075</v>
      </c>
    </row>
    <row r="4829" ht="15.75" customHeight="1">
      <c r="A4829" s="8"/>
      <c r="B4829" s="8"/>
      <c r="C4829" s="8"/>
      <c r="D4829" s="8">
        <v>539.606576475962</v>
      </c>
      <c r="E4829" s="9" t="s">
        <v>1515</v>
      </c>
      <c r="I4829" s="12"/>
      <c r="J4829" s="11">
        <v>0.0</v>
      </c>
      <c r="K4829" s="12" t="s">
        <v>3075</v>
      </c>
      <c r="L4829" s="13" t="s">
        <v>3075</v>
      </c>
      <c r="M4829" s="9" t="s">
        <v>3075</v>
      </c>
    </row>
    <row r="4830" ht="15.75" customHeight="1">
      <c r="A4830" s="8"/>
      <c r="B4830" s="8"/>
      <c r="C4830" s="8"/>
      <c r="D4830" s="8">
        <v>3.89158067558028</v>
      </c>
      <c r="E4830" s="9" t="s">
        <v>3125</v>
      </c>
      <c r="I4830" s="12"/>
      <c r="J4830" s="11">
        <v>0.0</v>
      </c>
      <c r="K4830" s="12" t="s">
        <v>3075</v>
      </c>
      <c r="L4830" s="13" t="s">
        <v>3075</v>
      </c>
      <c r="M4830" s="9" t="s">
        <v>3075</v>
      </c>
    </row>
    <row r="4831" ht="15.75" customHeight="1">
      <c r="A4831" s="8"/>
      <c r="B4831" s="8"/>
      <c r="C4831" s="8"/>
      <c r="D4831" s="8">
        <v>20.1601709481203</v>
      </c>
      <c r="E4831" s="9" t="s">
        <v>1526</v>
      </c>
      <c r="I4831" s="12"/>
      <c r="J4831" s="11">
        <v>0.0</v>
      </c>
      <c r="K4831" s="12" t="s">
        <v>3075</v>
      </c>
      <c r="L4831" s="13" t="s">
        <v>3075</v>
      </c>
      <c r="M4831" s="9" t="s">
        <v>3075</v>
      </c>
    </row>
    <row r="4832" ht="15.75" customHeight="1">
      <c r="A4832" s="8"/>
      <c r="B4832" s="8"/>
      <c r="C4832" s="8"/>
      <c r="D4832" s="8">
        <v>35.0242260802226</v>
      </c>
      <c r="E4832" s="9" t="s">
        <v>1531</v>
      </c>
      <c r="I4832" s="12"/>
      <c r="J4832" s="11">
        <v>0.0</v>
      </c>
      <c r="K4832" s="12" t="s">
        <v>3075</v>
      </c>
      <c r="L4832" s="13" t="s">
        <v>3075</v>
      </c>
      <c r="M4832" s="9" t="s">
        <v>3075</v>
      </c>
    </row>
    <row r="4833" ht="15.75" customHeight="1">
      <c r="A4833" s="8"/>
      <c r="B4833" s="8"/>
      <c r="C4833" s="8"/>
      <c r="D4833" s="8">
        <v>21.9302890451704</v>
      </c>
      <c r="E4833" s="9" t="s">
        <v>1537</v>
      </c>
      <c r="I4833" s="12"/>
      <c r="J4833" s="11">
        <v>0.0</v>
      </c>
      <c r="K4833" s="12" t="s">
        <v>3075</v>
      </c>
      <c r="L4833" s="13" t="s">
        <v>3075</v>
      </c>
      <c r="M4833" s="9" t="s">
        <v>3075</v>
      </c>
    </row>
    <row r="4834" ht="15.75" customHeight="1">
      <c r="A4834" s="8"/>
      <c r="B4834" s="8"/>
      <c r="C4834" s="8"/>
      <c r="D4834" s="8">
        <v>16.1639942451242</v>
      </c>
      <c r="E4834" s="9" t="s">
        <v>1538</v>
      </c>
      <c r="I4834" s="12"/>
      <c r="J4834" s="11">
        <v>0.0</v>
      </c>
      <c r="K4834" s="12" t="s">
        <v>3075</v>
      </c>
      <c r="L4834" s="13" t="s">
        <v>3075</v>
      </c>
      <c r="M4834" s="9" t="s">
        <v>3075</v>
      </c>
    </row>
    <row r="4835" ht="15.75" customHeight="1">
      <c r="A4835" s="8"/>
      <c r="B4835" s="8"/>
      <c r="C4835" s="8"/>
      <c r="D4835" s="8">
        <v>85.7193514507472</v>
      </c>
      <c r="E4835" s="9" t="s">
        <v>1548</v>
      </c>
      <c r="I4835" s="12"/>
      <c r="J4835" s="11">
        <v>0.0</v>
      </c>
      <c r="K4835" s="12" t="s">
        <v>3075</v>
      </c>
      <c r="L4835" s="13" t="s">
        <v>3075</v>
      </c>
      <c r="M4835" s="9" t="s">
        <v>3075</v>
      </c>
    </row>
    <row r="4836" ht="15.75" customHeight="1">
      <c r="A4836" s="8"/>
      <c r="B4836" s="8"/>
      <c r="C4836" s="8"/>
      <c r="D4836" s="8">
        <v>1.94579033779014</v>
      </c>
      <c r="E4836" s="9" t="s">
        <v>3128</v>
      </c>
      <c r="I4836" s="12"/>
      <c r="J4836" s="11">
        <v>0.0</v>
      </c>
      <c r="K4836" s="12" t="s">
        <v>3075</v>
      </c>
      <c r="L4836" s="13" t="s">
        <v>3075</v>
      </c>
      <c r="M4836" s="9" t="s">
        <v>3075</v>
      </c>
    </row>
    <row r="4837" ht="15.75" customHeight="1">
      <c r="A4837" s="8"/>
      <c r="B4837" s="8"/>
      <c r="C4837" s="8"/>
      <c r="D4837" s="8">
        <v>74.0096692044863</v>
      </c>
      <c r="E4837" s="9" t="s">
        <v>1552</v>
      </c>
      <c r="I4837" s="12"/>
      <c r="J4837" s="11">
        <v>0.0</v>
      </c>
      <c r="K4837" s="12" t="s">
        <v>3075</v>
      </c>
      <c r="L4837" s="13" t="s">
        <v>3075</v>
      </c>
      <c r="M4837" s="9" t="s">
        <v>3075</v>
      </c>
    </row>
    <row r="4838" ht="15.75" customHeight="1">
      <c r="A4838" s="8"/>
      <c r="B4838" s="8"/>
      <c r="C4838" s="8"/>
      <c r="D4838" s="8">
        <v>11.4810064479309</v>
      </c>
      <c r="E4838" s="9" t="s">
        <v>1553</v>
      </c>
      <c r="I4838" s="12"/>
      <c r="J4838" s="11">
        <v>0.0</v>
      </c>
      <c r="K4838" s="12" t="s">
        <v>3075</v>
      </c>
      <c r="L4838" s="13" t="s">
        <v>3075</v>
      </c>
      <c r="M4838" s="9" t="s">
        <v>3075</v>
      </c>
    </row>
    <row r="4839" ht="15.75" customHeight="1">
      <c r="A4839" s="8"/>
      <c r="B4839" s="8"/>
      <c r="C4839" s="8"/>
      <c r="D4839" s="8">
        <v>1.07117800898899</v>
      </c>
      <c r="E4839" s="9" t="s">
        <v>1556</v>
      </c>
      <c r="I4839" s="12"/>
      <c r="J4839" s="11">
        <v>0.0</v>
      </c>
      <c r="K4839" s="12" t="s">
        <v>3075</v>
      </c>
      <c r="L4839" s="13" t="s">
        <v>3075</v>
      </c>
      <c r="M4839" s="9" t="s">
        <v>3075</v>
      </c>
    </row>
    <row r="4840" ht="15.75" customHeight="1">
      <c r="A4840" s="8"/>
      <c r="B4840" s="8"/>
      <c r="C4840" s="8"/>
      <c r="D4840" s="8">
        <v>24.0024503967912</v>
      </c>
      <c r="E4840" s="9" t="s">
        <v>1560</v>
      </c>
      <c r="I4840" s="12"/>
      <c r="J4840" s="11">
        <v>0.0</v>
      </c>
      <c r="K4840" s="12" t="s">
        <v>3075</v>
      </c>
      <c r="L4840" s="13" t="s">
        <v>3075</v>
      </c>
      <c r="M4840" s="9" t="s">
        <v>3075</v>
      </c>
    </row>
    <row r="4841" ht="15.75" customHeight="1">
      <c r="A4841" s="8"/>
      <c r="B4841" s="8"/>
      <c r="C4841" s="8"/>
      <c r="D4841" s="8">
        <v>32.6472602783201</v>
      </c>
      <c r="E4841" s="9" t="s">
        <v>1566</v>
      </c>
      <c r="I4841" s="12"/>
      <c r="J4841" s="11">
        <v>0.0</v>
      </c>
      <c r="K4841" s="12" t="s">
        <v>3075</v>
      </c>
      <c r="L4841" s="13" t="s">
        <v>3075</v>
      </c>
      <c r="M4841" s="9" t="s">
        <v>3075</v>
      </c>
    </row>
    <row r="4842" ht="15.75" customHeight="1">
      <c r="A4842" s="8"/>
      <c r="B4842" s="8"/>
      <c r="C4842" s="8"/>
      <c r="D4842" s="8">
        <v>6.74945630462886</v>
      </c>
      <c r="E4842" s="9" t="s">
        <v>1568</v>
      </c>
      <c r="I4842" s="12"/>
      <c r="J4842" s="11">
        <v>0.0</v>
      </c>
      <c r="K4842" s="12" t="s">
        <v>3075</v>
      </c>
      <c r="L4842" s="13" t="s">
        <v>3075</v>
      </c>
      <c r="M4842" s="9" t="s">
        <v>3075</v>
      </c>
    </row>
    <row r="4843" ht="15.75" customHeight="1">
      <c r="A4843" s="8"/>
      <c r="B4843" s="8"/>
      <c r="C4843" s="8"/>
      <c r="D4843" s="8">
        <v>15.5663227023211</v>
      </c>
      <c r="E4843" s="9" t="s">
        <v>1580</v>
      </c>
      <c r="I4843" s="12"/>
      <c r="J4843" s="11">
        <v>0.0</v>
      </c>
      <c r="K4843" s="12" t="s">
        <v>3075</v>
      </c>
      <c r="L4843" s="13" t="s">
        <v>3075</v>
      </c>
      <c r="M4843" s="9" t="s">
        <v>3075</v>
      </c>
    </row>
    <row r="4844" ht="15.75" customHeight="1">
      <c r="A4844" s="8"/>
      <c r="B4844" s="8"/>
      <c r="C4844" s="8"/>
      <c r="D4844" s="8">
        <v>1.98470614454594</v>
      </c>
      <c r="E4844" s="9" t="s">
        <v>3247</v>
      </c>
      <c r="I4844" s="12"/>
      <c r="J4844" s="11">
        <v>0.0</v>
      </c>
      <c r="K4844" s="12" t="s">
        <v>3075</v>
      </c>
      <c r="L4844" s="13" t="s">
        <v>3075</v>
      </c>
      <c r="M4844" s="9" t="s">
        <v>3075</v>
      </c>
    </row>
    <row r="4845" ht="15.75" customHeight="1">
      <c r="A4845" s="8"/>
      <c r="B4845" s="8"/>
      <c r="C4845" s="8"/>
      <c r="D4845" s="8">
        <v>2.02362195130175</v>
      </c>
      <c r="E4845" s="9" t="s">
        <v>1596</v>
      </c>
      <c r="I4845" s="12"/>
      <c r="J4845" s="11">
        <v>0.0</v>
      </c>
      <c r="K4845" s="12" t="s">
        <v>3075</v>
      </c>
      <c r="L4845" s="13" t="s">
        <v>3075</v>
      </c>
      <c r="M4845" s="9" t="s">
        <v>3075</v>
      </c>
    </row>
    <row r="4846" ht="15.75" customHeight="1">
      <c r="A4846" s="8"/>
      <c r="B4846" s="8"/>
      <c r="C4846" s="8"/>
      <c r="D4846" s="8">
        <v>47.3060546923539</v>
      </c>
      <c r="E4846" s="9" t="s">
        <v>1597</v>
      </c>
      <c r="I4846" s="12"/>
      <c r="J4846" s="11">
        <v>0.0</v>
      </c>
      <c r="K4846" s="12" t="s">
        <v>3075</v>
      </c>
      <c r="L4846" s="13" t="s">
        <v>3075</v>
      </c>
      <c r="M4846" s="9" t="s">
        <v>3075</v>
      </c>
    </row>
    <row r="4847" ht="15.75" customHeight="1">
      <c r="A4847" s="8"/>
      <c r="B4847" s="8"/>
      <c r="C4847" s="8"/>
      <c r="D4847" s="8">
        <v>1048.40569462713</v>
      </c>
      <c r="E4847" s="9" t="s">
        <v>1604</v>
      </c>
      <c r="I4847" s="12"/>
      <c r="J4847" s="11">
        <v>0.0</v>
      </c>
      <c r="K4847" s="12" t="s">
        <v>3075</v>
      </c>
      <c r="L4847" s="13" t="s">
        <v>3075</v>
      </c>
      <c r="M4847" s="9" t="s">
        <v>3075</v>
      </c>
    </row>
    <row r="4848" ht="15.75" customHeight="1">
      <c r="A4848" s="8"/>
      <c r="B4848" s="8"/>
      <c r="C4848" s="8"/>
      <c r="D4848" s="8">
        <v>38.9532741742157</v>
      </c>
      <c r="E4848" s="9" t="s">
        <v>1607</v>
      </c>
      <c r="I4848" s="12"/>
      <c r="J4848" s="11">
        <v>0.0</v>
      </c>
      <c r="K4848" s="12" t="s">
        <v>3075</v>
      </c>
      <c r="L4848" s="13" t="s">
        <v>3075</v>
      </c>
      <c r="M4848" s="9" t="s">
        <v>3075</v>
      </c>
    </row>
    <row r="4849" ht="15.75" customHeight="1">
      <c r="A4849" s="8"/>
      <c r="B4849" s="8"/>
      <c r="C4849" s="8"/>
      <c r="D4849" s="8">
        <v>11.0909033174992</v>
      </c>
      <c r="E4849" s="9" t="s">
        <v>3248</v>
      </c>
      <c r="I4849" s="12"/>
      <c r="J4849" s="11">
        <v>0.0</v>
      </c>
      <c r="K4849" s="12" t="s">
        <v>3075</v>
      </c>
      <c r="L4849" s="13" t="s">
        <v>3075</v>
      </c>
      <c r="M4849" s="9" t="s">
        <v>3075</v>
      </c>
    </row>
    <row r="4850" ht="15.75" customHeight="1">
      <c r="A4850" s="8"/>
      <c r="B4850" s="8"/>
      <c r="C4850" s="8"/>
      <c r="D4850" s="8">
        <v>1.94579033779014</v>
      </c>
      <c r="E4850" s="9" t="s">
        <v>3249</v>
      </c>
      <c r="I4850" s="12"/>
      <c r="J4850" s="11">
        <v>0.0</v>
      </c>
      <c r="K4850" s="12" t="s">
        <v>3075</v>
      </c>
      <c r="L4850" s="13" t="s">
        <v>3075</v>
      </c>
      <c r="M4850" s="9" t="s">
        <v>3075</v>
      </c>
    </row>
    <row r="4851" ht="15.75" customHeight="1">
      <c r="A4851" s="8"/>
      <c r="B4851" s="8"/>
      <c r="C4851" s="8"/>
      <c r="D4851" s="8">
        <v>14.593427533426</v>
      </c>
      <c r="E4851" s="9" t="s">
        <v>1623</v>
      </c>
      <c r="I4851" s="12"/>
      <c r="J4851" s="11">
        <v>0.0</v>
      </c>
      <c r="K4851" s="12" t="s">
        <v>3075</v>
      </c>
      <c r="L4851" s="13" t="s">
        <v>3075</v>
      </c>
      <c r="M4851" s="9" t="s">
        <v>3075</v>
      </c>
    </row>
    <row r="4852" ht="15.75" customHeight="1">
      <c r="A4852" s="8"/>
      <c r="B4852" s="8"/>
      <c r="C4852" s="8"/>
      <c r="D4852" s="8">
        <v>1.94579033779014</v>
      </c>
      <c r="E4852" s="9" t="s">
        <v>1628</v>
      </c>
      <c r="I4852" s="12"/>
      <c r="J4852" s="11">
        <v>0.0</v>
      </c>
      <c r="K4852" s="12" t="s">
        <v>3075</v>
      </c>
      <c r="L4852" s="13" t="s">
        <v>3075</v>
      </c>
      <c r="M4852" s="9" t="s">
        <v>3075</v>
      </c>
    </row>
    <row r="4853" ht="15.75" customHeight="1">
      <c r="A4853" s="8"/>
      <c r="B4853" s="8"/>
      <c r="C4853" s="8"/>
      <c r="D4853" s="8">
        <v>165.392178712162</v>
      </c>
      <c r="E4853" s="9" t="s">
        <v>1633</v>
      </c>
      <c r="I4853" s="12"/>
      <c r="J4853" s="11">
        <v>0.0</v>
      </c>
      <c r="K4853" s="12" t="s">
        <v>3075</v>
      </c>
      <c r="L4853" s="13" t="s">
        <v>3075</v>
      </c>
      <c r="M4853" s="9" t="s">
        <v>3075</v>
      </c>
    </row>
    <row r="4854" ht="15.75" customHeight="1">
      <c r="A4854" s="8"/>
      <c r="B4854" s="8"/>
      <c r="C4854" s="8"/>
      <c r="D4854" s="8">
        <v>1.71556333456299</v>
      </c>
      <c r="E4854" s="9" t="s">
        <v>3250</v>
      </c>
      <c r="I4854" s="12"/>
      <c r="J4854" s="11">
        <v>0.0</v>
      </c>
      <c r="K4854" s="12" t="s">
        <v>3075</v>
      </c>
      <c r="L4854" s="13" t="s">
        <v>3075</v>
      </c>
      <c r="M4854" s="9" t="s">
        <v>3075</v>
      </c>
    </row>
    <row r="4855" ht="15.75" customHeight="1">
      <c r="A4855" s="8"/>
      <c r="B4855" s="8"/>
      <c r="C4855" s="8"/>
      <c r="D4855" s="8">
        <v>130.36115583444</v>
      </c>
      <c r="E4855" s="9" t="s">
        <v>1640</v>
      </c>
      <c r="I4855" s="12"/>
      <c r="J4855" s="11">
        <v>0.0</v>
      </c>
      <c r="K4855" s="12" t="s">
        <v>3075</v>
      </c>
      <c r="L4855" s="13" t="s">
        <v>3075</v>
      </c>
      <c r="M4855" s="9" t="s">
        <v>3075</v>
      </c>
    </row>
    <row r="4856" ht="15.75" customHeight="1">
      <c r="A4856" s="8"/>
      <c r="B4856" s="8"/>
      <c r="C4856" s="8"/>
      <c r="D4856" s="8">
        <v>10.9363753458326</v>
      </c>
      <c r="E4856" s="9" t="s">
        <v>1647</v>
      </c>
      <c r="I4856" s="12"/>
      <c r="J4856" s="11">
        <v>0.0</v>
      </c>
      <c r="K4856" s="12" t="s">
        <v>3075</v>
      </c>
      <c r="L4856" s="13" t="s">
        <v>3075</v>
      </c>
      <c r="M4856" s="9" t="s">
        <v>3075</v>
      </c>
    </row>
    <row r="4857" ht="15.75" customHeight="1">
      <c r="A4857" s="8"/>
      <c r="B4857" s="8"/>
      <c r="C4857" s="8"/>
      <c r="D4857" s="8">
        <v>0.282506642623771</v>
      </c>
      <c r="E4857" s="9" t="s">
        <v>3251</v>
      </c>
      <c r="I4857" s="12"/>
      <c r="J4857" s="11">
        <v>0.0</v>
      </c>
      <c r="K4857" s="12" t="s">
        <v>3075</v>
      </c>
      <c r="L4857" s="13" t="s">
        <v>3075</v>
      </c>
      <c r="M4857" s="9" t="s">
        <v>3075</v>
      </c>
    </row>
    <row r="4858" ht="15.75" customHeight="1">
      <c r="A4858" s="8"/>
      <c r="B4858" s="8"/>
      <c r="C4858" s="8"/>
      <c r="D4858" s="8">
        <v>226.334332091749</v>
      </c>
      <c r="E4858" s="9" t="s">
        <v>1653</v>
      </c>
      <c r="I4858" s="12"/>
      <c r="J4858" s="11">
        <v>0.0</v>
      </c>
      <c r="K4858" s="12" t="s">
        <v>3075</v>
      </c>
      <c r="L4858" s="13" t="s">
        <v>3075</v>
      </c>
      <c r="M4858" s="9" t="s">
        <v>3075</v>
      </c>
    </row>
    <row r="4859" ht="15.75" customHeight="1">
      <c r="A4859" s="8"/>
      <c r="B4859" s="8"/>
      <c r="C4859" s="8"/>
      <c r="D4859" s="8">
        <v>202.362195130175</v>
      </c>
      <c r="E4859" s="9" t="s">
        <v>1661</v>
      </c>
      <c r="I4859" s="12"/>
      <c r="J4859" s="11">
        <v>0.0</v>
      </c>
      <c r="K4859" s="12" t="s">
        <v>3075</v>
      </c>
      <c r="L4859" s="13" t="s">
        <v>3075</v>
      </c>
      <c r="M4859" s="9" t="s">
        <v>3075</v>
      </c>
    </row>
    <row r="4860" ht="15.75" customHeight="1">
      <c r="A4860" s="8"/>
      <c r="B4860" s="8"/>
      <c r="C4860" s="8"/>
      <c r="D4860" s="8">
        <v>1.33020428053964</v>
      </c>
      <c r="E4860" s="9" t="s">
        <v>3252</v>
      </c>
      <c r="I4860" s="12"/>
      <c r="J4860" s="11">
        <v>0.0</v>
      </c>
      <c r="K4860" s="12" t="s">
        <v>3075</v>
      </c>
      <c r="L4860" s="13" t="s">
        <v>3075</v>
      </c>
      <c r="M4860" s="9" t="s">
        <v>3075</v>
      </c>
    </row>
    <row r="4861" ht="15.75" customHeight="1">
      <c r="A4861" s="8"/>
      <c r="B4861" s="8"/>
      <c r="C4861" s="8"/>
      <c r="D4861" s="8">
        <v>11.6747420267408</v>
      </c>
      <c r="E4861" s="9" t="s">
        <v>1664</v>
      </c>
      <c r="I4861" s="12"/>
      <c r="J4861" s="11">
        <v>0.0</v>
      </c>
      <c r="K4861" s="12" t="s">
        <v>3075</v>
      </c>
      <c r="L4861" s="13" t="s">
        <v>3075</v>
      </c>
      <c r="M4861" s="9" t="s">
        <v>3075</v>
      </c>
    </row>
    <row r="4862" ht="15.75" customHeight="1">
      <c r="A4862" s="8"/>
      <c r="B4862" s="8"/>
      <c r="C4862" s="8"/>
      <c r="D4862" s="8">
        <v>11.6747420267408</v>
      </c>
      <c r="E4862" s="9" t="s">
        <v>1671</v>
      </c>
      <c r="I4862" s="12"/>
      <c r="J4862" s="11">
        <v>0.0</v>
      </c>
      <c r="K4862" s="12" t="s">
        <v>3075</v>
      </c>
      <c r="L4862" s="13" t="s">
        <v>3075</v>
      </c>
      <c r="M4862" s="9" t="s">
        <v>3075</v>
      </c>
    </row>
    <row r="4863" ht="15.75" customHeight="1">
      <c r="A4863" s="8"/>
      <c r="B4863" s="8"/>
      <c r="C4863" s="8"/>
      <c r="D4863" s="8">
        <v>124.530581618569</v>
      </c>
      <c r="E4863" s="9" t="s">
        <v>1674</v>
      </c>
      <c r="I4863" s="12"/>
      <c r="J4863" s="11">
        <v>0.0</v>
      </c>
      <c r="K4863" s="12" t="s">
        <v>3075</v>
      </c>
      <c r="L4863" s="13" t="s">
        <v>3075</v>
      </c>
      <c r="M4863" s="9" t="s">
        <v>3075</v>
      </c>
    </row>
    <row r="4864" ht="15.75" customHeight="1">
      <c r="A4864" s="8"/>
      <c r="B4864" s="8"/>
      <c r="C4864" s="8"/>
      <c r="D4864" s="8">
        <v>66.6778949357979</v>
      </c>
      <c r="E4864" s="9" t="s">
        <v>1682</v>
      </c>
      <c r="I4864" s="12"/>
      <c r="J4864" s="11">
        <v>0.0</v>
      </c>
      <c r="K4864" s="12" t="s">
        <v>3075</v>
      </c>
      <c r="L4864" s="13" t="s">
        <v>3075</v>
      </c>
      <c r="M4864" s="9" t="s">
        <v>3075</v>
      </c>
    </row>
    <row r="4865" ht="15.75" customHeight="1">
      <c r="A4865" s="8"/>
      <c r="B4865" s="8"/>
      <c r="C4865" s="8"/>
      <c r="D4865" s="8">
        <v>160.756525706844</v>
      </c>
      <c r="E4865" s="9" t="s">
        <v>1684</v>
      </c>
      <c r="I4865" s="12"/>
      <c r="J4865" s="11">
        <v>0.0</v>
      </c>
      <c r="K4865" s="12" t="s">
        <v>3075</v>
      </c>
      <c r="L4865" s="13" t="s">
        <v>3075</v>
      </c>
      <c r="M4865" s="9" t="s">
        <v>3075</v>
      </c>
    </row>
    <row r="4866" ht="15.75" customHeight="1">
      <c r="A4866" s="8"/>
      <c r="B4866" s="8"/>
      <c r="C4866" s="8"/>
      <c r="D4866" s="8">
        <v>0.0371008944607349</v>
      </c>
      <c r="E4866" s="9" t="s">
        <v>1690</v>
      </c>
      <c r="I4866" s="12"/>
      <c r="J4866" s="11">
        <v>0.0</v>
      </c>
      <c r="K4866" s="12" t="s">
        <v>3075</v>
      </c>
      <c r="L4866" s="13" t="s">
        <v>3075</v>
      </c>
      <c r="M4866" s="9" t="s">
        <v>3075</v>
      </c>
    </row>
    <row r="4867" ht="15.75" customHeight="1">
      <c r="A4867" s="8"/>
      <c r="B4867" s="8"/>
      <c r="C4867" s="8"/>
      <c r="D4867" s="8">
        <v>9.72895168895072</v>
      </c>
      <c r="E4867" s="9" t="s">
        <v>1705</v>
      </c>
      <c r="I4867" s="12"/>
      <c r="J4867" s="11">
        <v>0.0</v>
      </c>
      <c r="K4867" s="12" t="s">
        <v>3075</v>
      </c>
      <c r="L4867" s="13" t="s">
        <v>3075</v>
      </c>
      <c r="M4867" s="9" t="s">
        <v>3075</v>
      </c>
    </row>
    <row r="4868" ht="15.75" customHeight="1">
      <c r="A4868" s="8"/>
      <c r="B4868" s="8"/>
      <c r="C4868" s="8"/>
      <c r="D4868" s="8">
        <v>1.07477840342475</v>
      </c>
      <c r="E4868" s="9" t="s">
        <v>1707</v>
      </c>
      <c r="I4868" s="12"/>
      <c r="J4868" s="11">
        <v>0.0</v>
      </c>
      <c r="K4868" s="12" t="s">
        <v>3075</v>
      </c>
      <c r="L4868" s="13" t="s">
        <v>3075</v>
      </c>
      <c r="M4868" s="9" t="s">
        <v>3075</v>
      </c>
    </row>
    <row r="4869" ht="15.75" customHeight="1">
      <c r="A4869" s="8"/>
      <c r="B4869" s="8"/>
      <c r="C4869" s="8"/>
      <c r="D4869" s="8">
        <v>1.94583819886207</v>
      </c>
      <c r="E4869" s="9" t="s">
        <v>1713</v>
      </c>
      <c r="I4869" s="12"/>
      <c r="J4869" s="11">
        <v>0.0</v>
      </c>
      <c r="K4869" s="12" t="s">
        <v>3075</v>
      </c>
      <c r="L4869" s="13" t="s">
        <v>3075</v>
      </c>
      <c r="M4869" s="9" t="s">
        <v>3075</v>
      </c>
    </row>
    <row r="4870" ht="15.75" customHeight="1">
      <c r="A4870" s="8"/>
      <c r="B4870" s="8"/>
      <c r="C4870" s="8"/>
      <c r="D4870" s="8">
        <v>64.7561234060737</v>
      </c>
      <c r="E4870" s="9" t="s">
        <v>1714</v>
      </c>
      <c r="I4870" s="12"/>
      <c r="J4870" s="11">
        <v>0.0</v>
      </c>
      <c r="K4870" s="12" t="s">
        <v>3075</v>
      </c>
      <c r="L4870" s="13" t="s">
        <v>3075</v>
      </c>
      <c r="M4870" s="9" t="s">
        <v>3075</v>
      </c>
    </row>
    <row r="4871" ht="15.75" customHeight="1">
      <c r="A4871" s="8"/>
      <c r="B4871" s="8"/>
      <c r="C4871" s="8"/>
      <c r="D4871" s="8">
        <v>7.99109304501821</v>
      </c>
      <c r="E4871" s="9" t="s">
        <v>1728</v>
      </c>
      <c r="I4871" s="12"/>
      <c r="J4871" s="11">
        <v>0.0</v>
      </c>
      <c r="K4871" s="12" t="s">
        <v>3075</v>
      </c>
      <c r="L4871" s="13" t="s">
        <v>3075</v>
      </c>
      <c r="M4871" s="9" t="s">
        <v>3075</v>
      </c>
    </row>
    <row r="4872" ht="15.75" customHeight="1">
      <c r="A4872" s="8"/>
      <c r="B4872" s="8"/>
      <c r="C4872" s="8"/>
      <c r="D4872" s="8">
        <v>1.94579033779014</v>
      </c>
      <c r="E4872" s="9" t="s">
        <v>3137</v>
      </c>
      <c r="I4872" s="12"/>
      <c r="J4872" s="11">
        <v>0.0</v>
      </c>
      <c r="K4872" s="12" t="s">
        <v>3075</v>
      </c>
      <c r="L4872" s="13" t="s">
        <v>3075</v>
      </c>
      <c r="M4872" s="9" t="s">
        <v>3075</v>
      </c>
    </row>
    <row r="4873" ht="15.75" customHeight="1">
      <c r="A4873" s="8"/>
      <c r="B4873" s="8"/>
      <c r="C4873" s="8"/>
      <c r="D4873" s="8">
        <v>11.6747420267408</v>
      </c>
      <c r="E4873" s="9" t="s">
        <v>1729</v>
      </c>
      <c r="I4873" s="12"/>
      <c r="J4873" s="11">
        <v>0.0</v>
      </c>
      <c r="K4873" s="12" t="s">
        <v>3075</v>
      </c>
      <c r="L4873" s="13" t="s">
        <v>3075</v>
      </c>
      <c r="M4873" s="9" t="s">
        <v>3075</v>
      </c>
    </row>
    <row r="4874" ht="15.75" customHeight="1">
      <c r="A4874" s="8"/>
      <c r="B4874" s="8"/>
      <c r="C4874" s="8"/>
      <c r="D4874" s="8">
        <v>1.3223462225156</v>
      </c>
      <c r="E4874" s="9" t="s">
        <v>3253</v>
      </c>
      <c r="I4874" s="12"/>
      <c r="J4874" s="11">
        <v>0.0</v>
      </c>
      <c r="K4874" s="12" t="s">
        <v>3075</v>
      </c>
      <c r="L4874" s="13" t="s">
        <v>3075</v>
      </c>
      <c r="M4874" s="9" t="s">
        <v>3075</v>
      </c>
    </row>
    <row r="4875" ht="15.75" customHeight="1">
      <c r="A4875" s="8"/>
      <c r="B4875" s="8"/>
      <c r="C4875" s="8"/>
      <c r="D4875" s="8">
        <v>5.19472467755242</v>
      </c>
      <c r="E4875" s="9" t="s">
        <v>1737</v>
      </c>
      <c r="I4875" s="12"/>
      <c r="J4875" s="11">
        <v>0.0</v>
      </c>
      <c r="K4875" s="12" t="s">
        <v>3075</v>
      </c>
      <c r="L4875" s="13" t="s">
        <v>3075</v>
      </c>
      <c r="M4875" s="9" t="s">
        <v>3075</v>
      </c>
    </row>
    <row r="4876" ht="15.75" customHeight="1">
      <c r="A4876" s="8"/>
      <c r="B4876" s="8"/>
      <c r="C4876" s="8"/>
      <c r="D4876" s="8">
        <v>1.94579033779014</v>
      </c>
      <c r="E4876" s="9" t="s">
        <v>1738</v>
      </c>
      <c r="I4876" s="12"/>
      <c r="J4876" s="11">
        <v>0.0</v>
      </c>
      <c r="K4876" s="12" t="s">
        <v>3075</v>
      </c>
      <c r="L4876" s="13" t="s">
        <v>3075</v>
      </c>
      <c r="M4876" s="9" t="s">
        <v>3075</v>
      </c>
    </row>
    <row r="4877" ht="15.75" customHeight="1">
      <c r="A4877" s="8"/>
      <c r="B4877" s="8"/>
      <c r="C4877" s="8"/>
      <c r="D4877" s="8">
        <v>33.4347996115257</v>
      </c>
      <c r="E4877" s="9" t="s">
        <v>1744</v>
      </c>
      <c r="I4877" s="12"/>
      <c r="J4877" s="11">
        <v>0.0</v>
      </c>
      <c r="K4877" s="12" t="s">
        <v>3075</v>
      </c>
      <c r="L4877" s="13" t="s">
        <v>3075</v>
      </c>
      <c r="M4877" s="9" t="s">
        <v>3075</v>
      </c>
    </row>
    <row r="4878" ht="15.75" customHeight="1">
      <c r="A4878" s="8"/>
      <c r="B4878" s="8"/>
      <c r="C4878" s="8"/>
      <c r="D4878" s="8">
        <v>1.53675031473587</v>
      </c>
      <c r="E4878" s="9" t="s">
        <v>3138</v>
      </c>
      <c r="I4878" s="12"/>
      <c r="J4878" s="11">
        <v>0.0</v>
      </c>
      <c r="K4878" s="12" t="s">
        <v>3075</v>
      </c>
      <c r="L4878" s="13" t="s">
        <v>3075</v>
      </c>
      <c r="M4878" s="9" t="s">
        <v>3075</v>
      </c>
    </row>
    <row r="4879" ht="15.75" customHeight="1">
      <c r="A4879" s="8"/>
      <c r="B4879" s="8"/>
      <c r="C4879" s="8"/>
      <c r="D4879" s="8">
        <v>1.96821931159244</v>
      </c>
      <c r="E4879" s="9" t="s">
        <v>3254</v>
      </c>
      <c r="I4879" s="12"/>
      <c r="J4879" s="11">
        <v>0.0</v>
      </c>
      <c r="K4879" s="12" t="s">
        <v>3075</v>
      </c>
      <c r="L4879" s="13" t="s">
        <v>3075</v>
      </c>
      <c r="M4879" s="9" t="s">
        <v>3075</v>
      </c>
    </row>
    <row r="4880" ht="15.75" customHeight="1">
      <c r="A4880" s="8"/>
      <c r="B4880" s="8"/>
      <c r="C4880" s="8"/>
      <c r="D4880" s="8">
        <v>11.5190787997176</v>
      </c>
      <c r="E4880" s="9" t="s">
        <v>1749</v>
      </c>
      <c r="I4880" s="12"/>
      <c r="J4880" s="11">
        <v>0.0</v>
      </c>
      <c r="K4880" s="12" t="s">
        <v>3075</v>
      </c>
      <c r="L4880" s="13" t="s">
        <v>3075</v>
      </c>
      <c r="M4880" s="9" t="s">
        <v>3075</v>
      </c>
    </row>
    <row r="4881" ht="15.75" customHeight="1">
      <c r="A4881" s="8"/>
      <c r="B4881" s="8"/>
      <c r="C4881" s="8"/>
      <c r="D4881" s="8">
        <v>1.85951488262926</v>
      </c>
      <c r="E4881" s="9" t="s">
        <v>3255</v>
      </c>
      <c r="I4881" s="12"/>
      <c r="J4881" s="11">
        <v>0.0</v>
      </c>
      <c r="K4881" s="12" t="s">
        <v>3075</v>
      </c>
      <c r="L4881" s="13" t="s">
        <v>3075</v>
      </c>
      <c r="M4881" s="9" t="s">
        <v>3075</v>
      </c>
    </row>
    <row r="4882" ht="15.75" customHeight="1">
      <c r="A4882" s="8"/>
      <c r="B4882" s="8"/>
      <c r="C4882" s="8"/>
      <c r="D4882" s="8">
        <v>10.9157613164904</v>
      </c>
      <c r="E4882" s="9" t="s">
        <v>3256</v>
      </c>
      <c r="I4882" s="12"/>
      <c r="J4882" s="11">
        <v>0.0</v>
      </c>
      <c r="K4882" s="12" t="s">
        <v>3075</v>
      </c>
      <c r="L4882" s="13" t="s">
        <v>3075</v>
      </c>
      <c r="M4882" s="9" t="s">
        <v>3075</v>
      </c>
    </row>
    <row r="4883" ht="15.75" customHeight="1">
      <c r="A4883" s="8"/>
      <c r="B4883" s="8"/>
      <c r="C4883" s="8"/>
      <c r="D4883" s="8">
        <v>179.458705645772</v>
      </c>
      <c r="E4883" s="9" t="s">
        <v>1766</v>
      </c>
      <c r="I4883" s="12"/>
      <c r="J4883" s="11">
        <v>0.0</v>
      </c>
      <c r="K4883" s="12" t="s">
        <v>3075</v>
      </c>
      <c r="L4883" s="13" t="s">
        <v>3075</v>
      </c>
      <c r="M4883" s="9" t="s">
        <v>3075</v>
      </c>
    </row>
    <row r="4884" ht="15.75" customHeight="1">
      <c r="A4884" s="8"/>
      <c r="B4884" s="8"/>
      <c r="C4884" s="8"/>
      <c r="D4884" s="8">
        <v>11.6747420267408</v>
      </c>
      <c r="E4884" s="9" t="s">
        <v>3257</v>
      </c>
      <c r="I4884" s="12"/>
      <c r="J4884" s="11">
        <v>0.0</v>
      </c>
      <c r="K4884" s="12" t="s">
        <v>3075</v>
      </c>
      <c r="L4884" s="13" t="s">
        <v>3075</v>
      </c>
      <c r="M4884" s="9" t="s">
        <v>3075</v>
      </c>
    </row>
    <row r="4885" ht="15.75" customHeight="1">
      <c r="A4885" s="8"/>
      <c r="B4885" s="8"/>
      <c r="C4885" s="8"/>
      <c r="D4885" s="8">
        <v>1.94579033779014</v>
      </c>
      <c r="E4885" s="9" t="s">
        <v>1771</v>
      </c>
      <c r="I4885" s="12"/>
      <c r="J4885" s="11">
        <v>0.0</v>
      </c>
      <c r="K4885" s="12" t="s">
        <v>3075</v>
      </c>
      <c r="L4885" s="13" t="s">
        <v>3075</v>
      </c>
      <c r="M4885" s="9" t="s">
        <v>3075</v>
      </c>
    </row>
    <row r="4886" ht="15.75" customHeight="1">
      <c r="A4886" s="8"/>
      <c r="B4886" s="8"/>
      <c r="C4886" s="8"/>
      <c r="D4886" s="8">
        <v>0.04357839410665</v>
      </c>
      <c r="E4886" s="9" t="s">
        <v>1772</v>
      </c>
      <c r="I4886" s="12"/>
      <c r="J4886" s="11">
        <v>0.0</v>
      </c>
      <c r="K4886" s="12" t="s">
        <v>3075</v>
      </c>
      <c r="L4886" s="13" t="s">
        <v>3075</v>
      </c>
      <c r="M4886" s="9" t="s">
        <v>3075</v>
      </c>
    </row>
    <row r="4887" ht="15.75" customHeight="1">
      <c r="A4887" s="8"/>
      <c r="B4887" s="8"/>
      <c r="C4887" s="8"/>
      <c r="D4887" s="8">
        <v>67.671981172916</v>
      </c>
      <c r="E4887" s="9" t="s">
        <v>3258</v>
      </c>
      <c r="I4887" s="12"/>
      <c r="J4887" s="11">
        <v>0.0</v>
      </c>
      <c r="K4887" s="12" t="s">
        <v>3075</v>
      </c>
      <c r="L4887" s="13" t="s">
        <v>3075</v>
      </c>
      <c r="M4887" s="9" t="s">
        <v>3075</v>
      </c>
    </row>
    <row r="4888" ht="15.75" customHeight="1">
      <c r="A4888" s="8"/>
      <c r="B4888" s="8"/>
      <c r="C4888" s="8"/>
      <c r="D4888" s="8">
        <v>10.1909513571448</v>
      </c>
      <c r="E4888" s="9" t="s">
        <v>3259</v>
      </c>
      <c r="I4888" s="12"/>
      <c r="J4888" s="11">
        <v>0.0</v>
      </c>
      <c r="K4888" s="12" t="s">
        <v>3075</v>
      </c>
      <c r="L4888" s="13" t="s">
        <v>3075</v>
      </c>
      <c r="M4888" s="9" t="s">
        <v>3075</v>
      </c>
    </row>
    <row r="4889" ht="15.75" customHeight="1">
      <c r="A4889" s="8"/>
      <c r="B4889" s="8"/>
      <c r="C4889" s="8"/>
      <c r="D4889" s="8">
        <v>7.15240703556296</v>
      </c>
      <c r="E4889" s="9" t="s">
        <v>1775</v>
      </c>
      <c r="I4889" s="12"/>
      <c r="J4889" s="11">
        <v>0.0</v>
      </c>
      <c r="K4889" s="12" t="s">
        <v>3075</v>
      </c>
      <c r="L4889" s="13" t="s">
        <v>3075</v>
      </c>
      <c r="M4889" s="9" t="s">
        <v>3075</v>
      </c>
    </row>
    <row r="4890" ht="15.75" customHeight="1">
      <c r="A4890" s="8"/>
      <c r="B4890" s="8"/>
      <c r="C4890" s="8"/>
      <c r="D4890" s="8">
        <v>3.76328227461366</v>
      </c>
      <c r="E4890" s="9" t="s">
        <v>1778</v>
      </c>
      <c r="I4890" s="12"/>
      <c r="J4890" s="11">
        <v>0.0</v>
      </c>
      <c r="K4890" s="12" t="s">
        <v>3075</v>
      </c>
      <c r="L4890" s="13" t="s">
        <v>3075</v>
      </c>
      <c r="M4890" s="9" t="s">
        <v>3075</v>
      </c>
    </row>
    <row r="4891" ht="15.75" customHeight="1">
      <c r="A4891" s="8"/>
      <c r="B4891" s="8"/>
      <c r="C4891" s="8"/>
      <c r="D4891" s="8">
        <v>5.99303424039364</v>
      </c>
      <c r="E4891" s="9" t="s">
        <v>1779</v>
      </c>
      <c r="I4891" s="12"/>
      <c r="J4891" s="11">
        <v>0.0</v>
      </c>
      <c r="K4891" s="12" t="s">
        <v>3075</v>
      </c>
      <c r="L4891" s="13" t="s">
        <v>3075</v>
      </c>
      <c r="M4891" s="9" t="s">
        <v>3075</v>
      </c>
    </row>
    <row r="4892" ht="15.75" customHeight="1">
      <c r="A4892" s="8"/>
      <c r="B4892" s="8"/>
      <c r="C4892" s="8"/>
      <c r="D4892" s="8">
        <v>43.3607702034507</v>
      </c>
      <c r="E4892" s="9" t="s">
        <v>1782</v>
      </c>
      <c r="I4892" s="12"/>
      <c r="J4892" s="11">
        <v>0.0</v>
      </c>
      <c r="K4892" s="12" t="s">
        <v>3075</v>
      </c>
      <c r="L4892" s="13" t="s">
        <v>3075</v>
      </c>
      <c r="M4892" s="9" t="s">
        <v>3075</v>
      </c>
    </row>
    <row r="4893" ht="15.75" customHeight="1">
      <c r="A4893" s="8"/>
      <c r="B4893" s="8"/>
      <c r="C4893" s="8"/>
      <c r="D4893" s="8">
        <v>1.94579033779014</v>
      </c>
      <c r="E4893" s="9" t="s">
        <v>1786</v>
      </c>
      <c r="I4893" s="12"/>
      <c r="J4893" s="11">
        <v>0.0</v>
      </c>
      <c r="K4893" s="12" t="s">
        <v>3075</v>
      </c>
      <c r="L4893" s="13" t="s">
        <v>3075</v>
      </c>
      <c r="M4893" s="9" t="s">
        <v>3075</v>
      </c>
    </row>
    <row r="4894" ht="15.75" customHeight="1">
      <c r="A4894" s="8"/>
      <c r="B4894" s="8"/>
      <c r="C4894" s="8"/>
      <c r="D4894" s="8">
        <v>7.89990916190919</v>
      </c>
      <c r="E4894" s="9" t="s">
        <v>1787</v>
      </c>
      <c r="I4894" s="12"/>
      <c r="J4894" s="11">
        <v>0.0</v>
      </c>
      <c r="K4894" s="12" t="s">
        <v>3075</v>
      </c>
      <c r="L4894" s="13" t="s">
        <v>3075</v>
      </c>
      <c r="M4894" s="9" t="s">
        <v>3075</v>
      </c>
    </row>
    <row r="4895" ht="15.75" customHeight="1">
      <c r="A4895" s="8"/>
      <c r="B4895" s="8"/>
      <c r="C4895" s="8"/>
      <c r="D4895" s="8">
        <v>788.226671250713</v>
      </c>
      <c r="E4895" s="9" t="s">
        <v>1794</v>
      </c>
      <c r="I4895" s="12"/>
      <c r="J4895" s="11">
        <v>0.0</v>
      </c>
      <c r="K4895" s="12" t="s">
        <v>3075</v>
      </c>
      <c r="L4895" s="13" t="s">
        <v>3075</v>
      </c>
      <c r="M4895" s="9" t="s">
        <v>3075</v>
      </c>
    </row>
    <row r="4896" ht="15.75" customHeight="1">
      <c r="A4896" s="8"/>
      <c r="B4896" s="8"/>
      <c r="C4896" s="8"/>
      <c r="D4896" s="8">
        <v>15.5663227023211</v>
      </c>
      <c r="E4896" s="9" t="s">
        <v>1798</v>
      </c>
      <c r="I4896" s="12"/>
      <c r="J4896" s="11">
        <v>0.0</v>
      </c>
      <c r="K4896" s="12" t="s">
        <v>3075</v>
      </c>
      <c r="L4896" s="13" t="s">
        <v>3075</v>
      </c>
      <c r="M4896" s="9" t="s">
        <v>3075</v>
      </c>
    </row>
    <row r="4897" ht="15.75" customHeight="1">
      <c r="A4897" s="8"/>
      <c r="B4897" s="8"/>
      <c r="C4897" s="8"/>
      <c r="D4897" s="8">
        <v>1.94579033779014</v>
      </c>
      <c r="E4897" s="9" t="s">
        <v>1810</v>
      </c>
      <c r="I4897" s="12"/>
      <c r="J4897" s="11">
        <v>0.0</v>
      </c>
      <c r="K4897" s="12" t="s">
        <v>3075</v>
      </c>
      <c r="L4897" s="13" t="s">
        <v>3075</v>
      </c>
      <c r="M4897" s="9" t="s">
        <v>3075</v>
      </c>
    </row>
    <row r="4898" ht="15.75" customHeight="1">
      <c r="A4898" s="8"/>
      <c r="B4898" s="8"/>
      <c r="C4898" s="8"/>
      <c r="D4898" s="8">
        <v>489.805240254387</v>
      </c>
      <c r="E4898" s="9" t="s">
        <v>1813</v>
      </c>
      <c r="I4898" s="12"/>
      <c r="J4898" s="11">
        <v>0.0</v>
      </c>
      <c r="K4898" s="12" t="s">
        <v>3075</v>
      </c>
      <c r="L4898" s="13" t="s">
        <v>3075</v>
      </c>
      <c r="M4898" s="9" t="s">
        <v>3075</v>
      </c>
    </row>
    <row r="4899" ht="15.75" customHeight="1">
      <c r="A4899" s="8"/>
      <c r="B4899" s="8"/>
      <c r="C4899" s="8"/>
      <c r="D4899" s="8">
        <v>40.7707217079833</v>
      </c>
      <c r="E4899" s="9" t="s">
        <v>1816</v>
      </c>
      <c r="I4899" s="12"/>
      <c r="J4899" s="11">
        <v>0.0</v>
      </c>
      <c r="K4899" s="12" t="s">
        <v>3075</v>
      </c>
      <c r="L4899" s="13" t="s">
        <v>3075</v>
      </c>
      <c r="M4899" s="9" t="s">
        <v>3075</v>
      </c>
    </row>
    <row r="4900" ht="15.75" customHeight="1">
      <c r="A4900" s="8"/>
      <c r="B4900" s="8"/>
      <c r="C4900" s="8"/>
      <c r="D4900" s="8">
        <v>1.9503074764777</v>
      </c>
      <c r="E4900" s="9" t="s">
        <v>3260</v>
      </c>
      <c r="I4900" s="12"/>
      <c r="J4900" s="11">
        <v>0.0</v>
      </c>
      <c r="K4900" s="12" t="s">
        <v>3075</v>
      </c>
      <c r="L4900" s="13" t="s">
        <v>3075</v>
      </c>
      <c r="M4900" s="9" t="s">
        <v>3075</v>
      </c>
    </row>
    <row r="4901" ht="15.75" customHeight="1">
      <c r="A4901" s="8"/>
      <c r="B4901" s="8"/>
      <c r="C4901" s="8"/>
      <c r="D4901" s="8">
        <v>13.8540272050658</v>
      </c>
      <c r="E4901" s="9" t="s">
        <v>1835</v>
      </c>
      <c r="I4901" s="12"/>
      <c r="J4901" s="11">
        <v>0.0</v>
      </c>
      <c r="K4901" s="12" t="s">
        <v>3075</v>
      </c>
      <c r="L4901" s="13" t="s">
        <v>3075</v>
      </c>
      <c r="M4901" s="9" t="s">
        <v>3075</v>
      </c>
    </row>
    <row r="4902" ht="15.75" customHeight="1">
      <c r="A4902" s="8"/>
      <c r="B4902" s="8"/>
      <c r="C4902" s="8"/>
      <c r="D4902" s="8">
        <v>1.94579033779014</v>
      </c>
      <c r="E4902" s="9" t="s">
        <v>3261</v>
      </c>
      <c r="I4902" s="12"/>
      <c r="J4902" s="11">
        <v>0.0</v>
      </c>
      <c r="K4902" s="12" t="s">
        <v>3075</v>
      </c>
      <c r="L4902" s="13" t="s">
        <v>3075</v>
      </c>
      <c r="M4902" s="9" t="s">
        <v>3075</v>
      </c>
    </row>
    <row r="4903" ht="15.75" customHeight="1">
      <c r="A4903" s="8"/>
      <c r="B4903" s="8"/>
      <c r="C4903" s="8"/>
      <c r="D4903" s="8">
        <v>73.0060534738862</v>
      </c>
      <c r="E4903" s="9" t="s">
        <v>1840</v>
      </c>
      <c r="I4903" s="12"/>
      <c r="J4903" s="11">
        <v>0.0</v>
      </c>
      <c r="K4903" s="12" t="s">
        <v>3075</v>
      </c>
      <c r="L4903" s="13" t="s">
        <v>3075</v>
      </c>
      <c r="M4903" s="9" t="s">
        <v>3075</v>
      </c>
    </row>
    <row r="4904" ht="15.75" customHeight="1">
      <c r="A4904" s="8"/>
      <c r="B4904" s="8"/>
      <c r="C4904" s="8"/>
      <c r="D4904" s="8">
        <v>1043.59715738361</v>
      </c>
      <c r="E4904" s="9" t="s">
        <v>3262</v>
      </c>
      <c r="I4904" s="12"/>
      <c r="J4904" s="11">
        <v>0.0</v>
      </c>
      <c r="K4904" s="12" t="s">
        <v>3075</v>
      </c>
      <c r="L4904" s="13" t="s">
        <v>3075</v>
      </c>
      <c r="M4904" s="9" t="s">
        <v>3075</v>
      </c>
    </row>
    <row r="4905" ht="15.75" customHeight="1">
      <c r="A4905" s="8"/>
      <c r="B4905" s="8"/>
      <c r="C4905" s="8"/>
      <c r="D4905" s="8">
        <v>19.4579033779014</v>
      </c>
      <c r="E4905" s="9" t="s">
        <v>1843</v>
      </c>
      <c r="I4905" s="12"/>
      <c r="J4905" s="11">
        <v>0.0</v>
      </c>
      <c r="K4905" s="12" t="s">
        <v>3075</v>
      </c>
      <c r="L4905" s="13" t="s">
        <v>3075</v>
      </c>
      <c r="M4905" s="9" t="s">
        <v>3075</v>
      </c>
    </row>
    <row r="4906" ht="15.75" customHeight="1">
      <c r="A4906" s="8"/>
      <c r="B4906" s="8"/>
      <c r="C4906" s="8"/>
      <c r="D4906" s="8">
        <v>80.7740544961294</v>
      </c>
      <c r="E4906" s="9" t="s">
        <v>1845</v>
      </c>
      <c r="I4906" s="12"/>
      <c r="J4906" s="11">
        <v>0.0</v>
      </c>
      <c r="K4906" s="12" t="s">
        <v>3075</v>
      </c>
      <c r="L4906" s="13" t="s">
        <v>3075</v>
      </c>
      <c r="M4906" s="9" t="s">
        <v>3075</v>
      </c>
    </row>
    <row r="4907" ht="15.75" customHeight="1">
      <c r="A4907" s="8"/>
      <c r="B4907" s="8"/>
      <c r="C4907" s="8"/>
      <c r="D4907" s="8">
        <v>66.1568714848649</v>
      </c>
      <c r="E4907" s="9" t="s">
        <v>1848</v>
      </c>
      <c r="I4907" s="12"/>
      <c r="J4907" s="11">
        <v>0.0</v>
      </c>
      <c r="K4907" s="12" t="s">
        <v>3075</v>
      </c>
      <c r="L4907" s="13" t="s">
        <v>3075</v>
      </c>
      <c r="M4907" s="9" t="s">
        <v>3075</v>
      </c>
    </row>
    <row r="4908" ht="15.75" customHeight="1">
      <c r="A4908" s="8"/>
      <c r="B4908" s="8"/>
      <c r="C4908" s="8"/>
      <c r="D4908" s="8">
        <v>1.94579033779014</v>
      </c>
      <c r="E4908" s="9" t="s">
        <v>1849</v>
      </c>
      <c r="I4908" s="12"/>
      <c r="J4908" s="11">
        <v>0.0</v>
      </c>
      <c r="K4908" s="12" t="s">
        <v>3075</v>
      </c>
      <c r="L4908" s="13" t="s">
        <v>3075</v>
      </c>
      <c r="M4908" s="9" t="s">
        <v>3075</v>
      </c>
    </row>
    <row r="4909" ht="15.75" customHeight="1">
      <c r="A4909" s="8"/>
      <c r="B4909" s="8"/>
      <c r="C4909" s="8"/>
      <c r="D4909" s="8">
        <v>169.015917070742</v>
      </c>
      <c r="E4909" s="9" t="s">
        <v>1854</v>
      </c>
      <c r="I4909" s="12"/>
      <c r="J4909" s="11">
        <v>0.0</v>
      </c>
      <c r="K4909" s="12" t="s">
        <v>3075</v>
      </c>
      <c r="L4909" s="13" t="s">
        <v>3075</v>
      </c>
      <c r="M4909" s="9" t="s">
        <v>3075</v>
      </c>
    </row>
    <row r="4910" ht="15.75" customHeight="1">
      <c r="A4910" s="8"/>
      <c r="B4910" s="8"/>
      <c r="C4910" s="8"/>
      <c r="D4910" s="8">
        <v>191.060520876554</v>
      </c>
      <c r="E4910" s="9" t="s">
        <v>1856</v>
      </c>
      <c r="I4910" s="12"/>
      <c r="J4910" s="11">
        <v>0.0</v>
      </c>
      <c r="K4910" s="12" t="s">
        <v>3075</v>
      </c>
      <c r="L4910" s="13" t="s">
        <v>3075</v>
      </c>
      <c r="M4910" s="9" t="s">
        <v>3075</v>
      </c>
    </row>
    <row r="4911" ht="15.75" customHeight="1">
      <c r="A4911" s="8"/>
      <c r="B4911" s="8"/>
      <c r="C4911" s="8"/>
      <c r="D4911" s="8">
        <v>0.456673253443212</v>
      </c>
      <c r="E4911" s="9" t="s">
        <v>1859</v>
      </c>
      <c r="I4911" s="12"/>
      <c r="J4911" s="11">
        <v>0.0</v>
      </c>
      <c r="K4911" s="12" t="s">
        <v>3075</v>
      </c>
      <c r="L4911" s="13" t="s">
        <v>3075</v>
      </c>
      <c r="M4911" s="9" t="s">
        <v>3075</v>
      </c>
    </row>
    <row r="4912" ht="15.75" customHeight="1">
      <c r="A4912" s="8"/>
      <c r="B4912" s="8"/>
      <c r="C4912" s="8"/>
      <c r="D4912" s="8">
        <v>11.6747420267408</v>
      </c>
      <c r="E4912" s="9" t="s">
        <v>1860</v>
      </c>
      <c r="I4912" s="12"/>
      <c r="J4912" s="11">
        <v>0.0</v>
      </c>
      <c r="K4912" s="12" t="s">
        <v>3075</v>
      </c>
      <c r="L4912" s="13" t="s">
        <v>3075</v>
      </c>
      <c r="M4912" s="9" t="s">
        <v>3075</v>
      </c>
    </row>
    <row r="4913" ht="15.75" customHeight="1">
      <c r="A4913" s="8"/>
      <c r="B4913" s="8"/>
      <c r="C4913" s="8"/>
      <c r="D4913" s="8">
        <v>2.33494840534817</v>
      </c>
      <c r="E4913" s="9" t="s">
        <v>1865</v>
      </c>
      <c r="I4913" s="12"/>
      <c r="J4913" s="11">
        <v>0.0</v>
      </c>
      <c r="K4913" s="12" t="s">
        <v>3075</v>
      </c>
      <c r="L4913" s="13" t="s">
        <v>3075</v>
      </c>
      <c r="M4913" s="9" t="s">
        <v>3075</v>
      </c>
    </row>
    <row r="4914" ht="15.75" customHeight="1">
      <c r="A4914" s="8"/>
      <c r="B4914" s="8"/>
      <c r="C4914" s="8"/>
      <c r="D4914" s="8">
        <v>180.024911210411</v>
      </c>
      <c r="E4914" s="9" t="s">
        <v>1869</v>
      </c>
      <c r="I4914" s="12"/>
      <c r="J4914" s="11">
        <v>0.0</v>
      </c>
      <c r="K4914" s="12" t="s">
        <v>3075</v>
      </c>
      <c r="L4914" s="13" t="s">
        <v>3075</v>
      </c>
      <c r="M4914" s="9" t="s">
        <v>3075</v>
      </c>
    </row>
    <row r="4915" ht="15.75" customHeight="1">
      <c r="A4915" s="8"/>
      <c r="B4915" s="8"/>
      <c r="C4915" s="8"/>
      <c r="D4915" s="8">
        <v>0.160942624003467</v>
      </c>
      <c r="E4915" s="9" t="s">
        <v>3263</v>
      </c>
      <c r="I4915" s="12"/>
      <c r="J4915" s="11">
        <v>0.0</v>
      </c>
      <c r="K4915" s="12" t="s">
        <v>3075</v>
      </c>
      <c r="L4915" s="13" t="s">
        <v>3075</v>
      </c>
      <c r="M4915" s="9" t="s">
        <v>3075</v>
      </c>
    </row>
    <row r="4916" ht="15.75" customHeight="1">
      <c r="A4916" s="8"/>
      <c r="B4916" s="8"/>
      <c r="C4916" s="8"/>
      <c r="D4916" s="8">
        <v>1.98470614454594</v>
      </c>
      <c r="E4916" s="9" t="s">
        <v>1871</v>
      </c>
      <c r="I4916" s="12"/>
      <c r="J4916" s="11">
        <v>0.0</v>
      </c>
      <c r="K4916" s="12" t="s">
        <v>3075</v>
      </c>
      <c r="L4916" s="13" t="s">
        <v>3075</v>
      </c>
      <c r="M4916" s="9" t="s">
        <v>3075</v>
      </c>
    </row>
    <row r="4917" ht="15.75" customHeight="1">
      <c r="A4917" s="8"/>
      <c r="B4917" s="8"/>
      <c r="C4917" s="8"/>
      <c r="D4917" s="8">
        <v>1.91837191331531</v>
      </c>
      <c r="E4917" s="9" t="s">
        <v>1878</v>
      </c>
      <c r="I4917" s="12"/>
      <c r="J4917" s="11">
        <v>0.0</v>
      </c>
      <c r="K4917" s="12" t="s">
        <v>3075</v>
      </c>
      <c r="L4917" s="13" t="s">
        <v>3075</v>
      </c>
      <c r="M4917" s="9" t="s">
        <v>3075</v>
      </c>
    </row>
    <row r="4918" ht="15.75" customHeight="1">
      <c r="A4918" s="8"/>
      <c r="B4918" s="8"/>
      <c r="C4918" s="8"/>
      <c r="D4918" s="8">
        <v>0.0404410442123862</v>
      </c>
      <c r="E4918" s="9" t="s">
        <v>1883</v>
      </c>
      <c r="I4918" s="12"/>
      <c r="J4918" s="11">
        <v>0.0</v>
      </c>
      <c r="K4918" s="12" t="s">
        <v>3075</v>
      </c>
      <c r="L4918" s="13" t="s">
        <v>3075</v>
      </c>
      <c r="M4918" s="9" t="s">
        <v>3075</v>
      </c>
    </row>
    <row r="4919" ht="15.75" customHeight="1">
      <c r="A4919" s="8"/>
      <c r="B4919" s="8"/>
      <c r="C4919" s="8"/>
      <c r="D4919" s="8">
        <v>0.566497398944222</v>
      </c>
      <c r="E4919" s="9" t="s">
        <v>3264</v>
      </c>
      <c r="I4919" s="12"/>
      <c r="J4919" s="11">
        <v>0.0</v>
      </c>
      <c r="K4919" s="12" t="s">
        <v>3075</v>
      </c>
      <c r="L4919" s="13" t="s">
        <v>3075</v>
      </c>
      <c r="M4919" s="9" t="s">
        <v>3075</v>
      </c>
    </row>
    <row r="4920" ht="15.75" customHeight="1">
      <c r="A4920" s="8"/>
      <c r="B4920" s="8"/>
      <c r="C4920" s="8"/>
      <c r="D4920" s="8">
        <v>1.70754726546643</v>
      </c>
      <c r="E4920" s="9" t="s">
        <v>1891</v>
      </c>
      <c r="I4920" s="12"/>
      <c r="J4920" s="11">
        <v>0.0</v>
      </c>
      <c r="K4920" s="12" t="s">
        <v>3075</v>
      </c>
      <c r="L4920" s="13" t="s">
        <v>3075</v>
      </c>
      <c r="M4920" s="9" t="s">
        <v>3075</v>
      </c>
    </row>
    <row r="4921" ht="15.75" customHeight="1">
      <c r="A4921" s="8"/>
      <c r="B4921" s="8"/>
      <c r="C4921" s="8"/>
      <c r="D4921" s="8">
        <v>11.456962314993</v>
      </c>
      <c r="E4921" s="9" t="s">
        <v>1893</v>
      </c>
      <c r="I4921" s="12"/>
      <c r="J4921" s="11">
        <v>0.0</v>
      </c>
      <c r="K4921" s="12" t="s">
        <v>3075</v>
      </c>
      <c r="L4921" s="13" t="s">
        <v>3075</v>
      </c>
      <c r="M4921" s="9" t="s">
        <v>3075</v>
      </c>
    </row>
    <row r="4922" ht="15.75" customHeight="1">
      <c r="A4922" s="8"/>
      <c r="B4922" s="8"/>
      <c r="C4922" s="8"/>
      <c r="D4922" s="8">
        <v>9.21886138758868</v>
      </c>
      <c r="E4922" s="9" t="s">
        <v>3265</v>
      </c>
      <c r="I4922" s="12"/>
      <c r="J4922" s="11">
        <v>0.0</v>
      </c>
      <c r="K4922" s="12" t="s">
        <v>3075</v>
      </c>
      <c r="L4922" s="13" t="s">
        <v>3075</v>
      </c>
      <c r="M4922" s="9" t="s">
        <v>3075</v>
      </c>
    </row>
    <row r="4923" ht="15.75" customHeight="1">
      <c r="A4923" s="8"/>
      <c r="B4923" s="8"/>
      <c r="C4923" s="8"/>
      <c r="D4923" s="8">
        <v>19.4579033779014</v>
      </c>
      <c r="E4923" s="9" t="s">
        <v>1903</v>
      </c>
      <c r="I4923" s="12"/>
      <c r="J4923" s="11">
        <v>0.0</v>
      </c>
      <c r="K4923" s="12" t="s">
        <v>3075</v>
      </c>
      <c r="L4923" s="13" t="s">
        <v>3075</v>
      </c>
      <c r="M4923" s="9" t="s">
        <v>3075</v>
      </c>
    </row>
    <row r="4924" ht="15.75" customHeight="1">
      <c r="A4924" s="8"/>
      <c r="B4924" s="8"/>
      <c r="C4924" s="8"/>
      <c r="D4924" s="8">
        <v>24.2446713792265</v>
      </c>
      <c r="E4924" s="9" t="s">
        <v>1917</v>
      </c>
      <c r="I4924" s="12"/>
      <c r="J4924" s="11">
        <v>0.0</v>
      </c>
      <c r="K4924" s="12" t="s">
        <v>3075</v>
      </c>
      <c r="L4924" s="13" t="s">
        <v>3075</v>
      </c>
      <c r="M4924" s="9" t="s">
        <v>3075</v>
      </c>
    </row>
    <row r="4925" ht="15.75" customHeight="1">
      <c r="A4925" s="8"/>
      <c r="B4925" s="8"/>
      <c r="C4925" s="8"/>
      <c r="D4925" s="8">
        <v>96.6279562245877</v>
      </c>
      <c r="E4925" s="9" t="s">
        <v>1918</v>
      </c>
      <c r="I4925" s="12"/>
      <c r="J4925" s="11">
        <v>0.0</v>
      </c>
      <c r="K4925" s="12" t="s">
        <v>3075</v>
      </c>
      <c r="L4925" s="13" t="s">
        <v>3075</v>
      </c>
      <c r="M4925" s="9" t="s">
        <v>3075</v>
      </c>
    </row>
    <row r="4926" ht="15.75" customHeight="1">
      <c r="A4926" s="8"/>
      <c r="B4926" s="8"/>
      <c r="C4926" s="8"/>
      <c r="D4926" s="8">
        <v>66.1591942936011</v>
      </c>
      <c r="E4926" s="9" t="s">
        <v>1919</v>
      </c>
      <c r="I4926" s="12"/>
      <c r="J4926" s="11">
        <v>0.0</v>
      </c>
      <c r="K4926" s="12" t="s">
        <v>3075</v>
      </c>
      <c r="L4926" s="13" t="s">
        <v>3075</v>
      </c>
      <c r="M4926" s="9" t="s">
        <v>3075</v>
      </c>
    </row>
    <row r="4927" ht="15.75" customHeight="1">
      <c r="A4927" s="8"/>
      <c r="B4927" s="8"/>
      <c r="C4927" s="8"/>
      <c r="D4927" s="8">
        <v>1.92952411409065</v>
      </c>
      <c r="E4927" s="9" t="s">
        <v>1924</v>
      </c>
      <c r="I4927" s="12"/>
      <c r="J4927" s="11">
        <v>0.0</v>
      </c>
      <c r="K4927" s="12" t="s">
        <v>3075</v>
      </c>
      <c r="L4927" s="13" t="s">
        <v>3075</v>
      </c>
      <c r="M4927" s="9" t="s">
        <v>3075</v>
      </c>
    </row>
    <row r="4928" ht="15.75" customHeight="1">
      <c r="A4928" s="8"/>
      <c r="B4928" s="8"/>
      <c r="C4928" s="8"/>
      <c r="D4928" s="8">
        <v>11.6747420267408</v>
      </c>
      <c r="E4928" s="9" t="s">
        <v>1931</v>
      </c>
      <c r="I4928" s="12"/>
      <c r="J4928" s="11">
        <v>0.0</v>
      </c>
      <c r="K4928" s="12" t="s">
        <v>3075</v>
      </c>
      <c r="L4928" s="13" t="s">
        <v>3075</v>
      </c>
      <c r="M4928" s="9" t="s">
        <v>3075</v>
      </c>
    </row>
    <row r="4929" ht="15.75" customHeight="1">
      <c r="A4929" s="8"/>
      <c r="B4929" s="8"/>
      <c r="C4929" s="8"/>
      <c r="D4929" s="8">
        <v>8.69760137431557</v>
      </c>
      <c r="E4929" s="9" t="s">
        <v>3266</v>
      </c>
      <c r="I4929" s="12"/>
      <c r="J4929" s="11">
        <v>0.0</v>
      </c>
      <c r="K4929" s="12" t="s">
        <v>3075</v>
      </c>
      <c r="L4929" s="13" t="s">
        <v>3075</v>
      </c>
      <c r="M4929" s="9" t="s">
        <v>3075</v>
      </c>
    </row>
    <row r="4930" ht="15.75" customHeight="1">
      <c r="A4930" s="8"/>
      <c r="B4930" s="8"/>
      <c r="C4930" s="8"/>
      <c r="D4930" s="8">
        <v>13.6883626157063</v>
      </c>
      <c r="E4930" s="9" t="s">
        <v>1938</v>
      </c>
      <c r="I4930" s="12"/>
      <c r="J4930" s="11">
        <v>0.0</v>
      </c>
      <c r="K4930" s="12" t="s">
        <v>3075</v>
      </c>
      <c r="L4930" s="13" t="s">
        <v>3075</v>
      </c>
      <c r="M4930" s="9" t="s">
        <v>3075</v>
      </c>
    </row>
    <row r="4931" ht="15.75" customHeight="1">
      <c r="A4931" s="8"/>
      <c r="B4931" s="8"/>
      <c r="C4931" s="8"/>
      <c r="D4931" s="8">
        <v>23.4755712673705</v>
      </c>
      <c r="E4931" s="9" t="s">
        <v>3267</v>
      </c>
      <c r="I4931" s="12"/>
      <c r="J4931" s="11">
        <v>0.0</v>
      </c>
      <c r="K4931" s="12" t="s">
        <v>3075</v>
      </c>
      <c r="L4931" s="13" t="s">
        <v>3075</v>
      </c>
      <c r="M4931" s="9" t="s">
        <v>3075</v>
      </c>
    </row>
    <row r="4932" ht="15.75" customHeight="1">
      <c r="A4932" s="8"/>
      <c r="B4932" s="8"/>
      <c r="C4932" s="8"/>
      <c r="D4932" s="8">
        <v>182.904291752273</v>
      </c>
      <c r="E4932" s="9" t="s">
        <v>1948</v>
      </c>
      <c r="I4932" s="12"/>
      <c r="J4932" s="11">
        <v>0.0</v>
      </c>
      <c r="K4932" s="12" t="s">
        <v>3075</v>
      </c>
      <c r="L4932" s="13" t="s">
        <v>3075</v>
      </c>
      <c r="M4932" s="9" t="s">
        <v>3075</v>
      </c>
    </row>
    <row r="4933" ht="15.75" customHeight="1">
      <c r="A4933" s="8"/>
      <c r="B4933" s="8"/>
      <c r="C4933" s="8"/>
      <c r="D4933" s="8">
        <v>0.599785703293722</v>
      </c>
      <c r="E4933" s="9" t="s">
        <v>3268</v>
      </c>
      <c r="I4933" s="12"/>
      <c r="J4933" s="11">
        <v>0.0</v>
      </c>
      <c r="K4933" s="12" t="s">
        <v>3075</v>
      </c>
      <c r="L4933" s="13" t="s">
        <v>3075</v>
      </c>
      <c r="M4933" s="9" t="s">
        <v>3075</v>
      </c>
    </row>
    <row r="4934" ht="15.75" customHeight="1">
      <c r="A4934" s="8"/>
      <c r="B4934" s="8"/>
      <c r="C4934" s="8"/>
      <c r="D4934" s="8">
        <v>2.19059692689421</v>
      </c>
      <c r="E4934" s="9" t="s">
        <v>3269</v>
      </c>
      <c r="I4934" s="12"/>
      <c r="J4934" s="11">
        <v>0.0</v>
      </c>
      <c r="K4934" s="12" t="s">
        <v>3075</v>
      </c>
      <c r="L4934" s="13" t="s">
        <v>3075</v>
      </c>
      <c r="M4934" s="9" t="s">
        <v>3075</v>
      </c>
    </row>
    <row r="4935" ht="15.75" customHeight="1">
      <c r="A4935" s="8"/>
      <c r="B4935" s="8"/>
      <c r="C4935" s="8"/>
      <c r="D4935" s="8">
        <v>65.3757108883492</v>
      </c>
      <c r="E4935" s="9" t="s">
        <v>1951</v>
      </c>
      <c r="I4935" s="12"/>
      <c r="J4935" s="11">
        <v>0.0</v>
      </c>
      <c r="K4935" s="12" t="s">
        <v>3075</v>
      </c>
      <c r="L4935" s="13" t="s">
        <v>3075</v>
      </c>
      <c r="M4935" s="9" t="s">
        <v>3075</v>
      </c>
    </row>
    <row r="4936" ht="15.75" customHeight="1">
      <c r="A4936" s="8"/>
      <c r="B4936" s="8"/>
      <c r="C4936" s="8"/>
      <c r="D4936" s="8">
        <v>389.158067558028</v>
      </c>
      <c r="E4936" s="9" t="s">
        <v>1963</v>
      </c>
      <c r="I4936" s="12"/>
      <c r="J4936" s="11">
        <v>0.0</v>
      </c>
      <c r="K4936" s="12" t="s">
        <v>3075</v>
      </c>
      <c r="L4936" s="13" t="s">
        <v>3075</v>
      </c>
      <c r="M4936" s="9" t="s">
        <v>3075</v>
      </c>
    </row>
    <row r="4937" ht="15.75" customHeight="1">
      <c r="A4937" s="8"/>
      <c r="B4937" s="8"/>
      <c r="C4937" s="8"/>
      <c r="D4937" s="8">
        <v>1.94579033779014</v>
      </c>
      <c r="E4937" s="9" t="s">
        <v>3270</v>
      </c>
      <c r="I4937" s="12"/>
      <c r="J4937" s="11">
        <v>0.0</v>
      </c>
      <c r="K4937" s="12" t="s">
        <v>3075</v>
      </c>
      <c r="L4937" s="13" t="s">
        <v>3075</v>
      </c>
      <c r="M4937" s="9" t="s">
        <v>3075</v>
      </c>
    </row>
    <row r="4938" ht="15.75" customHeight="1">
      <c r="A4938" s="8"/>
      <c r="B4938" s="8"/>
      <c r="C4938" s="8"/>
      <c r="D4938" s="8">
        <v>66.1568714848649</v>
      </c>
      <c r="E4938" s="9" t="s">
        <v>1964</v>
      </c>
      <c r="I4938" s="12"/>
      <c r="J4938" s="11">
        <v>0.0</v>
      </c>
      <c r="K4938" s="12" t="s">
        <v>3075</v>
      </c>
      <c r="L4938" s="13" t="s">
        <v>3075</v>
      </c>
      <c r="M4938" s="9" t="s">
        <v>3075</v>
      </c>
    </row>
    <row r="4939" ht="15.75" customHeight="1">
      <c r="A4939" s="8"/>
      <c r="B4939" s="8"/>
      <c r="C4939" s="8"/>
      <c r="D4939" s="8">
        <v>1.45208966181709</v>
      </c>
      <c r="E4939" s="9" t="s">
        <v>3271</v>
      </c>
      <c r="I4939" s="12"/>
      <c r="J4939" s="11">
        <v>0.0</v>
      </c>
      <c r="K4939" s="12" t="s">
        <v>3075</v>
      </c>
      <c r="L4939" s="13" t="s">
        <v>3075</v>
      </c>
      <c r="M4939" s="9" t="s">
        <v>3075</v>
      </c>
    </row>
    <row r="4940" ht="15.75" customHeight="1">
      <c r="A4940" s="8"/>
      <c r="B4940" s="8"/>
      <c r="C4940" s="8"/>
      <c r="D4940" s="8">
        <v>36.3769743581884</v>
      </c>
      <c r="E4940" s="9" t="s">
        <v>1968</v>
      </c>
      <c r="I4940" s="12"/>
      <c r="J4940" s="11">
        <v>0.0</v>
      </c>
      <c r="K4940" s="12" t="s">
        <v>3075</v>
      </c>
      <c r="L4940" s="13" t="s">
        <v>3075</v>
      </c>
      <c r="M4940" s="9" t="s">
        <v>3075</v>
      </c>
    </row>
    <row r="4941" ht="15.75" customHeight="1">
      <c r="A4941" s="8"/>
      <c r="B4941" s="8"/>
      <c r="C4941" s="8"/>
      <c r="D4941" s="8">
        <v>12.1767782701239</v>
      </c>
      <c r="E4941" s="9" t="s">
        <v>1969</v>
      </c>
      <c r="I4941" s="12"/>
      <c r="J4941" s="11">
        <v>0.0</v>
      </c>
      <c r="K4941" s="12" t="s">
        <v>3075</v>
      </c>
      <c r="L4941" s="13" t="s">
        <v>3075</v>
      </c>
      <c r="M4941" s="9" t="s">
        <v>3075</v>
      </c>
    </row>
    <row r="4942" ht="15.75" customHeight="1">
      <c r="A4942" s="8"/>
      <c r="B4942" s="8"/>
      <c r="C4942" s="8"/>
      <c r="D4942" s="8">
        <v>38.9547225625586</v>
      </c>
      <c r="E4942" s="9" t="s">
        <v>3272</v>
      </c>
      <c r="I4942" s="12"/>
      <c r="J4942" s="11">
        <v>0.0</v>
      </c>
      <c r="K4942" s="12" t="s">
        <v>3075</v>
      </c>
      <c r="L4942" s="13" t="s">
        <v>3075</v>
      </c>
      <c r="M4942" s="9" t="s">
        <v>3075</v>
      </c>
    </row>
    <row r="4943" ht="15.75" customHeight="1">
      <c r="A4943" s="8"/>
      <c r="B4943" s="8"/>
      <c r="C4943" s="8"/>
      <c r="D4943" s="8">
        <v>27.046485695283</v>
      </c>
      <c r="E4943" s="9" t="s">
        <v>1970</v>
      </c>
      <c r="I4943" s="12"/>
      <c r="J4943" s="11">
        <v>0.0</v>
      </c>
      <c r="K4943" s="12" t="s">
        <v>3075</v>
      </c>
      <c r="L4943" s="13" t="s">
        <v>3075</v>
      </c>
      <c r="M4943" s="9" t="s">
        <v>3075</v>
      </c>
    </row>
    <row r="4944" ht="15.75" customHeight="1">
      <c r="A4944" s="8"/>
      <c r="B4944" s="8"/>
      <c r="C4944" s="8"/>
      <c r="D4944" s="8">
        <v>9.87803010774486</v>
      </c>
      <c r="E4944" s="9" t="s">
        <v>1973</v>
      </c>
      <c r="I4944" s="12"/>
      <c r="J4944" s="11">
        <v>0.0</v>
      </c>
      <c r="K4944" s="12" t="s">
        <v>3075</v>
      </c>
      <c r="L4944" s="13" t="s">
        <v>3075</v>
      </c>
      <c r="M4944" s="9" t="s">
        <v>3075</v>
      </c>
    </row>
    <row r="4945" ht="15.75" customHeight="1">
      <c r="A4945" s="8"/>
      <c r="B4945" s="8"/>
      <c r="C4945" s="8"/>
      <c r="D4945" s="8">
        <v>0.13745778890066</v>
      </c>
      <c r="E4945" s="9" t="s">
        <v>3273</v>
      </c>
      <c r="I4945" s="12"/>
      <c r="J4945" s="11">
        <v>0.0</v>
      </c>
      <c r="K4945" s="12" t="s">
        <v>3075</v>
      </c>
      <c r="L4945" s="13" t="s">
        <v>3075</v>
      </c>
      <c r="M4945" s="9" t="s">
        <v>3075</v>
      </c>
    </row>
    <row r="4946" ht="15.75" customHeight="1">
      <c r="A4946" s="8"/>
      <c r="B4946" s="8"/>
      <c r="C4946" s="8"/>
      <c r="D4946" s="8">
        <v>105.072678240667</v>
      </c>
      <c r="E4946" s="9" t="s">
        <v>1975</v>
      </c>
      <c r="I4946" s="12"/>
      <c r="J4946" s="11">
        <v>0.0</v>
      </c>
      <c r="K4946" s="12" t="s">
        <v>3075</v>
      </c>
      <c r="L4946" s="13" t="s">
        <v>3075</v>
      </c>
      <c r="M4946" s="9" t="s">
        <v>3075</v>
      </c>
    </row>
    <row r="4947" ht="15.75" customHeight="1">
      <c r="A4947" s="8"/>
      <c r="B4947" s="8"/>
      <c r="C4947" s="8"/>
      <c r="D4947" s="8">
        <v>1934.1155957634</v>
      </c>
      <c r="E4947" s="9" t="s">
        <v>1977</v>
      </c>
      <c r="I4947" s="12"/>
      <c r="J4947" s="11">
        <v>0.0</v>
      </c>
      <c r="K4947" s="12" t="s">
        <v>3075</v>
      </c>
      <c r="L4947" s="13" t="s">
        <v>3075</v>
      </c>
      <c r="M4947" s="9" t="s">
        <v>3075</v>
      </c>
    </row>
    <row r="4948" ht="15.75" customHeight="1">
      <c r="A4948" s="8"/>
      <c r="B4948" s="8"/>
      <c r="C4948" s="8"/>
      <c r="D4948" s="8">
        <v>2.16627990486523</v>
      </c>
      <c r="E4948" s="9" t="s">
        <v>3274</v>
      </c>
      <c r="I4948" s="12"/>
      <c r="J4948" s="11">
        <v>0.0</v>
      </c>
      <c r="K4948" s="12" t="s">
        <v>3075</v>
      </c>
      <c r="L4948" s="13" t="s">
        <v>3075</v>
      </c>
      <c r="M4948" s="9" t="s">
        <v>3075</v>
      </c>
    </row>
    <row r="4949" ht="15.75" customHeight="1">
      <c r="A4949" s="8"/>
      <c r="B4949" s="8"/>
      <c r="C4949" s="8"/>
      <c r="D4949" s="8">
        <v>1.94579033779014</v>
      </c>
      <c r="E4949" s="9" t="s">
        <v>1996</v>
      </c>
      <c r="I4949" s="12"/>
      <c r="J4949" s="11">
        <v>0.0</v>
      </c>
      <c r="K4949" s="12" t="s">
        <v>3075</v>
      </c>
      <c r="L4949" s="13" t="s">
        <v>3075</v>
      </c>
      <c r="M4949" s="9" t="s">
        <v>3075</v>
      </c>
    </row>
    <row r="4950" ht="15.75" customHeight="1">
      <c r="A4950" s="8"/>
      <c r="B4950" s="8"/>
      <c r="C4950" s="8"/>
      <c r="D4950" s="8">
        <v>387.814433106834</v>
      </c>
      <c r="E4950" s="9" t="s">
        <v>2001</v>
      </c>
      <c r="I4950" s="12"/>
      <c r="J4950" s="11">
        <v>0.0</v>
      </c>
      <c r="K4950" s="12" t="s">
        <v>3075</v>
      </c>
      <c r="L4950" s="13" t="s">
        <v>3075</v>
      </c>
      <c r="M4950" s="9" t="s">
        <v>3075</v>
      </c>
    </row>
    <row r="4951" ht="15.75" customHeight="1">
      <c r="A4951" s="8"/>
      <c r="B4951" s="8"/>
      <c r="C4951" s="8"/>
      <c r="D4951" s="8">
        <v>1.94579033779014</v>
      </c>
      <c r="E4951" s="9" t="s">
        <v>3145</v>
      </c>
      <c r="I4951" s="12"/>
      <c r="J4951" s="11">
        <v>0.0</v>
      </c>
      <c r="K4951" s="12" t="s">
        <v>3075</v>
      </c>
      <c r="L4951" s="13" t="s">
        <v>3075</v>
      </c>
      <c r="M4951" s="9" t="s">
        <v>3075</v>
      </c>
    </row>
    <row r="4952" ht="15.75" customHeight="1">
      <c r="A4952" s="8"/>
      <c r="B4952" s="8"/>
      <c r="C4952" s="8"/>
      <c r="D4952" s="8">
        <v>1.84047420658772</v>
      </c>
      <c r="E4952" s="9" t="s">
        <v>2010</v>
      </c>
      <c r="I4952" s="12"/>
      <c r="J4952" s="11">
        <v>0.0</v>
      </c>
      <c r="K4952" s="12" t="s">
        <v>3075</v>
      </c>
      <c r="L4952" s="13" t="s">
        <v>3075</v>
      </c>
      <c r="M4952" s="9" t="s">
        <v>3075</v>
      </c>
    </row>
    <row r="4953" ht="15.75" customHeight="1">
      <c r="A4953" s="8"/>
      <c r="B4953" s="8"/>
      <c r="C4953" s="8"/>
      <c r="D4953" s="8">
        <v>0.977267314225503</v>
      </c>
      <c r="E4953" s="9" t="s">
        <v>3275</v>
      </c>
      <c r="I4953" s="12"/>
      <c r="J4953" s="11">
        <v>0.0</v>
      </c>
      <c r="K4953" s="12" t="s">
        <v>3075</v>
      </c>
      <c r="L4953" s="13" t="s">
        <v>3075</v>
      </c>
      <c r="M4953" s="9" t="s">
        <v>3075</v>
      </c>
    </row>
    <row r="4954" ht="15.75" customHeight="1">
      <c r="A4954" s="8"/>
      <c r="B4954" s="8"/>
      <c r="C4954" s="8"/>
      <c r="D4954" s="8">
        <v>33.0784357424324</v>
      </c>
      <c r="E4954" s="9" t="s">
        <v>2014</v>
      </c>
      <c r="I4954" s="12"/>
      <c r="J4954" s="11">
        <v>0.0</v>
      </c>
      <c r="K4954" s="12" t="s">
        <v>3075</v>
      </c>
      <c r="L4954" s="13" t="s">
        <v>3075</v>
      </c>
      <c r="M4954" s="9" t="s">
        <v>3075</v>
      </c>
    </row>
    <row r="4955" ht="15.75" customHeight="1">
      <c r="A4955" s="8"/>
      <c r="B4955" s="8"/>
      <c r="C4955" s="8"/>
      <c r="D4955" s="8">
        <v>0.389158067558028</v>
      </c>
      <c r="E4955" s="9" t="s">
        <v>2015</v>
      </c>
      <c r="I4955" s="12"/>
      <c r="J4955" s="11">
        <v>0.0</v>
      </c>
      <c r="K4955" s="12" t="s">
        <v>3075</v>
      </c>
      <c r="L4955" s="13" t="s">
        <v>3075</v>
      </c>
      <c r="M4955" s="9" t="s">
        <v>3075</v>
      </c>
    </row>
    <row r="4956" ht="15.75" customHeight="1">
      <c r="A4956" s="8"/>
      <c r="B4956" s="8"/>
      <c r="C4956" s="8"/>
      <c r="D4956" s="8">
        <v>10.5461836308225</v>
      </c>
      <c r="E4956" s="9" t="s">
        <v>3146</v>
      </c>
      <c r="I4956" s="12"/>
      <c r="J4956" s="11">
        <v>0.0</v>
      </c>
      <c r="K4956" s="12" t="s">
        <v>3075</v>
      </c>
      <c r="L4956" s="13" t="s">
        <v>3075</v>
      </c>
      <c r="M4956" s="9" t="s">
        <v>3075</v>
      </c>
    </row>
    <row r="4957" ht="15.75" customHeight="1">
      <c r="A4957" s="8"/>
      <c r="B4957" s="8"/>
      <c r="C4957" s="8"/>
      <c r="D4957" s="8">
        <v>0.00389158067557962</v>
      </c>
      <c r="E4957" s="9" t="s">
        <v>2020</v>
      </c>
      <c r="I4957" s="12"/>
      <c r="J4957" s="11">
        <v>0.0</v>
      </c>
      <c r="K4957" s="12" t="s">
        <v>3075</v>
      </c>
      <c r="L4957" s="13" t="s">
        <v>3075</v>
      </c>
      <c r="M4957" s="9" t="s">
        <v>3075</v>
      </c>
    </row>
    <row r="4958" ht="15.75" customHeight="1">
      <c r="A4958" s="8"/>
      <c r="B4958" s="8"/>
      <c r="C4958" s="8"/>
      <c r="D4958" s="8">
        <v>27.63022279662</v>
      </c>
      <c r="E4958" s="9" t="s">
        <v>2022</v>
      </c>
      <c r="I4958" s="12"/>
      <c r="J4958" s="11">
        <v>0.0</v>
      </c>
      <c r="K4958" s="12" t="s">
        <v>3075</v>
      </c>
      <c r="L4958" s="13" t="s">
        <v>3075</v>
      </c>
      <c r="M4958" s="9" t="s">
        <v>3075</v>
      </c>
    </row>
    <row r="4959" ht="15.75" customHeight="1">
      <c r="A4959" s="8"/>
      <c r="B4959" s="8"/>
      <c r="C4959" s="8"/>
      <c r="D4959" s="8">
        <v>4.20994475261497</v>
      </c>
      <c r="E4959" s="9" t="s">
        <v>2023</v>
      </c>
      <c r="I4959" s="12"/>
      <c r="J4959" s="11">
        <v>0.0</v>
      </c>
      <c r="K4959" s="12" t="s">
        <v>3075</v>
      </c>
      <c r="L4959" s="13" t="s">
        <v>3075</v>
      </c>
      <c r="M4959" s="9" t="s">
        <v>3075</v>
      </c>
    </row>
    <row r="4960" ht="15.75" customHeight="1">
      <c r="A4960" s="8"/>
      <c r="B4960" s="8"/>
      <c r="C4960" s="8"/>
      <c r="D4960" s="8">
        <v>32.6796928165096</v>
      </c>
      <c r="E4960" s="9" t="s">
        <v>2029</v>
      </c>
      <c r="I4960" s="12"/>
      <c r="J4960" s="11">
        <v>0.0</v>
      </c>
      <c r="K4960" s="12" t="s">
        <v>3075</v>
      </c>
      <c r="L4960" s="13" t="s">
        <v>3075</v>
      </c>
      <c r="M4960" s="9" t="s">
        <v>3075</v>
      </c>
    </row>
    <row r="4961" ht="15.75" customHeight="1">
      <c r="A4961" s="8"/>
      <c r="B4961" s="8"/>
      <c r="C4961" s="8"/>
      <c r="D4961" s="8">
        <v>40.9630529122203</v>
      </c>
      <c r="E4961" s="9" t="s">
        <v>3276</v>
      </c>
      <c r="I4961" s="12"/>
      <c r="J4961" s="11">
        <v>0.0</v>
      </c>
      <c r="K4961" s="12" t="s">
        <v>3075</v>
      </c>
      <c r="L4961" s="13" t="s">
        <v>3075</v>
      </c>
      <c r="M4961" s="9" t="s">
        <v>3075</v>
      </c>
    </row>
    <row r="4962" ht="15.75" customHeight="1">
      <c r="A4962" s="8"/>
      <c r="B4962" s="8"/>
      <c r="C4962" s="8"/>
      <c r="D4962" s="8">
        <v>91.851316575426</v>
      </c>
      <c r="E4962" s="9" t="s">
        <v>2038</v>
      </c>
      <c r="I4962" s="12"/>
      <c r="J4962" s="11">
        <v>0.0</v>
      </c>
      <c r="K4962" s="12" t="s">
        <v>3075</v>
      </c>
      <c r="L4962" s="13" t="s">
        <v>3075</v>
      </c>
      <c r="M4962" s="9" t="s">
        <v>3075</v>
      </c>
    </row>
    <row r="4963" ht="15.75" customHeight="1">
      <c r="A4963" s="8"/>
      <c r="B4963" s="8"/>
      <c r="C4963" s="8"/>
      <c r="D4963" s="8">
        <v>1.94579033779014</v>
      </c>
      <c r="E4963" s="9" t="s">
        <v>2039</v>
      </c>
      <c r="I4963" s="12"/>
      <c r="J4963" s="11">
        <v>0.0</v>
      </c>
      <c r="K4963" s="12" t="s">
        <v>3075</v>
      </c>
      <c r="L4963" s="13" t="s">
        <v>3075</v>
      </c>
      <c r="M4963" s="9" t="s">
        <v>3075</v>
      </c>
    </row>
    <row r="4964" ht="15.75" customHeight="1">
      <c r="A4964" s="8"/>
      <c r="B4964" s="8"/>
      <c r="C4964" s="8"/>
      <c r="D4964" s="8">
        <v>11.8774002738629</v>
      </c>
      <c r="E4964" s="9" t="s">
        <v>2041</v>
      </c>
      <c r="I4964" s="12"/>
      <c r="J4964" s="11">
        <v>0.0</v>
      </c>
      <c r="K4964" s="12" t="s">
        <v>3075</v>
      </c>
      <c r="L4964" s="13" t="s">
        <v>3075</v>
      </c>
      <c r="M4964" s="9" t="s">
        <v>3075</v>
      </c>
    </row>
    <row r="4965" ht="15.75" customHeight="1">
      <c r="A4965" s="8"/>
      <c r="B4965" s="8"/>
      <c r="C4965" s="8"/>
      <c r="D4965" s="8">
        <v>11.6747420267408</v>
      </c>
      <c r="E4965" s="9" t="s">
        <v>2043</v>
      </c>
      <c r="I4965" s="12"/>
      <c r="J4965" s="11">
        <v>0.0</v>
      </c>
      <c r="K4965" s="12" t="s">
        <v>3075</v>
      </c>
      <c r="L4965" s="13" t="s">
        <v>3075</v>
      </c>
      <c r="M4965" s="9" t="s">
        <v>3075</v>
      </c>
    </row>
    <row r="4966" ht="15.75" customHeight="1">
      <c r="A4966" s="8"/>
      <c r="B4966" s="8"/>
      <c r="C4966" s="8"/>
      <c r="D4966" s="8">
        <v>44.7531777691733</v>
      </c>
      <c r="E4966" s="9" t="s">
        <v>2044</v>
      </c>
      <c r="I4966" s="12"/>
      <c r="J4966" s="11">
        <v>0.0</v>
      </c>
      <c r="K4966" s="12" t="s">
        <v>3075</v>
      </c>
      <c r="L4966" s="13" t="s">
        <v>3075</v>
      </c>
      <c r="M4966" s="9" t="s">
        <v>3075</v>
      </c>
    </row>
    <row r="4967" ht="15.75" customHeight="1">
      <c r="A4967" s="8"/>
      <c r="B4967" s="8"/>
      <c r="C4967" s="8"/>
      <c r="D4967" s="8">
        <v>7.79928092097446</v>
      </c>
      <c r="E4967" s="9" t="s">
        <v>2046</v>
      </c>
      <c r="I4967" s="12"/>
      <c r="J4967" s="11">
        <v>0.0</v>
      </c>
      <c r="K4967" s="12" t="s">
        <v>3075</v>
      </c>
      <c r="L4967" s="13" t="s">
        <v>3075</v>
      </c>
      <c r="M4967" s="9" t="s">
        <v>3075</v>
      </c>
    </row>
    <row r="4968" ht="15.75" customHeight="1">
      <c r="A4968" s="8"/>
      <c r="B4968" s="8"/>
      <c r="C4968" s="8"/>
      <c r="D4968" s="8">
        <v>8.46926826404872</v>
      </c>
      <c r="E4968" s="9" t="s">
        <v>2047</v>
      </c>
      <c r="I4968" s="12"/>
      <c r="J4968" s="11">
        <v>0.0</v>
      </c>
      <c r="K4968" s="12" t="s">
        <v>3075</v>
      </c>
      <c r="L4968" s="13" t="s">
        <v>3075</v>
      </c>
      <c r="M4968" s="9" t="s">
        <v>3075</v>
      </c>
    </row>
    <row r="4969" ht="15.75" customHeight="1">
      <c r="A4969" s="8"/>
      <c r="B4969" s="8"/>
      <c r="C4969" s="8"/>
      <c r="D4969" s="8">
        <v>0.298816565653159</v>
      </c>
      <c r="E4969" s="9" t="s">
        <v>2048</v>
      </c>
      <c r="I4969" s="12"/>
      <c r="J4969" s="11">
        <v>0.0</v>
      </c>
      <c r="K4969" s="12" t="s">
        <v>3075</v>
      </c>
      <c r="L4969" s="13" t="s">
        <v>3075</v>
      </c>
      <c r="M4969" s="9" t="s">
        <v>3075</v>
      </c>
    </row>
    <row r="4970" ht="15.75" customHeight="1">
      <c r="A4970" s="8"/>
      <c r="B4970" s="8"/>
      <c r="C4970" s="8"/>
      <c r="D4970" s="8">
        <v>25.0380370170353</v>
      </c>
      <c r="E4970" s="9" t="s">
        <v>2050</v>
      </c>
      <c r="I4970" s="12"/>
      <c r="J4970" s="11">
        <v>0.0</v>
      </c>
      <c r="K4970" s="12" t="s">
        <v>3075</v>
      </c>
      <c r="L4970" s="13" t="s">
        <v>3075</v>
      </c>
      <c r="M4970" s="9" t="s">
        <v>3075</v>
      </c>
    </row>
    <row r="4971" ht="15.75" customHeight="1">
      <c r="A4971" s="8"/>
      <c r="B4971" s="8"/>
      <c r="C4971" s="8"/>
      <c r="D4971" s="8">
        <v>98.9330709619393</v>
      </c>
      <c r="E4971" s="9" t="s">
        <v>2053</v>
      </c>
      <c r="I4971" s="12"/>
      <c r="J4971" s="11">
        <v>0.0</v>
      </c>
      <c r="K4971" s="12" t="s">
        <v>3075</v>
      </c>
      <c r="L4971" s="13" t="s">
        <v>3075</v>
      </c>
      <c r="M4971" s="9" t="s">
        <v>3075</v>
      </c>
    </row>
    <row r="4972" ht="15.75" customHeight="1">
      <c r="A4972" s="8"/>
      <c r="B4972" s="8"/>
      <c r="C4972" s="8"/>
      <c r="D4972" s="8">
        <v>19.7965713101991</v>
      </c>
      <c r="E4972" s="9" t="s">
        <v>3277</v>
      </c>
      <c r="I4972" s="12"/>
      <c r="J4972" s="11">
        <v>0.0</v>
      </c>
      <c r="K4972" s="12" t="s">
        <v>3075</v>
      </c>
      <c r="L4972" s="13" t="s">
        <v>3075</v>
      </c>
      <c r="M4972" s="9" t="s">
        <v>3075</v>
      </c>
    </row>
    <row r="4973" ht="15.75" customHeight="1">
      <c r="A4973" s="8"/>
      <c r="B4973" s="8"/>
      <c r="C4973" s="8"/>
      <c r="D4973" s="8">
        <v>43.3638409361276</v>
      </c>
      <c r="E4973" s="9" t="s">
        <v>2057</v>
      </c>
      <c r="I4973" s="12"/>
      <c r="J4973" s="11">
        <v>0.0</v>
      </c>
      <c r="K4973" s="12" t="s">
        <v>3075</v>
      </c>
      <c r="L4973" s="13" t="s">
        <v>3075</v>
      </c>
      <c r="M4973" s="9" t="s">
        <v>3075</v>
      </c>
    </row>
    <row r="4974" ht="15.75" customHeight="1">
      <c r="A4974" s="8"/>
      <c r="B4974" s="8"/>
      <c r="C4974" s="8"/>
      <c r="D4974" s="8">
        <v>1.69475661054504</v>
      </c>
      <c r="E4974" s="9" t="s">
        <v>2063</v>
      </c>
      <c r="I4974" s="12"/>
      <c r="J4974" s="11">
        <v>0.0</v>
      </c>
      <c r="K4974" s="12" t="s">
        <v>3075</v>
      </c>
      <c r="L4974" s="13" t="s">
        <v>3075</v>
      </c>
      <c r="M4974" s="9" t="s">
        <v>3075</v>
      </c>
    </row>
    <row r="4975" ht="15.75" customHeight="1">
      <c r="A4975" s="8"/>
      <c r="B4975" s="8"/>
      <c r="C4975" s="8"/>
      <c r="D4975" s="8">
        <v>2.07111590084891</v>
      </c>
      <c r="E4975" s="9" t="s">
        <v>2072</v>
      </c>
      <c r="I4975" s="12"/>
      <c r="J4975" s="11">
        <v>0.0</v>
      </c>
      <c r="K4975" s="12" t="s">
        <v>3075</v>
      </c>
      <c r="L4975" s="13" t="s">
        <v>3075</v>
      </c>
      <c r="M4975" s="9" t="s">
        <v>3075</v>
      </c>
    </row>
    <row r="4976" ht="15.75" customHeight="1">
      <c r="A4976" s="8"/>
      <c r="B4976" s="8"/>
      <c r="C4976" s="8"/>
      <c r="D4976" s="8">
        <v>58.5201248897532</v>
      </c>
      <c r="E4976" s="9" t="s">
        <v>2076</v>
      </c>
      <c r="I4976" s="12"/>
      <c r="J4976" s="11">
        <v>0.0</v>
      </c>
      <c r="K4976" s="12" t="s">
        <v>3075</v>
      </c>
      <c r="L4976" s="13" t="s">
        <v>3075</v>
      </c>
      <c r="M4976" s="9" t="s">
        <v>3075</v>
      </c>
    </row>
    <row r="4977" ht="15.75" customHeight="1">
      <c r="A4977" s="8"/>
      <c r="B4977" s="8"/>
      <c r="C4977" s="8"/>
      <c r="D4977" s="8">
        <v>182.9225794122</v>
      </c>
      <c r="E4977" s="9" t="s">
        <v>2079</v>
      </c>
      <c r="I4977" s="12"/>
      <c r="J4977" s="11">
        <v>0.0</v>
      </c>
      <c r="K4977" s="12" t="s">
        <v>3075</v>
      </c>
      <c r="L4977" s="13" t="s">
        <v>3075</v>
      </c>
      <c r="M4977" s="9" t="s">
        <v>3075</v>
      </c>
    </row>
    <row r="4978" ht="15.75" customHeight="1">
      <c r="A4978" s="8"/>
      <c r="B4978" s="8"/>
      <c r="C4978" s="8"/>
      <c r="D4978" s="8">
        <v>31.1326454046423</v>
      </c>
      <c r="E4978" s="9" t="s">
        <v>2082</v>
      </c>
      <c r="I4978" s="12"/>
      <c r="J4978" s="11">
        <v>0.0</v>
      </c>
      <c r="K4978" s="12" t="s">
        <v>3075</v>
      </c>
      <c r="L4978" s="13" t="s">
        <v>3075</v>
      </c>
      <c r="M4978" s="9" t="s">
        <v>3075</v>
      </c>
    </row>
    <row r="4979" ht="15.75" customHeight="1">
      <c r="A4979" s="8"/>
      <c r="B4979" s="8"/>
      <c r="C4979" s="8"/>
      <c r="D4979" s="8">
        <v>3.89158067558028</v>
      </c>
      <c r="E4979" s="9" t="s">
        <v>2083</v>
      </c>
      <c r="I4979" s="12"/>
      <c r="J4979" s="11">
        <v>0.0</v>
      </c>
      <c r="K4979" s="12" t="s">
        <v>3075</v>
      </c>
      <c r="L4979" s="13" t="s">
        <v>3075</v>
      </c>
      <c r="M4979" s="9" t="s">
        <v>3075</v>
      </c>
    </row>
    <row r="4980" ht="15.75" customHeight="1">
      <c r="A4980" s="8"/>
      <c r="B4980" s="8"/>
      <c r="C4980" s="8"/>
      <c r="D4980" s="8">
        <v>50.2708521496755</v>
      </c>
      <c r="E4980" s="9" t="s">
        <v>2085</v>
      </c>
      <c r="I4980" s="12"/>
      <c r="J4980" s="11">
        <v>0.0</v>
      </c>
      <c r="K4980" s="12" t="s">
        <v>3075</v>
      </c>
      <c r="L4980" s="13" t="s">
        <v>3075</v>
      </c>
      <c r="M4980" s="9" t="s">
        <v>3075</v>
      </c>
    </row>
    <row r="4981" ht="15.75" customHeight="1">
      <c r="A4981" s="8"/>
      <c r="B4981" s="8"/>
      <c r="C4981" s="8"/>
      <c r="D4981" s="8">
        <v>0.0556010577077863</v>
      </c>
      <c r="E4981" s="9" t="s">
        <v>3278</v>
      </c>
      <c r="I4981" s="12"/>
      <c r="J4981" s="11">
        <v>0.0</v>
      </c>
      <c r="K4981" s="12" t="s">
        <v>3075</v>
      </c>
      <c r="L4981" s="13" t="s">
        <v>3075</v>
      </c>
      <c r="M4981" s="9" t="s">
        <v>3075</v>
      </c>
    </row>
    <row r="4982" ht="15.75" customHeight="1">
      <c r="A4982" s="8"/>
      <c r="B4982" s="8"/>
      <c r="C4982" s="8"/>
      <c r="D4982" s="8">
        <v>28.5104354327719</v>
      </c>
      <c r="E4982" s="9" t="s">
        <v>2095</v>
      </c>
      <c r="I4982" s="12"/>
      <c r="J4982" s="11">
        <v>0.0</v>
      </c>
      <c r="K4982" s="12" t="s">
        <v>3075</v>
      </c>
      <c r="L4982" s="13" t="s">
        <v>3075</v>
      </c>
      <c r="M4982" s="9" t="s">
        <v>3075</v>
      </c>
    </row>
    <row r="4983" ht="15.75" customHeight="1">
      <c r="A4983" s="8"/>
      <c r="B4983" s="8"/>
      <c r="C4983" s="8"/>
      <c r="D4983" s="8">
        <v>9.64831844807766</v>
      </c>
      <c r="E4983" s="9" t="s">
        <v>3148</v>
      </c>
      <c r="I4983" s="12"/>
      <c r="J4983" s="11">
        <v>0.0</v>
      </c>
      <c r="K4983" s="12" t="s">
        <v>3075</v>
      </c>
      <c r="L4983" s="13" t="s">
        <v>3075</v>
      </c>
      <c r="M4983" s="9" t="s">
        <v>3075</v>
      </c>
    </row>
    <row r="4984" ht="15.75" customHeight="1">
      <c r="A4984" s="8"/>
      <c r="B4984" s="8"/>
      <c r="C4984" s="8"/>
      <c r="D4984" s="8">
        <v>12.7985537529005</v>
      </c>
      <c r="E4984" s="9" t="s">
        <v>2098</v>
      </c>
      <c r="I4984" s="12"/>
      <c r="J4984" s="11">
        <v>0.0</v>
      </c>
      <c r="K4984" s="12" t="s">
        <v>3075</v>
      </c>
      <c r="L4984" s="13" t="s">
        <v>3075</v>
      </c>
      <c r="M4984" s="9" t="s">
        <v>3075</v>
      </c>
    </row>
    <row r="4985" ht="15.75" customHeight="1">
      <c r="A4985" s="8"/>
      <c r="B4985" s="8"/>
      <c r="C4985" s="8"/>
      <c r="D4985" s="8">
        <v>12.6476371956359</v>
      </c>
      <c r="E4985" s="9" t="s">
        <v>2102</v>
      </c>
      <c r="I4985" s="12"/>
      <c r="J4985" s="11">
        <v>0.0</v>
      </c>
      <c r="K4985" s="12" t="s">
        <v>3075</v>
      </c>
      <c r="L4985" s="13" t="s">
        <v>3075</v>
      </c>
      <c r="M4985" s="9" t="s">
        <v>3075</v>
      </c>
    </row>
    <row r="4986" ht="15.75" customHeight="1">
      <c r="A4986" s="8"/>
      <c r="B4986" s="8"/>
      <c r="C4986" s="8"/>
      <c r="D4986" s="8">
        <v>1.97433288797234</v>
      </c>
      <c r="E4986" s="9" t="s">
        <v>2119</v>
      </c>
      <c r="I4986" s="12"/>
      <c r="J4986" s="11">
        <v>0.0</v>
      </c>
      <c r="K4986" s="12" t="s">
        <v>3075</v>
      </c>
      <c r="L4986" s="13" t="s">
        <v>3075</v>
      </c>
      <c r="M4986" s="9" t="s">
        <v>3075</v>
      </c>
    </row>
    <row r="4987" ht="15.75" customHeight="1">
      <c r="A4987" s="8"/>
      <c r="B4987" s="8"/>
      <c r="C4987" s="8"/>
      <c r="D4987" s="8">
        <v>97.2895168895072</v>
      </c>
      <c r="E4987" s="9" t="s">
        <v>2120</v>
      </c>
      <c r="I4987" s="12"/>
      <c r="J4987" s="11">
        <v>0.0</v>
      </c>
      <c r="K4987" s="12" t="s">
        <v>3075</v>
      </c>
      <c r="L4987" s="13" t="s">
        <v>3075</v>
      </c>
      <c r="M4987" s="9" t="s">
        <v>3075</v>
      </c>
    </row>
    <row r="4988" ht="15.75" customHeight="1">
      <c r="A4988" s="8"/>
      <c r="B4988" s="8"/>
      <c r="C4988" s="8"/>
      <c r="D4988" s="8">
        <v>1.94579033779014</v>
      </c>
      <c r="E4988" s="9" t="s">
        <v>2121</v>
      </c>
      <c r="I4988" s="12"/>
      <c r="J4988" s="11">
        <v>0.0</v>
      </c>
      <c r="K4988" s="12" t="s">
        <v>3075</v>
      </c>
      <c r="L4988" s="13" t="s">
        <v>3075</v>
      </c>
      <c r="M4988" s="9" t="s">
        <v>3075</v>
      </c>
    </row>
    <row r="4989" ht="15.75" customHeight="1">
      <c r="A4989" s="8"/>
      <c r="B4989" s="8"/>
      <c r="C4989" s="8"/>
      <c r="D4989" s="8">
        <v>66.1568714848649</v>
      </c>
      <c r="E4989" s="9" t="s">
        <v>2124</v>
      </c>
      <c r="I4989" s="12"/>
      <c r="J4989" s="11">
        <v>0.0</v>
      </c>
      <c r="K4989" s="12" t="s">
        <v>3075</v>
      </c>
      <c r="L4989" s="13" t="s">
        <v>3075</v>
      </c>
      <c r="M4989" s="9" t="s">
        <v>3075</v>
      </c>
    </row>
    <row r="4990" ht="15.75" customHeight="1">
      <c r="A4990" s="8"/>
      <c r="B4990" s="8"/>
      <c r="C4990" s="8"/>
      <c r="D4990" s="8">
        <v>7.81507231270033</v>
      </c>
      <c r="E4990" s="9" t="s">
        <v>2143</v>
      </c>
      <c r="I4990" s="12"/>
      <c r="J4990" s="11">
        <v>0.0</v>
      </c>
      <c r="K4990" s="12" t="s">
        <v>3075</v>
      </c>
      <c r="L4990" s="13" t="s">
        <v>3075</v>
      </c>
      <c r="M4990" s="9" t="s">
        <v>3075</v>
      </c>
    </row>
    <row r="4991" ht="15.75" customHeight="1">
      <c r="A4991" s="8"/>
      <c r="B4991" s="8"/>
      <c r="C4991" s="8"/>
      <c r="D4991" s="8">
        <v>0.0345728313405537</v>
      </c>
      <c r="E4991" s="9" t="s">
        <v>2150</v>
      </c>
      <c r="I4991" s="12"/>
      <c r="J4991" s="11">
        <v>0.0</v>
      </c>
      <c r="K4991" s="12" t="s">
        <v>3075</v>
      </c>
      <c r="L4991" s="13" t="s">
        <v>3075</v>
      </c>
      <c r="M4991" s="9" t="s">
        <v>3075</v>
      </c>
    </row>
    <row r="4992" ht="15.75" customHeight="1">
      <c r="A4992" s="8"/>
      <c r="B4992" s="8"/>
      <c r="C4992" s="8"/>
      <c r="D4992" s="8">
        <v>11.6747420267408</v>
      </c>
      <c r="E4992" s="9" t="s">
        <v>2162</v>
      </c>
      <c r="I4992" s="12"/>
      <c r="J4992" s="11">
        <v>0.0</v>
      </c>
      <c r="K4992" s="12" t="s">
        <v>3075</v>
      </c>
      <c r="L4992" s="13" t="s">
        <v>3075</v>
      </c>
      <c r="M4992" s="9" t="s">
        <v>3075</v>
      </c>
    </row>
    <row r="4993" ht="15.75" customHeight="1">
      <c r="A4993" s="8"/>
      <c r="B4993" s="8"/>
      <c r="C4993" s="8"/>
      <c r="D4993" s="8">
        <v>1.94579033779014</v>
      </c>
      <c r="E4993" s="9" t="s">
        <v>2164</v>
      </c>
      <c r="I4993" s="12"/>
      <c r="J4993" s="11">
        <v>0.0</v>
      </c>
      <c r="K4993" s="12" t="s">
        <v>3075</v>
      </c>
      <c r="L4993" s="13" t="s">
        <v>3075</v>
      </c>
      <c r="M4993" s="9" t="s">
        <v>3075</v>
      </c>
    </row>
    <row r="4994" ht="15.75" customHeight="1">
      <c r="A4994" s="8"/>
      <c r="B4994" s="8"/>
      <c r="C4994" s="8"/>
      <c r="D4994" s="8">
        <v>941.76252349043</v>
      </c>
      <c r="E4994" s="9" t="s">
        <v>2166</v>
      </c>
      <c r="I4994" s="12"/>
      <c r="J4994" s="11">
        <v>0.0</v>
      </c>
      <c r="K4994" s="12" t="s">
        <v>3075</v>
      </c>
      <c r="L4994" s="13" t="s">
        <v>3075</v>
      </c>
      <c r="M4994" s="9" t="s">
        <v>3075</v>
      </c>
    </row>
    <row r="4995" ht="15.75" customHeight="1">
      <c r="A4995" s="8"/>
      <c r="B4995" s="8"/>
      <c r="C4995" s="8"/>
      <c r="D4995" s="8">
        <v>10.1160614427504</v>
      </c>
      <c r="E4995" s="9" t="s">
        <v>3279</v>
      </c>
      <c r="I4995" s="12"/>
      <c r="J4995" s="11">
        <v>0.0</v>
      </c>
      <c r="K4995" s="12" t="s">
        <v>3075</v>
      </c>
      <c r="L4995" s="13" t="s">
        <v>3075</v>
      </c>
      <c r="M4995" s="9" t="s">
        <v>3075</v>
      </c>
    </row>
    <row r="4996" ht="15.75" customHeight="1">
      <c r="A4996" s="8"/>
      <c r="B4996" s="8"/>
      <c r="C4996" s="8"/>
      <c r="D4996" s="8">
        <v>1.64506899805323</v>
      </c>
      <c r="E4996" s="9" t="s">
        <v>2179</v>
      </c>
      <c r="I4996" s="12"/>
      <c r="J4996" s="11">
        <v>0.0</v>
      </c>
      <c r="K4996" s="12" t="s">
        <v>3075</v>
      </c>
      <c r="L4996" s="13" t="s">
        <v>3075</v>
      </c>
      <c r="M4996" s="9" t="s">
        <v>3075</v>
      </c>
    </row>
    <row r="4997" ht="15.75" customHeight="1">
      <c r="A4997" s="8"/>
      <c r="B4997" s="8"/>
      <c r="C4997" s="8"/>
      <c r="D4997" s="8">
        <v>1.94579033779014</v>
      </c>
      <c r="E4997" s="9" t="s">
        <v>2182</v>
      </c>
      <c r="I4997" s="12"/>
      <c r="J4997" s="11">
        <v>0.0</v>
      </c>
      <c r="K4997" s="12" t="s">
        <v>3075</v>
      </c>
      <c r="L4997" s="13" t="s">
        <v>3075</v>
      </c>
      <c r="M4997" s="9" t="s">
        <v>3075</v>
      </c>
    </row>
    <row r="4998" ht="15.75" customHeight="1">
      <c r="A4998" s="8"/>
      <c r="B4998" s="8"/>
      <c r="C4998" s="8"/>
      <c r="D4998" s="8">
        <v>3.58096430569745</v>
      </c>
      <c r="E4998" s="9" t="s">
        <v>2187</v>
      </c>
      <c r="I4998" s="12"/>
      <c r="J4998" s="11">
        <v>0.0</v>
      </c>
      <c r="K4998" s="12" t="s">
        <v>3075</v>
      </c>
      <c r="L4998" s="13" t="s">
        <v>3075</v>
      </c>
      <c r="M4998" s="9" t="s">
        <v>3075</v>
      </c>
    </row>
    <row r="4999" ht="15.75" customHeight="1">
      <c r="A4999" s="8"/>
      <c r="B4999" s="8"/>
      <c r="C4999" s="8"/>
      <c r="D4999" s="8">
        <v>1.94579033779014</v>
      </c>
      <c r="E4999" s="9" t="s">
        <v>2193</v>
      </c>
      <c r="I4999" s="12"/>
      <c r="J4999" s="11">
        <v>0.0</v>
      </c>
      <c r="K4999" s="12" t="s">
        <v>3075</v>
      </c>
      <c r="L4999" s="13" t="s">
        <v>3075</v>
      </c>
      <c r="M4999" s="9" t="s">
        <v>3075</v>
      </c>
    </row>
    <row r="5000" ht="15.75" customHeight="1">
      <c r="A5000" s="8"/>
      <c r="B5000" s="8"/>
      <c r="C5000" s="8"/>
      <c r="D5000" s="8">
        <v>1.31496317339996</v>
      </c>
      <c r="E5000" s="9" t="s">
        <v>2202</v>
      </c>
      <c r="I5000" s="12"/>
      <c r="J5000" s="11">
        <v>0.0</v>
      </c>
      <c r="K5000" s="12" t="s">
        <v>3075</v>
      </c>
      <c r="L5000" s="13" t="s">
        <v>3075</v>
      </c>
      <c r="M5000" s="9" t="s">
        <v>3075</v>
      </c>
    </row>
    <row r="5001" ht="15.75" customHeight="1">
      <c r="A5001" s="8"/>
      <c r="B5001" s="8"/>
      <c r="C5001" s="8"/>
      <c r="D5001" s="8">
        <v>46.7121132095089</v>
      </c>
      <c r="E5001" s="9" t="s">
        <v>2203</v>
      </c>
      <c r="I5001" s="12"/>
      <c r="J5001" s="11">
        <v>0.0</v>
      </c>
      <c r="K5001" s="12" t="s">
        <v>3075</v>
      </c>
      <c r="L5001" s="13" t="s">
        <v>3075</v>
      </c>
      <c r="M5001" s="9" t="s">
        <v>3075</v>
      </c>
    </row>
    <row r="5002" ht="15.75" customHeight="1">
      <c r="A5002" s="8"/>
      <c r="B5002" s="8"/>
      <c r="C5002" s="8"/>
      <c r="D5002" s="8">
        <v>22.7243997980029</v>
      </c>
      <c r="E5002" s="9" t="s">
        <v>2204</v>
      </c>
      <c r="I5002" s="12"/>
      <c r="J5002" s="11">
        <v>0.0</v>
      </c>
      <c r="K5002" s="12" t="s">
        <v>3075</v>
      </c>
      <c r="L5002" s="13" t="s">
        <v>3075</v>
      </c>
      <c r="M5002" s="9" t="s">
        <v>3075</v>
      </c>
    </row>
    <row r="5003" ht="15.75" customHeight="1">
      <c r="A5003" s="8"/>
      <c r="B5003" s="8"/>
      <c r="C5003" s="8"/>
      <c r="D5003" s="8">
        <v>7.78316135116057</v>
      </c>
      <c r="E5003" s="9" t="s">
        <v>2207</v>
      </c>
      <c r="I5003" s="12"/>
      <c r="J5003" s="11">
        <v>0.0</v>
      </c>
      <c r="K5003" s="12" t="s">
        <v>3075</v>
      </c>
      <c r="L5003" s="13" t="s">
        <v>3075</v>
      </c>
      <c r="M5003" s="9" t="s">
        <v>3075</v>
      </c>
    </row>
    <row r="5004" ht="15.75" customHeight="1">
      <c r="A5004" s="8"/>
      <c r="B5004" s="8"/>
      <c r="C5004" s="8"/>
      <c r="D5004" s="8">
        <v>22.3377610981863</v>
      </c>
      <c r="E5004" s="9" t="s">
        <v>2208</v>
      </c>
      <c r="I5004" s="12"/>
      <c r="J5004" s="11">
        <v>0.0</v>
      </c>
      <c r="K5004" s="12" t="s">
        <v>3075</v>
      </c>
      <c r="L5004" s="13" t="s">
        <v>3075</v>
      </c>
      <c r="M5004" s="9" t="s">
        <v>3075</v>
      </c>
    </row>
    <row r="5005" ht="15.75" customHeight="1">
      <c r="A5005" s="8"/>
      <c r="B5005" s="8"/>
      <c r="C5005" s="8"/>
      <c r="D5005" s="8">
        <v>7.78316135116057</v>
      </c>
      <c r="E5005" s="9" t="s">
        <v>2211</v>
      </c>
      <c r="I5005" s="12"/>
      <c r="J5005" s="11">
        <v>0.0</v>
      </c>
      <c r="K5005" s="12" t="s">
        <v>3075</v>
      </c>
      <c r="L5005" s="13" t="s">
        <v>3075</v>
      </c>
      <c r="M5005" s="9" t="s">
        <v>3075</v>
      </c>
    </row>
    <row r="5006" ht="15.75" customHeight="1">
      <c r="A5006" s="8"/>
      <c r="B5006" s="8"/>
      <c r="C5006" s="8"/>
      <c r="D5006" s="8">
        <v>17.5526941500099</v>
      </c>
      <c r="E5006" s="9" t="s">
        <v>2212</v>
      </c>
      <c r="I5006" s="12"/>
      <c r="J5006" s="11">
        <v>0.0</v>
      </c>
      <c r="K5006" s="12" t="s">
        <v>3075</v>
      </c>
      <c r="L5006" s="13" t="s">
        <v>3075</v>
      </c>
      <c r="M5006" s="9" t="s">
        <v>3075</v>
      </c>
    </row>
    <row r="5007" ht="15.75" customHeight="1">
      <c r="A5007" s="8"/>
      <c r="B5007" s="8"/>
      <c r="C5007" s="8"/>
      <c r="D5007" s="8">
        <v>9.40559378507676</v>
      </c>
      <c r="E5007" s="9" t="s">
        <v>2216</v>
      </c>
      <c r="I5007" s="12"/>
      <c r="J5007" s="11">
        <v>0.0</v>
      </c>
      <c r="K5007" s="12" t="s">
        <v>3075</v>
      </c>
      <c r="L5007" s="13" t="s">
        <v>3075</v>
      </c>
      <c r="M5007" s="9" t="s">
        <v>3075</v>
      </c>
    </row>
    <row r="5008" ht="15.75" customHeight="1">
      <c r="A5008" s="8"/>
      <c r="B5008" s="8"/>
      <c r="C5008" s="8"/>
      <c r="D5008" s="8">
        <v>1.94579033779014</v>
      </c>
      <c r="E5008" s="9" t="s">
        <v>2218</v>
      </c>
      <c r="I5008" s="12"/>
      <c r="J5008" s="11">
        <v>0.0</v>
      </c>
      <c r="K5008" s="12" t="s">
        <v>3075</v>
      </c>
      <c r="L5008" s="13" t="s">
        <v>3075</v>
      </c>
      <c r="M5008" s="9" t="s">
        <v>3075</v>
      </c>
    </row>
    <row r="5009" ht="15.75" customHeight="1">
      <c r="A5009" s="8"/>
      <c r="B5009" s="8"/>
      <c r="C5009" s="8"/>
      <c r="D5009" s="8">
        <v>40.5879915649223</v>
      </c>
      <c r="E5009" s="9" t="s">
        <v>2219</v>
      </c>
      <c r="I5009" s="12"/>
      <c r="J5009" s="11">
        <v>0.0</v>
      </c>
      <c r="K5009" s="12" t="s">
        <v>3075</v>
      </c>
      <c r="L5009" s="13" t="s">
        <v>3075</v>
      </c>
      <c r="M5009" s="9" t="s">
        <v>3075</v>
      </c>
    </row>
    <row r="5010" ht="15.75" customHeight="1">
      <c r="A5010" s="8"/>
      <c r="B5010" s="8"/>
      <c r="C5010" s="8"/>
      <c r="D5010" s="8">
        <v>36.7493344319257</v>
      </c>
      <c r="E5010" s="9" t="s">
        <v>2220</v>
      </c>
      <c r="I5010" s="12"/>
      <c r="J5010" s="11">
        <v>0.0</v>
      </c>
      <c r="K5010" s="12" t="s">
        <v>3075</v>
      </c>
      <c r="L5010" s="13" t="s">
        <v>3075</v>
      </c>
      <c r="M5010" s="9" t="s">
        <v>3075</v>
      </c>
    </row>
    <row r="5011" ht="15.75" customHeight="1">
      <c r="A5011" s="8"/>
      <c r="B5011" s="8"/>
      <c r="C5011" s="8"/>
      <c r="D5011" s="8">
        <v>194.829374809001</v>
      </c>
      <c r="E5011" s="9" t="s">
        <v>2225</v>
      </c>
      <c r="I5011" s="12"/>
      <c r="J5011" s="11">
        <v>0.0</v>
      </c>
      <c r="K5011" s="12" t="s">
        <v>3075</v>
      </c>
      <c r="L5011" s="13" t="s">
        <v>3075</v>
      </c>
      <c r="M5011" s="9" t="s">
        <v>3075</v>
      </c>
    </row>
    <row r="5012" ht="15.75" customHeight="1">
      <c r="A5012" s="8"/>
      <c r="B5012" s="8"/>
      <c r="C5012" s="8"/>
      <c r="D5012" s="8">
        <v>5.25363391203339</v>
      </c>
      <c r="E5012" s="9" t="s">
        <v>3280</v>
      </c>
      <c r="I5012" s="12"/>
      <c r="J5012" s="11">
        <v>0.0</v>
      </c>
      <c r="K5012" s="12" t="s">
        <v>3075</v>
      </c>
      <c r="L5012" s="13" t="s">
        <v>3075</v>
      </c>
      <c r="M5012" s="9" t="s">
        <v>3075</v>
      </c>
    </row>
    <row r="5013" ht="15.75" customHeight="1">
      <c r="A5013" s="8"/>
      <c r="B5013" s="8"/>
      <c r="C5013" s="8"/>
      <c r="D5013" s="8">
        <v>1.94579033779014</v>
      </c>
      <c r="E5013" s="9" t="s">
        <v>2232</v>
      </c>
      <c r="I5013" s="12"/>
      <c r="J5013" s="11">
        <v>0.0</v>
      </c>
      <c r="K5013" s="12" t="s">
        <v>3075</v>
      </c>
      <c r="L5013" s="13" t="s">
        <v>3075</v>
      </c>
      <c r="M5013" s="9" t="s">
        <v>3075</v>
      </c>
    </row>
    <row r="5014" ht="15.75" customHeight="1">
      <c r="A5014" s="8"/>
      <c r="B5014" s="8"/>
      <c r="C5014" s="8"/>
      <c r="D5014" s="8">
        <v>0.0117121631346548</v>
      </c>
      <c r="E5014" s="9" t="s">
        <v>2234</v>
      </c>
      <c r="I5014" s="12"/>
      <c r="J5014" s="11">
        <v>0.0</v>
      </c>
      <c r="K5014" s="12" t="s">
        <v>3075</v>
      </c>
      <c r="L5014" s="13" t="s">
        <v>3075</v>
      </c>
      <c r="M5014" s="9" t="s">
        <v>3075</v>
      </c>
    </row>
    <row r="5015" ht="15.75" customHeight="1">
      <c r="A5015" s="8"/>
      <c r="B5015" s="8"/>
      <c r="C5015" s="8"/>
      <c r="D5015" s="8">
        <v>1.94579033779014</v>
      </c>
      <c r="E5015" s="9" t="s">
        <v>2238</v>
      </c>
      <c r="I5015" s="12"/>
      <c r="J5015" s="11">
        <v>0.0</v>
      </c>
      <c r="K5015" s="12" t="s">
        <v>3075</v>
      </c>
      <c r="L5015" s="13" t="s">
        <v>3075</v>
      </c>
      <c r="M5015" s="9" t="s">
        <v>3075</v>
      </c>
    </row>
    <row r="5016" ht="15.75" customHeight="1">
      <c r="A5016" s="8"/>
      <c r="B5016" s="8"/>
      <c r="C5016" s="8"/>
      <c r="D5016" s="8">
        <v>8.25015103223021</v>
      </c>
      <c r="E5016" s="9" t="s">
        <v>2246</v>
      </c>
      <c r="I5016" s="12"/>
      <c r="J5016" s="11">
        <v>0.0</v>
      </c>
      <c r="K5016" s="12" t="s">
        <v>3075</v>
      </c>
      <c r="L5016" s="13" t="s">
        <v>3075</v>
      </c>
      <c r="M5016" s="9" t="s">
        <v>3075</v>
      </c>
    </row>
    <row r="5017" ht="15.75" customHeight="1">
      <c r="A5017" s="8"/>
      <c r="B5017" s="8"/>
      <c r="C5017" s="8"/>
      <c r="D5017" s="8">
        <v>11.6747420267408</v>
      </c>
      <c r="E5017" s="9" t="s">
        <v>2265</v>
      </c>
      <c r="I5017" s="12"/>
      <c r="J5017" s="11">
        <v>0.0</v>
      </c>
      <c r="K5017" s="12" t="s">
        <v>3075</v>
      </c>
      <c r="L5017" s="13" t="s">
        <v>3075</v>
      </c>
      <c r="M5017" s="9" t="s">
        <v>3075</v>
      </c>
    </row>
    <row r="5018" ht="15.75" customHeight="1">
      <c r="A5018" s="8"/>
      <c r="B5018" s="8"/>
      <c r="C5018" s="8"/>
      <c r="D5018" s="8">
        <v>0.598255103937507</v>
      </c>
      <c r="E5018" s="9" t="s">
        <v>2273</v>
      </c>
      <c r="I5018" s="12"/>
      <c r="J5018" s="11">
        <v>0.0</v>
      </c>
      <c r="K5018" s="12" t="s">
        <v>3075</v>
      </c>
      <c r="L5018" s="13" t="s">
        <v>3075</v>
      </c>
      <c r="M5018" s="9" t="s">
        <v>3075</v>
      </c>
    </row>
    <row r="5019" ht="15.75" customHeight="1">
      <c r="A5019" s="8"/>
      <c r="B5019" s="8"/>
      <c r="C5019" s="8"/>
      <c r="D5019" s="8">
        <v>1.91164914533871</v>
      </c>
      <c r="E5019" s="9" t="s">
        <v>2275</v>
      </c>
      <c r="I5019" s="12"/>
      <c r="J5019" s="11">
        <v>0.0</v>
      </c>
      <c r="K5019" s="12" t="s">
        <v>3075</v>
      </c>
      <c r="L5019" s="13" t="s">
        <v>3075</v>
      </c>
      <c r="M5019" s="9" t="s">
        <v>3075</v>
      </c>
    </row>
    <row r="5020" ht="15.75" customHeight="1">
      <c r="A5020" s="8"/>
      <c r="B5020" s="8"/>
      <c r="C5020" s="8"/>
      <c r="D5020" s="8">
        <v>1.94165427817212</v>
      </c>
      <c r="E5020" s="9" t="s">
        <v>2287</v>
      </c>
      <c r="I5020" s="12"/>
      <c r="J5020" s="11">
        <v>0.0</v>
      </c>
      <c r="K5020" s="12" t="s">
        <v>3075</v>
      </c>
      <c r="L5020" s="13" t="s">
        <v>3075</v>
      </c>
      <c r="M5020" s="9" t="s">
        <v>3075</v>
      </c>
    </row>
    <row r="5021" ht="15.75" customHeight="1">
      <c r="A5021" s="8"/>
      <c r="B5021" s="8"/>
      <c r="C5021" s="8"/>
      <c r="D5021" s="8">
        <v>1.94688324452043</v>
      </c>
      <c r="E5021" s="9" t="s">
        <v>2293</v>
      </c>
      <c r="I5021" s="12"/>
      <c r="J5021" s="11">
        <v>0.0</v>
      </c>
      <c r="K5021" s="12" t="s">
        <v>3075</v>
      </c>
      <c r="L5021" s="13" t="s">
        <v>3075</v>
      </c>
      <c r="M5021" s="9" t="s">
        <v>3075</v>
      </c>
    </row>
    <row r="5022" ht="15.75" customHeight="1">
      <c r="A5022" s="8"/>
      <c r="B5022" s="8"/>
      <c r="C5022" s="8"/>
      <c r="D5022" s="8">
        <v>1.94579033779014</v>
      </c>
      <c r="E5022" s="9" t="s">
        <v>3281</v>
      </c>
      <c r="I5022" s="12"/>
      <c r="J5022" s="11">
        <v>0.0</v>
      </c>
      <c r="K5022" s="12" t="s">
        <v>3075</v>
      </c>
      <c r="L5022" s="13" t="s">
        <v>3075</v>
      </c>
      <c r="M5022" s="9" t="s">
        <v>3075</v>
      </c>
    </row>
    <row r="5023" ht="15.75" customHeight="1">
      <c r="A5023" s="8"/>
      <c r="B5023" s="8"/>
      <c r="C5023" s="8"/>
      <c r="D5023" s="8">
        <v>1.94579033779014</v>
      </c>
      <c r="E5023" s="9" t="s">
        <v>2308</v>
      </c>
      <c r="I5023" s="12"/>
      <c r="J5023" s="11">
        <v>0.0</v>
      </c>
      <c r="K5023" s="12" t="s">
        <v>3075</v>
      </c>
      <c r="L5023" s="13" t="s">
        <v>3075</v>
      </c>
      <c r="M5023" s="9" t="s">
        <v>3075</v>
      </c>
    </row>
    <row r="5024" ht="15.75" customHeight="1">
      <c r="A5024" s="8"/>
      <c r="B5024" s="8"/>
      <c r="C5024" s="8"/>
      <c r="D5024" s="8">
        <v>1.94579033779014</v>
      </c>
      <c r="E5024" s="9" t="s">
        <v>2311</v>
      </c>
      <c r="I5024" s="12"/>
      <c r="J5024" s="11">
        <v>0.0</v>
      </c>
      <c r="K5024" s="12" t="s">
        <v>3075</v>
      </c>
      <c r="L5024" s="13" t="s">
        <v>3075</v>
      </c>
      <c r="M5024" s="9" t="s">
        <v>3075</v>
      </c>
    </row>
    <row r="5025" ht="15.75" customHeight="1">
      <c r="A5025" s="8"/>
      <c r="B5025" s="8"/>
      <c r="C5025" s="8"/>
      <c r="D5025" s="8">
        <v>6.10513606199566</v>
      </c>
      <c r="E5025" s="9" t="s">
        <v>2312</v>
      </c>
      <c r="I5025" s="12"/>
      <c r="J5025" s="11">
        <v>0.0</v>
      </c>
      <c r="K5025" s="12" t="s">
        <v>3075</v>
      </c>
      <c r="L5025" s="13" t="s">
        <v>3075</v>
      </c>
      <c r="M5025" s="9" t="s">
        <v>3075</v>
      </c>
    </row>
    <row r="5026" ht="15.75" customHeight="1">
      <c r="A5026" s="8"/>
      <c r="B5026" s="8"/>
      <c r="C5026" s="8"/>
      <c r="D5026" s="8">
        <v>1.94579033779014</v>
      </c>
      <c r="E5026" s="9" t="s">
        <v>2316</v>
      </c>
      <c r="I5026" s="12"/>
      <c r="J5026" s="11">
        <v>0.0</v>
      </c>
      <c r="K5026" s="12" t="s">
        <v>3075</v>
      </c>
      <c r="L5026" s="13" t="s">
        <v>3075</v>
      </c>
      <c r="M5026" s="9" t="s">
        <v>3075</v>
      </c>
    </row>
    <row r="5027" ht="15.75" customHeight="1">
      <c r="A5027" s="8"/>
      <c r="B5027" s="8"/>
      <c r="C5027" s="8"/>
      <c r="D5027" s="8">
        <v>4.27503399633451</v>
      </c>
      <c r="E5027" s="9" t="s">
        <v>3282</v>
      </c>
      <c r="I5027" s="12"/>
      <c r="J5027" s="11">
        <v>0.0</v>
      </c>
      <c r="K5027" s="12" t="s">
        <v>3075</v>
      </c>
      <c r="L5027" s="13" t="s">
        <v>3075</v>
      </c>
      <c r="M5027" s="9" t="s">
        <v>3075</v>
      </c>
    </row>
    <row r="5028" ht="15.75" customHeight="1">
      <c r="A5028" s="8"/>
      <c r="B5028" s="8"/>
      <c r="C5028" s="8"/>
      <c r="D5028" s="8">
        <v>3.90609754669335</v>
      </c>
      <c r="E5028" s="9" t="s">
        <v>2322</v>
      </c>
      <c r="I5028" s="12"/>
      <c r="J5028" s="11">
        <v>0.0</v>
      </c>
      <c r="K5028" s="12" t="s">
        <v>3075</v>
      </c>
      <c r="L5028" s="13" t="s">
        <v>3075</v>
      </c>
      <c r="M5028" s="9" t="s">
        <v>3075</v>
      </c>
    </row>
    <row r="5029" ht="15.75" customHeight="1">
      <c r="A5029" s="8"/>
      <c r="B5029" s="8"/>
      <c r="C5029" s="8"/>
      <c r="D5029" s="8">
        <v>22.2657519697304</v>
      </c>
      <c r="E5029" s="9" t="s">
        <v>2324</v>
      </c>
      <c r="I5029" s="12"/>
      <c r="J5029" s="11">
        <v>0.0</v>
      </c>
      <c r="K5029" s="12" t="s">
        <v>3075</v>
      </c>
      <c r="L5029" s="13" t="s">
        <v>3075</v>
      </c>
      <c r="M5029" s="9" t="s">
        <v>3075</v>
      </c>
    </row>
    <row r="5030" ht="15.75" customHeight="1">
      <c r="A5030" s="8"/>
      <c r="B5030" s="8"/>
      <c r="C5030" s="8"/>
      <c r="D5030" s="8">
        <v>7.31210039998967</v>
      </c>
      <c r="E5030" s="9" t="s">
        <v>2327</v>
      </c>
      <c r="I5030" s="12"/>
      <c r="J5030" s="11">
        <v>0.0</v>
      </c>
      <c r="K5030" s="12" t="s">
        <v>3075</v>
      </c>
      <c r="L5030" s="13" t="s">
        <v>3075</v>
      </c>
      <c r="M5030" s="9" t="s">
        <v>3075</v>
      </c>
    </row>
    <row r="5031" ht="15.75" customHeight="1">
      <c r="A5031" s="8"/>
      <c r="B5031" s="8"/>
      <c r="C5031" s="8"/>
      <c r="D5031" s="8">
        <v>15.9059093903897</v>
      </c>
      <c r="E5031" s="9" t="s">
        <v>2332</v>
      </c>
      <c r="I5031" s="12"/>
      <c r="J5031" s="11">
        <v>0.0</v>
      </c>
      <c r="K5031" s="12" t="s">
        <v>3075</v>
      </c>
      <c r="L5031" s="13" t="s">
        <v>3075</v>
      </c>
      <c r="M5031" s="9" t="s">
        <v>3075</v>
      </c>
    </row>
    <row r="5032" ht="15.75" customHeight="1">
      <c r="A5032" s="8"/>
      <c r="B5032" s="8"/>
      <c r="C5032" s="8"/>
      <c r="D5032" s="8">
        <v>1.94579033779014</v>
      </c>
      <c r="E5032" s="9" t="s">
        <v>2334</v>
      </c>
      <c r="I5032" s="12"/>
      <c r="J5032" s="11">
        <v>0.0</v>
      </c>
      <c r="K5032" s="12" t="s">
        <v>3075</v>
      </c>
      <c r="L5032" s="13" t="s">
        <v>3075</v>
      </c>
      <c r="M5032" s="9" t="s">
        <v>3075</v>
      </c>
    </row>
    <row r="5033" ht="15.75" customHeight="1">
      <c r="A5033" s="8"/>
      <c r="B5033" s="8"/>
      <c r="C5033" s="8"/>
      <c r="D5033" s="8">
        <v>2.37413735592506</v>
      </c>
      <c r="E5033" s="9" t="s">
        <v>2335</v>
      </c>
      <c r="I5033" s="12"/>
      <c r="J5033" s="11">
        <v>0.0</v>
      </c>
      <c r="K5033" s="12" t="s">
        <v>3075</v>
      </c>
      <c r="L5033" s="13" t="s">
        <v>3075</v>
      </c>
      <c r="M5033" s="9" t="s">
        <v>3075</v>
      </c>
    </row>
    <row r="5034" ht="15.75" customHeight="1">
      <c r="A5034" s="8"/>
      <c r="B5034" s="8"/>
      <c r="C5034" s="8"/>
      <c r="D5034" s="8">
        <v>15.5663227023211</v>
      </c>
      <c r="E5034" s="9" t="s">
        <v>2336</v>
      </c>
      <c r="I5034" s="12"/>
      <c r="J5034" s="11">
        <v>0.0</v>
      </c>
      <c r="K5034" s="12" t="s">
        <v>3075</v>
      </c>
      <c r="L5034" s="13" t="s">
        <v>3075</v>
      </c>
      <c r="M5034" s="9" t="s">
        <v>3075</v>
      </c>
    </row>
    <row r="5035" ht="15.75" customHeight="1">
      <c r="A5035" s="8"/>
      <c r="B5035" s="8"/>
      <c r="C5035" s="8"/>
      <c r="D5035" s="8">
        <v>180.166014998694</v>
      </c>
      <c r="E5035" s="9" t="s">
        <v>2344</v>
      </c>
      <c r="I5035" s="12"/>
      <c r="J5035" s="11">
        <v>0.0</v>
      </c>
      <c r="K5035" s="12" t="s">
        <v>3075</v>
      </c>
      <c r="L5035" s="13" t="s">
        <v>3075</v>
      </c>
      <c r="M5035" s="9" t="s">
        <v>3075</v>
      </c>
    </row>
    <row r="5036" ht="15.75" customHeight="1">
      <c r="A5036" s="8"/>
      <c r="B5036" s="8"/>
      <c r="C5036" s="8"/>
      <c r="D5036" s="8">
        <v>3.49345405419111</v>
      </c>
      <c r="E5036" s="9" t="s">
        <v>3159</v>
      </c>
      <c r="I5036" s="12"/>
      <c r="J5036" s="11">
        <v>0.0</v>
      </c>
      <c r="K5036" s="12" t="s">
        <v>3075</v>
      </c>
      <c r="L5036" s="13" t="s">
        <v>3075</v>
      </c>
      <c r="M5036" s="9" t="s">
        <v>3075</v>
      </c>
    </row>
    <row r="5037" ht="15.75" customHeight="1">
      <c r="A5037" s="8"/>
      <c r="B5037" s="8"/>
      <c r="C5037" s="8"/>
      <c r="D5037" s="8">
        <v>1.0698735063222</v>
      </c>
      <c r="E5037" s="9" t="s">
        <v>3160</v>
      </c>
      <c r="I5037" s="12"/>
      <c r="J5037" s="11">
        <v>0.0</v>
      </c>
      <c r="K5037" s="12" t="s">
        <v>3075</v>
      </c>
      <c r="L5037" s="13" t="s">
        <v>3075</v>
      </c>
      <c r="M5037" s="9" t="s">
        <v>3075</v>
      </c>
    </row>
    <row r="5038" ht="15.75" customHeight="1">
      <c r="A5038" s="8"/>
      <c r="B5038" s="8"/>
      <c r="C5038" s="8"/>
      <c r="D5038" s="8">
        <v>2870.49256075689</v>
      </c>
      <c r="E5038" s="9" t="s">
        <v>2358</v>
      </c>
      <c r="I5038" s="12"/>
      <c r="J5038" s="11">
        <v>0.0</v>
      </c>
      <c r="K5038" s="12" t="s">
        <v>3075</v>
      </c>
      <c r="L5038" s="13" t="s">
        <v>3075</v>
      </c>
      <c r="M5038" s="9" t="s">
        <v>3075</v>
      </c>
    </row>
    <row r="5039" ht="15.75" customHeight="1">
      <c r="A5039" s="8"/>
      <c r="B5039" s="8"/>
      <c r="C5039" s="8"/>
      <c r="D5039" s="8">
        <v>66.1568984506392</v>
      </c>
      <c r="E5039" s="9" t="s">
        <v>2372</v>
      </c>
      <c r="I5039" s="12"/>
      <c r="J5039" s="11">
        <v>0.0</v>
      </c>
      <c r="K5039" s="12" t="s">
        <v>3075</v>
      </c>
      <c r="L5039" s="13" t="s">
        <v>3075</v>
      </c>
      <c r="M5039" s="9" t="s">
        <v>3075</v>
      </c>
    </row>
    <row r="5040" ht="15.75" customHeight="1">
      <c r="A5040" s="8"/>
      <c r="B5040" s="8"/>
      <c r="C5040" s="8"/>
      <c r="D5040" s="8">
        <v>1.30748696467229</v>
      </c>
      <c r="E5040" s="9" t="s">
        <v>2376</v>
      </c>
      <c r="I5040" s="12"/>
      <c r="J5040" s="11">
        <v>0.0</v>
      </c>
      <c r="K5040" s="12" t="s">
        <v>3075</v>
      </c>
      <c r="L5040" s="13" t="s">
        <v>3075</v>
      </c>
      <c r="M5040" s="9" t="s">
        <v>3075</v>
      </c>
    </row>
    <row r="5041" ht="15.75" customHeight="1">
      <c r="A5041" s="8"/>
      <c r="B5041" s="8"/>
      <c r="C5041" s="8"/>
      <c r="D5041" s="8">
        <v>11.6747420267408</v>
      </c>
      <c r="E5041" s="9" t="s">
        <v>2380</v>
      </c>
      <c r="I5041" s="12"/>
      <c r="J5041" s="11">
        <v>0.0</v>
      </c>
      <c r="K5041" s="12" t="s">
        <v>3075</v>
      </c>
      <c r="L5041" s="13" t="s">
        <v>3075</v>
      </c>
      <c r="M5041" s="9" t="s">
        <v>3075</v>
      </c>
    </row>
    <row r="5042" ht="15.75" customHeight="1">
      <c r="A5042" s="8"/>
      <c r="B5042" s="8"/>
      <c r="C5042" s="8"/>
      <c r="D5042" s="8">
        <v>1.6971567065158</v>
      </c>
      <c r="E5042" s="9" t="s">
        <v>3283</v>
      </c>
      <c r="I5042" s="12"/>
      <c r="J5042" s="11">
        <v>0.0</v>
      </c>
      <c r="K5042" s="12" t="s">
        <v>3075</v>
      </c>
      <c r="L5042" s="13" t="s">
        <v>3075</v>
      </c>
      <c r="M5042" s="9" t="s">
        <v>3075</v>
      </c>
    </row>
    <row r="5043" ht="15.75" customHeight="1">
      <c r="A5043" s="8"/>
      <c r="B5043" s="8"/>
      <c r="C5043" s="8"/>
      <c r="D5043" s="8">
        <v>11.6747420267408</v>
      </c>
      <c r="E5043" s="9" t="s">
        <v>2387</v>
      </c>
      <c r="I5043" s="12"/>
      <c r="J5043" s="11">
        <v>0.0</v>
      </c>
      <c r="K5043" s="12" t="s">
        <v>3075</v>
      </c>
      <c r="L5043" s="13" t="s">
        <v>3075</v>
      </c>
      <c r="M5043" s="9" t="s">
        <v>3075</v>
      </c>
    </row>
    <row r="5044" ht="15.75" customHeight="1">
      <c r="A5044" s="8"/>
      <c r="B5044" s="8"/>
      <c r="C5044" s="8"/>
      <c r="D5044" s="8">
        <v>31.9219047942855</v>
      </c>
      <c r="E5044" s="9" t="s">
        <v>2390</v>
      </c>
      <c r="I5044" s="12"/>
      <c r="J5044" s="11">
        <v>0.0</v>
      </c>
      <c r="K5044" s="12" t="s">
        <v>3075</v>
      </c>
      <c r="L5044" s="13" t="s">
        <v>3075</v>
      </c>
      <c r="M5044" s="9" t="s">
        <v>3075</v>
      </c>
    </row>
    <row r="5045" ht="15.75" customHeight="1">
      <c r="A5045" s="8"/>
      <c r="B5045" s="8"/>
      <c r="C5045" s="8"/>
      <c r="D5045" s="8">
        <v>1.98470614454594</v>
      </c>
      <c r="E5045" s="9" t="s">
        <v>3284</v>
      </c>
      <c r="I5045" s="12"/>
      <c r="J5045" s="11">
        <v>0.0</v>
      </c>
      <c r="K5045" s="12" t="s">
        <v>3075</v>
      </c>
      <c r="L5045" s="13" t="s">
        <v>3075</v>
      </c>
      <c r="M5045" s="9" t="s">
        <v>3075</v>
      </c>
    </row>
    <row r="5046" ht="15.75" customHeight="1">
      <c r="A5046" s="8"/>
      <c r="B5046" s="8"/>
      <c r="C5046" s="8"/>
      <c r="D5046" s="8">
        <v>11.1588170228648</v>
      </c>
      <c r="E5046" s="9" t="s">
        <v>3285</v>
      </c>
      <c r="I5046" s="12"/>
      <c r="J5046" s="11">
        <v>0.0</v>
      </c>
      <c r="K5046" s="12" t="s">
        <v>3075</v>
      </c>
      <c r="L5046" s="13" t="s">
        <v>3075</v>
      </c>
      <c r="M5046" s="9" t="s">
        <v>3075</v>
      </c>
    </row>
    <row r="5047" ht="15.75" customHeight="1">
      <c r="A5047" s="8"/>
      <c r="B5047" s="8"/>
      <c r="C5047" s="8"/>
      <c r="D5047" s="8">
        <v>15.1541115785336</v>
      </c>
      <c r="E5047" s="9" t="s">
        <v>2401</v>
      </c>
      <c r="I5047" s="12"/>
      <c r="J5047" s="11">
        <v>0.0</v>
      </c>
      <c r="K5047" s="12" t="s">
        <v>3075</v>
      </c>
      <c r="L5047" s="13" t="s">
        <v>3075</v>
      </c>
      <c r="M5047" s="9" t="s">
        <v>3075</v>
      </c>
    </row>
    <row r="5048" ht="15.75" customHeight="1">
      <c r="A5048" s="8"/>
      <c r="B5048" s="8"/>
      <c r="C5048" s="8"/>
      <c r="D5048" s="8">
        <v>3.78643003057683</v>
      </c>
      <c r="E5048" s="9" t="s">
        <v>3286</v>
      </c>
      <c r="I5048" s="12"/>
      <c r="J5048" s="11">
        <v>0.0</v>
      </c>
      <c r="K5048" s="12" t="s">
        <v>3075</v>
      </c>
      <c r="L5048" s="13" t="s">
        <v>3075</v>
      </c>
      <c r="M5048" s="9" t="s">
        <v>3075</v>
      </c>
    </row>
    <row r="5049" ht="15.75" customHeight="1">
      <c r="A5049" s="8"/>
      <c r="B5049" s="8"/>
      <c r="C5049" s="8"/>
      <c r="D5049" s="8">
        <v>364.328835463837</v>
      </c>
      <c r="E5049" s="9" t="s">
        <v>2408</v>
      </c>
      <c r="I5049" s="12"/>
      <c r="J5049" s="11">
        <v>0.0</v>
      </c>
      <c r="K5049" s="12" t="s">
        <v>3075</v>
      </c>
      <c r="L5049" s="13" t="s">
        <v>3075</v>
      </c>
      <c r="M5049" s="9" t="s">
        <v>3075</v>
      </c>
    </row>
    <row r="5050" ht="15.75" customHeight="1">
      <c r="A5050" s="8"/>
      <c r="B5050" s="8"/>
      <c r="C5050" s="8"/>
      <c r="D5050" s="8">
        <v>7.78317416138801</v>
      </c>
      <c r="E5050" s="9" t="s">
        <v>2410</v>
      </c>
      <c r="I5050" s="12"/>
      <c r="J5050" s="11">
        <v>0.0</v>
      </c>
      <c r="K5050" s="12" t="s">
        <v>3075</v>
      </c>
      <c r="L5050" s="13" t="s">
        <v>3075</v>
      </c>
      <c r="M5050" s="9" t="s">
        <v>3075</v>
      </c>
    </row>
    <row r="5051" ht="15.75" customHeight="1">
      <c r="A5051" s="8"/>
      <c r="B5051" s="8"/>
      <c r="C5051" s="8"/>
      <c r="D5051" s="8">
        <v>3.97564619306844</v>
      </c>
      <c r="E5051" s="9" t="s">
        <v>2414</v>
      </c>
      <c r="I5051" s="12"/>
      <c r="J5051" s="11">
        <v>0.0</v>
      </c>
      <c r="K5051" s="12" t="s">
        <v>3075</v>
      </c>
      <c r="L5051" s="13" t="s">
        <v>3075</v>
      </c>
      <c r="M5051" s="9" t="s">
        <v>3075</v>
      </c>
    </row>
    <row r="5052" ht="15.75" customHeight="1">
      <c r="A5052" s="8"/>
      <c r="B5052" s="8"/>
      <c r="C5052" s="8"/>
      <c r="D5052" s="8">
        <v>33.7789202640369</v>
      </c>
      <c r="E5052" s="9" t="s">
        <v>2421</v>
      </c>
      <c r="I5052" s="12"/>
      <c r="J5052" s="11">
        <v>0.0</v>
      </c>
      <c r="K5052" s="12" t="s">
        <v>3075</v>
      </c>
      <c r="L5052" s="13" t="s">
        <v>3075</v>
      </c>
      <c r="M5052" s="9" t="s">
        <v>3075</v>
      </c>
    </row>
    <row r="5053" ht="15.75" customHeight="1">
      <c r="A5053" s="8"/>
      <c r="B5053" s="8"/>
      <c r="C5053" s="8"/>
      <c r="D5053" s="8">
        <v>1.94579033779014</v>
      </c>
      <c r="E5053" s="9" t="s">
        <v>2426</v>
      </c>
      <c r="I5053" s="12"/>
      <c r="J5053" s="11">
        <v>0.0</v>
      </c>
      <c r="K5053" s="12" t="s">
        <v>3075</v>
      </c>
      <c r="L5053" s="13" t="s">
        <v>3075</v>
      </c>
      <c r="M5053" s="9" t="s">
        <v>3075</v>
      </c>
    </row>
    <row r="5054" ht="15.75" customHeight="1">
      <c r="A5054" s="8"/>
      <c r="B5054" s="8"/>
      <c r="C5054" s="8"/>
      <c r="D5054" s="8">
        <v>1.94579033779014</v>
      </c>
      <c r="E5054" s="9" t="s">
        <v>2432</v>
      </c>
      <c r="I5054" s="12"/>
      <c r="J5054" s="11">
        <v>0.0</v>
      </c>
      <c r="K5054" s="12" t="s">
        <v>3075</v>
      </c>
      <c r="L5054" s="13" t="s">
        <v>3075</v>
      </c>
      <c r="M5054" s="9" t="s">
        <v>3075</v>
      </c>
    </row>
    <row r="5055" ht="15.75" customHeight="1">
      <c r="A5055" s="8"/>
      <c r="B5055" s="8"/>
      <c r="C5055" s="8"/>
      <c r="D5055" s="8">
        <v>182.904291752273</v>
      </c>
      <c r="E5055" s="9" t="s">
        <v>2437</v>
      </c>
      <c r="I5055" s="12"/>
      <c r="J5055" s="11">
        <v>0.0</v>
      </c>
      <c r="K5055" s="12" t="s">
        <v>3075</v>
      </c>
      <c r="L5055" s="13" t="s">
        <v>3075</v>
      </c>
      <c r="M5055" s="9" t="s">
        <v>3075</v>
      </c>
    </row>
    <row r="5056" ht="15.75" customHeight="1">
      <c r="A5056" s="8"/>
      <c r="B5056" s="8"/>
      <c r="C5056" s="8"/>
      <c r="D5056" s="8">
        <v>5.26306979526947</v>
      </c>
      <c r="E5056" s="9" t="s">
        <v>2438</v>
      </c>
      <c r="I5056" s="12"/>
      <c r="J5056" s="11">
        <v>0.0</v>
      </c>
      <c r="K5056" s="12" t="s">
        <v>3075</v>
      </c>
      <c r="L5056" s="13" t="s">
        <v>3075</v>
      </c>
      <c r="M5056" s="9" t="s">
        <v>3075</v>
      </c>
    </row>
    <row r="5057" ht="15.75" customHeight="1">
      <c r="A5057" s="8"/>
      <c r="B5057" s="8"/>
      <c r="C5057" s="8"/>
      <c r="D5057" s="8">
        <v>66.8001925377257</v>
      </c>
      <c r="E5057" s="9" t="s">
        <v>2445</v>
      </c>
      <c r="I5057" s="12"/>
      <c r="J5057" s="11">
        <v>0.0</v>
      </c>
      <c r="K5057" s="12" t="s">
        <v>3075</v>
      </c>
      <c r="L5057" s="13" t="s">
        <v>3075</v>
      </c>
      <c r="M5057" s="9" t="s">
        <v>3075</v>
      </c>
    </row>
    <row r="5058" ht="15.75" customHeight="1">
      <c r="A5058" s="8"/>
      <c r="B5058" s="8"/>
      <c r="C5058" s="8"/>
      <c r="D5058" s="8">
        <v>8.22257712379706</v>
      </c>
      <c r="E5058" s="9" t="s">
        <v>2459</v>
      </c>
      <c r="I5058" s="12"/>
      <c r="J5058" s="11">
        <v>0.0</v>
      </c>
      <c r="K5058" s="12" t="s">
        <v>3075</v>
      </c>
      <c r="L5058" s="13" t="s">
        <v>3075</v>
      </c>
      <c r="M5058" s="9" t="s">
        <v>3075</v>
      </c>
    </row>
    <row r="5059" ht="15.75" customHeight="1">
      <c r="A5059" s="8"/>
      <c r="B5059" s="8"/>
      <c r="C5059" s="8"/>
      <c r="D5059" s="8">
        <v>0.526773849516541</v>
      </c>
      <c r="E5059" s="9" t="s">
        <v>3287</v>
      </c>
      <c r="I5059" s="12"/>
      <c r="J5059" s="11">
        <v>0.0</v>
      </c>
      <c r="K5059" s="12" t="s">
        <v>3075</v>
      </c>
      <c r="L5059" s="13" t="s">
        <v>3075</v>
      </c>
      <c r="M5059" s="9" t="s">
        <v>3075</v>
      </c>
    </row>
    <row r="5060" ht="15.75" customHeight="1">
      <c r="A5060" s="8"/>
      <c r="B5060" s="8"/>
      <c r="C5060" s="8"/>
      <c r="D5060" s="8">
        <v>124.643218582237</v>
      </c>
      <c r="E5060" s="9" t="s">
        <v>2473</v>
      </c>
      <c r="I5060" s="12"/>
      <c r="J5060" s="11">
        <v>0.0</v>
      </c>
      <c r="K5060" s="12" t="s">
        <v>3075</v>
      </c>
      <c r="L5060" s="13" t="s">
        <v>3075</v>
      </c>
      <c r="M5060" s="9" t="s">
        <v>3075</v>
      </c>
    </row>
    <row r="5061" ht="15.75" customHeight="1">
      <c r="A5061" s="8"/>
      <c r="B5061" s="8"/>
      <c r="C5061" s="8"/>
      <c r="D5061" s="8">
        <v>1.96678939907362</v>
      </c>
      <c r="E5061" s="9" t="s">
        <v>2476</v>
      </c>
      <c r="I5061" s="12"/>
      <c r="J5061" s="11">
        <v>0.0</v>
      </c>
      <c r="K5061" s="12" t="s">
        <v>3075</v>
      </c>
      <c r="L5061" s="13" t="s">
        <v>3075</v>
      </c>
      <c r="M5061" s="9" t="s">
        <v>3075</v>
      </c>
    </row>
    <row r="5062" ht="15.75" customHeight="1">
      <c r="A5062" s="8"/>
      <c r="B5062" s="8"/>
      <c r="C5062" s="8"/>
      <c r="D5062" s="8">
        <v>99.4255929290225</v>
      </c>
      <c r="E5062" s="9" t="s">
        <v>2478</v>
      </c>
      <c r="I5062" s="12"/>
      <c r="J5062" s="11">
        <v>0.0</v>
      </c>
      <c r="K5062" s="12" t="s">
        <v>3075</v>
      </c>
      <c r="L5062" s="13" t="s">
        <v>3075</v>
      </c>
      <c r="M5062" s="9" t="s">
        <v>3075</v>
      </c>
    </row>
    <row r="5063" ht="15.75" customHeight="1">
      <c r="A5063" s="8"/>
      <c r="B5063" s="8"/>
      <c r="C5063" s="8"/>
      <c r="D5063" s="8">
        <v>20.6253775805755</v>
      </c>
      <c r="E5063" s="9" t="s">
        <v>2485</v>
      </c>
      <c r="I5063" s="12"/>
      <c r="J5063" s="11">
        <v>0.0</v>
      </c>
      <c r="K5063" s="12" t="s">
        <v>3075</v>
      </c>
      <c r="L5063" s="13" t="s">
        <v>3075</v>
      </c>
      <c r="M5063" s="9" t="s">
        <v>3075</v>
      </c>
    </row>
    <row r="5064" ht="15.75" customHeight="1">
      <c r="A5064" s="8"/>
      <c r="B5064" s="8"/>
      <c r="C5064" s="8"/>
      <c r="D5064" s="8">
        <v>387.479782908963</v>
      </c>
      <c r="E5064" s="9" t="s">
        <v>3288</v>
      </c>
      <c r="I5064" s="12"/>
      <c r="J5064" s="11">
        <v>0.0</v>
      </c>
      <c r="K5064" s="12" t="s">
        <v>3075</v>
      </c>
      <c r="L5064" s="13" t="s">
        <v>3075</v>
      </c>
      <c r="M5064" s="9" t="s">
        <v>3075</v>
      </c>
    </row>
    <row r="5065" ht="15.75" customHeight="1">
      <c r="A5065" s="8"/>
      <c r="B5065" s="8"/>
      <c r="C5065" s="8"/>
      <c r="D5065" s="8">
        <v>11.6747420267408</v>
      </c>
      <c r="E5065" s="9" t="s">
        <v>2486</v>
      </c>
      <c r="I5065" s="12"/>
      <c r="J5065" s="11">
        <v>0.0</v>
      </c>
      <c r="K5065" s="12" t="s">
        <v>3075</v>
      </c>
      <c r="L5065" s="13" t="s">
        <v>3075</v>
      </c>
      <c r="M5065" s="9" t="s">
        <v>3075</v>
      </c>
    </row>
    <row r="5066" ht="15.75" customHeight="1">
      <c r="A5066" s="8"/>
      <c r="B5066" s="8"/>
      <c r="C5066" s="8"/>
      <c r="D5066" s="8">
        <v>23.5729713211456</v>
      </c>
      <c r="E5066" s="9" t="s">
        <v>3289</v>
      </c>
      <c r="I5066" s="12"/>
      <c r="J5066" s="11">
        <v>0.0</v>
      </c>
      <c r="K5066" s="12" t="s">
        <v>3075</v>
      </c>
      <c r="L5066" s="13" t="s">
        <v>3075</v>
      </c>
      <c r="M5066" s="9" t="s">
        <v>3075</v>
      </c>
    </row>
    <row r="5067" ht="15.75" customHeight="1">
      <c r="A5067" s="8"/>
      <c r="B5067" s="8"/>
      <c r="C5067" s="8"/>
      <c r="D5067" s="8">
        <v>19.4691500460538</v>
      </c>
      <c r="E5067" s="9" t="s">
        <v>3290</v>
      </c>
      <c r="I5067" s="12"/>
      <c r="J5067" s="11">
        <v>0.0</v>
      </c>
      <c r="K5067" s="12" t="s">
        <v>3075</v>
      </c>
      <c r="L5067" s="13" t="s">
        <v>3075</v>
      </c>
      <c r="M5067" s="9" t="s">
        <v>3075</v>
      </c>
    </row>
    <row r="5068" ht="15.75" customHeight="1">
      <c r="A5068" s="8"/>
      <c r="B5068" s="8"/>
      <c r="C5068" s="8"/>
      <c r="D5068" s="8">
        <v>1.93496079672908</v>
      </c>
      <c r="E5068" s="9" t="s">
        <v>3291</v>
      </c>
      <c r="I5068" s="12"/>
      <c r="J5068" s="11">
        <v>0.0</v>
      </c>
      <c r="K5068" s="12" t="s">
        <v>3075</v>
      </c>
      <c r="L5068" s="13" t="s">
        <v>3075</v>
      </c>
      <c r="M5068" s="9" t="s">
        <v>3075</v>
      </c>
    </row>
    <row r="5069" ht="15.75" customHeight="1">
      <c r="A5069" s="8"/>
      <c r="B5069" s="8"/>
      <c r="C5069" s="8"/>
      <c r="D5069" s="8">
        <v>130.251205211672</v>
      </c>
      <c r="E5069" s="9" t="s">
        <v>2506</v>
      </c>
      <c r="I5069" s="12"/>
      <c r="J5069" s="11">
        <v>0.0</v>
      </c>
      <c r="K5069" s="12" t="s">
        <v>3075</v>
      </c>
      <c r="L5069" s="13" t="s">
        <v>3075</v>
      </c>
      <c r="M5069" s="9" t="s">
        <v>3075</v>
      </c>
    </row>
    <row r="5070" ht="15.75" customHeight="1">
      <c r="A5070" s="8"/>
      <c r="B5070" s="8"/>
      <c r="C5070" s="8"/>
      <c r="D5070" s="8">
        <v>81.723194187186</v>
      </c>
      <c r="E5070" s="9" t="s">
        <v>2507</v>
      </c>
      <c r="I5070" s="12"/>
      <c r="J5070" s="11">
        <v>0.0</v>
      </c>
      <c r="K5070" s="12" t="s">
        <v>3075</v>
      </c>
      <c r="L5070" s="13" t="s">
        <v>3075</v>
      </c>
      <c r="M5070" s="9" t="s">
        <v>3075</v>
      </c>
    </row>
    <row r="5071" ht="15.75" customHeight="1">
      <c r="A5071" s="8"/>
      <c r="B5071" s="8"/>
      <c r="C5071" s="8"/>
      <c r="D5071" s="8">
        <v>56.1068531750431</v>
      </c>
      <c r="E5071" s="9" t="s">
        <v>2514</v>
      </c>
      <c r="I5071" s="12"/>
      <c r="J5071" s="11">
        <v>0.0</v>
      </c>
      <c r="K5071" s="12" t="s">
        <v>3075</v>
      </c>
      <c r="L5071" s="13" t="s">
        <v>3075</v>
      </c>
      <c r="M5071" s="9" t="s">
        <v>3075</v>
      </c>
    </row>
    <row r="5072" ht="15.75" customHeight="1">
      <c r="A5072" s="8"/>
      <c r="B5072" s="8"/>
      <c r="C5072" s="8"/>
      <c r="D5072" s="8">
        <v>0.972895168895072</v>
      </c>
      <c r="E5072" s="9" t="s">
        <v>3292</v>
      </c>
      <c r="I5072" s="12"/>
      <c r="J5072" s="11">
        <v>0.0</v>
      </c>
      <c r="K5072" s="12" t="s">
        <v>3075</v>
      </c>
      <c r="L5072" s="13" t="s">
        <v>3075</v>
      </c>
      <c r="M5072" s="9" t="s">
        <v>3075</v>
      </c>
    </row>
    <row r="5073" ht="15.75" customHeight="1">
      <c r="A5073" s="8"/>
      <c r="B5073" s="8"/>
      <c r="C5073" s="8"/>
      <c r="D5073" s="8">
        <v>10.1487968542139</v>
      </c>
      <c r="E5073" s="9" t="s">
        <v>2516</v>
      </c>
      <c r="I5073" s="12"/>
      <c r="J5073" s="11">
        <v>0.0</v>
      </c>
      <c r="K5073" s="12" t="s">
        <v>3075</v>
      </c>
      <c r="L5073" s="13" t="s">
        <v>3075</v>
      </c>
      <c r="M5073" s="9" t="s">
        <v>3075</v>
      </c>
    </row>
    <row r="5074" ht="15.75" customHeight="1">
      <c r="A5074" s="8"/>
      <c r="B5074" s="8"/>
      <c r="C5074" s="8"/>
      <c r="D5074" s="8">
        <v>73.4655877427626</v>
      </c>
      <c r="E5074" s="9" t="s">
        <v>2517</v>
      </c>
      <c r="I5074" s="12"/>
      <c r="J5074" s="11">
        <v>0.0</v>
      </c>
      <c r="K5074" s="12" t="s">
        <v>3075</v>
      </c>
      <c r="L5074" s="13" t="s">
        <v>3075</v>
      </c>
      <c r="M5074" s="9" t="s">
        <v>3075</v>
      </c>
    </row>
    <row r="5075" ht="15.75" customHeight="1">
      <c r="A5075" s="8"/>
      <c r="B5075" s="8"/>
      <c r="C5075" s="8"/>
      <c r="D5075" s="8">
        <v>2.22243687400077</v>
      </c>
      <c r="E5075" s="9" t="s">
        <v>2519</v>
      </c>
      <c r="I5075" s="12"/>
      <c r="J5075" s="11">
        <v>0.0</v>
      </c>
      <c r="K5075" s="12" t="s">
        <v>3075</v>
      </c>
      <c r="L5075" s="13" t="s">
        <v>3075</v>
      </c>
      <c r="M5075" s="9" t="s">
        <v>3075</v>
      </c>
    </row>
    <row r="5076" ht="15.75" customHeight="1">
      <c r="A5076" s="8"/>
      <c r="B5076" s="8"/>
      <c r="C5076" s="8"/>
      <c r="D5076" s="8">
        <v>11.8623961177441</v>
      </c>
      <c r="E5076" s="9" t="s">
        <v>2520</v>
      </c>
      <c r="I5076" s="12"/>
      <c r="J5076" s="11">
        <v>0.0</v>
      </c>
      <c r="K5076" s="12" t="s">
        <v>3075</v>
      </c>
      <c r="L5076" s="13" t="s">
        <v>3075</v>
      </c>
      <c r="M5076" s="9" t="s">
        <v>3075</v>
      </c>
    </row>
    <row r="5077" ht="15.75" customHeight="1">
      <c r="A5077" s="8"/>
      <c r="B5077" s="8"/>
      <c r="C5077" s="8"/>
      <c r="D5077" s="8">
        <v>537.229896814943</v>
      </c>
      <c r="E5077" s="9" t="s">
        <v>2522</v>
      </c>
      <c r="I5077" s="12"/>
      <c r="J5077" s="11">
        <v>0.0</v>
      </c>
      <c r="K5077" s="12" t="s">
        <v>3075</v>
      </c>
      <c r="L5077" s="13" t="s">
        <v>3075</v>
      </c>
      <c r="M5077" s="9" t="s">
        <v>3075</v>
      </c>
    </row>
    <row r="5078" ht="15.75" customHeight="1">
      <c r="A5078" s="8"/>
      <c r="B5078" s="8"/>
      <c r="C5078" s="8"/>
      <c r="D5078" s="8">
        <v>1.9576635813694</v>
      </c>
      <c r="E5078" s="9" t="s">
        <v>2523</v>
      </c>
      <c r="I5078" s="12"/>
      <c r="J5078" s="11">
        <v>0.0</v>
      </c>
      <c r="K5078" s="12" t="s">
        <v>3075</v>
      </c>
      <c r="L5078" s="13" t="s">
        <v>3075</v>
      </c>
      <c r="M5078" s="9" t="s">
        <v>3075</v>
      </c>
    </row>
    <row r="5079" ht="15.75" customHeight="1">
      <c r="A5079" s="8"/>
      <c r="B5079" s="8"/>
      <c r="C5079" s="8"/>
      <c r="D5079" s="8">
        <v>7.78316135116057</v>
      </c>
      <c r="E5079" s="9" t="s">
        <v>2526</v>
      </c>
      <c r="I5079" s="12"/>
      <c r="J5079" s="11">
        <v>0.0</v>
      </c>
      <c r="K5079" s="12" t="s">
        <v>3075</v>
      </c>
      <c r="L5079" s="13" t="s">
        <v>3075</v>
      </c>
      <c r="M5079" s="9" t="s">
        <v>3075</v>
      </c>
    </row>
    <row r="5080" ht="15.75" customHeight="1">
      <c r="A5080" s="8"/>
      <c r="B5080" s="8"/>
      <c r="C5080" s="8"/>
      <c r="D5080" s="8">
        <v>0.389158067558028</v>
      </c>
      <c r="E5080" s="9" t="s">
        <v>2528</v>
      </c>
      <c r="I5080" s="12"/>
      <c r="J5080" s="11">
        <v>0.0</v>
      </c>
      <c r="K5080" s="12" t="s">
        <v>3075</v>
      </c>
      <c r="L5080" s="13" t="s">
        <v>3075</v>
      </c>
      <c r="M5080" s="9" t="s">
        <v>3075</v>
      </c>
    </row>
    <row r="5081" ht="15.75" customHeight="1">
      <c r="A5081" s="8"/>
      <c r="B5081" s="8"/>
      <c r="C5081" s="8"/>
      <c r="D5081" s="8">
        <v>11.6747420267408</v>
      </c>
      <c r="E5081" s="9" t="s">
        <v>2531</v>
      </c>
      <c r="I5081" s="12"/>
      <c r="J5081" s="11">
        <v>0.0</v>
      </c>
      <c r="K5081" s="12" t="s">
        <v>3075</v>
      </c>
      <c r="L5081" s="13" t="s">
        <v>3075</v>
      </c>
      <c r="M5081" s="9" t="s">
        <v>3075</v>
      </c>
    </row>
    <row r="5082" ht="15.75" customHeight="1">
      <c r="A5082" s="8"/>
      <c r="B5082" s="8"/>
      <c r="C5082" s="8"/>
      <c r="D5082" s="8">
        <v>1.73174351238591</v>
      </c>
      <c r="E5082" s="9" t="s">
        <v>2537</v>
      </c>
      <c r="I5082" s="12"/>
      <c r="J5082" s="11">
        <v>0.0</v>
      </c>
      <c r="K5082" s="12" t="s">
        <v>3075</v>
      </c>
      <c r="L5082" s="13" t="s">
        <v>3075</v>
      </c>
      <c r="M5082" s="9" t="s">
        <v>3075</v>
      </c>
    </row>
    <row r="5083" ht="15.75" customHeight="1">
      <c r="A5083" s="8"/>
      <c r="B5083" s="8"/>
      <c r="C5083" s="8"/>
      <c r="D5083" s="8">
        <v>11.2886470835082</v>
      </c>
      <c r="E5083" s="9" t="s">
        <v>2540</v>
      </c>
      <c r="I5083" s="12"/>
      <c r="J5083" s="11">
        <v>0.0</v>
      </c>
      <c r="K5083" s="12" t="s">
        <v>3075</v>
      </c>
      <c r="L5083" s="13" t="s">
        <v>3075</v>
      </c>
      <c r="M5083" s="9" t="s">
        <v>3075</v>
      </c>
    </row>
    <row r="5084" ht="15.75" customHeight="1">
      <c r="A5084" s="8"/>
      <c r="B5084" s="8"/>
      <c r="C5084" s="8"/>
      <c r="D5084" s="8">
        <v>1.91198497927296</v>
      </c>
      <c r="E5084" s="9" t="s">
        <v>2545</v>
      </c>
      <c r="I5084" s="12"/>
      <c r="J5084" s="11">
        <v>0.0</v>
      </c>
      <c r="K5084" s="12" t="s">
        <v>3075</v>
      </c>
      <c r="L5084" s="13" t="s">
        <v>3075</v>
      </c>
      <c r="M5084" s="9" t="s">
        <v>3075</v>
      </c>
    </row>
    <row r="5085" ht="15.75" customHeight="1">
      <c r="A5085" s="8"/>
      <c r="B5085" s="8"/>
      <c r="C5085" s="8"/>
      <c r="D5085" s="8">
        <v>382.386717182519</v>
      </c>
      <c r="E5085" s="9" t="s">
        <v>2546</v>
      </c>
      <c r="I5085" s="12"/>
      <c r="J5085" s="11">
        <v>0.0</v>
      </c>
      <c r="K5085" s="12" t="s">
        <v>3075</v>
      </c>
      <c r="L5085" s="13" t="s">
        <v>3075</v>
      </c>
      <c r="M5085" s="9" t="s">
        <v>3075</v>
      </c>
    </row>
    <row r="5086" ht="15.75" customHeight="1">
      <c r="A5086" s="8"/>
      <c r="B5086" s="8"/>
      <c r="C5086" s="8"/>
      <c r="D5086" s="8">
        <v>2.84085389317361</v>
      </c>
      <c r="E5086" s="9" t="s">
        <v>2559</v>
      </c>
      <c r="I5086" s="12"/>
      <c r="J5086" s="11">
        <v>0.0</v>
      </c>
      <c r="K5086" s="12" t="s">
        <v>3075</v>
      </c>
      <c r="L5086" s="13" t="s">
        <v>3075</v>
      </c>
      <c r="M5086" s="9" t="s">
        <v>3075</v>
      </c>
    </row>
    <row r="5087" ht="15.75" customHeight="1">
      <c r="A5087" s="8"/>
      <c r="B5087" s="8"/>
      <c r="C5087" s="8"/>
      <c r="D5087" s="8">
        <v>23.569008297898</v>
      </c>
      <c r="E5087" s="9" t="s">
        <v>3293</v>
      </c>
      <c r="I5087" s="12"/>
      <c r="J5087" s="11">
        <v>0.0</v>
      </c>
      <c r="K5087" s="12" t="s">
        <v>3075</v>
      </c>
      <c r="L5087" s="13" t="s">
        <v>3075</v>
      </c>
      <c r="M5087" s="9" t="s">
        <v>3075</v>
      </c>
    </row>
    <row r="5088" ht="15.75" customHeight="1">
      <c r="A5088" s="8"/>
      <c r="B5088" s="8"/>
      <c r="C5088" s="8"/>
      <c r="D5088" s="8">
        <v>263.737863758853</v>
      </c>
      <c r="E5088" s="9" t="s">
        <v>2588</v>
      </c>
      <c r="I5088" s="12"/>
      <c r="J5088" s="11">
        <v>0.0</v>
      </c>
      <c r="K5088" s="12" t="s">
        <v>3075</v>
      </c>
      <c r="L5088" s="13" t="s">
        <v>3075</v>
      </c>
      <c r="M5088" s="9" t="s">
        <v>3075</v>
      </c>
    </row>
    <row r="5089" ht="15.75" customHeight="1">
      <c r="A5089" s="8"/>
      <c r="B5089" s="8"/>
      <c r="C5089" s="8"/>
      <c r="D5089" s="8">
        <v>0.020476541463465</v>
      </c>
      <c r="E5089" s="9" t="s">
        <v>2605</v>
      </c>
      <c r="I5089" s="12"/>
      <c r="J5089" s="11">
        <v>0.0</v>
      </c>
      <c r="K5089" s="12" t="s">
        <v>3075</v>
      </c>
      <c r="L5089" s="13" t="s">
        <v>3075</v>
      </c>
      <c r="M5089" s="9" t="s">
        <v>3075</v>
      </c>
    </row>
    <row r="5090" ht="15.75" customHeight="1">
      <c r="A5090" s="8"/>
      <c r="B5090" s="8"/>
      <c r="C5090" s="8"/>
      <c r="D5090" s="8">
        <v>4885.75889919011</v>
      </c>
      <c r="E5090" s="9" t="s">
        <v>2609</v>
      </c>
      <c r="I5090" s="12"/>
      <c r="J5090" s="11">
        <v>0.0</v>
      </c>
      <c r="K5090" s="12" t="s">
        <v>3075</v>
      </c>
      <c r="L5090" s="13" t="s">
        <v>3075</v>
      </c>
      <c r="M5090" s="9" t="s">
        <v>3075</v>
      </c>
    </row>
    <row r="5091" ht="15.75" customHeight="1">
      <c r="A5091" s="8"/>
      <c r="B5091" s="8"/>
      <c r="C5091" s="8"/>
      <c r="D5091" s="8">
        <v>0.0505665771328058</v>
      </c>
      <c r="E5091" s="9" t="s">
        <v>2614</v>
      </c>
      <c r="I5091" s="12"/>
      <c r="J5091" s="11">
        <v>0.0</v>
      </c>
      <c r="K5091" s="12" t="s">
        <v>3075</v>
      </c>
      <c r="L5091" s="13" t="s">
        <v>3075</v>
      </c>
      <c r="M5091" s="9" t="s">
        <v>3075</v>
      </c>
    </row>
    <row r="5092" ht="15.75" customHeight="1">
      <c r="A5092" s="8"/>
      <c r="B5092" s="8"/>
      <c r="C5092" s="8"/>
      <c r="D5092" s="8">
        <v>1605.8202527133</v>
      </c>
      <c r="E5092" s="9" t="s">
        <v>2615</v>
      </c>
      <c r="I5092" s="12"/>
      <c r="J5092" s="11">
        <v>0.0</v>
      </c>
      <c r="K5092" s="12" t="s">
        <v>3075</v>
      </c>
      <c r="L5092" s="13" t="s">
        <v>3075</v>
      </c>
      <c r="M5092" s="9" t="s">
        <v>3075</v>
      </c>
    </row>
    <row r="5093" ht="15.75" customHeight="1">
      <c r="A5093" s="8"/>
      <c r="B5093" s="8"/>
      <c r="C5093" s="8"/>
      <c r="D5093" s="8">
        <v>420.200361856534</v>
      </c>
      <c r="E5093" s="9" t="s">
        <v>2619</v>
      </c>
      <c r="I5093" s="12"/>
      <c r="J5093" s="11">
        <v>0.0</v>
      </c>
      <c r="K5093" s="12" t="s">
        <v>3075</v>
      </c>
      <c r="L5093" s="13" t="s">
        <v>3075</v>
      </c>
      <c r="M5093" s="9" t="s">
        <v>3075</v>
      </c>
    </row>
    <row r="5094" ht="15.75" customHeight="1">
      <c r="A5094" s="8"/>
      <c r="B5094" s="8"/>
      <c r="C5094" s="8"/>
      <c r="D5094" s="8">
        <v>100.854417463925</v>
      </c>
      <c r="E5094" s="9" t="s">
        <v>3172</v>
      </c>
      <c r="I5094" s="12"/>
      <c r="J5094" s="11">
        <v>0.0</v>
      </c>
      <c r="K5094" s="12" t="s">
        <v>3075</v>
      </c>
      <c r="L5094" s="13" t="s">
        <v>3075</v>
      </c>
      <c r="M5094" s="9" t="s">
        <v>3075</v>
      </c>
    </row>
    <row r="5095" ht="15.75" customHeight="1">
      <c r="A5095" s="8"/>
      <c r="B5095" s="8"/>
      <c r="C5095" s="8"/>
      <c r="D5095" s="8">
        <v>5.83737101337043</v>
      </c>
      <c r="E5095" s="9" t="s">
        <v>2622</v>
      </c>
      <c r="I5095" s="12"/>
      <c r="J5095" s="11">
        <v>0.0</v>
      </c>
      <c r="K5095" s="12" t="s">
        <v>3075</v>
      </c>
      <c r="L5095" s="13" t="s">
        <v>3075</v>
      </c>
      <c r="M5095" s="9" t="s">
        <v>3075</v>
      </c>
    </row>
    <row r="5096" ht="15.75" customHeight="1">
      <c r="A5096" s="8"/>
      <c r="B5096" s="8"/>
      <c r="C5096" s="8"/>
      <c r="D5096" s="8">
        <v>1.94579033779014</v>
      </c>
      <c r="E5096" s="9" t="s">
        <v>3294</v>
      </c>
      <c r="I5096" s="12"/>
      <c r="J5096" s="11">
        <v>0.0</v>
      </c>
      <c r="K5096" s="12" t="s">
        <v>3075</v>
      </c>
      <c r="L5096" s="13" t="s">
        <v>3075</v>
      </c>
      <c r="M5096" s="9" t="s">
        <v>3075</v>
      </c>
    </row>
    <row r="5097" ht="15.75" customHeight="1">
      <c r="A5097" s="8"/>
      <c r="B5097" s="8"/>
      <c r="C5097" s="8"/>
      <c r="D5097" s="8">
        <v>1136.34155726944</v>
      </c>
      <c r="E5097" s="9" t="s">
        <v>2630</v>
      </c>
      <c r="I5097" s="12"/>
      <c r="J5097" s="11">
        <v>0.0</v>
      </c>
      <c r="K5097" s="12" t="s">
        <v>3075</v>
      </c>
      <c r="L5097" s="13" t="s">
        <v>3075</v>
      </c>
      <c r="M5097" s="9" t="s">
        <v>3075</v>
      </c>
    </row>
    <row r="5098" ht="15.75" customHeight="1">
      <c r="A5098" s="8"/>
      <c r="B5098" s="8"/>
      <c r="C5098" s="8"/>
      <c r="D5098" s="8">
        <v>12.3440939029406</v>
      </c>
      <c r="E5098" s="9" t="s">
        <v>2633</v>
      </c>
      <c r="I5098" s="12"/>
      <c r="J5098" s="11">
        <v>0.0</v>
      </c>
      <c r="K5098" s="12" t="s">
        <v>3075</v>
      </c>
      <c r="L5098" s="13" t="s">
        <v>3075</v>
      </c>
      <c r="M5098" s="9" t="s">
        <v>3075</v>
      </c>
    </row>
    <row r="5099" ht="15.75" customHeight="1">
      <c r="A5099" s="8"/>
      <c r="B5099" s="8"/>
      <c r="C5099" s="8"/>
      <c r="D5099" s="8">
        <v>1.05705823113607</v>
      </c>
      <c r="E5099" s="9" t="s">
        <v>3295</v>
      </c>
      <c r="I5099" s="12"/>
      <c r="J5099" s="11">
        <v>0.0</v>
      </c>
      <c r="K5099" s="12" t="s">
        <v>3075</v>
      </c>
      <c r="L5099" s="13" t="s">
        <v>3075</v>
      </c>
      <c r="M5099" s="9" t="s">
        <v>3075</v>
      </c>
    </row>
    <row r="5100" ht="15.75" customHeight="1">
      <c r="A5100" s="8"/>
      <c r="B5100" s="8"/>
      <c r="C5100" s="8"/>
      <c r="D5100" s="8">
        <v>11.6747420267408</v>
      </c>
      <c r="E5100" s="9" t="s">
        <v>2637</v>
      </c>
      <c r="I5100" s="12"/>
      <c r="J5100" s="11">
        <v>0.0</v>
      </c>
      <c r="K5100" s="12" t="s">
        <v>3075</v>
      </c>
      <c r="L5100" s="13" t="s">
        <v>3075</v>
      </c>
      <c r="M5100" s="9" t="s">
        <v>3075</v>
      </c>
    </row>
    <row r="5101" ht="15.75" customHeight="1">
      <c r="A5101" s="8"/>
      <c r="B5101" s="8"/>
      <c r="C5101" s="8"/>
      <c r="D5101" s="8">
        <v>1.27417193328304</v>
      </c>
      <c r="E5101" s="9" t="s">
        <v>3174</v>
      </c>
      <c r="I5101" s="12"/>
      <c r="J5101" s="11">
        <v>0.0</v>
      </c>
      <c r="K5101" s="12" t="s">
        <v>3075</v>
      </c>
      <c r="L5101" s="13" t="s">
        <v>3075</v>
      </c>
      <c r="M5101" s="9" t="s">
        <v>3075</v>
      </c>
    </row>
    <row r="5102" ht="15.75" customHeight="1">
      <c r="A5102" s="8"/>
      <c r="B5102" s="8"/>
      <c r="C5102" s="8"/>
      <c r="D5102" s="8">
        <v>18.5748088330963</v>
      </c>
      <c r="E5102" s="9" t="s">
        <v>3296</v>
      </c>
      <c r="I5102" s="12"/>
      <c r="J5102" s="11">
        <v>0.0</v>
      </c>
      <c r="K5102" s="12" t="s">
        <v>3075</v>
      </c>
      <c r="L5102" s="13" t="s">
        <v>3075</v>
      </c>
      <c r="M5102" s="9" t="s">
        <v>3075</v>
      </c>
    </row>
    <row r="5103" ht="15.75" customHeight="1">
      <c r="A5103" s="8"/>
      <c r="B5103" s="8"/>
      <c r="C5103" s="8"/>
      <c r="D5103" s="8">
        <v>1.94579033779014</v>
      </c>
      <c r="E5103" s="9" t="s">
        <v>2672</v>
      </c>
      <c r="I5103" s="12"/>
      <c r="J5103" s="11">
        <v>0.0</v>
      </c>
      <c r="K5103" s="12" t="s">
        <v>3075</v>
      </c>
      <c r="L5103" s="13" t="s">
        <v>3075</v>
      </c>
      <c r="M5103" s="9" t="s">
        <v>3075</v>
      </c>
    </row>
    <row r="5104" ht="15.75" customHeight="1">
      <c r="A5104" s="8"/>
      <c r="B5104" s="8"/>
      <c r="C5104" s="8"/>
      <c r="D5104" s="8">
        <v>215.325050360533</v>
      </c>
      <c r="E5104" s="9" t="s">
        <v>2674</v>
      </c>
      <c r="I5104" s="12"/>
      <c r="J5104" s="11">
        <v>0.0</v>
      </c>
      <c r="K5104" s="12" t="s">
        <v>3075</v>
      </c>
      <c r="L5104" s="13" t="s">
        <v>3075</v>
      </c>
      <c r="M5104" s="9" t="s">
        <v>3075</v>
      </c>
    </row>
    <row r="5105" ht="15.75" customHeight="1">
      <c r="A5105" s="8"/>
      <c r="B5105" s="8"/>
      <c r="C5105" s="8"/>
      <c r="D5105" s="8">
        <v>1.93819652379388</v>
      </c>
      <c r="E5105" s="9" t="s">
        <v>3297</v>
      </c>
      <c r="I5105" s="12"/>
      <c r="J5105" s="11">
        <v>0.0</v>
      </c>
      <c r="K5105" s="12" t="s">
        <v>3075</v>
      </c>
      <c r="L5105" s="13" t="s">
        <v>3075</v>
      </c>
      <c r="M5105" s="9" t="s">
        <v>3075</v>
      </c>
    </row>
    <row r="5106" ht="15.75" customHeight="1">
      <c r="A5106" s="8"/>
      <c r="B5106" s="8"/>
      <c r="C5106" s="8"/>
      <c r="D5106" s="8">
        <v>0.290516653095578</v>
      </c>
      <c r="E5106" s="9" t="s">
        <v>2677</v>
      </c>
      <c r="I5106" s="12"/>
      <c r="J5106" s="11">
        <v>0.0</v>
      </c>
      <c r="K5106" s="12" t="s">
        <v>3075</v>
      </c>
      <c r="L5106" s="13" t="s">
        <v>3075</v>
      </c>
      <c r="M5106" s="9" t="s">
        <v>3075</v>
      </c>
    </row>
    <row r="5107" ht="15.75" customHeight="1">
      <c r="A5107" s="8"/>
      <c r="B5107" s="8"/>
      <c r="C5107" s="8"/>
      <c r="D5107" s="8">
        <v>10.3037024439563</v>
      </c>
      <c r="E5107" s="9" t="s">
        <v>3298</v>
      </c>
      <c r="I5107" s="12"/>
      <c r="J5107" s="11">
        <v>0.0</v>
      </c>
      <c r="K5107" s="12" t="s">
        <v>3075</v>
      </c>
      <c r="L5107" s="13" t="s">
        <v>3075</v>
      </c>
      <c r="M5107" s="9" t="s">
        <v>3075</v>
      </c>
    </row>
    <row r="5108" ht="15.75" customHeight="1">
      <c r="A5108" s="8"/>
      <c r="B5108" s="8"/>
      <c r="C5108" s="8"/>
      <c r="D5108" s="8">
        <v>1.00470358900371</v>
      </c>
      <c r="E5108" s="9" t="s">
        <v>2682</v>
      </c>
      <c r="I5108" s="12"/>
      <c r="J5108" s="11">
        <v>0.0</v>
      </c>
      <c r="K5108" s="12" t="s">
        <v>3075</v>
      </c>
      <c r="L5108" s="13" t="s">
        <v>3075</v>
      </c>
      <c r="M5108" s="9" t="s">
        <v>3075</v>
      </c>
    </row>
    <row r="5109" ht="15.75" customHeight="1">
      <c r="A5109" s="8"/>
      <c r="B5109" s="8"/>
      <c r="C5109" s="8"/>
      <c r="D5109" s="8">
        <v>11.6747420267408</v>
      </c>
      <c r="E5109" s="9" t="s">
        <v>2683</v>
      </c>
      <c r="I5109" s="12"/>
      <c r="J5109" s="11">
        <v>0.0</v>
      </c>
      <c r="K5109" s="12" t="s">
        <v>3075</v>
      </c>
      <c r="L5109" s="13" t="s">
        <v>3075</v>
      </c>
      <c r="M5109" s="9" t="s">
        <v>3075</v>
      </c>
    </row>
    <row r="5110" ht="15.75" customHeight="1">
      <c r="A5110" s="8"/>
      <c r="B5110" s="8"/>
      <c r="C5110" s="8"/>
      <c r="D5110" s="8">
        <v>21.5191994284375</v>
      </c>
      <c r="E5110" s="9" t="s">
        <v>3299</v>
      </c>
      <c r="I5110" s="12"/>
      <c r="J5110" s="11">
        <v>0.0</v>
      </c>
      <c r="K5110" s="12" t="s">
        <v>3075</v>
      </c>
      <c r="L5110" s="13" t="s">
        <v>3075</v>
      </c>
      <c r="M5110" s="9" t="s">
        <v>3075</v>
      </c>
    </row>
    <row r="5111" ht="15.75" customHeight="1">
      <c r="A5111" s="8"/>
      <c r="B5111" s="8"/>
      <c r="C5111" s="8"/>
      <c r="D5111" s="8">
        <v>8314.16010980299</v>
      </c>
      <c r="E5111" s="9" t="s">
        <v>2691</v>
      </c>
      <c r="I5111" s="12"/>
      <c r="J5111" s="11">
        <v>0.0</v>
      </c>
      <c r="K5111" s="12" t="s">
        <v>3075</v>
      </c>
      <c r="L5111" s="13" t="s">
        <v>3075</v>
      </c>
      <c r="M5111" s="9" t="s">
        <v>3075</v>
      </c>
    </row>
    <row r="5112" ht="15.75" customHeight="1">
      <c r="A5112" s="8"/>
      <c r="B5112" s="8"/>
      <c r="C5112" s="8"/>
      <c r="D5112" s="8">
        <v>1.94579033779014</v>
      </c>
      <c r="E5112" s="9" t="s">
        <v>2694</v>
      </c>
      <c r="I5112" s="12"/>
      <c r="J5112" s="11">
        <v>0.0</v>
      </c>
      <c r="K5112" s="12" t="s">
        <v>3075</v>
      </c>
      <c r="L5112" s="13" t="s">
        <v>3075</v>
      </c>
      <c r="M5112" s="9" t="s">
        <v>3075</v>
      </c>
    </row>
    <row r="5113" ht="15.75" customHeight="1">
      <c r="A5113" s="8"/>
      <c r="B5113" s="8"/>
      <c r="C5113" s="8"/>
      <c r="D5113" s="8">
        <v>1.94579033779014</v>
      </c>
      <c r="E5113" s="9" t="s">
        <v>2696</v>
      </c>
      <c r="I5113" s="12"/>
      <c r="J5113" s="11">
        <v>0.0</v>
      </c>
      <c r="K5113" s="12" t="s">
        <v>3075</v>
      </c>
      <c r="L5113" s="13" t="s">
        <v>3075</v>
      </c>
      <c r="M5113" s="9" t="s">
        <v>3075</v>
      </c>
    </row>
    <row r="5114" ht="15.75" customHeight="1">
      <c r="A5114" s="8"/>
      <c r="B5114" s="8"/>
      <c r="C5114" s="8"/>
      <c r="D5114" s="8">
        <v>1.98470614454594</v>
      </c>
      <c r="E5114" s="9" t="s">
        <v>3176</v>
      </c>
      <c r="I5114" s="12"/>
      <c r="J5114" s="11">
        <v>0.0</v>
      </c>
      <c r="K5114" s="12" t="s">
        <v>3075</v>
      </c>
      <c r="L5114" s="13" t="s">
        <v>3075</v>
      </c>
      <c r="M5114" s="9" t="s">
        <v>3075</v>
      </c>
    </row>
    <row r="5115" ht="15.75" customHeight="1">
      <c r="A5115" s="8"/>
      <c r="B5115" s="8"/>
      <c r="C5115" s="8"/>
      <c r="D5115" s="8">
        <v>0.363162295571782</v>
      </c>
      <c r="E5115" s="9" t="s">
        <v>2703</v>
      </c>
      <c r="I5115" s="12"/>
      <c r="J5115" s="11">
        <v>0.0</v>
      </c>
      <c r="K5115" s="12" t="s">
        <v>3075</v>
      </c>
      <c r="L5115" s="13" t="s">
        <v>3075</v>
      </c>
      <c r="M5115" s="9" t="s">
        <v>3075</v>
      </c>
    </row>
    <row r="5116" ht="15.75" customHeight="1">
      <c r="A5116" s="8"/>
      <c r="B5116" s="8"/>
      <c r="C5116" s="8"/>
      <c r="D5116" s="8">
        <v>149.922600667317</v>
      </c>
      <c r="E5116" s="9" t="s">
        <v>2707</v>
      </c>
      <c r="I5116" s="12"/>
      <c r="J5116" s="11">
        <v>0.0</v>
      </c>
      <c r="K5116" s="12" t="s">
        <v>3075</v>
      </c>
      <c r="L5116" s="13" t="s">
        <v>3075</v>
      </c>
      <c r="M5116" s="9" t="s">
        <v>3075</v>
      </c>
    </row>
    <row r="5117" ht="15.75" customHeight="1">
      <c r="A5117" s="8"/>
      <c r="B5117" s="8"/>
      <c r="C5117" s="8"/>
      <c r="D5117" s="8">
        <v>8.0819548674873</v>
      </c>
      <c r="E5117" s="9" t="s">
        <v>2708</v>
      </c>
      <c r="I5117" s="12"/>
      <c r="J5117" s="11">
        <v>0.0</v>
      </c>
      <c r="K5117" s="12" t="s">
        <v>3075</v>
      </c>
      <c r="L5117" s="13" t="s">
        <v>3075</v>
      </c>
      <c r="M5117" s="9" t="s">
        <v>3075</v>
      </c>
    </row>
    <row r="5118" ht="15.75" customHeight="1">
      <c r="A5118" s="8"/>
      <c r="B5118" s="8"/>
      <c r="C5118" s="8"/>
      <c r="D5118" s="8">
        <v>11.8704199992558</v>
      </c>
      <c r="E5118" s="9" t="s">
        <v>2710</v>
      </c>
      <c r="I5118" s="12"/>
      <c r="J5118" s="11">
        <v>0.0</v>
      </c>
      <c r="K5118" s="12" t="s">
        <v>3075</v>
      </c>
      <c r="L5118" s="13" t="s">
        <v>3075</v>
      </c>
      <c r="M5118" s="9" t="s">
        <v>3075</v>
      </c>
    </row>
    <row r="5119" ht="15.75" customHeight="1">
      <c r="A5119" s="8"/>
      <c r="B5119" s="8"/>
      <c r="C5119" s="8"/>
      <c r="D5119" s="8">
        <v>41.4765996116108</v>
      </c>
      <c r="E5119" s="9" t="s">
        <v>2715</v>
      </c>
      <c r="I5119" s="12"/>
      <c r="J5119" s="11">
        <v>0.0</v>
      </c>
      <c r="K5119" s="12" t="s">
        <v>3075</v>
      </c>
      <c r="L5119" s="13" t="s">
        <v>3075</v>
      </c>
      <c r="M5119" s="9" t="s">
        <v>3075</v>
      </c>
    </row>
    <row r="5120" ht="15.75" customHeight="1">
      <c r="A5120" s="8"/>
      <c r="B5120" s="8"/>
      <c r="C5120" s="8"/>
      <c r="D5120" s="8">
        <v>15.408357028168</v>
      </c>
      <c r="E5120" s="9" t="s">
        <v>2725</v>
      </c>
      <c r="I5120" s="12"/>
      <c r="J5120" s="11">
        <v>0.0</v>
      </c>
      <c r="K5120" s="12" t="s">
        <v>3075</v>
      </c>
      <c r="L5120" s="13" t="s">
        <v>3075</v>
      </c>
      <c r="M5120" s="9" t="s">
        <v>3075</v>
      </c>
    </row>
    <row r="5121" ht="15.75" customHeight="1">
      <c r="A5121" s="8"/>
      <c r="B5121" s="8"/>
      <c r="C5121" s="8"/>
      <c r="D5121" s="8">
        <v>0.473101596834222</v>
      </c>
      <c r="E5121" s="9" t="s">
        <v>3300</v>
      </c>
      <c r="I5121" s="12"/>
      <c r="J5121" s="11">
        <v>0.0</v>
      </c>
      <c r="K5121" s="12" t="s">
        <v>3075</v>
      </c>
      <c r="L5121" s="13" t="s">
        <v>3075</v>
      </c>
      <c r="M5121" s="9" t="s">
        <v>3075</v>
      </c>
    </row>
    <row r="5122" ht="15.75" customHeight="1">
      <c r="A5122" s="8"/>
      <c r="B5122" s="8"/>
      <c r="C5122" s="8"/>
      <c r="D5122" s="8">
        <v>46.6989681069634</v>
      </c>
      <c r="E5122" s="9" t="s">
        <v>2741</v>
      </c>
      <c r="I5122" s="12"/>
      <c r="J5122" s="11">
        <v>0.0</v>
      </c>
      <c r="K5122" s="12" t="s">
        <v>3075</v>
      </c>
      <c r="L5122" s="13" t="s">
        <v>3075</v>
      </c>
      <c r="M5122" s="9" t="s">
        <v>3075</v>
      </c>
    </row>
    <row r="5123" ht="15.75" customHeight="1">
      <c r="A5123" s="8"/>
      <c r="B5123" s="8"/>
      <c r="C5123" s="8"/>
      <c r="D5123" s="8">
        <v>1.94579033779014</v>
      </c>
      <c r="E5123" s="9" t="s">
        <v>2751</v>
      </c>
      <c r="I5123" s="12"/>
      <c r="J5123" s="11">
        <v>0.0</v>
      </c>
      <c r="K5123" s="12" t="s">
        <v>3075</v>
      </c>
      <c r="L5123" s="13" t="s">
        <v>3075</v>
      </c>
      <c r="M5123" s="9" t="s">
        <v>3075</v>
      </c>
    </row>
    <row r="5124" ht="15.75" customHeight="1">
      <c r="A5124" s="8"/>
      <c r="B5124" s="8"/>
      <c r="C5124" s="8"/>
      <c r="D5124" s="8">
        <v>2.04746835712906</v>
      </c>
      <c r="E5124" s="9" t="s">
        <v>2754</v>
      </c>
      <c r="I5124" s="12"/>
      <c r="J5124" s="11">
        <v>0.0</v>
      </c>
      <c r="K5124" s="12" t="s">
        <v>3075</v>
      </c>
      <c r="L5124" s="13" t="s">
        <v>3075</v>
      </c>
      <c r="M5124" s="9" t="s">
        <v>3075</v>
      </c>
    </row>
    <row r="5125" ht="15.75" customHeight="1">
      <c r="A5125" s="8"/>
      <c r="B5125" s="8"/>
      <c r="C5125" s="8"/>
      <c r="D5125" s="8">
        <v>202.662650538246</v>
      </c>
      <c r="E5125" s="9" t="s">
        <v>2759</v>
      </c>
      <c r="I5125" s="12"/>
      <c r="J5125" s="11">
        <v>0.0</v>
      </c>
      <c r="K5125" s="12" t="s">
        <v>3075</v>
      </c>
      <c r="L5125" s="13" t="s">
        <v>3075</v>
      </c>
      <c r="M5125" s="9" t="s">
        <v>3075</v>
      </c>
    </row>
    <row r="5126" ht="15.75" customHeight="1">
      <c r="A5126" s="8"/>
      <c r="B5126" s="8"/>
      <c r="C5126" s="8"/>
      <c r="D5126" s="8">
        <v>56.7781620567164</v>
      </c>
      <c r="E5126" s="9" t="s">
        <v>2763</v>
      </c>
      <c r="I5126" s="12"/>
      <c r="J5126" s="11">
        <v>0.0</v>
      </c>
      <c r="K5126" s="12" t="s">
        <v>3075</v>
      </c>
      <c r="L5126" s="13" t="s">
        <v>3075</v>
      </c>
      <c r="M5126" s="9" t="s">
        <v>3075</v>
      </c>
    </row>
    <row r="5127" ht="15.75" customHeight="1">
      <c r="A5127" s="8"/>
      <c r="B5127" s="8"/>
      <c r="C5127" s="8"/>
      <c r="D5127" s="8">
        <v>588.118041644825</v>
      </c>
      <c r="E5127" s="9" t="s">
        <v>2764</v>
      </c>
      <c r="I5127" s="12"/>
      <c r="J5127" s="11">
        <v>0.0</v>
      </c>
      <c r="K5127" s="12" t="s">
        <v>3075</v>
      </c>
      <c r="L5127" s="13" t="s">
        <v>3075</v>
      </c>
      <c r="M5127" s="9" t="s">
        <v>3075</v>
      </c>
    </row>
    <row r="5128" ht="15.75" customHeight="1">
      <c r="A5128" s="8"/>
      <c r="B5128" s="8"/>
      <c r="C5128" s="8"/>
      <c r="D5128" s="8">
        <v>7.88345473395339</v>
      </c>
      <c r="E5128" s="9" t="s">
        <v>2767</v>
      </c>
      <c r="I5128" s="12"/>
      <c r="J5128" s="11">
        <v>0.0</v>
      </c>
      <c r="K5128" s="12" t="s">
        <v>3075</v>
      </c>
      <c r="L5128" s="13" t="s">
        <v>3075</v>
      </c>
      <c r="M5128" s="9" t="s">
        <v>3075</v>
      </c>
    </row>
    <row r="5129" ht="15.75" customHeight="1">
      <c r="A5129" s="8"/>
      <c r="B5129" s="8"/>
      <c r="C5129" s="8"/>
      <c r="D5129" s="8">
        <v>25.6818613041641</v>
      </c>
      <c r="E5129" s="9" t="s">
        <v>3301</v>
      </c>
      <c r="I5129" s="12"/>
      <c r="J5129" s="11">
        <v>0.0</v>
      </c>
      <c r="K5129" s="12" t="s">
        <v>3075</v>
      </c>
      <c r="L5129" s="13" t="s">
        <v>3075</v>
      </c>
      <c r="M5129" s="9" t="s">
        <v>3075</v>
      </c>
    </row>
    <row r="5130" ht="15.75" customHeight="1">
      <c r="A5130" s="8"/>
      <c r="B5130" s="8"/>
      <c r="C5130" s="8"/>
      <c r="D5130" s="8">
        <v>186.795872427853</v>
      </c>
      <c r="E5130" s="9" t="s">
        <v>2780</v>
      </c>
      <c r="I5130" s="12"/>
      <c r="J5130" s="11">
        <v>0.0</v>
      </c>
      <c r="K5130" s="12" t="s">
        <v>3075</v>
      </c>
      <c r="L5130" s="13" t="s">
        <v>3075</v>
      </c>
      <c r="M5130" s="9" t="s">
        <v>3075</v>
      </c>
    </row>
    <row r="5131" ht="15.75" customHeight="1">
      <c r="A5131" s="8"/>
      <c r="B5131" s="8"/>
      <c r="C5131" s="8"/>
      <c r="D5131" s="8">
        <v>26.9459367698239</v>
      </c>
      <c r="E5131" s="9" t="s">
        <v>2800</v>
      </c>
      <c r="I5131" s="12"/>
      <c r="J5131" s="11">
        <v>0.0</v>
      </c>
      <c r="K5131" s="12" t="s">
        <v>3075</v>
      </c>
      <c r="L5131" s="13" t="s">
        <v>3075</v>
      </c>
      <c r="M5131" s="9" t="s">
        <v>3075</v>
      </c>
    </row>
    <row r="5132" ht="15.75" customHeight="1">
      <c r="A5132" s="8"/>
      <c r="B5132" s="8"/>
      <c r="C5132" s="8"/>
      <c r="D5132" s="8">
        <v>15.0525477366787</v>
      </c>
      <c r="E5132" s="9" t="s">
        <v>2802</v>
      </c>
      <c r="I5132" s="12"/>
      <c r="J5132" s="11">
        <v>0.0</v>
      </c>
      <c r="K5132" s="12" t="s">
        <v>3075</v>
      </c>
      <c r="L5132" s="13" t="s">
        <v>3075</v>
      </c>
      <c r="M5132" s="9" t="s">
        <v>3075</v>
      </c>
    </row>
    <row r="5133" ht="15.75" customHeight="1">
      <c r="A5133" s="8"/>
      <c r="B5133" s="8"/>
      <c r="C5133" s="8"/>
      <c r="D5133" s="8">
        <v>1.43809525579912</v>
      </c>
      <c r="E5133" s="9" t="s">
        <v>2811</v>
      </c>
      <c r="I5133" s="12"/>
      <c r="J5133" s="11">
        <v>0.0</v>
      </c>
      <c r="K5133" s="12" t="s">
        <v>3075</v>
      </c>
      <c r="L5133" s="13" t="s">
        <v>3075</v>
      </c>
      <c r="M5133" s="9" t="s">
        <v>3075</v>
      </c>
    </row>
    <row r="5134" ht="15.75" customHeight="1">
      <c r="A5134" s="8"/>
      <c r="B5134" s="8"/>
      <c r="C5134" s="8"/>
      <c r="D5134" s="8">
        <v>63.5765772927163</v>
      </c>
      <c r="E5134" s="9" t="s">
        <v>2812</v>
      </c>
      <c r="I5134" s="12"/>
      <c r="J5134" s="11">
        <v>0.0</v>
      </c>
      <c r="K5134" s="12" t="s">
        <v>3075</v>
      </c>
      <c r="L5134" s="13" t="s">
        <v>3075</v>
      </c>
      <c r="M5134" s="9" t="s">
        <v>3075</v>
      </c>
    </row>
    <row r="5135" ht="15.75" customHeight="1">
      <c r="A5135" s="8"/>
      <c r="B5135" s="8"/>
      <c r="C5135" s="8"/>
      <c r="D5135" s="8">
        <v>1.59894792936142</v>
      </c>
      <c r="E5135" s="9" t="s">
        <v>3302</v>
      </c>
      <c r="I5135" s="12"/>
      <c r="J5135" s="11">
        <v>0.0</v>
      </c>
      <c r="K5135" s="12" t="s">
        <v>3075</v>
      </c>
      <c r="L5135" s="13" t="s">
        <v>3075</v>
      </c>
      <c r="M5135" s="9" t="s">
        <v>3075</v>
      </c>
    </row>
    <row r="5136" ht="15.75" customHeight="1">
      <c r="A5136" s="8"/>
      <c r="B5136" s="8"/>
      <c r="C5136" s="8"/>
      <c r="D5136" s="8">
        <v>0.936877750181965</v>
      </c>
      <c r="E5136" s="9" t="s">
        <v>3183</v>
      </c>
      <c r="I5136" s="12"/>
      <c r="J5136" s="11">
        <v>0.0</v>
      </c>
      <c r="K5136" s="12" t="s">
        <v>3075</v>
      </c>
      <c r="L5136" s="13" t="s">
        <v>3075</v>
      </c>
      <c r="M5136" s="9" t="s">
        <v>3075</v>
      </c>
    </row>
    <row r="5137" ht="15.75" customHeight="1">
      <c r="A5137" s="8"/>
      <c r="B5137" s="8"/>
      <c r="C5137" s="8"/>
      <c r="D5137" s="8">
        <v>7.85884373603937</v>
      </c>
      <c r="E5137" s="9" t="s">
        <v>2829</v>
      </c>
      <c r="I5137" s="12"/>
      <c r="J5137" s="11">
        <v>0.0</v>
      </c>
      <c r="K5137" s="12" t="s">
        <v>3075</v>
      </c>
      <c r="L5137" s="13" t="s">
        <v>3075</v>
      </c>
      <c r="M5137" s="9" t="s">
        <v>3075</v>
      </c>
    </row>
    <row r="5138" ht="15.75" customHeight="1">
      <c r="A5138" s="8"/>
      <c r="B5138" s="8"/>
      <c r="C5138" s="8"/>
      <c r="D5138" s="8">
        <v>25.7525811026985</v>
      </c>
      <c r="E5138" s="9" t="s">
        <v>2830</v>
      </c>
      <c r="I5138" s="12"/>
      <c r="J5138" s="11">
        <v>0.0</v>
      </c>
      <c r="K5138" s="12" t="s">
        <v>3075</v>
      </c>
      <c r="L5138" s="13" t="s">
        <v>3075</v>
      </c>
      <c r="M5138" s="9" t="s">
        <v>3075</v>
      </c>
    </row>
    <row r="5139" ht="15.75" customHeight="1">
      <c r="A5139" s="8"/>
      <c r="B5139" s="8"/>
      <c r="C5139" s="8"/>
      <c r="D5139" s="8">
        <v>10.3654119336034</v>
      </c>
      <c r="E5139" s="9" t="s">
        <v>2834</v>
      </c>
      <c r="I5139" s="12"/>
      <c r="J5139" s="11">
        <v>0.0</v>
      </c>
      <c r="K5139" s="12" t="s">
        <v>3075</v>
      </c>
      <c r="L5139" s="13" t="s">
        <v>3075</v>
      </c>
      <c r="M5139" s="9" t="s">
        <v>3075</v>
      </c>
    </row>
    <row r="5140" ht="15.75" customHeight="1">
      <c r="A5140" s="8"/>
      <c r="B5140" s="8"/>
      <c r="C5140" s="8"/>
      <c r="D5140" s="8">
        <v>1.7455992122773</v>
      </c>
      <c r="E5140" s="9" t="s">
        <v>2837</v>
      </c>
      <c r="I5140" s="12"/>
      <c r="J5140" s="11">
        <v>0.0</v>
      </c>
      <c r="K5140" s="12" t="s">
        <v>3075</v>
      </c>
      <c r="L5140" s="13" t="s">
        <v>3075</v>
      </c>
      <c r="M5140" s="9" t="s">
        <v>3075</v>
      </c>
    </row>
    <row r="5141" ht="15.75" customHeight="1">
      <c r="A5141" s="8"/>
      <c r="B5141" s="8"/>
      <c r="C5141" s="8"/>
      <c r="D5141" s="8">
        <v>2.86201044577984</v>
      </c>
      <c r="E5141" s="9" t="s">
        <v>2838</v>
      </c>
      <c r="I5141" s="12"/>
      <c r="J5141" s="11">
        <v>0.0</v>
      </c>
      <c r="K5141" s="12" t="s">
        <v>3075</v>
      </c>
      <c r="L5141" s="13" t="s">
        <v>3075</v>
      </c>
      <c r="M5141" s="9" t="s">
        <v>3075</v>
      </c>
    </row>
    <row r="5142" ht="15.75" customHeight="1">
      <c r="A5142" s="8"/>
      <c r="B5142" s="8"/>
      <c r="C5142" s="8"/>
      <c r="D5142" s="8">
        <v>11.7136578334966</v>
      </c>
      <c r="E5142" s="9" t="s">
        <v>3303</v>
      </c>
      <c r="I5142" s="12"/>
      <c r="J5142" s="11">
        <v>0.0</v>
      </c>
      <c r="K5142" s="12" t="s">
        <v>3075</v>
      </c>
      <c r="L5142" s="13" t="s">
        <v>3075</v>
      </c>
      <c r="M5142" s="9" t="s">
        <v>3075</v>
      </c>
    </row>
    <row r="5143" ht="15.75" customHeight="1">
      <c r="A5143" s="8"/>
      <c r="B5143" s="8"/>
      <c r="C5143" s="8"/>
      <c r="D5143" s="8">
        <v>0.069929483572356</v>
      </c>
      <c r="E5143" s="9" t="s">
        <v>3184</v>
      </c>
      <c r="I5143" s="12"/>
      <c r="J5143" s="11">
        <v>0.0</v>
      </c>
      <c r="K5143" s="12" t="s">
        <v>3075</v>
      </c>
      <c r="L5143" s="13" t="s">
        <v>3075</v>
      </c>
      <c r="M5143" s="9" t="s">
        <v>3075</v>
      </c>
    </row>
    <row r="5144" ht="15.75" customHeight="1">
      <c r="A5144" s="8"/>
      <c r="B5144" s="8"/>
      <c r="C5144" s="8"/>
      <c r="D5144" s="8">
        <v>14.9825856009841</v>
      </c>
      <c r="E5144" s="9" t="s">
        <v>3304</v>
      </c>
      <c r="I5144" s="12"/>
      <c r="J5144" s="11">
        <v>0.0</v>
      </c>
      <c r="K5144" s="12" t="s">
        <v>3075</v>
      </c>
      <c r="L5144" s="13" t="s">
        <v>3075</v>
      </c>
      <c r="M5144" s="9" t="s">
        <v>3075</v>
      </c>
    </row>
    <row r="5145" ht="15.75" customHeight="1">
      <c r="A5145" s="8"/>
      <c r="B5145" s="8"/>
      <c r="C5145" s="8"/>
      <c r="D5145" s="8">
        <v>10.0958505533025</v>
      </c>
      <c r="E5145" s="9" t="s">
        <v>3305</v>
      </c>
      <c r="I5145" s="12"/>
      <c r="J5145" s="11">
        <v>0.0</v>
      </c>
      <c r="K5145" s="12" t="s">
        <v>3075</v>
      </c>
      <c r="L5145" s="13" t="s">
        <v>3075</v>
      </c>
      <c r="M5145" s="9" t="s">
        <v>3075</v>
      </c>
    </row>
    <row r="5146" ht="15.75" customHeight="1">
      <c r="A5146" s="8"/>
      <c r="B5146" s="8"/>
      <c r="C5146" s="8"/>
      <c r="D5146" s="8">
        <v>85.6147748627663</v>
      </c>
      <c r="E5146" s="9" t="s">
        <v>2857</v>
      </c>
      <c r="I5146" s="12"/>
      <c r="J5146" s="11">
        <v>0.0</v>
      </c>
      <c r="K5146" s="12" t="s">
        <v>3075</v>
      </c>
      <c r="L5146" s="13" t="s">
        <v>3075</v>
      </c>
      <c r="M5146" s="9" t="s">
        <v>3075</v>
      </c>
    </row>
    <row r="5147" ht="15.75" customHeight="1">
      <c r="A5147" s="8"/>
      <c r="B5147" s="8"/>
      <c r="C5147" s="8"/>
      <c r="D5147" s="8">
        <v>8.18488922430073</v>
      </c>
      <c r="E5147" s="9" t="s">
        <v>2861</v>
      </c>
      <c r="I5147" s="12"/>
      <c r="J5147" s="11">
        <v>0.0</v>
      </c>
      <c r="K5147" s="12" t="s">
        <v>3075</v>
      </c>
      <c r="L5147" s="13" t="s">
        <v>3075</v>
      </c>
      <c r="M5147" s="9" t="s">
        <v>3075</v>
      </c>
    </row>
    <row r="5148" ht="15.75" customHeight="1">
      <c r="A5148" s="8"/>
      <c r="B5148" s="8"/>
      <c r="C5148" s="8"/>
      <c r="D5148" s="8">
        <v>1.95841851186768</v>
      </c>
      <c r="E5148" s="9" t="s">
        <v>2865</v>
      </c>
      <c r="I5148" s="12"/>
      <c r="J5148" s="11">
        <v>0.0</v>
      </c>
      <c r="K5148" s="12" t="s">
        <v>3075</v>
      </c>
      <c r="L5148" s="13" t="s">
        <v>3075</v>
      </c>
      <c r="M5148" s="9" t="s">
        <v>3075</v>
      </c>
    </row>
    <row r="5149" ht="15.75" customHeight="1">
      <c r="A5149" s="8"/>
      <c r="B5149" s="8"/>
      <c r="C5149" s="8"/>
      <c r="D5149" s="8">
        <v>10.7602689673403</v>
      </c>
      <c r="E5149" s="9" t="s">
        <v>3306</v>
      </c>
      <c r="I5149" s="12"/>
      <c r="J5149" s="11">
        <v>0.0</v>
      </c>
      <c r="K5149" s="12" t="s">
        <v>3075</v>
      </c>
      <c r="L5149" s="13" t="s">
        <v>3075</v>
      </c>
      <c r="M5149" s="9" t="s">
        <v>3075</v>
      </c>
    </row>
    <row r="5150" ht="15.75" customHeight="1">
      <c r="A5150" s="8"/>
      <c r="B5150" s="8"/>
      <c r="C5150" s="8"/>
      <c r="D5150" s="8">
        <v>24.4624841060976</v>
      </c>
      <c r="E5150" s="9" t="s">
        <v>2874</v>
      </c>
      <c r="I5150" s="12"/>
      <c r="J5150" s="11">
        <v>0.0</v>
      </c>
      <c r="K5150" s="12" t="s">
        <v>3075</v>
      </c>
      <c r="L5150" s="13" t="s">
        <v>3075</v>
      </c>
      <c r="M5150" s="9" t="s">
        <v>3075</v>
      </c>
    </row>
    <row r="5151" ht="15.75" customHeight="1">
      <c r="A5151" s="8"/>
      <c r="B5151" s="8"/>
      <c r="C5151" s="8"/>
      <c r="D5151" s="8">
        <v>1.76206498323429</v>
      </c>
      <c r="E5151" s="9" t="s">
        <v>2876</v>
      </c>
      <c r="I5151" s="12"/>
      <c r="J5151" s="11">
        <v>0.0</v>
      </c>
      <c r="K5151" s="12" t="s">
        <v>3075</v>
      </c>
      <c r="L5151" s="13" t="s">
        <v>3075</v>
      </c>
      <c r="M5151" s="9" t="s">
        <v>3075</v>
      </c>
    </row>
    <row r="5152" ht="15.75" customHeight="1">
      <c r="A5152" s="8"/>
      <c r="B5152" s="8"/>
      <c r="C5152" s="8"/>
      <c r="D5152" s="8">
        <v>10.260691861686</v>
      </c>
      <c r="E5152" s="9" t="s">
        <v>2888</v>
      </c>
      <c r="I5152" s="12"/>
      <c r="J5152" s="11">
        <v>0.0</v>
      </c>
      <c r="K5152" s="12" t="s">
        <v>3075</v>
      </c>
      <c r="L5152" s="13" t="s">
        <v>3075</v>
      </c>
      <c r="M5152" s="9" t="s">
        <v>3075</v>
      </c>
    </row>
    <row r="5153" ht="15.75" customHeight="1">
      <c r="A5153" s="8"/>
      <c r="B5153" s="8"/>
      <c r="C5153" s="8"/>
      <c r="D5153" s="8">
        <v>1.94579033779014</v>
      </c>
      <c r="E5153" s="9" t="s">
        <v>2891</v>
      </c>
      <c r="I5153" s="12"/>
      <c r="J5153" s="11">
        <v>0.0</v>
      </c>
      <c r="K5153" s="12" t="s">
        <v>3075</v>
      </c>
      <c r="L5153" s="13" t="s">
        <v>3075</v>
      </c>
      <c r="M5153" s="9" t="s">
        <v>3075</v>
      </c>
    </row>
    <row r="5154" ht="15.75" customHeight="1">
      <c r="A5154" s="8"/>
      <c r="B5154" s="8"/>
      <c r="C5154" s="8"/>
      <c r="D5154" s="8">
        <v>16.8760745447028</v>
      </c>
      <c r="E5154" s="9" t="s">
        <v>2895</v>
      </c>
      <c r="I5154" s="12"/>
      <c r="J5154" s="11">
        <v>0.0</v>
      </c>
      <c r="K5154" s="12" t="s">
        <v>3075</v>
      </c>
      <c r="L5154" s="13" t="s">
        <v>3075</v>
      </c>
      <c r="M5154" s="9" t="s">
        <v>3075</v>
      </c>
    </row>
    <row r="5155" ht="15.75" customHeight="1">
      <c r="A5155" s="8"/>
      <c r="B5155" s="8"/>
      <c r="C5155" s="8"/>
      <c r="D5155" s="8">
        <v>31.7958524314085</v>
      </c>
      <c r="E5155" s="9" t="s">
        <v>2901</v>
      </c>
      <c r="I5155" s="12"/>
      <c r="J5155" s="11">
        <v>0.0</v>
      </c>
      <c r="K5155" s="12" t="s">
        <v>3075</v>
      </c>
      <c r="L5155" s="13" t="s">
        <v>3075</v>
      </c>
      <c r="M5155" s="9" t="s">
        <v>3075</v>
      </c>
    </row>
    <row r="5156" ht="15.75" customHeight="1">
      <c r="A5156" s="8"/>
      <c r="B5156" s="8"/>
      <c r="C5156" s="8"/>
      <c r="D5156" s="8">
        <v>11.0400600309165</v>
      </c>
      <c r="E5156" s="9" t="s">
        <v>2908</v>
      </c>
      <c r="I5156" s="12"/>
      <c r="J5156" s="11">
        <v>0.0</v>
      </c>
      <c r="K5156" s="12" t="s">
        <v>3075</v>
      </c>
      <c r="L5156" s="13" t="s">
        <v>3075</v>
      </c>
      <c r="M5156" s="9" t="s">
        <v>3075</v>
      </c>
    </row>
    <row r="5157" ht="15.75" customHeight="1">
      <c r="A5157" s="8"/>
      <c r="B5157" s="8"/>
      <c r="C5157" s="8"/>
      <c r="D5157" s="8">
        <v>52.1620634974988</v>
      </c>
      <c r="E5157" s="9" t="s">
        <v>2910</v>
      </c>
      <c r="I5157" s="12"/>
      <c r="J5157" s="11">
        <v>0.0</v>
      </c>
      <c r="K5157" s="12" t="s">
        <v>3075</v>
      </c>
      <c r="L5157" s="13" t="s">
        <v>3075</v>
      </c>
      <c r="M5157" s="9" t="s">
        <v>3075</v>
      </c>
    </row>
    <row r="5158" ht="15.75" customHeight="1">
      <c r="A5158" s="8"/>
      <c r="B5158" s="8"/>
      <c r="C5158" s="8"/>
      <c r="D5158" s="8">
        <v>1.94579033779014</v>
      </c>
      <c r="E5158" s="9" t="s">
        <v>3187</v>
      </c>
      <c r="I5158" s="12"/>
      <c r="J5158" s="11">
        <v>0.0</v>
      </c>
      <c r="K5158" s="12" t="s">
        <v>3075</v>
      </c>
      <c r="L5158" s="13" t="s">
        <v>3075</v>
      </c>
      <c r="M5158" s="9" t="s">
        <v>3075</v>
      </c>
    </row>
    <row r="5159" ht="15.75" customHeight="1">
      <c r="A5159" s="8"/>
      <c r="B5159" s="8"/>
      <c r="C5159" s="8"/>
      <c r="D5159" s="8">
        <v>7.78316135116057</v>
      </c>
      <c r="E5159" s="9" t="s">
        <v>2912</v>
      </c>
      <c r="I5159" s="12"/>
      <c r="J5159" s="11">
        <v>0.0</v>
      </c>
      <c r="K5159" s="12" t="s">
        <v>3075</v>
      </c>
      <c r="L5159" s="13" t="s">
        <v>3075</v>
      </c>
      <c r="M5159" s="9" t="s">
        <v>3075</v>
      </c>
    </row>
    <row r="5160" ht="15.75" customHeight="1">
      <c r="A5160" s="8"/>
      <c r="B5160" s="8"/>
      <c r="C5160" s="8"/>
      <c r="D5160" s="8">
        <v>175.957820246362</v>
      </c>
      <c r="E5160" s="9" t="s">
        <v>3307</v>
      </c>
      <c r="I5160" s="12"/>
      <c r="J5160" s="11">
        <v>0.0</v>
      </c>
      <c r="K5160" s="12" t="s">
        <v>3075</v>
      </c>
      <c r="L5160" s="13" t="s">
        <v>3075</v>
      </c>
      <c r="M5160" s="9" t="s">
        <v>3075</v>
      </c>
    </row>
    <row r="5161" ht="15.75" customHeight="1">
      <c r="A5161" s="8"/>
      <c r="B5161" s="8"/>
      <c r="C5161" s="8"/>
      <c r="D5161" s="8">
        <v>44.7699115660783</v>
      </c>
      <c r="E5161" s="9" t="s">
        <v>2916</v>
      </c>
      <c r="I5161" s="12"/>
      <c r="J5161" s="11">
        <v>0.0</v>
      </c>
      <c r="K5161" s="12" t="s">
        <v>3075</v>
      </c>
      <c r="L5161" s="13" t="s">
        <v>3075</v>
      </c>
      <c r="M5161" s="9" t="s">
        <v>3075</v>
      </c>
    </row>
    <row r="5162" ht="15.75" customHeight="1">
      <c r="A5162" s="8"/>
      <c r="B5162" s="8"/>
      <c r="C5162" s="8"/>
      <c r="D5162" s="8">
        <v>3208.91959346999</v>
      </c>
      <c r="E5162" s="9" t="s">
        <v>2917</v>
      </c>
      <c r="I5162" s="12"/>
      <c r="J5162" s="11">
        <v>0.0</v>
      </c>
      <c r="K5162" s="12" t="s">
        <v>3075</v>
      </c>
      <c r="L5162" s="13" t="s">
        <v>3075</v>
      </c>
      <c r="M5162" s="9" t="s">
        <v>3075</v>
      </c>
    </row>
    <row r="5163" ht="15.75" customHeight="1">
      <c r="A5163" s="8"/>
      <c r="B5163" s="8"/>
      <c r="C5163" s="8"/>
      <c r="D5163" s="8">
        <v>0.0407547724371376</v>
      </c>
      <c r="E5163" s="9" t="s">
        <v>2918</v>
      </c>
      <c r="I5163" s="12"/>
      <c r="J5163" s="11">
        <v>0.0</v>
      </c>
      <c r="K5163" s="12" t="s">
        <v>3075</v>
      </c>
      <c r="L5163" s="13" t="s">
        <v>3075</v>
      </c>
      <c r="M5163" s="9" t="s">
        <v>3075</v>
      </c>
    </row>
    <row r="5164" ht="15.75" customHeight="1">
      <c r="A5164" s="8"/>
      <c r="B5164" s="8"/>
      <c r="C5164" s="8"/>
      <c r="D5164" s="8">
        <v>33.334860018584</v>
      </c>
      <c r="E5164" s="9" t="s">
        <v>2925</v>
      </c>
      <c r="I5164" s="12"/>
      <c r="J5164" s="11">
        <v>0.0</v>
      </c>
      <c r="K5164" s="12" t="s">
        <v>3075</v>
      </c>
      <c r="L5164" s="13" t="s">
        <v>3075</v>
      </c>
      <c r="M5164" s="9" t="s">
        <v>3075</v>
      </c>
    </row>
    <row r="5165" ht="15.75" customHeight="1">
      <c r="A5165" s="8"/>
      <c r="B5165" s="8"/>
      <c r="C5165" s="8"/>
      <c r="D5165" s="8">
        <v>3.1224486708586</v>
      </c>
      <c r="E5165" s="9" t="s">
        <v>2927</v>
      </c>
      <c r="I5165" s="12"/>
      <c r="J5165" s="11">
        <v>0.0</v>
      </c>
      <c r="K5165" s="12" t="s">
        <v>3075</v>
      </c>
      <c r="L5165" s="13" t="s">
        <v>3075</v>
      </c>
      <c r="M5165" s="9" t="s">
        <v>3075</v>
      </c>
    </row>
    <row r="5166" ht="15.75" customHeight="1">
      <c r="A5166" s="8"/>
      <c r="B5166" s="8"/>
      <c r="C5166" s="8"/>
      <c r="D5166" s="8">
        <v>13.3418217086173</v>
      </c>
      <c r="E5166" s="9" t="s">
        <v>2936</v>
      </c>
      <c r="I5166" s="12"/>
      <c r="J5166" s="11">
        <v>0.0</v>
      </c>
      <c r="K5166" s="12" t="s">
        <v>3075</v>
      </c>
      <c r="L5166" s="13" t="s">
        <v>3075</v>
      </c>
      <c r="M5166" s="9" t="s">
        <v>3075</v>
      </c>
    </row>
    <row r="5167" ht="15.75" customHeight="1">
      <c r="A5167" s="8"/>
      <c r="B5167" s="8"/>
      <c r="C5167" s="8"/>
      <c r="D5167" s="8">
        <v>1.94579033779014</v>
      </c>
      <c r="E5167" s="9" t="s">
        <v>2937</v>
      </c>
      <c r="I5167" s="12"/>
      <c r="J5167" s="11">
        <v>0.0</v>
      </c>
      <c r="K5167" s="12" t="s">
        <v>3075</v>
      </c>
      <c r="L5167" s="13" t="s">
        <v>3075</v>
      </c>
      <c r="M5167" s="9" t="s">
        <v>3075</v>
      </c>
    </row>
    <row r="5168" ht="15.75" customHeight="1">
      <c r="A5168" s="8"/>
      <c r="B5168" s="8"/>
      <c r="C5168" s="8"/>
      <c r="D5168" s="8">
        <v>410.984445926756</v>
      </c>
      <c r="E5168" s="9" t="s">
        <v>2941</v>
      </c>
      <c r="I5168" s="12"/>
      <c r="J5168" s="11">
        <v>0.0</v>
      </c>
      <c r="K5168" s="12" t="s">
        <v>3075</v>
      </c>
      <c r="L5168" s="13" t="s">
        <v>3075</v>
      </c>
      <c r="M5168" s="9" t="s">
        <v>3075</v>
      </c>
    </row>
    <row r="5169" ht="15.75" customHeight="1">
      <c r="A5169" s="8"/>
      <c r="B5169" s="8"/>
      <c r="C5169" s="8"/>
      <c r="D5169" s="8">
        <v>27.241064729062</v>
      </c>
      <c r="E5169" s="9" t="s">
        <v>2951</v>
      </c>
      <c r="I5169" s="12"/>
      <c r="J5169" s="11">
        <v>0.0</v>
      </c>
      <c r="K5169" s="12" t="s">
        <v>3075</v>
      </c>
      <c r="L5169" s="13" t="s">
        <v>3075</v>
      </c>
      <c r="M5169" s="9" t="s">
        <v>3075</v>
      </c>
    </row>
    <row r="5170" ht="15.75" customHeight="1">
      <c r="A5170" s="8"/>
      <c r="B5170" s="8"/>
      <c r="C5170" s="8"/>
      <c r="D5170" s="8">
        <v>19.0784964322118</v>
      </c>
      <c r="E5170" s="9" t="s">
        <v>2956</v>
      </c>
      <c r="I5170" s="12"/>
      <c r="J5170" s="11">
        <v>0.0</v>
      </c>
      <c r="K5170" s="12" t="s">
        <v>3075</v>
      </c>
      <c r="L5170" s="13" t="s">
        <v>3075</v>
      </c>
      <c r="M5170" s="9" t="s">
        <v>3075</v>
      </c>
    </row>
    <row r="5171" ht="15.75" customHeight="1">
      <c r="A5171" s="8"/>
      <c r="B5171" s="8"/>
      <c r="C5171" s="8"/>
      <c r="D5171" s="8">
        <v>27.6708782446213</v>
      </c>
      <c r="E5171" s="9" t="s">
        <v>2965</v>
      </c>
      <c r="I5171" s="12"/>
      <c r="J5171" s="11">
        <v>0.0</v>
      </c>
      <c r="K5171" s="12" t="s">
        <v>3075</v>
      </c>
      <c r="L5171" s="13" t="s">
        <v>3075</v>
      </c>
      <c r="M5171" s="9" t="s">
        <v>3075</v>
      </c>
    </row>
    <row r="5172" ht="15.75" customHeight="1">
      <c r="A5172" s="8"/>
      <c r="B5172" s="8"/>
      <c r="C5172" s="8"/>
      <c r="D5172" s="8">
        <v>19.7405665513904</v>
      </c>
      <c r="E5172" s="9" t="s">
        <v>2971</v>
      </c>
      <c r="I5172" s="12"/>
      <c r="J5172" s="11">
        <v>0.0</v>
      </c>
      <c r="K5172" s="12" t="s">
        <v>3075</v>
      </c>
      <c r="L5172" s="13" t="s">
        <v>3075</v>
      </c>
      <c r="M5172" s="9" t="s">
        <v>3075</v>
      </c>
    </row>
    <row r="5173" ht="15.75" customHeight="1">
      <c r="A5173" s="8"/>
      <c r="B5173" s="8"/>
      <c r="C5173" s="8"/>
      <c r="D5173" s="8">
        <v>2.32016039878096</v>
      </c>
      <c r="E5173" s="9" t="s">
        <v>2973</v>
      </c>
      <c r="I5173" s="12"/>
      <c r="J5173" s="11">
        <v>0.0</v>
      </c>
      <c r="K5173" s="12" t="s">
        <v>3075</v>
      </c>
      <c r="L5173" s="13" t="s">
        <v>3075</v>
      </c>
      <c r="M5173" s="9" t="s">
        <v>3075</v>
      </c>
    </row>
    <row r="5174" ht="15.75" customHeight="1">
      <c r="A5174" s="8"/>
      <c r="B5174" s="8"/>
      <c r="C5174" s="8"/>
      <c r="D5174" s="8">
        <v>66.2736309041208</v>
      </c>
      <c r="E5174" s="9" t="s">
        <v>2985</v>
      </c>
      <c r="I5174" s="12"/>
      <c r="J5174" s="11">
        <v>0.0</v>
      </c>
      <c r="K5174" s="12" t="s">
        <v>3075</v>
      </c>
      <c r="L5174" s="13" t="s">
        <v>3075</v>
      </c>
      <c r="M5174" s="9" t="s">
        <v>3075</v>
      </c>
    </row>
    <row r="5175" ht="15.75" customHeight="1">
      <c r="A5175" s="8"/>
      <c r="B5175" s="8"/>
      <c r="C5175" s="8"/>
      <c r="D5175" s="8">
        <v>28.7976969992941</v>
      </c>
      <c r="E5175" s="9" t="s">
        <v>2986</v>
      </c>
      <c r="I5175" s="12"/>
      <c r="J5175" s="11">
        <v>0.0</v>
      </c>
      <c r="K5175" s="12" t="s">
        <v>3075</v>
      </c>
      <c r="L5175" s="13" t="s">
        <v>3075</v>
      </c>
      <c r="M5175" s="9" t="s">
        <v>3075</v>
      </c>
    </row>
    <row r="5176" ht="15.75" customHeight="1">
      <c r="A5176" s="8"/>
      <c r="B5176" s="8"/>
      <c r="C5176" s="8"/>
      <c r="D5176" s="8">
        <v>1.94579033779014</v>
      </c>
      <c r="E5176" s="9" t="s">
        <v>2991</v>
      </c>
      <c r="I5176" s="12"/>
      <c r="J5176" s="11">
        <v>0.0</v>
      </c>
      <c r="K5176" s="12" t="s">
        <v>3075</v>
      </c>
      <c r="L5176" s="13" t="s">
        <v>3075</v>
      </c>
      <c r="M5176" s="9" t="s">
        <v>3075</v>
      </c>
    </row>
    <row r="5177" ht="15.75" customHeight="1">
      <c r="A5177" s="8"/>
      <c r="B5177" s="8"/>
      <c r="C5177" s="8"/>
      <c r="D5177" s="8">
        <v>49.5327128990855</v>
      </c>
      <c r="E5177" s="9" t="s">
        <v>2995</v>
      </c>
      <c r="I5177" s="12"/>
      <c r="J5177" s="11">
        <v>0.0</v>
      </c>
      <c r="K5177" s="12" t="s">
        <v>3075</v>
      </c>
      <c r="L5177" s="13" t="s">
        <v>3075</v>
      </c>
      <c r="M5177" s="9" t="s">
        <v>3075</v>
      </c>
    </row>
    <row r="5178" ht="15.75" customHeight="1">
      <c r="A5178" s="8"/>
      <c r="B5178" s="8"/>
      <c r="C5178" s="8"/>
      <c r="D5178" s="8">
        <v>269.180702102057</v>
      </c>
      <c r="E5178" s="9" t="s">
        <v>2999</v>
      </c>
      <c r="I5178" s="12"/>
      <c r="J5178" s="11">
        <v>0.0</v>
      </c>
      <c r="K5178" s="12" t="s">
        <v>3075</v>
      </c>
      <c r="L5178" s="13" t="s">
        <v>3075</v>
      </c>
      <c r="M5178" s="9" t="s">
        <v>3075</v>
      </c>
    </row>
    <row r="5179" ht="15.75" customHeight="1">
      <c r="A5179" s="8"/>
      <c r="B5179" s="8"/>
      <c r="C5179" s="8"/>
      <c r="D5179" s="8">
        <v>7.86099296467218</v>
      </c>
      <c r="E5179" s="9" t="s">
        <v>3002</v>
      </c>
      <c r="I5179" s="12"/>
      <c r="J5179" s="11">
        <v>0.0</v>
      </c>
      <c r="K5179" s="12" t="s">
        <v>3075</v>
      </c>
      <c r="L5179" s="13" t="s">
        <v>3075</v>
      </c>
      <c r="M5179" s="9" t="s">
        <v>3075</v>
      </c>
    </row>
    <row r="5180" ht="15.75" customHeight="1">
      <c r="A5180" s="8"/>
      <c r="B5180" s="8"/>
      <c r="C5180" s="8"/>
      <c r="D5180" s="8">
        <v>7.78316135116057</v>
      </c>
      <c r="E5180" s="9" t="s">
        <v>3004</v>
      </c>
      <c r="I5180" s="12"/>
      <c r="J5180" s="11">
        <v>0.0</v>
      </c>
      <c r="K5180" s="12" t="s">
        <v>3075</v>
      </c>
      <c r="L5180" s="13" t="s">
        <v>3075</v>
      </c>
      <c r="M5180" s="9" t="s">
        <v>3075</v>
      </c>
    </row>
    <row r="5181" ht="15.75" customHeight="1">
      <c r="A5181" s="8"/>
      <c r="B5181" s="8"/>
      <c r="C5181" s="8"/>
      <c r="D5181" s="8">
        <v>27.257966608123</v>
      </c>
      <c r="E5181" s="9" t="s">
        <v>3005</v>
      </c>
      <c r="I5181" s="12"/>
      <c r="J5181" s="11">
        <v>0.0</v>
      </c>
      <c r="K5181" s="12" t="s">
        <v>3075</v>
      </c>
      <c r="L5181" s="13" t="s">
        <v>3075</v>
      </c>
      <c r="M5181" s="9" t="s">
        <v>3075</v>
      </c>
    </row>
    <row r="5182" ht="15.75" customHeight="1">
      <c r="A5182" s="8"/>
      <c r="B5182" s="8"/>
      <c r="C5182" s="8"/>
      <c r="D5182" s="8">
        <v>0.138865898156812</v>
      </c>
      <c r="E5182" s="9" t="s">
        <v>3006</v>
      </c>
      <c r="I5182" s="12"/>
      <c r="J5182" s="11">
        <v>0.0</v>
      </c>
      <c r="K5182" s="12" t="s">
        <v>3075</v>
      </c>
      <c r="L5182" s="13" t="s">
        <v>3075</v>
      </c>
      <c r="M5182" s="9" t="s">
        <v>3075</v>
      </c>
    </row>
    <row r="5183" ht="15.75" customHeight="1">
      <c r="A5183" s="8"/>
      <c r="B5183" s="8"/>
      <c r="C5183" s="8"/>
      <c r="D5183" s="8">
        <v>171.252793239314</v>
      </c>
      <c r="E5183" s="9" t="s">
        <v>3007</v>
      </c>
      <c r="I5183" s="12"/>
      <c r="J5183" s="11">
        <v>0.0</v>
      </c>
      <c r="K5183" s="12" t="s">
        <v>3075</v>
      </c>
      <c r="L5183" s="13" t="s">
        <v>3075</v>
      </c>
      <c r="M5183" s="9" t="s">
        <v>3075</v>
      </c>
    </row>
    <row r="5184" ht="15.75" customHeight="1">
      <c r="A5184" s="8"/>
      <c r="B5184" s="8"/>
      <c r="C5184" s="8"/>
      <c r="D5184" s="8">
        <v>182.904337708689</v>
      </c>
      <c r="E5184" s="9" t="s">
        <v>3008</v>
      </c>
      <c r="I5184" s="12"/>
      <c r="J5184" s="11">
        <v>0.0</v>
      </c>
      <c r="K5184" s="12" t="s">
        <v>3075</v>
      </c>
      <c r="L5184" s="13" t="s">
        <v>3075</v>
      </c>
      <c r="M5184" s="9" t="s">
        <v>3075</v>
      </c>
    </row>
    <row r="5185" ht="15.75" customHeight="1">
      <c r="A5185" s="8"/>
      <c r="B5185" s="8"/>
      <c r="C5185" s="8"/>
      <c r="D5185" s="8">
        <v>1647.18935255286</v>
      </c>
      <c r="E5185" s="9" t="s">
        <v>3009</v>
      </c>
      <c r="I5185" s="12"/>
      <c r="J5185" s="11">
        <v>0.0</v>
      </c>
      <c r="K5185" s="12" t="s">
        <v>3075</v>
      </c>
      <c r="L5185" s="13" t="s">
        <v>3075</v>
      </c>
      <c r="M5185" s="9" t="s">
        <v>3075</v>
      </c>
    </row>
    <row r="5186" ht="15.75" customHeight="1">
      <c r="A5186" s="8"/>
      <c r="B5186" s="8"/>
      <c r="C5186" s="8"/>
      <c r="D5186" s="8">
        <v>163.446388374372</v>
      </c>
      <c r="E5186" s="9" t="s">
        <v>3011</v>
      </c>
      <c r="I5186" s="12"/>
      <c r="J5186" s="11">
        <v>0.0</v>
      </c>
      <c r="K5186" s="12" t="s">
        <v>3075</v>
      </c>
      <c r="L5186" s="13" t="s">
        <v>3075</v>
      </c>
      <c r="M5186" s="9" t="s">
        <v>3075</v>
      </c>
    </row>
    <row r="5187" ht="15.75" customHeight="1">
      <c r="A5187" s="8"/>
      <c r="B5187" s="8"/>
      <c r="C5187" s="8"/>
      <c r="D5187" s="8">
        <v>76.9833564992128</v>
      </c>
      <c r="E5187" s="9" t="s">
        <v>3012</v>
      </c>
      <c r="I5187" s="12"/>
      <c r="J5187" s="11">
        <v>0.0</v>
      </c>
      <c r="K5187" s="12" t="s">
        <v>3075</v>
      </c>
      <c r="L5187" s="13" t="s">
        <v>3075</v>
      </c>
      <c r="M5187" s="9" t="s">
        <v>3075</v>
      </c>
    </row>
    <row r="5188" ht="15.75" customHeight="1">
      <c r="A5188" s="8"/>
      <c r="B5188" s="8"/>
      <c r="C5188" s="8"/>
      <c r="D5188" s="8">
        <v>15.5663227023211</v>
      </c>
      <c r="E5188" s="9" t="s">
        <v>3013</v>
      </c>
      <c r="I5188" s="12"/>
      <c r="J5188" s="11">
        <v>0.0</v>
      </c>
      <c r="K5188" s="12" t="s">
        <v>3075</v>
      </c>
      <c r="L5188" s="13" t="s">
        <v>3075</v>
      </c>
      <c r="M5188" s="9" t="s">
        <v>3075</v>
      </c>
    </row>
    <row r="5189" ht="15.75" customHeight="1">
      <c r="A5189" s="8"/>
      <c r="B5189" s="8"/>
      <c r="C5189" s="8"/>
      <c r="D5189" s="8">
        <v>7.98908250259173</v>
      </c>
      <c r="E5189" s="9" t="s">
        <v>3020</v>
      </c>
      <c r="I5189" s="12"/>
      <c r="J5189" s="11">
        <v>0.0</v>
      </c>
      <c r="K5189" s="12" t="s">
        <v>3075</v>
      </c>
      <c r="L5189" s="13" t="s">
        <v>3075</v>
      </c>
      <c r="M5189" s="9" t="s">
        <v>3075</v>
      </c>
    </row>
    <row r="5190" ht="15.75" customHeight="1">
      <c r="A5190" s="8"/>
      <c r="B5190" s="8"/>
      <c r="C5190" s="8"/>
      <c r="D5190" s="8">
        <v>10.5438436360595</v>
      </c>
      <c r="E5190" s="9" t="s">
        <v>3023</v>
      </c>
      <c r="I5190" s="12"/>
      <c r="J5190" s="11">
        <v>0.0</v>
      </c>
      <c r="K5190" s="12" t="s">
        <v>3075</v>
      </c>
      <c r="L5190" s="13" t="s">
        <v>3075</v>
      </c>
      <c r="M5190" s="9" t="s">
        <v>3075</v>
      </c>
    </row>
    <row r="5191" ht="15.75" customHeight="1">
      <c r="A5191" s="8"/>
      <c r="B5191" s="8"/>
      <c r="C5191" s="8"/>
      <c r="D5191" s="8">
        <v>11.6747420267408</v>
      </c>
      <c r="E5191" s="9" t="s">
        <v>3024</v>
      </c>
      <c r="I5191" s="12"/>
      <c r="J5191" s="11">
        <v>0.0</v>
      </c>
      <c r="K5191" s="12" t="s">
        <v>3075</v>
      </c>
      <c r="L5191" s="13" t="s">
        <v>3075</v>
      </c>
      <c r="M5191" s="9" t="s">
        <v>3075</v>
      </c>
    </row>
    <row r="5192" ht="15.75" customHeight="1">
      <c r="A5192" s="8"/>
      <c r="B5192" s="8"/>
      <c r="C5192" s="8"/>
      <c r="D5192" s="8">
        <v>202.362195130175</v>
      </c>
      <c r="E5192" s="9" t="s">
        <v>3029</v>
      </c>
      <c r="I5192" s="12"/>
      <c r="J5192" s="11">
        <v>0.0</v>
      </c>
      <c r="K5192" s="12" t="s">
        <v>3075</v>
      </c>
      <c r="L5192" s="13" t="s">
        <v>3075</v>
      </c>
      <c r="M5192" s="9" t="s">
        <v>3075</v>
      </c>
    </row>
    <row r="5193" ht="15.75" customHeight="1">
      <c r="A5193" s="8"/>
      <c r="B5193" s="8"/>
      <c r="C5193" s="8"/>
      <c r="D5193" s="8">
        <v>1.75683190562606</v>
      </c>
      <c r="E5193" s="9" t="s">
        <v>3308</v>
      </c>
      <c r="I5193" s="12"/>
      <c r="J5193" s="11">
        <v>0.0</v>
      </c>
      <c r="K5193" s="12" t="s">
        <v>3075</v>
      </c>
      <c r="L5193" s="13" t="s">
        <v>3075</v>
      </c>
      <c r="M5193" s="9" t="s">
        <v>3075</v>
      </c>
    </row>
    <row r="5194" ht="15.75" customHeight="1">
      <c r="A5194" s="8"/>
      <c r="B5194" s="8"/>
      <c r="C5194" s="8"/>
      <c r="D5194" s="8">
        <v>0.886136235184522</v>
      </c>
      <c r="E5194" s="9" t="s">
        <v>3309</v>
      </c>
      <c r="I5194" s="12"/>
      <c r="J5194" s="11">
        <v>0.0</v>
      </c>
      <c r="K5194" s="12" t="s">
        <v>3075</v>
      </c>
      <c r="L5194" s="13" t="s">
        <v>3075</v>
      </c>
      <c r="M5194" s="9" t="s">
        <v>3075</v>
      </c>
    </row>
    <row r="5195" ht="15.75" customHeight="1">
      <c r="A5195" s="8"/>
      <c r="B5195" s="8"/>
      <c r="C5195" s="8"/>
      <c r="D5195" s="8">
        <v>38.9763334878876</v>
      </c>
      <c r="E5195" s="9" t="s">
        <v>3035</v>
      </c>
      <c r="I5195" s="12"/>
      <c r="J5195" s="11">
        <v>0.0</v>
      </c>
      <c r="K5195" s="12" t="s">
        <v>3075</v>
      </c>
      <c r="L5195" s="13" t="s">
        <v>3075</v>
      </c>
      <c r="M5195" s="9" t="s">
        <v>3075</v>
      </c>
    </row>
    <row r="5196" ht="15.75" customHeight="1">
      <c r="A5196" s="8"/>
      <c r="B5196" s="8"/>
      <c r="C5196" s="8"/>
      <c r="D5196" s="8">
        <v>79.904506558303</v>
      </c>
      <c r="E5196" s="9" t="s">
        <v>3043</v>
      </c>
      <c r="I5196" s="12"/>
      <c r="J5196" s="11">
        <v>0.0</v>
      </c>
      <c r="K5196" s="12" t="s">
        <v>3075</v>
      </c>
      <c r="L5196" s="13" t="s">
        <v>3075</v>
      </c>
      <c r="M5196" s="9" t="s">
        <v>3075</v>
      </c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0"/>
    <col customWidth="1" min="2" max="2" width="45.71"/>
    <col customWidth="1" min="3" max="3" width="4.29"/>
    <col customWidth="1" min="4" max="4" width="25.57"/>
  </cols>
  <sheetData>
    <row r="1">
      <c r="A1" s="23" t="s">
        <v>3310</v>
      </c>
      <c r="D1" s="24"/>
    </row>
    <row r="2">
      <c r="A2" s="9" t="str">
        <f>IFERROR(__xludf.DUMMYFUNCTION("TRANSPOSE(SPLIT(REPT(char(34)&amp;""♕"",'raw data'!G6),""♕""))"),"""")</f>
        <v>"</v>
      </c>
      <c r="B2" s="25" t="str">
        <f>'raw data'!I2:INDIRECT("'raw data'!I"&amp;('raw data'!G6+1))</f>
        <v>0x0053a843631a38569d6d1cd0bae59b891f2bbc2e</v>
      </c>
      <c r="C2" s="26" t="str">
        <f>IFERROR(__xludf.DUMMYFUNCTION("TRANSPOSE(SPLIT(REPT(char(34)&amp;"":""&amp;char(34)&amp;""♕"",'raw data'!G6),""♕""))"),""":""")</f>
        <v>":"</v>
      </c>
      <c r="D2" s="24">
        <f>'raw data'!M2:INDIRECT("'raw data'!M"&amp;('raw data'!G6+1))</f>
        <v>6.2006E+18</v>
      </c>
      <c r="E2" s="26" t="str">
        <f>IFERROR(__xludf.DUMMYFUNCTION("TRANSPOSE({SPLIT(REPT(char(34)&amp;"",""&amp;""♕"",'raw data'!G6 - 1),""♕""), char(34)&amp;""}""})"),""",")</f>
        <v>",</v>
      </c>
    </row>
    <row r="3">
      <c r="A3" s="9" t="str">
        <f>IFERROR(__xludf.DUMMYFUNCTION("""COMPUTED_VALUE"""),"""")</f>
        <v>"</v>
      </c>
      <c r="B3" s="9" t="s">
        <v>7</v>
      </c>
      <c r="C3" s="9" t="str">
        <f>IFERROR(__xludf.DUMMYFUNCTION("""COMPUTED_VALUE"""),""":""")</f>
        <v>":"</v>
      </c>
      <c r="D3" s="24">
        <v>6.2005979458241782E18</v>
      </c>
      <c r="E3" s="9" t="str">
        <f>IFERROR(__xludf.DUMMYFUNCTION("""COMPUTED_VALUE"""),""",")</f>
        <v>",</v>
      </c>
    </row>
    <row r="4">
      <c r="A4" s="9" t="str">
        <f>IFERROR(__xludf.DUMMYFUNCTION("""COMPUTED_VALUE"""),"""")</f>
        <v>"</v>
      </c>
      <c r="B4" s="9" t="s">
        <v>8</v>
      </c>
      <c r="C4" s="9" t="str">
        <f>IFERROR(__xludf.DUMMYFUNCTION("""COMPUTED_VALUE"""),""":""")</f>
        <v>":"</v>
      </c>
      <c r="D4" s="24">
        <v>2.4146113158544708E19</v>
      </c>
      <c r="E4" s="9" t="str">
        <f>IFERROR(__xludf.DUMMYFUNCTION("""COMPUTED_VALUE"""),""",")</f>
        <v>",</v>
      </c>
    </row>
    <row r="5">
      <c r="A5" s="9" t="str">
        <f>IFERROR(__xludf.DUMMYFUNCTION("""COMPUTED_VALUE"""),"""")</f>
        <v>"</v>
      </c>
      <c r="B5" s="9" t="s">
        <v>10</v>
      </c>
      <c r="C5" s="9" t="str">
        <f>IFERROR(__xludf.DUMMYFUNCTION("""COMPUTED_VALUE"""),""":""")</f>
        <v>":"</v>
      </c>
      <c r="D5" s="24">
        <v>3.190680429438551E18</v>
      </c>
      <c r="E5" s="9" t="str">
        <f>IFERROR(__xludf.DUMMYFUNCTION("""COMPUTED_VALUE"""),""",")</f>
        <v>",</v>
      </c>
    </row>
    <row r="6">
      <c r="A6" s="9" t="str">
        <f>IFERROR(__xludf.DUMMYFUNCTION("""COMPUTED_VALUE"""),"""")</f>
        <v>"</v>
      </c>
      <c r="B6" s="9" t="s">
        <v>12</v>
      </c>
      <c r="C6" s="9" t="str">
        <f>IFERROR(__xludf.DUMMYFUNCTION("""COMPUTED_VALUE"""),""":""")</f>
        <v>":"</v>
      </c>
      <c r="D6" s="24">
        <v>2.0248888511809958E19</v>
      </c>
      <c r="E6" s="9" t="str">
        <f>IFERROR(__xludf.DUMMYFUNCTION("""COMPUTED_VALUE"""),""",")</f>
        <v>",</v>
      </c>
    </row>
    <row r="7">
      <c r="A7" s="9" t="str">
        <f>IFERROR(__xludf.DUMMYFUNCTION("""COMPUTED_VALUE"""),"""")</f>
        <v>"</v>
      </c>
      <c r="B7" s="9" t="s">
        <v>13</v>
      </c>
      <c r="C7" s="9" t="str">
        <f>IFERROR(__xludf.DUMMYFUNCTION("""COMPUTED_VALUE"""),""":""")</f>
        <v>":"</v>
      </c>
      <c r="D7" s="24">
        <v>5.579371923446356E18</v>
      </c>
      <c r="E7" s="9" t="str">
        <f>IFERROR(__xludf.DUMMYFUNCTION("""COMPUTED_VALUE"""),""",")</f>
        <v>",</v>
      </c>
    </row>
    <row r="8">
      <c r="A8" s="9" t="str">
        <f>IFERROR(__xludf.DUMMYFUNCTION("""COMPUTED_VALUE"""),"""")</f>
        <v>"</v>
      </c>
      <c r="B8" s="9" t="s">
        <v>15</v>
      </c>
      <c r="C8" s="9" t="str">
        <f>IFERROR(__xludf.DUMMYFUNCTION("""COMPUTED_VALUE"""),""":""")</f>
        <v>":"</v>
      </c>
      <c r="D8" s="24">
        <v>6.091158259309552E19</v>
      </c>
      <c r="E8" s="9" t="str">
        <f>IFERROR(__xludf.DUMMYFUNCTION("""COMPUTED_VALUE"""),""",")</f>
        <v>",</v>
      </c>
    </row>
    <row r="9">
      <c r="A9" s="9" t="str">
        <f>IFERROR(__xludf.DUMMYFUNCTION("""COMPUTED_VALUE"""),"""")</f>
        <v>"</v>
      </c>
      <c r="B9" s="9" t="s">
        <v>17</v>
      </c>
      <c r="C9" s="9" t="str">
        <f>IFERROR(__xludf.DUMMYFUNCTION("""COMPUTED_VALUE"""),""":""")</f>
        <v>":"</v>
      </c>
      <c r="D9" s="24">
        <v>2.0248888511809958E19</v>
      </c>
      <c r="E9" s="9" t="str">
        <f>IFERROR(__xludf.DUMMYFUNCTION("""COMPUTED_VALUE"""),""",")</f>
        <v>",</v>
      </c>
    </row>
    <row r="10">
      <c r="A10" s="9" t="str">
        <f>IFERROR(__xludf.DUMMYFUNCTION("""COMPUTED_VALUE"""),"""")</f>
        <v>"</v>
      </c>
      <c r="B10" s="9" t="s">
        <v>18</v>
      </c>
      <c r="C10" s="9" t="str">
        <f>IFERROR(__xludf.DUMMYFUNCTION("""COMPUTED_VALUE"""),""":""")</f>
        <v>":"</v>
      </c>
      <c r="D10" s="24">
        <v>2.403353364035338E19</v>
      </c>
      <c r="E10" s="9" t="str">
        <f>IFERROR(__xludf.DUMMYFUNCTION("""COMPUTED_VALUE"""),""",")</f>
        <v>",</v>
      </c>
    </row>
    <row r="11">
      <c r="A11" s="9" t="str">
        <f>IFERROR(__xludf.DUMMYFUNCTION("""COMPUTED_VALUE"""),"""")</f>
        <v>"</v>
      </c>
      <c r="B11" s="9" t="s">
        <v>19</v>
      </c>
      <c r="C11" s="9" t="str">
        <f>IFERROR(__xludf.DUMMYFUNCTION("""COMPUTED_VALUE"""),""":""")</f>
        <v>":"</v>
      </c>
      <c r="D11" s="24">
        <v>4.3824677626806446E18</v>
      </c>
      <c r="E11" s="9" t="str">
        <f>IFERROR(__xludf.DUMMYFUNCTION("""COMPUTED_VALUE"""),""",")</f>
        <v>",</v>
      </c>
    </row>
    <row r="12">
      <c r="A12" s="9" t="str">
        <f>IFERROR(__xludf.DUMMYFUNCTION("""COMPUTED_VALUE"""),"""")</f>
        <v>"</v>
      </c>
      <c r="B12" s="9" t="s">
        <v>21</v>
      </c>
      <c r="C12" s="9" t="str">
        <f>IFERROR(__xludf.DUMMYFUNCTION("""COMPUTED_VALUE"""),""":""")</f>
        <v>":"</v>
      </c>
      <c r="D12" s="24">
        <v>6.4161239507940434E18</v>
      </c>
      <c r="E12" s="9" t="str">
        <f>IFERROR(__xludf.DUMMYFUNCTION("""COMPUTED_VALUE"""),""",")</f>
        <v>",</v>
      </c>
    </row>
    <row r="13">
      <c r="A13" s="9" t="str">
        <f>IFERROR(__xludf.DUMMYFUNCTION("""COMPUTED_VALUE"""),"""")</f>
        <v>"</v>
      </c>
      <c r="B13" s="9" t="s">
        <v>22</v>
      </c>
      <c r="C13" s="9" t="str">
        <f>IFERROR(__xludf.DUMMYFUNCTION("""COMPUTED_VALUE"""),""":""")</f>
        <v>":"</v>
      </c>
      <c r="D13" s="24">
        <v>6.2557616545391094E18</v>
      </c>
      <c r="E13" s="9" t="str">
        <f>IFERROR(__xludf.DUMMYFUNCTION("""COMPUTED_VALUE"""),""",")</f>
        <v>",</v>
      </c>
    </row>
    <row r="14">
      <c r="A14" s="9" t="str">
        <f>IFERROR(__xludf.DUMMYFUNCTION("""COMPUTED_VALUE"""),"""")</f>
        <v>"</v>
      </c>
      <c r="B14" s="9" t="s">
        <v>23</v>
      </c>
      <c r="C14" s="9" t="str">
        <f>IFERROR(__xludf.DUMMYFUNCTION("""COMPUTED_VALUE"""),""":""")</f>
        <v>":"</v>
      </c>
      <c r="D14" s="24">
        <v>3.3072338674411553E19</v>
      </c>
      <c r="E14" s="9" t="str">
        <f>IFERROR(__xludf.DUMMYFUNCTION("""COMPUTED_VALUE"""),""",")</f>
        <v>",</v>
      </c>
    </row>
    <row r="15">
      <c r="A15" s="9" t="str">
        <f>IFERROR(__xludf.DUMMYFUNCTION("""COMPUTED_VALUE"""),"""")</f>
        <v>"</v>
      </c>
      <c r="B15" s="9" t="s">
        <v>24</v>
      </c>
      <c r="C15" s="9" t="str">
        <f>IFERROR(__xludf.DUMMYFUNCTION("""COMPUTED_VALUE"""),""":""")</f>
        <v>":"</v>
      </c>
      <c r="D15" s="24">
        <v>6.2005979458241782E18</v>
      </c>
      <c r="E15" s="9" t="str">
        <f>IFERROR(__xludf.DUMMYFUNCTION("""COMPUTED_VALUE"""),""",")</f>
        <v>",</v>
      </c>
    </row>
    <row r="16">
      <c r="A16" s="9" t="str">
        <f>IFERROR(__xludf.DUMMYFUNCTION("""COMPUTED_VALUE"""),"""")</f>
        <v>"</v>
      </c>
      <c r="B16" s="9" t="s">
        <v>25</v>
      </c>
      <c r="C16" s="9" t="str">
        <f>IFERROR(__xludf.DUMMYFUNCTION("""COMPUTED_VALUE"""),""":""")</f>
        <v>":"</v>
      </c>
      <c r="D16" s="24">
        <v>6.2005979458241782E18</v>
      </c>
      <c r="E16" s="9" t="str">
        <f>IFERROR(__xludf.DUMMYFUNCTION("""COMPUTED_VALUE"""),""",")</f>
        <v>",</v>
      </c>
    </row>
    <row r="17">
      <c r="A17" s="9" t="str">
        <f>IFERROR(__xludf.DUMMYFUNCTION("""COMPUTED_VALUE"""),"""")</f>
        <v>"</v>
      </c>
      <c r="B17" s="9" t="s">
        <v>26</v>
      </c>
      <c r="C17" s="9" t="str">
        <f>IFERROR(__xludf.DUMMYFUNCTION("""COMPUTED_VALUE"""),""":""")</f>
        <v>":"</v>
      </c>
      <c r="D17" s="24">
        <v>1.176082349595929E19</v>
      </c>
      <c r="E17" s="9" t="str">
        <f>IFERROR(__xludf.DUMMYFUNCTION("""COMPUTED_VALUE"""),""",")</f>
        <v>",</v>
      </c>
    </row>
    <row r="18">
      <c r="A18" s="9" t="str">
        <f>IFERROR(__xludf.DUMMYFUNCTION("""COMPUTED_VALUE"""),"""")</f>
        <v>"</v>
      </c>
      <c r="B18" s="9" t="s">
        <v>27</v>
      </c>
      <c r="C18" s="9" t="str">
        <f>IFERROR(__xludf.DUMMYFUNCTION("""COMPUTED_VALUE"""),""":""")</f>
        <v>":"</v>
      </c>
      <c r="D18" s="24">
        <v>5.5730187978889554E18</v>
      </c>
      <c r="E18" s="9" t="str">
        <f>IFERROR(__xludf.DUMMYFUNCTION("""COMPUTED_VALUE"""),""",")</f>
        <v>",</v>
      </c>
    </row>
    <row r="19">
      <c r="A19" s="9" t="str">
        <f>IFERROR(__xludf.DUMMYFUNCTION("""COMPUTED_VALUE"""),"""")</f>
        <v>"</v>
      </c>
      <c r="B19" s="9" t="s">
        <v>28</v>
      </c>
      <c r="C19" s="9" t="str">
        <f>IFERROR(__xludf.DUMMYFUNCTION("""COMPUTED_VALUE"""),""":""")</f>
        <v>":"</v>
      </c>
      <c r="D19" s="24">
        <v>5.0520149452478669E17</v>
      </c>
      <c r="E19" s="9" t="str">
        <f>IFERROR(__xludf.DUMMYFUNCTION("""COMPUTED_VALUE"""),""",")</f>
        <v>",</v>
      </c>
    </row>
    <row r="20">
      <c r="A20" s="9" t="str">
        <f>IFERROR(__xludf.DUMMYFUNCTION("""COMPUTED_VALUE"""),"""")</f>
        <v>"</v>
      </c>
      <c r="B20" s="9" t="s">
        <v>29</v>
      </c>
      <c r="C20" s="9" t="str">
        <f>IFERROR(__xludf.DUMMYFUNCTION("""COMPUTED_VALUE"""),""":""")</f>
        <v>":"</v>
      </c>
      <c r="D20" s="24">
        <v>6.2005979458241782E18</v>
      </c>
      <c r="E20" s="9" t="str">
        <f>IFERROR(__xludf.DUMMYFUNCTION("""COMPUTED_VALUE"""),""",")</f>
        <v>",</v>
      </c>
    </row>
    <row r="21">
      <c r="A21" s="9" t="str">
        <f>IFERROR(__xludf.DUMMYFUNCTION("""COMPUTED_VALUE"""),"""")</f>
        <v>"</v>
      </c>
      <c r="B21" s="9" t="s">
        <v>30</v>
      </c>
      <c r="C21" s="9" t="str">
        <f>IFERROR(__xludf.DUMMYFUNCTION("""COMPUTED_VALUE"""),""":""")</f>
        <v>":"</v>
      </c>
      <c r="D21" s="24">
        <v>6.2005979458241782E18</v>
      </c>
      <c r="E21" s="9" t="str">
        <f>IFERROR(__xludf.DUMMYFUNCTION("""COMPUTED_VALUE"""),""",")</f>
        <v>",</v>
      </c>
    </row>
    <row r="22">
      <c r="A22" s="9" t="str">
        <f>IFERROR(__xludf.DUMMYFUNCTION("""COMPUTED_VALUE"""),"""")</f>
        <v>"</v>
      </c>
      <c r="B22" s="9" t="s">
        <v>31</v>
      </c>
      <c r="C22" s="9" t="str">
        <f>IFERROR(__xludf.DUMMYFUNCTION("""COMPUTED_VALUE"""),""":""")</f>
        <v>":"</v>
      </c>
      <c r="D22" s="24">
        <v>5.734653610950062E19</v>
      </c>
      <c r="E22" s="9" t="str">
        <f>IFERROR(__xludf.DUMMYFUNCTION("""COMPUTED_VALUE"""),""",")</f>
        <v>",</v>
      </c>
    </row>
    <row r="23">
      <c r="A23" s="9" t="str">
        <f>IFERROR(__xludf.DUMMYFUNCTION("""COMPUTED_VALUE"""),"""")</f>
        <v>"</v>
      </c>
      <c r="B23" s="9" t="s">
        <v>32</v>
      </c>
      <c r="C23" s="9" t="str">
        <f>IFERROR(__xludf.DUMMYFUNCTION("""COMPUTED_VALUE"""),""":""")</f>
        <v>":"</v>
      </c>
      <c r="D23" s="24">
        <v>1.95735755326848E19</v>
      </c>
      <c r="E23" s="9" t="str">
        <f>IFERROR(__xludf.DUMMYFUNCTION("""COMPUTED_VALUE"""),""",")</f>
        <v>",</v>
      </c>
    </row>
    <row r="24">
      <c r="A24" s="9" t="str">
        <f>IFERROR(__xludf.DUMMYFUNCTION("""COMPUTED_VALUE"""),"""")</f>
        <v>"</v>
      </c>
      <c r="B24" s="9" t="s">
        <v>33</v>
      </c>
      <c r="C24" s="9" t="str">
        <f>IFERROR(__xludf.DUMMYFUNCTION("""COMPUTED_VALUE"""),""":""")</f>
        <v>":"</v>
      </c>
      <c r="D24" s="24">
        <v>2.7910978464174686E19</v>
      </c>
      <c r="E24" s="9" t="str">
        <f>IFERROR(__xludf.DUMMYFUNCTION("""COMPUTED_VALUE"""),""",")</f>
        <v>",</v>
      </c>
    </row>
    <row r="25">
      <c r="A25" s="9" t="str">
        <f>IFERROR(__xludf.DUMMYFUNCTION("""COMPUTED_VALUE"""),"""")</f>
        <v>"</v>
      </c>
      <c r="B25" s="9" t="s">
        <v>34</v>
      </c>
      <c r="C25" s="9" t="str">
        <f>IFERROR(__xludf.DUMMYFUNCTION("""COMPUTED_VALUE"""),""":""")</f>
        <v>":"</v>
      </c>
      <c r="D25" s="24">
        <v>1.9713632631335002E19</v>
      </c>
      <c r="E25" s="9" t="str">
        <f>IFERROR(__xludf.DUMMYFUNCTION("""COMPUTED_VALUE"""),""",")</f>
        <v>",</v>
      </c>
    </row>
    <row r="26">
      <c r="A26" s="9" t="str">
        <f>IFERROR(__xludf.DUMMYFUNCTION("""COMPUTED_VALUE"""),"""")</f>
        <v>"</v>
      </c>
      <c r="B26" s="9" t="s">
        <v>35</v>
      </c>
      <c r="C26" s="9" t="str">
        <f>IFERROR(__xludf.DUMMYFUNCTION("""COMPUTED_VALUE"""),""":""")</f>
        <v>":"</v>
      </c>
      <c r="D26" s="24">
        <v>6.2005979458241782E18</v>
      </c>
      <c r="E26" s="9" t="str">
        <f>IFERROR(__xludf.DUMMYFUNCTION("""COMPUTED_VALUE"""),""",")</f>
        <v>",</v>
      </c>
    </row>
    <row r="27">
      <c r="A27" s="9" t="str">
        <f>IFERROR(__xludf.DUMMYFUNCTION("""COMPUTED_VALUE"""),"""")</f>
        <v>"</v>
      </c>
      <c r="B27" s="9" t="s">
        <v>36</v>
      </c>
      <c r="C27" s="9" t="str">
        <f>IFERROR(__xludf.DUMMYFUNCTION("""COMPUTED_VALUE"""),""":""")</f>
        <v>":"</v>
      </c>
      <c r="D27" s="24">
        <v>8.2797449495900723E18</v>
      </c>
      <c r="E27" s="9" t="str">
        <f>IFERROR(__xludf.DUMMYFUNCTION("""COMPUTED_VALUE"""),""",")</f>
        <v>",</v>
      </c>
    </row>
    <row r="28">
      <c r="A28" s="9" t="str">
        <f>IFERROR(__xludf.DUMMYFUNCTION("""COMPUTED_VALUE"""),"""")</f>
        <v>"</v>
      </c>
      <c r="B28" s="9" t="s">
        <v>37</v>
      </c>
      <c r="C28" s="9" t="str">
        <f>IFERROR(__xludf.DUMMYFUNCTION("""COMPUTED_VALUE"""),""":""")</f>
        <v>":"</v>
      </c>
      <c r="D28" s="24">
        <v>2.4052020466068573E20</v>
      </c>
      <c r="E28" s="9" t="str">
        <f>IFERROR(__xludf.DUMMYFUNCTION("""COMPUTED_VALUE"""),""",")</f>
        <v>",</v>
      </c>
    </row>
    <row r="29">
      <c r="A29" s="9" t="str">
        <f>IFERROR(__xludf.DUMMYFUNCTION("""COMPUTED_VALUE"""),"""")</f>
        <v>"</v>
      </c>
      <c r="B29" s="9" t="s">
        <v>38</v>
      </c>
      <c r="C29" s="9" t="str">
        <f>IFERROR(__xludf.DUMMYFUNCTION("""COMPUTED_VALUE"""),""":""")</f>
        <v>":"</v>
      </c>
      <c r="D29" s="24">
        <v>7.6756798264448061E18</v>
      </c>
      <c r="E29" s="9" t="str">
        <f>IFERROR(__xludf.DUMMYFUNCTION("""COMPUTED_VALUE"""),""",")</f>
        <v>",</v>
      </c>
    </row>
    <row r="30">
      <c r="A30" s="9" t="str">
        <f>IFERROR(__xludf.DUMMYFUNCTION("""COMPUTED_VALUE"""),"""")</f>
        <v>"</v>
      </c>
      <c r="B30" s="9" t="s">
        <v>39</v>
      </c>
      <c r="C30" s="9" t="str">
        <f>IFERROR(__xludf.DUMMYFUNCTION("""COMPUTED_VALUE"""),""":""")</f>
        <v>":"</v>
      </c>
      <c r="D30" s="24">
        <v>7.2388468479698893E17</v>
      </c>
      <c r="E30" s="9" t="str">
        <f>IFERROR(__xludf.DUMMYFUNCTION("""COMPUTED_VALUE"""),""",")</f>
        <v>",</v>
      </c>
    </row>
    <row r="31">
      <c r="A31" s="9" t="str">
        <f>IFERROR(__xludf.DUMMYFUNCTION("""COMPUTED_VALUE"""),"""")</f>
        <v>"</v>
      </c>
      <c r="B31" s="9" t="s">
        <v>40</v>
      </c>
      <c r="C31" s="9" t="str">
        <f>IFERROR(__xludf.DUMMYFUNCTION("""COMPUTED_VALUE"""),""":""")</f>
        <v>":"</v>
      </c>
      <c r="D31" s="24">
        <v>5.8007888179105116E18</v>
      </c>
      <c r="E31" s="9" t="str">
        <f>IFERROR(__xludf.DUMMYFUNCTION("""COMPUTED_VALUE"""),""",")</f>
        <v>",</v>
      </c>
    </row>
    <row r="32">
      <c r="A32" s="9" t="str">
        <f>IFERROR(__xludf.DUMMYFUNCTION("""COMPUTED_VALUE"""),"""")</f>
        <v>"</v>
      </c>
      <c r="B32" s="9" t="s">
        <v>41</v>
      </c>
      <c r="C32" s="9" t="str">
        <f>IFERROR(__xludf.DUMMYFUNCTION("""COMPUTED_VALUE"""),""":""")</f>
        <v>":"</v>
      </c>
      <c r="D32" s="24">
        <v>6.2005979458241782E18</v>
      </c>
      <c r="E32" s="9" t="str">
        <f>IFERROR(__xludf.DUMMYFUNCTION("""COMPUTED_VALUE"""),""",")</f>
        <v>",</v>
      </c>
    </row>
    <row r="33">
      <c r="A33" s="9" t="str">
        <f>IFERROR(__xludf.DUMMYFUNCTION("""COMPUTED_VALUE"""),"""")</f>
        <v>"</v>
      </c>
      <c r="B33" s="9" t="s">
        <v>42</v>
      </c>
      <c r="C33" s="9" t="str">
        <f>IFERROR(__xludf.DUMMYFUNCTION("""COMPUTED_VALUE"""),""":""")</f>
        <v>":"</v>
      </c>
      <c r="D33" s="24">
        <v>6.2005979458241782E18</v>
      </c>
      <c r="E33" s="9" t="str">
        <f>IFERROR(__xludf.DUMMYFUNCTION("""COMPUTED_VALUE"""),""",")</f>
        <v>",</v>
      </c>
    </row>
    <row r="34">
      <c r="A34" s="9" t="str">
        <f>IFERROR(__xludf.DUMMYFUNCTION("""COMPUTED_VALUE"""),"""")</f>
        <v>"</v>
      </c>
      <c r="B34" s="9" t="s">
        <v>43</v>
      </c>
      <c r="C34" s="9" t="str">
        <f>IFERROR(__xludf.DUMMYFUNCTION("""COMPUTED_VALUE"""),""":""")</f>
        <v>":"</v>
      </c>
      <c r="D34" s="24">
        <v>6.2005979458241782E18</v>
      </c>
      <c r="E34" s="9" t="str">
        <f>IFERROR(__xludf.DUMMYFUNCTION("""COMPUTED_VALUE"""),""",")</f>
        <v>",</v>
      </c>
    </row>
    <row r="35">
      <c r="A35" s="9" t="str">
        <f>IFERROR(__xludf.DUMMYFUNCTION("""COMPUTED_VALUE"""),"""")</f>
        <v>"</v>
      </c>
      <c r="B35" s="9" t="s">
        <v>44</v>
      </c>
      <c r="C35" s="9" t="str">
        <f>IFERROR(__xludf.DUMMYFUNCTION("""COMPUTED_VALUE"""),""":""")</f>
        <v>":"</v>
      </c>
      <c r="D35" s="24">
        <v>1.79033961456257126E18</v>
      </c>
      <c r="E35" s="9" t="str">
        <f>IFERROR(__xludf.DUMMYFUNCTION("""COMPUTED_VALUE"""),""",")</f>
        <v>",</v>
      </c>
    </row>
    <row r="36">
      <c r="A36" s="9" t="str">
        <f>IFERROR(__xludf.DUMMYFUNCTION("""COMPUTED_VALUE"""),"""")</f>
        <v>"</v>
      </c>
      <c r="B36" s="9" t="s">
        <v>45</v>
      </c>
      <c r="C36" s="9" t="str">
        <f>IFERROR(__xludf.DUMMYFUNCTION("""COMPUTED_VALUE"""),""":""")</f>
        <v>":"</v>
      </c>
      <c r="D36" s="24">
        <v>2.0248888511809958E19</v>
      </c>
      <c r="E36" s="9" t="str">
        <f>IFERROR(__xludf.DUMMYFUNCTION("""COMPUTED_VALUE"""),""",")</f>
        <v>",</v>
      </c>
    </row>
    <row r="37">
      <c r="A37" s="9" t="str">
        <f>IFERROR(__xludf.DUMMYFUNCTION("""COMPUTED_VALUE"""),"""")</f>
        <v>"</v>
      </c>
      <c r="B37" s="9" t="s">
        <v>46</v>
      </c>
      <c r="C37" s="9" t="str">
        <f>IFERROR(__xludf.DUMMYFUNCTION("""COMPUTED_VALUE"""),""":""")</f>
        <v>":"</v>
      </c>
      <c r="D37" s="24">
        <v>1.013777045479351E19</v>
      </c>
      <c r="E37" s="9" t="str">
        <f>IFERROR(__xludf.DUMMYFUNCTION("""COMPUTED_VALUE"""),""",")</f>
        <v>",</v>
      </c>
    </row>
    <row r="38">
      <c r="A38" s="9" t="str">
        <f>IFERROR(__xludf.DUMMYFUNCTION("""COMPUTED_VALUE"""),"""")</f>
        <v>"</v>
      </c>
      <c r="B38" s="9" t="s">
        <v>47</v>
      </c>
      <c r="C38" s="9" t="str">
        <f>IFERROR(__xludf.DUMMYFUNCTION("""COMPUTED_VALUE"""),""":""")</f>
        <v>":"</v>
      </c>
      <c r="D38" s="24">
        <v>6.2005979458241782E18</v>
      </c>
      <c r="E38" s="9" t="str">
        <f>IFERROR(__xludf.DUMMYFUNCTION("""COMPUTED_VALUE"""),""",")</f>
        <v>",</v>
      </c>
    </row>
    <row r="39">
      <c r="A39" s="9" t="str">
        <f>IFERROR(__xludf.DUMMYFUNCTION("""COMPUTED_VALUE"""),"""")</f>
        <v>"</v>
      </c>
      <c r="B39" s="9" t="s">
        <v>48</v>
      </c>
      <c r="C39" s="9" t="str">
        <f>IFERROR(__xludf.DUMMYFUNCTION("""COMPUTED_VALUE"""),""":""")</f>
        <v>":"</v>
      </c>
      <c r="D39" s="24">
        <v>6.2005979458241782E18</v>
      </c>
      <c r="E39" s="9" t="str">
        <f>IFERROR(__xludf.DUMMYFUNCTION("""COMPUTED_VALUE"""),""",")</f>
        <v>",</v>
      </c>
    </row>
    <row r="40">
      <c r="A40" s="9" t="str">
        <f>IFERROR(__xludf.DUMMYFUNCTION("""COMPUTED_VALUE"""),"""")</f>
        <v>"</v>
      </c>
      <c r="B40" s="9" t="s">
        <v>49</v>
      </c>
      <c r="C40" s="9" t="str">
        <f>IFERROR(__xludf.DUMMYFUNCTION("""COMPUTED_VALUE"""),""":""")</f>
        <v>":"</v>
      </c>
      <c r="D40" s="24">
        <v>7.950348733448572E19</v>
      </c>
      <c r="E40" s="9" t="str">
        <f>IFERROR(__xludf.DUMMYFUNCTION("""COMPUTED_VALUE"""),""",")</f>
        <v>",</v>
      </c>
    </row>
    <row r="41">
      <c r="A41" s="9" t="str">
        <f>IFERROR(__xludf.DUMMYFUNCTION("""COMPUTED_VALUE"""),"""")</f>
        <v>"</v>
      </c>
      <c r="B41" s="9" t="s">
        <v>50</v>
      </c>
      <c r="C41" s="9" t="str">
        <f>IFERROR(__xludf.DUMMYFUNCTION("""COMPUTED_VALUE"""),""":""")</f>
        <v>":"</v>
      </c>
      <c r="D41" s="24">
        <v>2.0248888511809958E19</v>
      </c>
      <c r="E41" s="9" t="str">
        <f>IFERROR(__xludf.DUMMYFUNCTION("""COMPUTED_VALUE"""),""",")</f>
        <v>",</v>
      </c>
    </row>
    <row r="42">
      <c r="A42" s="9" t="str">
        <f>IFERROR(__xludf.DUMMYFUNCTION("""COMPUTED_VALUE"""),"""")</f>
        <v>"</v>
      </c>
      <c r="B42" s="9" t="s">
        <v>51</v>
      </c>
      <c r="C42" s="9" t="str">
        <f>IFERROR(__xludf.DUMMYFUNCTION("""COMPUTED_VALUE"""),""":""")</f>
        <v>":"</v>
      </c>
      <c r="D42" s="24">
        <v>4.9273054374314004E18</v>
      </c>
      <c r="E42" s="9" t="str">
        <f>IFERROR(__xludf.DUMMYFUNCTION("""COMPUTED_VALUE"""),""",")</f>
        <v>",</v>
      </c>
    </row>
    <row r="43">
      <c r="A43" s="9" t="str">
        <f>IFERROR(__xludf.DUMMYFUNCTION("""COMPUTED_VALUE"""),"""")</f>
        <v>"</v>
      </c>
      <c r="B43" s="9" t="s">
        <v>52</v>
      </c>
      <c r="C43" s="9" t="str">
        <f>IFERROR(__xludf.DUMMYFUNCTION("""COMPUTED_VALUE"""),""":""")</f>
        <v>":"</v>
      </c>
      <c r="D43" s="24">
        <v>2.0207031564538753E19</v>
      </c>
      <c r="E43" s="9" t="str">
        <f>IFERROR(__xludf.DUMMYFUNCTION("""COMPUTED_VALUE"""),""",")</f>
        <v>",</v>
      </c>
    </row>
    <row r="44">
      <c r="A44" s="9" t="str">
        <f>IFERROR(__xludf.DUMMYFUNCTION("""COMPUTED_VALUE"""),"""")</f>
        <v>"</v>
      </c>
      <c r="B44" s="9" t="s">
        <v>53</v>
      </c>
      <c r="C44" s="9" t="str">
        <f>IFERROR(__xludf.DUMMYFUNCTION("""COMPUTED_VALUE"""),""":""")</f>
        <v>":"</v>
      </c>
      <c r="D44" s="24">
        <v>6.2005979458241782E18</v>
      </c>
      <c r="E44" s="9" t="str">
        <f>IFERROR(__xludf.DUMMYFUNCTION("""COMPUTED_VALUE"""),""",")</f>
        <v>",</v>
      </c>
    </row>
    <row r="45">
      <c r="A45" s="9" t="str">
        <f>IFERROR(__xludf.DUMMYFUNCTION("""COMPUTED_VALUE"""),"""")</f>
        <v>"</v>
      </c>
      <c r="B45" s="9" t="s">
        <v>54</v>
      </c>
      <c r="C45" s="9" t="str">
        <f>IFERROR(__xludf.DUMMYFUNCTION("""COMPUTED_VALUE"""),""":""")</f>
        <v>":"</v>
      </c>
      <c r="D45" s="24">
        <v>1.8923780106341405E19</v>
      </c>
      <c r="E45" s="9" t="str">
        <f>IFERROR(__xludf.DUMMYFUNCTION("""COMPUTED_VALUE"""),""",")</f>
        <v>",</v>
      </c>
    </row>
    <row r="46">
      <c r="A46" s="9" t="str">
        <f>IFERROR(__xludf.DUMMYFUNCTION("""COMPUTED_VALUE"""),"""")</f>
        <v>"</v>
      </c>
      <c r="B46" s="9" t="s">
        <v>55</v>
      </c>
      <c r="C46" s="9" t="str">
        <f>IFERROR(__xludf.DUMMYFUNCTION("""COMPUTED_VALUE"""),""":""")</f>
        <v>":"</v>
      </c>
      <c r="D46" s="24">
        <v>6.2005979458241782E18</v>
      </c>
      <c r="E46" s="9" t="str">
        <f>IFERROR(__xludf.DUMMYFUNCTION("""COMPUTED_VALUE"""),""",")</f>
        <v>",</v>
      </c>
    </row>
    <row r="47">
      <c r="A47" s="9" t="str">
        <f>IFERROR(__xludf.DUMMYFUNCTION("""COMPUTED_VALUE"""),"""")</f>
        <v>"</v>
      </c>
      <c r="B47" s="9" t="s">
        <v>56</v>
      </c>
      <c r="C47" s="9" t="str">
        <f>IFERROR(__xludf.DUMMYFUNCTION("""COMPUTED_VALUE"""),""":""")</f>
        <v>":"</v>
      </c>
      <c r="D47" s="24">
        <v>6.2005979458241782E18</v>
      </c>
      <c r="E47" s="9" t="str">
        <f>IFERROR(__xludf.DUMMYFUNCTION("""COMPUTED_VALUE"""),""",")</f>
        <v>",</v>
      </c>
    </row>
    <row r="48">
      <c r="A48" s="9" t="str">
        <f>IFERROR(__xludf.DUMMYFUNCTION("""COMPUTED_VALUE"""),"""")</f>
        <v>"</v>
      </c>
      <c r="B48" s="9" t="s">
        <v>57</v>
      </c>
      <c r="C48" s="9" t="str">
        <f>IFERROR(__xludf.DUMMYFUNCTION("""COMPUTED_VALUE"""),""":""")</f>
        <v>":"</v>
      </c>
      <c r="D48" s="24">
        <v>2.0248888511809958E19</v>
      </c>
      <c r="E48" s="9" t="str">
        <f>IFERROR(__xludf.DUMMYFUNCTION("""COMPUTED_VALUE"""),""",")</f>
        <v>",</v>
      </c>
    </row>
    <row r="49">
      <c r="A49" s="9" t="str">
        <f>IFERROR(__xludf.DUMMYFUNCTION("""COMPUTED_VALUE"""),"""")</f>
        <v>"</v>
      </c>
      <c r="B49" s="9" t="s">
        <v>58</v>
      </c>
      <c r="C49" s="9" t="str">
        <f>IFERROR(__xludf.DUMMYFUNCTION("""COMPUTED_VALUE"""),""":""")</f>
        <v>":"</v>
      </c>
      <c r="D49" s="24">
        <v>1.69663247193984666E18</v>
      </c>
      <c r="E49" s="9" t="str">
        <f>IFERROR(__xludf.DUMMYFUNCTION("""COMPUTED_VALUE"""),""",")</f>
        <v>",</v>
      </c>
    </row>
    <row r="50">
      <c r="A50" s="9" t="str">
        <f>IFERROR(__xludf.DUMMYFUNCTION("""COMPUTED_VALUE"""),"""")</f>
        <v>"</v>
      </c>
      <c r="B50" s="9" t="s">
        <v>59</v>
      </c>
      <c r="C50" s="9" t="str">
        <f>IFERROR(__xludf.DUMMYFUNCTION("""COMPUTED_VALUE"""),""":""")</f>
        <v>":"</v>
      </c>
      <c r="D50" s="24">
        <v>6.2005979458241782E18</v>
      </c>
      <c r="E50" s="9" t="str">
        <f>IFERROR(__xludf.DUMMYFUNCTION("""COMPUTED_VALUE"""),""",")</f>
        <v>",</v>
      </c>
    </row>
    <row r="51">
      <c r="A51" s="9" t="str">
        <f>IFERROR(__xludf.DUMMYFUNCTION("""COMPUTED_VALUE"""),"""")</f>
        <v>"</v>
      </c>
      <c r="B51" s="9" t="s">
        <v>60</v>
      </c>
      <c r="C51" s="9" t="str">
        <f>IFERROR(__xludf.DUMMYFUNCTION("""COMPUTED_VALUE"""),""":""")</f>
        <v>":"</v>
      </c>
      <c r="D51" s="24">
        <v>6.2005979458241782E18</v>
      </c>
      <c r="E51" s="9" t="str">
        <f>IFERROR(__xludf.DUMMYFUNCTION("""COMPUTED_VALUE"""),""",")</f>
        <v>",</v>
      </c>
    </row>
    <row r="52">
      <c r="A52" s="9" t="str">
        <f>IFERROR(__xludf.DUMMYFUNCTION("""COMPUTED_VALUE"""),"""")</f>
        <v>"</v>
      </c>
      <c r="B52" s="9" t="s">
        <v>61</v>
      </c>
      <c r="C52" s="9" t="str">
        <f>IFERROR(__xludf.DUMMYFUNCTION("""COMPUTED_VALUE"""),""":""")</f>
        <v>":"</v>
      </c>
      <c r="D52" s="24">
        <v>1.6754751049063311E19</v>
      </c>
      <c r="E52" s="9" t="str">
        <f>IFERROR(__xludf.DUMMYFUNCTION("""COMPUTED_VALUE"""),""",")</f>
        <v>",</v>
      </c>
    </row>
    <row r="53">
      <c r="A53" s="9" t="str">
        <f>IFERROR(__xludf.DUMMYFUNCTION("""COMPUTED_VALUE"""),"""")</f>
        <v>"</v>
      </c>
      <c r="B53" s="9" t="s">
        <v>62</v>
      </c>
      <c r="C53" s="9" t="str">
        <f>IFERROR(__xludf.DUMMYFUNCTION("""COMPUTED_VALUE"""),""":""")</f>
        <v>":"</v>
      </c>
      <c r="D53" s="24">
        <v>1.21449360613666432E18</v>
      </c>
      <c r="E53" s="9" t="str">
        <f>IFERROR(__xludf.DUMMYFUNCTION("""COMPUTED_VALUE"""),""",")</f>
        <v>",</v>
      </c>
    </row>
    <row r="54">
      <c r="A54" s="9" t="str">
        <f>IFERROR(__xludf.DUMMYFUNCTION("""COMPUTED_VALUE"""),"""")</f>
        <v>"</v>
      </c>
      <c r="B54" s="9" t="s">
        <v>63</v>
      </c>
      <c r="C54" s="9" t="str">
        <f>IFERROR(__xludf.DUMMYFUNCTION("""COMPUTED_VALUE"""),""":""")</f>
        <v>":"</v>
      </c>
      <c r="D54" s="24">
        <v>1.4629572285415645E19</v>
      </c>
      <c r="E54" s="9" t="str">
        <f>IFERROR(__xludf.DUMMYFUNCTION("""COMPUTED_VALUE"""),""",")</f>
        <v>",</v>
      </c>
    </row>
    <row r="55">
      <c r="A55" s="9" t="str">
        <f>IFERROR(__xludf.DUMMYFUNCTION("""COMPUTED_VALUE"""),"""")</f>
        <v>"</v>
      </c>
      <c r="B55" s="9" t="s">
        <v>64</v>
      </c>
      <c r="C55" s="9" t="str">
        <f>IFERROR(__xludf.DUMMYFUNCTION("""COMPUTED_VALUE"""),""":""")</f>
        <v>":"</v>
      </c>
      <c r="D55" s="24">
        <v>2.635261593531538E19</v>
      </c>
      <c r="E55" s="9" t="str">
        <f>IFERROR(__xludf.DUMMYFUNCTION("""COMPUTED_VALUE"""),""",")</f>
        <v>",</v>
      </c>
    </row>
    <row r="56">
      <c r="A56" s="9" t="str">
        <f>IFERROR(__xludf.DUMMYFUNCTION("""COMPUTED_VALUE"""),"""")</f>
        <v>"</v>
      </c>
      <c r="B56" s="9" t="s">
        <v>65</v>
      </c>
      <c r="C56" s="9" t="str">
        <f>IFERROR(__xludf.DUMMYFUNCTION("""COMPUTED_VALUE"""),""":""")</f>
        <v>":"</v>
      </c>
      <c r="D56" s="24">
        <v>1.9462184240114754E19</v>
      </c>
      <c r="E56" s="9" t="str">
        <f>IFERROR(__xludf.DUMMYFUNCTION("""COMPUTED_VALUE"""),""",")</f>
        <v>",</v>
      </c>
    </row>
    <row r="57">
      <c r="A57" s="9" t="str">
        <f>IFERROR(__xludf.DUMMYFUNCTION("""COMPUTED_VALUE"""),"""")</f>
        <v>"</v>
      </c>
      <c r="B57" s="9" t="s">
        <v>66</v>
      </c>
      <c r="C57" s="9" t="str">
        <f>IFERROR(__xludf.DUMMYFUNCTION("""COMPUTED_VALUE"""),""":""")</f>
        <v>":"</v>
      </c>
      <c r="D57" s="24">
        <v>4.6666679833407549E18</v>
      </c>
      <c r="E57" s="9" t="str">
        <f>IFERROR(__xludf.DUMMYFUNCTION("""COMPUTED_VALUE"""),""",")</f>
        <v>",</v>
      </c>
    </row>
    <row r="58">
      <c r="A58" s="9" t="str">
        <f>IFERROR(__xludf.DUMMYFUNCTION("""COMPUTED_VALUE"""),"""")</f>
        <v>"</v>
      </c>
      <c r="B58" s="9" t="s">
        <v>67</v>
      </c>
      <c r="C58" s="9" t="str">
        <f>IFERROR(__xludf.DUMMYFUNCTION("""COMPUTED_VALUE"""),""":""")</f>
        <v>":"</v>
      </c>
      <c r="D58" s="24">
        <v>8.8051269879365571E18</v>
      </c>
      <c r="E58" s="9" t="str">
        <f>IFERROR(__xludf.DUMMYFUNCTION("""COMPUTED_VALUE"""),""",")</f>
        <v>",</v>
      </c>
    </row>
    <row r="59">
      <c r="A59" s="9" t="str">
        <f>IFERROR(__xludf.DUMMYFUNCTION("""COMPUTED_VALUE"""),"""")</f>
        <v>"</v>
      </c>
      <c r="B59" s="9" t="s">
        <v>68</v>
      </c>
      <c r="C59" s="9" t="str">
        <f>IFERROR(__xludf.DUMMYFUNCTION("""COMPUTED_VALUE"""),""":""")</f>
        <v>":"</v>
      </c>
      <c r="D59" s="24">
        <v>2.0248888511809958E19</v>
      </c>
      <c r="E59" s="9" t="str">
        <f>IFERROR(__xludf.DUMMYFUNCTION("""COMPUTED_VALUE"""),""",")</f>
        <v>",</v>
      </c>
    </row>
    <row r="60">
      <c r="A60" s="9" t="str">
        <f>IFERROR(__xludf.DUMMYFUNCTION("""COMPUTED_VALUE"""),"""")</f>
        <v>"</v>
      </c>
      <c r="B60" s="9" t="s">
        <v>69</v>
      </c>
      <c r="C60" s="9" t="str">
        <f>IFERROR(__xludf.DUMMYFUNCTION("""COMPUTED_VALUE"""),""":""")</f>
        <v>":"</v>
      </c>
      <c r="D60" s="24">
        <v>5.2689828076463114E18</v>
      </c>
      <c r="E60" s="9" t="str">
        <f>IFERROR(__xludf.DUMMYFUNCTION("""COMPUTED_VALUE"""),""",")</f>
        <v>",</v>
      </c>
    </row>
    <row r="61">
      <c r="A61" s="9" t="str">
        <f>IFERROR(__xludf.DUMMYFUNCTION("""COMPUTED_VALUE"""),"""")</f>
        <v>"</v>
      </c>
      <c r="B61" s="9" t="s">
        <v>70</v>
      </c>
      <c r="C61" s="9" t="str">
        <f>IFERROR(__xludf.DUMMYFUNCTION("""COMPUTED_VALUE"""),""":""")</f>
        <v>":"</v>
      </c>
      <c r="D61" s="24">
        <v>6.2005979458241782E18</v>
      </c>
      <c r="E61" s="9" t="str">
        <f>IFERROR(__xludf.DUMMYFUNCTION("""COMPUTED_VALUE"""),""",")</f>
        <v>",</v>
      </c>
    </row>
    <row r="62">
      <c r="A62" s="9" t="str">
        <f>IFERROR(__xludf.DUMMYFUNCTION("""COMPUTED_VALUE"""),"""")</f>
        <v>"</v>
      </c>
      <c r="B62" s="9" t="s">
        <v>71</v>
      </c>
      <c r="C62" s="9" t="str">
        <f>IFERROR(__xludf.DUMMYFUNCTION("""COMPUTED_VALUE"""),""":""")</f>
        <v>":"</v>
      </c>
      <c r="D62" s="24">
        <v>6.2005979458241782E18</v>
      </c>
      <c r="E62" s="9" t="str">
        <f>IFERROR(__xludf.DUMMYFUNCTION("""COMPUTED_VALUE"""),""",")</f>
        <v>",</v>
      </c>
    </row>
    <row r="63">
      <c r="A63" s="9" t="str">
        <f>IFERROR(__xludf.DUMMYFUNCTION("""COMPUTED_VALUE"""),"""")</f>
        <v>"</v>
      </c>
      <c r="B63" s="9" t="s">
        <v>72</v>
      </c>
      <c r="C63" s="9" t="str">
        <f>IFERROR(__xludf.DUMMYFUNCTION("""COMPUTED_VALUE"""),""":""")</f>
        <v>":"</v>
      </c>
      <c r="D63" s="24">
        <v>5.842443085570178E18</v>
      </c>
      <c r="E63" s="9" t="str">
        <f>IFERROR(__xludf.DUMMYFUNCTION("""COMPUTED_VALUE"""),""",")</f>
        <v>",</v>
      </c>
    </row>
    <row r="64">
      <c r="A64" s="9" t="str">
        <f>IFERROR(__xludf.DUMMYFUNCTION("""COMPUTED_VALUE"""),"""")</f>
        <v>"</v>
      </c>
      <c r="B64" s="9" t="s">
        <v>73</v>
      </c>
      <c r="C64" s="9" t="str">
        <f>IFERROR(__xludf.DUMMYFUNCTION("""COMPUTED_VALUE"""),""":""")</f>
        <v>":"</v>
      </c>
      <c r="D64" s="24">
        <v>5.8808817002066002E18</v>
      </c>
      <c r="E64" s="9" t="str">
        <f>IFERROR(__xludf.DUMMYFUNCTION("""COMPUTED_VALUE"""),""",")</f>
        <v>",</v>
      </c>
    </row>
    <row r="65">
      <c r="A65" s="9" t="str">
        <f>IFERROR(__xludf.DUMMYFUNCTION("""COMPUTED_VALUE"""),"""")</f>
        <v>"</v>
      </c>
      <c r="B65" s="9" t="s">
        <v>74</v>
      </c>
      <c r="C65" s="9" t="str">
        <f>IFERROR(__xludf.DUMMYFUNCTION("""COMPUTED_VALUE"""),""":""")</f>
        <v>":"</v>
      </c>
      <c r="D65" s="24">
        <v>9.715343037299399E18</v>
      </c>
      <c r="E65" s="9" t="str">
        <f>IFERROR(__xludf.DUMMYFUNCTION("""COMPUTED_VALUE"""),""",")</f>
        <v>",</v>
      </c>
    </row>
    <row r="66">
      <c r="A66" s="9" t="str">
        <f>IFERROR(__xludf.DUMMYFUNCTION("""COMPUTED_VALUE"""),"""")</f>
        <v>"</v>
      </c>
      <c r="B66" s="9" t="s">
        <v>75</v>
      </c>
      <c r="C66" s="9" t="str">
        <f>IFERROR(__xludf.DUMMYFUNCTION("""COMPUTED_VALUE"""),""":""")</f>
        <v>":"</v>
      </c>
      <c r="D66" s="24">
        <v>2.0248888511809958E19</v>
      </c>
      <c r="E66" s="9" t="str">
        <f>IFERROR(__xludf.DUMMYFUNCTION("""COMPUTED_VALUE"""),""",")</f>
        <v>",</v>
      </c>
    </row>
    <row r="67">
      <c r="A67" s="9" t="str">
        <f>IFERROR(__xludf.DUMMYFUNCTION("""COMPUTED_VALUE"""),"""")</f>
        <v>"</v>
      </c>
      <c r="B67" s="9" t="s">
        <v>76</v>
      </c>
      <c r="C67" s="9" t="str">
        <f>IFERROR(__xludf.DUMMYFUNCTION("""COMPUTED_VALUE"""),""":""")</f>
        <v>":"</v>
      </c>
      <c r="D67" s="24">
        <v>1.8169741508044067E19</v>
      </c>
      <c r="E67" s="9" t="str">
        <f>IFERROR(__xludf.DUMMYFUNCTION("""COMPUTED_VALUE"""),""",")</f>
        <v>",</v>
      </c>
    </row>
    <row r="68">
      <c r="A68" s="9" t="str">
        <f>IFERROR(__xludf.DUMMYFUNCTION("""COMPUTED_VALUE"""),"""")</f>
        <v>"</v>
      </c>
      <c r="B68" s="9" t="s">
        <v>77</v>
      </c>
      <c r="C68" s="9" t="str">
        <f>IFERROR(__xludf.DUMMYFUNCTION("""COMPUTED_VALUE"""),""":""")</f>
        <v>":"</v>
      </c>
      <c r="D68" s="24">
        <v>2.0248888511809958E19</v>
      </c>
      <c r="E68" s="9" t="str">
        <f>IFERROR(__xludf.DUMMYFUNCTION("""COMPUTED_VALUE"""),""",")</f>
        <v>",</v>
      </c>
    </row>
    <row r="69">
      <c r="A69" s="9" t="str">
        <f>IFERROR(__xludf.DUMMYFUNCTION("""COMPUTED_VALUE"""),"""")</f>
        <v>"</v>
      </c>
      <c r="B69" s="9" t="s">
        <v>78</v>
      </c>
      <c r="C69" s="9" t="str">
        <f>IFERROR(__xludf.DUMMYFUNCTION("""COMPUTED_VALUE"""),""":""")</f>
        <v>":"</v>
      </c>
      <c r="D69" s="24">
        <v>2.24164587283711E19</v>
      </c>
      <c r="E69" s="9" t="str">
        <f>IFERROR(__xludf.DUMMYFUNCTION("""COMPUTED_VALUE"""),""",")</f>
        <v>",</v>
      </c>
    </row>
    <row r="70">
      <c r="A70" s="9" t="str">
        <f>IFERROR(__xludf.DUMMYFUNCTION("""COMPUTED_VALUE"""),"""")</f>
        <v>"</v>
      </c>
      <c r="B70" s="9" t="s">
        <v>79</v>
      </c>
      <c r="C70" s="9" t="str">
        <f>IFERROR(__xludf.DUMMYFUNCTION("""COMPUTED_VALUE"""),""":""")</f>
        <v>":"</v>
      </c>
      <c r="D70" s="24">
        <v>2.0248888511809958E19</v>
      </c>
      <c r="E70" s="9" t="str">
        <f>IFERROR(__xludf.DUMMYFUNCTION("""COMPUTED_VALUE"""),""",")</f>
        <v>",</v>
      </c>
    </row>
    <row r="71">
      <c r="A71" s="9" t="str">
        <f>IFERROR(__xludf.DUMMYFUNCTION("""COMPUTED_VALUE"""),"""")</f>
        <v>"</v>
      </c>
      <c r="B71" s="9" t="s">
        <v>80</v>
      </c>
      <c r="C71" s="9" t="str">
        <f>IFERROR(__xludf.DUMMYFUNCTION("""COMPUTED_VALUE"""),""":""")</f>
        <v>":"</v>
      </c>
      <c r="D71" s="24">
        <v>6.2005979458241782E18</v>
      </c>
      <c r="E71" s="9" t="str">
        <f>IFERROR(__xludf.DUMMYFUNCTION("""COMPUTED_VALUE"""),""",")</f>
        <v>",</v>
      </c>
    </row>
    <row r="72">
      <c r="A72" s="9" t="str">
        <f>IFERROR(__xludf.DUMMYFUNCTION("""COMPUTED_VALUE"""),"""")</f>
        <v>"</v>
      </c>
      <c r="B72" s="9" t="s">
        <v>81</v>
      </c>
      <c r="C72" s="9" t="str">
        <f>IFERROR(__xludf.DUMMYFUNCTION("""COMPUTED_VALUE"""),""":""")</f>
        <v>":"</v>
      </c>
      <c r="D72" s="24">
        <v>5.3521432171591107E18</v>
      </c>
      <c r="E72" s="9" t="str">
        <f>IFERROR(__xludf.DUMMYFUNCTION("""COMPUTED_VALUE"""),""",")</f>
        <v>",</v>
      </c>
    </row>
    <row r="73">
      <c r="A73" s="9" t="str">
        <f>IFERROR(__xludf.DUMMYFUNCTION("""COMPUTED_VALUE"""),"""")</f>
        <v>"</v>
      </c>
      <c r="B73" s="9" t="s">
        <v>82</v>
      </c>
      <c r="C73" s="9" t="str">
        <f>IFERROR(__xludf.DUMMYFUNCTION("""COMPUTED_VALUE"""),""":""")</f>
        <v>":"</v>
      </c>
      <c r="D73" s="24">
        <v>2.0244375097752203E19</v>
      </c>
      <c r="E73" s="9" t="str">
        <f>IFERROR(__xludf.DUMMYFUNCTION("""COMPUTED_VALUE"""),""",")</f>
        <v>",</v>
      </c>
    </row>
    <row r="74">
      <c r="A74" s="9" t="str">
        <f>IFERROR(__xludf.DUMMYFUNCTION("""COMPUTED_VALUE"""),"""")</f>
        <v>"</v>
      </c>
      <c r="B74" s="9" t="s">
        <v>83</v>
      </c>
      <c r="C74" s="9" t="str">
        <f>IFERROR(__xludf.DUMMYFUNCTION("""COMPUTED_VALUE"""),""":""")</f>
        <v>":"</v>
      </c>
      <c r="D74" s="24">
        <v>6.2005979458241782E18</v>
      </c>
      <c r="E74" s="9" t="str">
        <f>IFERROR(__xludf.DUMMYFUNCTION("""COMPUTED_VALUE"""),""",")</f>
        <v>",</v>
      </c>
    </row>
    <row r="75">
      <c r="A75" s="9" t="str">
        <f>IFERROR(__xludf.DUMMYFUNCTION("""COMPUTED_VALUE"""),"""")</f>
        <v>"</v>
      </c>
      <c r="B75" s="9" t="s">
        <v>84</v>
      </c>
      <c r="C75" s="9" t="str">
        <f>IFERROR(__xludf.DUMMYFUNCTION("""COMPUTED_VALUE"""),""":""")</f>
        <v>":"</v>
      </c>
      <c r="D75" s="24">
        <v>2.0248888511809958E19</v>
      </c>
      <c r="E75" s="9" t="str">
        <f>IFERROR(__xludf.DUMMYFUNCTION("""COMPUTED_VALUE"""),""",")</f>
        <v>",</v>
      </c>
    </row>
    <row r="76">
      <c r="A76" s="9" t="str">
        <f>IFERROR(__xludf.DUMMYFUNCTION("""COMPUTED_VALUE"""),"""")</f>
        <v>"</v>
      </c>
      <c r="B76" s="9" t="s">
        <v>85</v>
      </c>
      <c r="C76" s="9" t="str">
        <f>IFERROR(__xludf.DUMMYFUNCTION("""COMPUTED_VALUE"""),""":""")</f>
        <v>":"</v>
      </c>
      <c r="D76" s="24">
        <v>5.5742560423443773E18</v>
      </c>
      <c r="E76" s="9" t="str">
        <f>IFERROR(__xludf.DUMMYFUNCTION("""COMPUTED_VALUE"""),""",")</f>
        <v>",</v>
      </c>
    </row>
    <row r="77">
      <c r="A77" s="9" t="str">
        <f>IFERROR(__xludf.DUMMYFUNCTION("""COMPUTED_VALUE"""),"""")</f>
        <v>"</v>
      </c>
      <c r="B77" s="9" t="s">
        <v>86</v>
      </c>
      <c r="C77" s="9" t="str">
        <f>IFERROR(__xludf.DUMMYFUNCTION("""COMPUTED_VALUE"""),""":""")</f>
        <v>":"</v>
      </c>
      <c r="D77" s="24">
        <v>2.0248888511809958E19</v>
      </c>
      <c r="E77" s="9" t="str">
        <f>IFERROR(__xludf.DUMMYFUNCTION("""COMPUTED_VALUE"""),""",")</f>
        <v>",</v>
      </c>
    </row>
    <row r="78">
      <c r="A78" s="9" t="str">
        <f>IFERROR(__xludf.DUMMYFUNCTION("""COMPUTED_VALUE"""),"""")</f>
        <v>"</v>
      </c>
      <c r="B78" s="9" t="s">
        <v>87</v>
      </c>
      <c r="C78" s="9" t="str">
        <f>IFERROR(__xludf.DUMMYFUNCTION("""COMPUTED_VALUE"""),""":""")</f>
        <v>":"</v>
      </c>
      <c r="D78" s="24">
        <v>6.2005979458241782E18</v>
      </c>
      <c r="E78" s="9" t="str">
        <f>IFERROR(__xludf.DUMMYFUNCTION("""COMPUTED_VALUE"""),""",")</f>
        <v>",</v>
      </c>
    </row>
    <row r="79">
      <c r="A79" s="9" t="str">
        <f>IFERROR(__xludf.DUMMYFUNCTION("""COMPUTED_VALUE"""),"""")</f>
        <v>"</v>
      </c>
      <c r="B79" s="9" t="s">
        <v>88</v>
      </c>
      <c r="C79" s="9" t="str">
        <f>IFERROR(__xludf.DUMMYFUNCTION("""COMPUTED_VALUE"""),""":""")</f>
        <v>":"</v>
      </c>
      <c r="D79" s="24">
        <v>5.5612600419014226E18</v>
      </c>
      <c r="E79" s="9" t="str">
        <f>IFERROR(__xludf.DUMMYFUNCTION("""COMPUTED_VALUE"""),""",")</f>
        <v>",</v>
      </c>
    </row>
    <row r="80">
      <c r="A80" s="9" t="str">
        <f>IFERROR(__xludf.DUMMYFUNCTION("""COMPUTED_VALUE"""),"""")</f>
        <v>"</v>
      </c>
      <c r="B80" s="9" t="s">
        <v>89</v>
      </c>
      <c r="C80" s="9" t="str">
        <f>IFERROR(__xludf.DUMMYFUNCTION("""COMPUTED_VALUE"""),""":""")</f>
        <v>":"</v>
      </c>
      <c r="D80" s="24">
        <v>6.2005979458241782E18</v>
      </c>
      <c r="E80" s="9" t="str">
        <f>IFERROR(__xludf.DUMMYFUNCTION("""COMPUTED_VALUE"""),""",")</f>
        <v>",</v>
      </c>
    </row>
    <row r="81">
      <c r="A81" s="9" t="str">
        <f>IFERROR(__xludf.DUMMYFUNCTION("""COMPUTED_VALUE"""),"""")</f>
        <v>"</v>
      </c>
      <c r="B81" s="9" t="s">
        <v>90</v>
      </c>
      <c r="C81" s="9" t="str">
        <f>IFERROR(__xludf.DUMMYFUNCTION("""COMPUTED_VALUE"""),""":""")</f>
        <v>":"</v>
      </c>
      <c r="D81" s="24">
        <v>5.83818929643789E18</v>
      </c>
      <c r="E81" s="9" t="str">
        <f>IFERROR(__xludf.DUMMYFUNCTION("""COMPUTED_VALUE"""),""",")</f>
        <v>",</v>
      </c>
    </row>
    <row r="82">
      <c r="A82" s="9" t="str">
        <f>IFERROR(__xludf.DUMMYFUNCTION("""COMPUTED_VALUE"""),"""")</f>
        <v>"</v>
      </c>
      <c r="B82" s="9" t="s">
        <v>91</v>
      </c>
      <c r="C82" s="9" t="str">
        <f>IFERROR(__xludf.DUMMYFUNCTION("""COMPUTED_VALUE"""),""":""")</f>
        <v>":"</v>
      </c>
      <c r="D82" s="24">
        <v>2.0248888511809958E19</v>
      </c>
      <c r="E82" s="9" t="str">
        <f>IFERROR(__xludf.DUMMYFUNCTION("""COMPUTED_VALUE"""),""",")</f>
        <v>",</v>
      </c>
    </row>
    <row r="83">
      <c r="A83" s="9" t="str">
        <f>IFERROR(__xludf.DUMMYFUNCTION("""COMPUTED_VALUE"""),"""")</f>
        <v>"</v>
      </c>
      <c r="B83" s="9" t="s">
        <v>92</v>
      </c>
      <c r="C83" s="9" t="str">
        <f>IFERROR(__xludf.DUMMYFUNCTION("""COMPUTED_VALUE"""),""":""")</f>
        <v>":"</v>
      </c>
      <c r="D83" s="24">
        <v>1.6255971015267357E19</v>
      </c>
      <c r="E83" s="9" t="str">
        <f>IFERROR(__xludf.DUMMYFUNCTION("""COMPUTED_VALUE"""),""",")</f>
        <v>",</v>
      </c>
    </row>
    <row r="84">
      <c r="A84" s="9" t="str">
        <f>IFERROR(__xludf.DUMMYFUNCTION("""COMPUTED_VALUE"""),"""")</f>
        <v>"</v>
      </c>
      <c r="B84" s="9" t="s">
        <v>93</v>
      </c>
      <c r="C84" s="9" t="str">
        <f>IFERROR(__xludf.DUMMYFUNCTION("""COMPUTED_VALUE"""),""":""")</f>
        <v>":"</v>
      </c>
      <c r="D84" s="24">
        <v>6.2005979458241782E18</v>
      </c>
      <c r="E84" s="9" t="str">
        <f>IFERROR(__xludf.DUMMYFUNCTION("""COMPUTED_VALUE"""),""",")</f>
        <v>",</v>
      </c>
    </row>
    <row r="85">
      <c r="A85" s="9" t="str">
        <f>IFERROR(__xludf.DUMMYFUNCTION("""COMPUTED_VALUE"""),"""")</f>
        <v>"</v>
      </c>
      <c r="B85" s="9" t="s">
        <v>94</v>
      </c>
      <c r="C85" s="9" t="str">
        <f>IFERROR(__xludf.DUMMYFUNCTION("""COMPUTED_VALUE"""),""":""")</f>
        <v>":"</v>
      </c>
      <c r="D85" s="24">
        <v>2.0248888511809958E19</v>
      </c>
      <c r="E85" s="9" t="str">
        <f>IFERROR(__xludf.DUMMYFUNCTION("""COMPUTED_VALUE"""),""",")</f>
        <v>",</v>
      </c>
    </row>
    <row r="86">
      <c r="A86" s="9" t="str">
        <f>IFERROR(__xludf.DUMMYFUNCTION("""COMPUTED_VALUE"""),"""")</f>
        <v>"</v>
      </c>
      <c r="B86" s="9" t="s">
        <v>95</v>
      </c>
      <c r="C86" s="9" t="str">
        <f>IFERROR(__xludf.DUMMYFUNCTION("""COMPUTED_VALUE"""),""":""")</f>
        <v>":"</v>
      </c>
      <c r="D86" s="24">
        <v>6.2005979458241782E18</v>
      </c>
      <c r="E86" s="9" t="str">
        <f>IFERROR(__xludf.DUMMYFUNCTION("""COMPUTED_VALUE"""),""",")</f>
        <v>",</v>
      </c>
    </row>
    <row r="87">
      <c r="A87" s="9" t="str">
        <f>IFERROR(__xludf.DUMMYFUNCTION("""COMPUTED_VALUE"""),"""")</f>
        <v>"</v>
      </c>
      <c r="B87" s="9" t="s">
        <v>96</v>
      </c>
      <c r="C87" s="9" t="str">
        <f>IFERROR(__xludf.DUMMYFUNCTION("""COMPUTED_VALUE"""),""":""")</f>
        <v>":"</v>
      </c>
      <c r="D87" s="24">
        <v>2.0248888511809958E19</v>
      </c>
      <c r="E87" s="9" t="str">
        <f>IFERROR(__xludf.DUMMYFUNCTION("""COMPUTED_VALUE"""),""",")</f>
        <v>",</v>
      </c>
    </row>
    <row r="88">
      <c r="A88" s="9" t="str">
        <f>IFERROR(__xludf.DUMMYFUNCTION("""COMPUTED_VALUE"""),"""")</f>
        <v>"</v>
      </c>
      <c r="B88" s="9" t="s">
        <v>97</v>
      </c>
      <c r="C88" s="9" t="str">
        <f>IFERROR(__xludf.DUMMYFUNCTION("""COMPUTED_VALUE"""),""":""")</f>
        <v>":"</v>
      </c>
      <c r="D88" s="24">
        <v>6.2005979458241782E18</v>
      </c>
      <c r="E88" s="9" t="str">
        <f>IFERROR(__xludf.DUMMYFUNCTION("""COMPUTED_VALUE"""),""",")</f>
        <v>",</v>
      </c>
    </row>
    <row r="89">
      <c r="A89" s="9" t="str">
        <f>IFERROR(__xludf.DUMMYFUNCTION("""COMPUTED_VALUE"""),"""")</f>
        <v>"</v>
      </c>
      <c r="B89" s="9" t="s">
        <v>98</v>
      </c>
      <c r="C89" s="9" t="str">
        <f>IFERROR(__xludf.DUMMYFUNCTION("""COMPUTED_VALUE"""),""":""")</f>
        <v>":"</v>
      </c>
      <c r="D89" s="24">
        <v>6.2005979458241782E18</v>
      </c>
      <c r="E89" s="9" t="str">
        <f>IFERROR(__xludf.DUMMYFUNCTION("""COMPUTED_VALUE"""),""",")</f>
        <v>",</v>
      </c>
    </row>
    <row r="90">
      <c r="A90" s="9" t="str">
        <f>IFERROR(__xludf.DUMMYFUNCTION("""COMPUTED_VALUE"""),"""")</f>
        <v>"</v>
      </c>
      <c r="B90" s="9" t="s">
        <v>99</v>
      </c>
      <c r="C90" s="9" t="str">
        <f>IFERROR(__xludf.DUMMYFUNCTION("""COMPUTED_VALUE"""),""":""")</f>
        <v>":"</v>
      </c>
      <c r="D90" s="24">
        <v>6.1110485605402845E19</v>
      </c>
      <c r="E90" s="9" t="str">
        <f>IFERROR(__xludf.DUMMYFUNCTION("""COMPUTED_VALUE"""),""",")</f>
        <v>",</v>
      </c>
    </row>
    <row r="91">
      <c r="A91" s="9" t="str">
        <f>IFERROR(__xludf.DUMMYFUNCTION("""COMPUTED_VALUE"""),"""")</f>
        <v>"</v>
      </c>
      <c r="B91" s="9" t="s">
        <v>100</v>
      </c>
      <c r="C91" s="9" t="str">
        <f>IFERROR(__xludf.DUMMYFUNCTION("""COMPUTED_VALUE"""),""":""")</f>
        <v>":"</v>
      </c>
      <c r="D91" s="24">
        <v>5.7027754986109993E18</v>
      </c>
      <c r="E91" s="9" t="str">
        <f>IFERROR(__xludf.DUMMYFUNCTION("""COMPUTED_VALUE"""),""",")</f>
        <v>",</v>
      </c>
    </row>
    <row r="92">
      <c r="A92" s="9" t="str">
        <f>IFERROR(__xludf.DUMMYFUNCTION("""COMPUTED_VALUE"""),"""")</f>
        <v>"</v>
      </c>
      <c r="B92" s="9" t="s">
        <v>101</v>
      </c>
      <c r="C92" s="9" t="str">
        <f>IFERROR(__xludf.DUMMYFUNCTION("""COMPUTED_VALUE"""),""":""")</f>
        <v>":"</v>
      </c>
      <c r="D92" s="24">
        <v>2.581615266851873E19</v>
      </c>
      <c r="E92" s="9" t="str">
        <f>IFERROR(__xludf.DUMMYFUNCTION("""COMPUTED_VALUE"""),""",")</f>
        <v>",</v>
      </c>
    </row>
    <row r="93">
      <c r="A93" s="9" t="str">
        <f>IFERROR(__xludf.DUMMYFUNCTION("""COMPUTED_VALUE"""),"""")</f>
        <v>"</v>
      </c>
      <c r="B93" s="9" t="s">
        <v>102</v>
      </c>
      <c r="C93" s="9" t="str">
        <f>IFERROR(__xludf.DUMMYFUNCTION("""COMPUTED_VALUE"""),""":""")</f>
        <v>":"</v>
      </c>
      <c r="D93" s="24">
        <v>2.108774034632393E19</v>
      </c>
      <c r="E93" s="9" t="str">
        <f>IFERROR(__xludf.DUMMYFUNCTION("""COMPUTED_VALUE"""),""",")</f>
        <v>",</v>
      </c>
    </row>
    <row r="94">
      <c r="A94" s="9" t="str">
        <f>IFERROR(__xludf.DUMMYFUNCTION("""COMPUTED_VALUE"""),"""")</f>
        <v>"</v>
      </c>
      <c r="B94" s="9" t="s">
        <v>103</v>
      </c>
      <c r="C94" s="9" t="str">
        <f>IFERROR(__xludf.DUMMYFUNCTION("""COMPUTED_VALUE"""),""":""")</f>
        <v>":"</v>
      </c>
      <c r="D94" s="24">
        <v>6.2005979458241782E18</v>
      </c>
      <c r="E94" s="9" t="str">
        <f>IFERROR(__xludf.DUMMYFUNCTION("""COMPUTED_VALUE"""),""",")</f>
        <v>",</v>
      </c>
    </row>
    <row r="95">
      <c r="A95" s="9" t="str">
        <f>IFERROR(__xludf.DUMMYFUNCTION("""COMPUTED_VALUE"""),"""")</f>
        <v>"</v>
      </c>
      <c r="B95" s="9" t="s">
        <v>104</v>
      </c>
      <c r="C95" s="9" t="str">
        <f>IFERROR(__xludf.DUMMYFUNCTION("""COMPUTED_VALUE"""),""":""")</f>
        <v>":"</v>
      </c>
      <c r="D95" s="24">
        <v>2.1194570293589565E19</v>
      </c>
      <c r="E95" s="9" t="str">
        <f>IFERROR(__xludf.DUMMYFUNCTION("""COMPUTED_VALUE"""),""",")</f>
        <v>",</v>
      </c>
    </row>
    <row r="96">
      <c r="A96" s="9" t="str">
        <f>IFERROR(__xludf.DUMMYFUNCTION("""COMPUTED_VALUE"""),"""")</f>
        <v>"</v>
      </c>
      <c r="B96" s="9" t="s">
        <v>105</v>
      </c>
      <c r="C96" s="9" t="str">
        <f>IFERROR(__xludf.DUMMYFUNCTION("""COMPUTED_VALUE"""),""":""")</f>
        <v>":"</v>
      </c>
      <c r="D96" s="24">
        <v>6.2005979458241782E18</v>
      </c>
      <c r="E96" s="9" t="str">
        <f>IFERROR(__xludf.DUMMYFUNCTION("""COMPUTED_VALUE"""),""",")</f>
        <v>",</v>
      </c>
    </row>
    <row r="97">
      <c r="A97" s="9" t="str">
        <f>IFERROR(__xludf.DUMMYFUNCTION("""COMPUTED_VALUE"""),"""")</f>
        <v>"</v>
      </c>
      <c r="B97" s="9" t="s">
        <v>106</v>
      </c>
      <c r="C97" s="9" t="str">
        <f>IFERROR(__xludf.DUMMYFUNCTION("""COMPUTED_VALUE"""),""":""")</f>
        <v>":"</v>
      </c>
      <c r="D97" s="24">
        <v>2.2843275628863468E19</v>
      </c>
      <c r="E97" s="9" t="str">
        <f>IFERROR(__xludf.DUMMYFUNCTION("""COMPUTED_VALUE"""),""",")</f>
        <v>",</v>
      </c>
    </row>
    <row r="98">
      <c r="A98" s="9" t="str">
        <f>IFERROR(__xludf.DUMMYFUNCTION("""COMPUTED_VALUE"""),"""")</f>
        <v>"</v>
      </c>
      <c r="B98" s="9" t="s">
        <v>107</v>
      </c>
      <c r="C98" s="9" t="str">
        <f>IFERROR(__xludf.DUMMYFUNCTION("""COMPUTED_VALUE"""),""":""")</f>
        <v>":"</v>
      </c>
      <c r="D98" s="24">
        <v>1.4716330103301579E19</v>
      </c>
      <c r="E98" s="9" t="str">
        <f>IFERROR(__xludf.DUMMYFUNCTION("""COMPUTED_VALUE"""),""",")</f>
        <v>",</v>
      </c>
    </row>
    <row r="99">
      <c r="A99" s="9" t="str">
        <f>IFERROR(__xludf.DUMMYFUNCTION("""COMPUTED_VALUE"""),"""")</f>
        <v>"</v>
      </c>
      <c r="B99" s="9" t="s">
        <v>108</v>
      </c>
      <c r="C99" s="9" t="str">
        <f>IFERROR(__xludf.DUMMYFUNCTION("""COMPUTED_VALUE"""),""":""")</f>
        <v>":"</v>
      </c>
      <c r="D99" s="24">
        <v>6.2005979458241782E18</v>
      </c>
      <c r="E99" s="9" t="str">
        <f>IFERROR(__xludf.DUMMYFUNCTION("""COMPUTED_VALUE"""),""",")</f>
        <v>",</v>
      </c>
    </row>
    <row r="100">
      <c r="A100" s="9" t="str">
        <f>IFERROR(__xludf.DUMMYFUNCTION("""COMPUTED_VALUE"""),"""")</f>
        <v>"</v>
      </c>
      <c r="B100" s="9" t="s">
        <v>109</v>
      </c>
      <c r="C100" s="9" t="str">
        <f>IFERROR(__xludf.DUMMYFUNCTION("""COMPUTED_VALUE"""),""":""")</f>
        <v>":"</v>
      </c>
      <c r="D100" s="24">
        <v>6.2005979458241782E18</v>
      </c>
      <c r="E100" s="9" t="str">
        <f>IFERROR(__xludf.DUMMYFUNCTION("""COMPUTED_VALUE"""),""",")</f>
        <v>",</v>
      </c>
    </row>
    <row r="101">
      <c r="A101" s="9" t="str">
        <f>IFERROR(__xludf.DUMMYFUNCTION("""COMPUTED_VALUE"""),"""")</f>
        <v>"</v>
      </c>
      <c r="B101" s="9" t="s">
        <v>110</v>
      </c>
      <c r="C101" s="9" t="str">
        <f>IFERROR(__xludf.DUMMYFUNCTION("""COMPUTED_VALUE"""),""":""")</f>
        <v>":"</v>
      </c>
      <c r="D101" s="24">
        <v>5.8898606686633779E18</v>
      </c>
      <c r="E101" s="9" t="str">
        <f>IFERROR(__xludf.DUMMYFUNCTION("""COMPUTED_VALUE"""),""",")</f>
        <v>",</v>
      </c>
    </row>
    <row r="102">
      <c r="A102" s="9" t="str">
        <f>IFERROR(__xludf.DUMMYFUNCTION("""COMPUTED_VALUE"""),"""")</f>
        <v>"</v>
      </c>
      <c r="B102" s="9" t="s">
        <v>111</v>
      </c>
      <c r="C102" s="9" t="str">
        <f>IFERROR(__xludf.DUMMYFUNCTION("""COMPUTED_VALUE"""),""":""")</f>
        <v>":"</v>
      </c>
      <c r="D102" s="24">
        <v>9.386808382623955E18</v>
      </c>
      <c r="E102" s="9" t="str">
        <f>IFERROR(__xludf.DUMMYFUNCTION("""COMPUTED_VALUE"""),""",")</f>
        <v>",</v>
      </c>
    </row>
    <row r="103">
      <c r="A103" s="9" t="str">
        <f>IFERROR(__xludf.DUMMYFUNCTION("""COMPUTED_VALUE"""),"""")</f>
        <v>"</v>
      </c>
      <c r="B103" s="9" t="s">
        <v>112</v>
      </c>
      <c r="C103" s="9" t="str">
        <f>IFERROR(__xludf.DUMMYFUNCTION("""COMPUTED_VALUE"""),""":""")</f>
        <v>":"</v>
      </c>
      <c r="D103" s="24">
        <v>1.4741958609943534E19</v>
      </c>
      <c r="E103" s="9" t="str">
        <f>IFERROR(__xludf.DUMMYFUNCTION("""COMPUTED_VALUE"""),""",")</f>
        <v>",</v>
      </c>
    </row>
    <row r="104">
      <c r="A104" s="9" t="str">
        <f>IFERROR(__xludf.DUMMYFUNCTION("""COMPUTED_VALUE"""),"""")</f>
        <v>"</v>
      </c>
      <c r="B104" s="9" t="s">
        <v>113</v>
      </c>
      <c r="C104" s="9" t="str">
        <f>IFERROR(__xludf.DUMMYFUNCTION("""COMPUTED_VALUE"""),""":""")</f>
        <v>":"</v>
      </c>
      <c r="D104" s="24">
        <v>6.2005979458241782E18</v>
      </c>
      <c r="E104" s="9" t="str">
        <f>IFERROR(__xludf.DUMMYFUNCTION("""COMPUTED_VALUE"""),""",")</f>
        <v>",</v>
      </c>
    </row>
    <row r="105">
      <c r="A105" s="9" t="str">
        <f>IFERROR(__xludf.DUMMYFUNCTION("""COMPUTED_VALUE"""),"""")</f>
        <v>"</v>
      </c>
      <c r="B105" s="9" t="s">
        <v>114</v>
      </c>
      <c r="C105" s="9" t="str">
        <f>IFERROR(__xludf.DUMMYFUNCTION("""COMPUTED_VALUE"""),""":""")</f>
        <v>":"</v>
      </c>
      <c r="D105" s="24">
        <v>5.8291383547588219E18</v>
      </c>
      <c r="E105" s="9" t="str">
        <f>IFERROR(__xludf.DUMMYFUNCTION("""COMPUTED_VALUE"""),""",")</f>
        <v>",</v>
      </c>
    </row>
    <row r="106">
      <c r="A106" s="9" t="str">
        <f>IFERROR(__xludf.DUMMYFUNCTION("""COMPUTED_VALUE"""),"""")</f>
        <v>"</v>
      </c>
      <c r="B106" s="9" t="s">
        <v>115</v>
      </c>
      <c r="C106" s="9" t="str">
        <f>IFERROR(__xludf.DUMMYFUNCTION("""COMPUTED_VALUE"""),""":""")</f>
        <v>":"</v>
      </c>
      <c r="D106" s="24">
        <v>8.382721553099776E18</v>
      </c>
      <c r="E106" s="9" t="str">
        <f>IFERROR(__xludf.DUMMYFUNCTION("""COMPUTED_VALUE"""),""",")</f>
        <v>",</v>
      </c>
    </row>
    <row r="107">
      <c r="A107" s="9" t="str">
        <f>IFERROR(__xludf.DUMMYFUNCTION("""COMPUTED_VALUE"""),"""")</f>
        <v>"</v>
      </c>
      <c r="B107" s="9" t="s">
        <v>116</v>
      </c>
      <c r="C107" s="9" t="str">
        <f>IFERROR(__xludf.DUMMYFUNCTION("""COMPUTED_VALUE"""),""":""")</f>
        <v>":"</v>
      </c>
      <c r="D107" s="24">
        <v>5.8084650246918456E16</v>
      </c>
      <c r="E107" s="9" t="str">
        <f>IFERROR(__xludf.DUMMYFUNCTION("""COMPUTED_VALUE"""),""",")</f>
        <v>",</v>
      </c>
    </row>
    <row r="108">
      <c r="A108" s="9" t="str">
        <f>IFERROR(__xludf.DUMMYFUNCTION("""COMPUTED_VALUE"""),"""")</f>
        <v>"</v>
      </c>
      <c r="B108" s="9" t="s">
        <v>117</v>
      </c>
      <c r="C108" s="9" t="str">
        <f>IFERROR(__xludf.DUMMYFUNCTION("""COMPUTED_VALUE"""),""":""")</f>
        <v>":"</v>
      </c>
      <c r="D108" s="24">
        <v>5.9242370363796224E18</v>
      </c>
      <c r="E108" s="9" t="str">
        <f>IFERROR(__xludf.DUMMYFUNCTION("""COMPUTED_VALUE"""),""",")</f>
        <v>",</v>
      </c>
    </row>
    <row r="109">
      <c r="A109" s="9" t="str">
        <f>IFERROR(__xludf.DUMMYFUNCTION("""COMPUTED_VALUE"""),"""")</f>
        <v>"</v>
      </c>
      <c r="B109" s="9" t="s">
        <v>118</v>
      </c>
      <c r="C109" s="9" t="str">
        <f>IFERROR(__xludf.DUMMYFUNCTION("""COMPUTED_VALUE"""),""":""")</f>
        <v>":"</v>
      </c>
      <c r="D109" s="24">
        <v>2.0248888511809958E19</v>
      </c>
      <c r="E109" s="9" t="str">
        <f>IFERROR(__xludf.DUMMYFUNCTION("""COMPUTED_VALUE"""),""",")</f>
        <v>",</v>
      </c>
    </row>
    <row r="110">
      <c r="A110" s="9" t="str">
        <f>IFERROR(__xludf.DUMMYFUNCTION("""COMPUTED_VALUE"""),"""")</f>
        <v>"</v>
      </c>
      <c r="B110" s="9" t="s">
        <v>119</v>
      </c>
      <c r="C110" s="9" t="str">
        <f>IFERROR(__xludf.DUMMYFUNCTION("""COMPUTED_VALUE"""),""":""")</f>
        <v>":"</v>
      </c>
      <c r="D110" s="24">
        <v>2.0248888511809958E19</v>
      </c>
      <c r="E110" s="9" t="str">
        <f>IFERROR(__xludf.DUMMYFUNCTION("""COMPUTED_VALUE"""),""",")</f>
        <v>",</v>
      </c>
    </row>
    <row r="111">
      <c r="A111" s="9" t="str">
        <f>IFERROR(__xludf.DUMMYFUNCTION("""COMPUTED_VALUE"""),"""")</f>
        <v>"</v>
      </c>
      <c r="B111" s="9" t="s">
        <v>120</v>
      </c>
      <c r="C111" s="9" t="str">
        <f>IFERROR(__xludf.DUMMYFUNCTION("""COMPUTED_VALUE"""),""":""")</f>
        <v>":"</v>
      </c>
      <c r="D111" s="24">
        <v>6.2005979458241782E18</v>
      </c>
      <c r="E111" s="9" t="str">
        <f>IFERROR(__xludf.DUMMYFUNCTION("""COMPUTED_VALUE"""),""",")</f>
        <v>",</v>
      </c>
    </row>
    <row r="112">
      <c r="A112" s="9" t="str">
        <f>IFERROR(__xludf.DUMMYFUNCTION("""COMPUTED_VALUE"""),"""")</f>
        <v>"</v>
      </c>
      <c r="B112" s="9" t="s">
        <v>121</v>
      </c>
      <c r="C112" s="9" t="str">
        <f>IFERROR(__xludf.DUMMYFUNCTION("""COMPUTED_VALUE"""),""":""")</f>
        <v>":"</v>
      </c>
      <c r="D112" s="24">
        <v>9.035287744434089E17</v>
      </c>
      <c r="E112" s="9" t="str">
        <f>IFERROR(__xludf.DUMMYFUNCTION("""COMPUTED_VALUE"""),""",")</f>
        <v>",</v>
      </c>
    </row>
    <row r="113">
      <c r="A113" s="9" t="str">
        <f>IFERROR(__xludf.DUMMYFUNCTION("""COMPUTED_VALUE"""),"""")</f>
        <v>"</v>
      </c>
      <c r="B113" s="9" t="s">
        <v>122</v>
      </c>
      <c r="C113" s="9" t="str">
        <f>IFERROR(__xludf.DUMMYFUNCTION("""COMPUTED_VALUE"""),""":""")</f>
        <v>":"</v>
      </c>
      <c r="D113" s="24">
        <v>6.2005979458241782E18</v>
      </c>
      <c r="E113" s="9" t="str">
        <f>IFERROR(__xludf.DUMMYFUNCTION("""COMPUTED_VALUE"""),""",")</f>
        <v>",</v>
      </c>
    </row>
    <row r="114">
      <c r="A114" s="9" t="str">
        <f>IFERROR(__xludf.DUMMYFUNCTION("""COMPUTED_VALUE"""),"""")</f>
        <v>"</v>
      </c>
      <c r="B114" s="9" t="s">
        <v>123</v>
      </c>
      <c r="C114" s="9" t="str">
        <f>IFERROR(__xludf.DUMMYFUNCTION("""COMPUTED_VALUE"""),""":""")</f>
        <v>":"</v>
      </c>
      <c r="D114" s="24">
        <v>6.2005979458241782E18</v>
      </c>
      <c r="E114" s="9" t="str">
        <f>IFERROR(__xludf.DUMMYFUNCTION("""COMPUTED_VALUE"""),""",")</f>
        <v>",</v>
      </c>
    </row>
    <row r="115">
      <c r="A115" s="9" t="str">
        <f>IFERROR(__xludf.DUMMYFUNCTION("""COMPUTED_VALUE"""),"""")</f>
        <v>"</v>
      </c>
      <c r="B115" s="9" t="s">
        <v>124</v>
      </c>
      <c r="C115" s="9" t="str">
        <f>IFERROR(__xludf.DUMMYFUNCTION("""COMPUTED_VALUE"""),""":""")</f>
        <v>":"</v>
      </c>
      <c r="D115" s="24">
        <v>2.0248888511809958E19</v>
      </c>
      <c r="E115" s="9" t="str">
        <f>IFERROR(__xludf.DUMMYFUNCTION("""COMPUTED_VALUE"""),""",")</f>
        <v>",</v>
      </c>
    </row>
    <row r="116">
      <c r="A116" s="9" t="str">
        <f>IFERROR(__xludf.DUMMYFUNCTION("""COMPUTED_VALUE"""),"""")</f>
        <v>"</v>
      </c>
      <c r="B116" s="9" t="s">
        <v>125</v>
      </c>
      <c r="C116" s="9" t="str">
        <f>IFERROR(__xludf.DUMMYFUNCTION("""COMPUTED_VALUE"""),""":""")</f>
        <v>":"</v>
      </c>
      <c r="D116" s="24">
        <v>6.2005979458241782E18</v>
      </c>
      <c r="E116" s="9" t="str">
        <f>IFERROR(__xludf.DUMMYFUNCTION("""COMPUTED_VALUE"""),""",")</f>
        <v>",</v>
      </c>
    </row>
    <row r="117">
      <c r="A117" s="9" t="str">
        <f>IFERROR(__xludf.DUMMYFUNCTION("""COMPUTED_VALUE"""),"""")</f>
        <v>"</v>
      </c>
      <c r="B117" s="9" t="s">
        <v>126</v>
      </c>
      <c r="C117" s="9" t="str">
        <f>IFERROR(__xludf.DUMMYFUNCTION("""COMPUTED_VALUE"""),""":""")</f>
        <v>":"</v>
      </c>
      <c r="D117" s="24">
        <v>2.0248888511809958E19</v>
      </c>
      <c r="E117" s="9" t="str">
        <f>IFERROR(__xludf.DUMMYFUNCTION("""COMPUTED_VALUE"""),""",")</f>
        <v>",</v>
      </c>
    </row>
    <row r="118">
      <c r="A118" s="9" t="str">
        <f>IFERROR(__xludf.DUMMYFUNCTION("""COMPUTED_VALUE"""),"""")</f>
        <v>"</v>
      </c>
      <c r="B118" s="9" t="s">
        <v>127</v>
      </c>
      <c r="C118" s="9" t="str">
        <f>IFERROR(__xludf.DUMMYFUNCTION("""COMPUTED_VALUE"""),""":""")</f>
        <v>":"</v>
      </c>
      <c r="D118" s="24">
        <v>2.114892490055614E19</v>
      </c>
      <c r="E118" s="9" t="str">
        <f>IFERROR(__xludf.DUMMYFUNCTION("""COMPUTED_VALUE"""),""",")</f>
        <v>",</v>
      </c>
    </row>
    <row r="119">
      <c r="A119" s="9" t="str">
        <f>IFERROR(__xludf.DUMMYFUNCTION("""COMPUTED_VALUE"""),"""")</f>
        <v>"</v>
      </c>
      <c r="B119" s="9" t="s">
        <v>128</v>
      </c>
      <c r="C119" s="9" t="str">
        <f>IFERROR(__xludf.DUMMYFUNCTION("""COMPUTED_VALUE"""),""":""")</f>
        <v>":"</v>
      </c>
      <c r="D119" s="24">
        <v>2.631476932585622E19</v>
      </c>
      <c r="E119" s="9" t="str">
        <f>IFERROR(__xludf.DUMMYFUNCTION("""COMPUTED_VALUE"""),""",")</f>
        <v>",</v>
      </c>
    </row>
    <row r="120">
      <c r="A120" s="9" t="str">
        <f>IFERROR(__xludf.DUMMYFUNCTION("""COMPUTED_VALUE"""),"""")</f>
        <v>"</v>
      </c>
      <c r="B120" s="9" t="s">
        <v>129</v>
      </c>
      <c r="C120" s="9" t="str">
        <f>IFERROR(__xludf.DUMMYFUNCTION("""COMPUTED_VALUE"""),""":""")</f>
        <v>":"</v>
      </c>
      <c r="D120" s="24">
        <v>2.1551697282303554E19</v>
      </c>
      <c r="E120" s="9" t="str">
        <f>IFERROR(__xludf.DUMMYFUNCTION("""COMPUTED_VALUE"""),""",")</f>
        <v>",</v>
      </c>
    </row>
    <row r="121">
      <c r="A121" s="9" t="str">
        <f>IFERROR(__xludf.DUMMYFUNCTION("""COMPUTED_VALUE"""),"""")</f>
        <v>"</v>
      </c>
      <c r="B121" s="9" t="s">
        <v>130</v>
      </c>
      <c r="C121" s="9" t="str">
        <f>IFERROR(__xludf.DUMMYFUNCTION("""COMPUTED_VALUE"""),""":""")</f>
        <v>":"</v>
      </c>
      <c r="D121" s="24">
        <v>6.2005979458241782E18</v>
      </c>
      <c r="E121" s="9" t="str">
        <f>IFERROR(__xludf.DUMMYFUNCTION("""COMPUTED_VALUE"""),""",")</f>
        <v>",</v>
      </c>
    </row>
    <row r="122">
      <c r="A122" s="9" t="str">
        <f>IFERROR(__xludf.DUMMYFUNCTION("""COMPUTED_VALUE"""),"""")</f>
        <v>"</v>
      </c>
      <c r="B122" s="9" t="s">
        <v>131</v>
      </c>
      <c r="C122" s="9" t="str">
        <f>IFERROR(__xludf.DUMMYFUNCTION("""COMPUTED_VALUE"""),""":""")</f>
        <v>":"</v>
      </c>
      <c r="D122" s="24">
        <v>5.2564417343744225E18</v>
      </c>
      <c r="E122" s="9" t="str">
        <f>IFERROR(__xludf.DUMMYFUNCTION("""COMPUTED_VALUE"""),""",")</f>
        <v>",</v>
      </c>
    </row>
    <row r="123">
      <c r="A123" s="9" t="str">
        <f>IFERROR(__xludf.DUMMYFUNCTION("""COMPUTED_VALUE"""),"""")</f>
        <v>"</v>
      </c>
      <c r="B123" s="9" t="s">
        <v>132</v>
      </c>
      <c r="C123" s="9" t="str">
        <f>IFERROR(__xludf.DUMMYFUNCTION("""COMPUTED_VALUE"""),""":""")</f>
        <v>":"</v>
      </c>
      <c r="D123" s="24">
        <v>6.2005979458241782E18</v>
      </c>
      <c r="E123" s="9" t="str">
        <f>IFERROR(__xludf.DUMMYFUNCTION("""COMPUTED_VALUE"""),""",")</f>
        <v>",</v>
      </c>
    </row>
    <row r="124">
      <c r="A124" s="9" t="str">
        <f>IFERROR(__xludf.DUMMYFUNCTION("""COMPUTED_VALUE"""),"""")</f>
        <v>"</v>
      </c>
      <c r="B124" s="9" t="s">
        <v>133</v>
      </c>
      <c r="C124" s="9" t="str">
        <f>IFERROR(__xludf.DUMMYFUNCTION("""COMPUTED_VALUE"""),""":""")</f>
        <v>":"</v>
      </c>
      <c r="D124" s="24">
        <v>6.2005979458241782E18</v>
      </c>
      <c r="E124" s="9" t="str">
        <f>IFERROR(__xludf.DUMMYFUNCTION("""COMPUTED_VALUE"""),""",")</f>
        <v>",</v>
      </c>
    </row>
    <row r="125">
      <c r="A125" s="9" t="str">
        <f>IFERROR(__xludf.DUMMYFUNCTION("""COMPUTED_VALUE"""),"""")</f>
        <v>"</v>
      </c>
      <c r="B125" s="9" t="s">
        <v>134</v>
      </c>
      <c r="C125" s="9" t="str">
        <f>IFERROR(__xludf.DUMMYFUNCTION("""COMPUTED_VALUE"""),""":""")</f>
        <v>":"</v>
      </c>
      <c r="D125" s="24">
        <v>2.0248888511809958E19</v>
      </c>
      <c r="E125" s="9" t="str">
        <f>IFERROR(__xludf.DUMMYFUNCTION("""COMPUTED_VALUE"""),""",")</f>
        <v>",</v>
      </c>
    </row>
    <row r="126">
      <c r="A126" s="9" t="str">
        <f>IFERROR(__xludf.DUMMYFUNCTION("""COMPUTED_VALUE"""),"""")</f>
        <v>"</v>
      </c>
      <c r="B126" s="9" t="s">
        <v>135</v>
      </c>
      <c r="C126" s="9" t="str">
        <f>IFERROR(__xludf.DUMMYFUNCTION("""COMPUTED_VALUE"""),""":""")</f>
        <v>":"</v>
      </c>
      <c r="D126" s="24">
        <v>7.833165720365936E19</v>
      </c>
      <c r="E126" s="9" t="str">
        <f>IFERROR(__xludf.DUMMYFUNCTION("""COMPUTED_VALUE"""),""",")</f>
        <v>",</v>
      </c>
    </row>
    <row r="127">
      <c r="A127" s="9" t="str">
        <f>IFERROR(__xludf.DUMMYFUNCTION("""COMPUTED_VALUE"""),"""")</f>
        <v>"</v>
      </c>
      <c r="B127" s="9" t="s">
        <v>136</v>
      </c>
      <c r="C127" s="9" t="str">
        <f>IFERROR(__xludf.DUMMYFUNCTION("""COMPUTED_VALUE"""),""":""")</f>
        <v>":"</v>
      </c>
      <c r="D127" s="24">
        <v>6.2005979458241782E18</v>
      </c>
      <c r="E127" s="9" t="str">
        <f>IFERROR(__xludf.DUMMYFUNCTION("""COMPUTED_VALUE"""),""",")</f>
        <v>",</v>
      </c>
    </row>
    <row r="128">
      <c r="A128" s="9" t="str">
        <f>IFERROR(__xludf.DUMMYFUNCTION("""COMPUTED_VALUE"""),"""")</f>
        <v>"</v>
      </c>
      <c r="B128" s="9" t="s">
        <v>137</v>
      </c>
      <c r="C128" s="9" t="str">
        <f>IFERROR(__xludf.DUMMYFUNCTION("""COMPUTED_VALUE"""),""":""")</f>
        <v>":"</v>
      </c>
      <c r="D128" s="24">
        <v>2.8067992900701553E18</v>
      </c>
      <c r="E128" s="9" t="str">
        <f>IFERROR(__xludf.DUMMYFUNCTION("""COMPUTED_VALUE"""),""",")</f>
        <v>",</v>
      </c>
    </row>
    <row r="129">
      <c r="A129" s="9" t="str">
        <f>IFERROR(__xludf.DUMMYFUNCTION("""COMPUTED_VALUE"""),"""")</f>
        <v>"</v>
      </c>
      <c r="B129" s="9" t="s">
        <v>138</v>
      </c>
      <c r="C129" s="9" t="str">
        <f>IFERROR(__xludf.DUMMYFUNCTION("""COMPUTED_VALUE"""),""":""")</f>
        <v>":"</v>
      </c>
      <c r="D129" s="24">
        <v>7.262594273835797E19</v>
      </c>
      <c r="E129" s="9" t="str">
        <f>IFERROR(__xludf.DUMMYFUNCTION("""COMPUTED_VALUE"""),""",")</f>
        <v>",</v>
      </c>
    </row>
    <row r="130">
      <c r="A130" s="9" t="str">
        <f>IFERROR(__xludf.DUMMYFUNCTION("""COMPUTED_VALUE"""),"""")</f>
        <v>"</v>
      </c>
      <c r="B130" s="9" t="s">
        <v>139</v>
      </c>
      <c r="C130" s="9" t="str">
        <f>IFERROR(__xludf.DUMMYFUNCTION("""COMPUTED_VALUE"""),""":""")</f>
        <v>":"</v>
      </c>
      <c r="D130" s="24">
        <v>6.2005979458241782E18</v>
      </c>
      <c r="E130" s="9" t="str">
        <f>IFERROR(__xludf.DUMMYFUNCTION("""COMPUTED_VALUE"""),""",")</f>
        <v>",</v>
      </c>
    </row>
    <row r="131">
      <c r="A131" s="9" t="str">
        <f>IFERROR(__xludf.DUMMYFUNCTION("""COMPUTED_VALUE"""),"""")</f>
        <v>"</v>
      </c>
      <c r="B131" s="9" t="s">
        <v>140</v>
      </c>
      <c r="C131" s="9" t="str">
        <f>IFERROR(__xludf.DUMMYFUNCTION("""COMPUTED_VALUE"""),""":""")</f>
        <v>":"</v>
      </c>
      <c r="D131" s="24">
        <v>2.1979243988432134E19</v>
      </c>
      <c r="E131" s="9" t="str">
        <f>IFERROR(__xludf.DUMMYFUNCTION("""COMPUTED_VALUE"""),""",")</f>
        <v>",</v>
      </c>
    </row>
    <row r="132">
      <c r="A132" s="9" t="str">
        <f>IFERROR(__xludf.DUMMYFUNCTION("""COMPUTED_VALUE"""),"""")</f>
        <v>"</v>
      </c>
      <c r="B132" s="9" t="s">
        <v>141</v>
      </c>
      <c r="C132" s="9" t="str">
        <f>IFERROR(__xludf.DUMMYFUNCTION("""COMPUTED_VALUE"""),""":""")</f>
        <v>":"</v>
      </c>
      <c r="D132" s="24">
        <v>1.3017497495530824E19</v>
      </c>
      <c r="E132" s="9" t="str">
        <f>IFERROR(__xludf.DUMMYFUNCTION("""COMPUTED_VALUE"""),""",")</f>
        <v>",</v>
      </c>
    </row>
    <row r="133">
      <c r="A133" s="9" t="str">
        <f>IFERROR(__xludf.DUMMYFUNCTION("""COMPUTED_VALUE"""),"""")</f>
        <v>"</v>
      </c>
      <c r="B133" s="9" t="s">
        <v>142</v>
      </c>
      <c r="C133" s="9" t="str">
        <f>IFERROR(__xludf.DUMMYFUNCTION("""COMPUTED_VALUE"""),""":""")</f>
        <v>":"</v>
      </c>
      <c r="D133" s="24">
        <v>2.0248888511809958E19</v>
      </c>
      <c r="E133" s="9" t="str">
        <f>IFERROR(__xludf.DUMMYFUNCTION("""COMPUTED_VALUE"""),""",")</f>
        <v>",</v>
      </c>
    </row>
    <row r="134">
      <c r="A134" s="9" t="str">
        <f>IFERROR(__xludf.DUMMYFUNCTION("""COMPUTED_VALUE"""),"""")</f>
        <v>"</v>
      </c>
      <c r="B134" s="9" t="s">
        <v>143</v>
      </c>
      <c r="C134" s="9" t="str">
        <f>IFERROR(__xludf.DUMMYFUNCTION("""COMPUTED_VALUE"""),""":""")</f>
        <v>":"</v>
      </c>
      <c r="D134" s="24">
        <v>1.9476464790292206E19</v>
      </c>
      <c r="E134" s="9" t="str">
        <f>IFERROR(__xludf.DUMMYFUNCTION("""COMPUTED_VALUE"""),""",")</f>
        <v>",</v>
      </c>
    </row>
    <row r="135">
      <c r="A135" s="9" t="str">
        <f>IFERROR(__xludf.DUMMYFUNCTION("""COMPUTED_VALUE"""),"""")</f>
        <v>"</v>
      </c>
      <c r="B135" s="9" t="s">
        <v>144</v>
      </c>
      <c r="C135" s="9" t="str">
        <f>IFERROR(__xludf.DUMMYFUNCTION("""COMPUTED_VALUE"""),""":""")</f>
        <v>":"</v>
      </c>
      <c r="D135" s="24">
        <v>6.1984188431812004E18</v>
      </c>
      <c r="E135" s="9" t="str">
        <f>IFERROR(__xludf.DUMMYFUNCTION("""COMPUTED_VALUE"""),""",")</f>
        <v>",</v>
      </c>
    </row>
    <row r="136">
      <c r="A136" s="9" t="str">
        <f>IFERROR(__xludf.DUMMYFUNCTION("""COMPUTED_VALUE"""),"""")</f>
        <v>"</v>
      </c>
      <c r="B136" s="9" t="s">
        <v>145</v>
      </c>
      <c r="C136" s="9" t="str">
        <f>IFERROR(__xludf.DUMMYFUNCTION("""COMPUTED_VALUE"""),""":""")</f>
        <v>":"</v>
      </c>
      <c r="D136" s="24">
        <v>6.2005979458241782E18</v>
      </c>
      <c r="E136" s="9" t="str">
        <f>IFERROR(__xludf.DUMMYFUNCTION("""COMPUTED_VALUE"""),""",")</f>
        <v>",</v>
      </c>
    </row>
    <row r="137">
      <c r="A137" s="9" t="str">
        <f>IFERROR(__xludf.DUMMYFUNCTION("""COMPUTED_VALUE"""),"""")</f>
        <v>"</v>
      </c>
      <c r="B137" s="9" t="s">
        <v>146</v>
      </c>
      <c r="C137" s="9" t="str">
        <f>IFERROR(__xludf.DUMMYFUNCTION("""COMPUTED_VALUE"""),""":""")</f>
        <v>":"</v>
      </c>
      <c r="D137" s="24">
        <v>6.2005979458241782E18</v>
      </c>
      <c r="E137" s="9" t="str">
        <f>IFERROR(__xludf.DUMMYFUNCTION("""COMPUTED_VALUE"""),""",")</f>
        <v>",</v>
      </c>
    </row>
    <row r="138">
      <c r="A138" s="9" t="str">
        <f>IFERROR(__xludf.DUMMYFUNCTION("""COMPUTED_VALUE"""),"""")</f>
        <v>"</v>
      </c>
      <c r="B138" s="9" t="s">
        <v>147</v>
      </c>
      <c r="C138" s="9" t="str">
        <f>IFERROR(__xludf.DUMMYFUNCTION("""COMPUTED_VALUE"""),""":""")</f>
        <v>":"</v>
      </c>
      <c r="D138" s="24">
        <v>1.9310789341227954E19</v>
      </c>
      <c r="E138" s="9" t="str">
        <f>IFERROR(__xludf.DUMMYFUNCTION("""COMPUTED_VALUE"""),""",")</f>
        <v>",</v>
      </c>
    </row>
    <row r="139">
      <c r="A139" s="9" t="str">
        <f>IFERROR(__xludf.DUMMYFUNCTION("""COMPUTED_VALUE"""),"""")</f>
        <v>"</v>
      </c>
      <c r="B139" s="9" t="s">
        <v>148</v>
      </c>
      <c r="C139" s="9" t="str">
        <f>IFERROR(__xludf.DUMMYFUNCTION("""COMPUTED_VALUE"""),""":""")</f>
        <v>":"</v>
      </c>
      <c r="D139" s="24">
        <v>5.9463540290675784E18</v>
      </c>
      <c r="E139" s="9" t="str">
        <f>IFERROR(__xludf.DUMMYFUNCTION("""COMPUTED_VALUE"""),""",")</f>
        <v>",</v>
      </c>
    </row>
    <row r="140">
      <c r="A140" s="9" t="str">
        <f>IFERROR(__xludf.DUMMYFUNCTION("""COMPUTED_VALUE"""),"""")</f>
        <v>"</v>
      </c>
      <c r="B140" s="9" t="s">
        <v>149</v>
      </c>
      <c r="C140" s="9" t="str">
        <f>IFERROR(__xludf.DUMMYFUNCTION("""COMPUTED_VALUE"""),""":""")</f>
        <v>":"</v>
      </c>
      <c r="D140" s="24">
        <v>8.1676147623743068E18</v>
      </c>
      <c r="E140" s="9" t="str">
        <f>IFERROR(__xludf.DUMMYFUNCTION("""COMPUTED_VALUE"""),""",")</f>
        <v>",</v>
      </c>
    </row>
    <row r="141">
      <c r="A141" s="9" t="str">
        <f>IFERROR(__xludf.DUMMYFUNCTION("""COMPUTED_VALUE"""),"""")</f>
        <v>"</v>
      </c>
      <c r="B141" s="9" t="s">
        <v>150</v>
      </c>
      <c r="C141" s="9" t="str">
        <f>IFERROR(__xludf.DUMMYFUNCTION("""COMPUTED_VALUE"""),""":""")</f>
        <v>":"</v>
      </c>
      <c r="D141" s="24">
        <v>6.2005979458241782E18</v>
      </c>
      <c r="E141" s="9" t="str">
        <f>IFERROR(__xludf.DUMMYFUNCTION("""COMPUTED_VALUE"""),""",")</f>
        <v>",</v>
      </c>
    </row>
    <row r="142">
      <c r="A142" s="9" t="str">
        <f>IFERROR(__xludf.DUMMYFUNCTION("""COMPUTED_VALUE"""),"""")</f>
        <v>"</v>
      </c>
      <c r="B142" s="9" t="s">
        <v>151</v>
      </c>
      <c r="C142" s="9" t="str">
        <f>IFERROR(__xludf.DUMMYFUNCTION("""COMPUTED_VALUE"""),""":""")</f>
        <v>":"</v>
      </c>
      <c r="D142" s="24">
        <v>6.1178738629669775E18</v>
      </c>
      <c r="E142" s="9" t="str">
        <f>IFERROR(__xludf.DUMMYFUNCTION("""COMPUTED_VALUE"""),""",")</f>
        <v>",</v>
      </c>
    </row>
    <row r="143">
      <c r="A143" s="9" t="str">
        <f>IFERROR(__xludf.DUMMYFUNCTION("""COMPUTED_VALUE"""),"""")</f>
        <v>"</v>
      </c>
      <c r="B143" s="9" t="s">
        <v>152</v>
      </c>
      <c r="C143" s="9" t="str">
        <f>IFERROR(__xludf.DUMMYFUNCTION("""COMPUTED_VALUE"""),""":""")</f>
        <v>":"</v>
      </c>
      <c r="D143" s="24">
        <v>2.0248888511809958E19</v>
      </c>
      <c r="E143" s="9" t="str">
        <f>IFERROR(__xludf.DUMMYFUNCTION("""COMPUTED_VALUE"""),""",")</f>
        <v>",</v>
      </c>
    </row>
    <row r="144">
      <c r="A144" s="9" t="str">
        <f>IFERROR(__xludf.DUMMYFUNCTION("""COMPUTED_VALUE"""),"""")</f>
        <v>"</v>
      </c>
      <c r="B144" s="9" t="s">
        <v>153</v>
      </c>
      <c r="C144" s="9" t="str">
        <f>IFERROR(__xludf.DUMMYFUNCTION("""COMPUTED_VALUE"""),""":""")</f>
        <v>":"</v>
      </c>
      <c r="D144" s="24">
        <v>2.0248888511809958E19</v>
      </c>
      <c r="E144" s="9" t="str">
        <f>IFERROR(__xludf.DUMMYFUNCTION("""COMPUTED_VALUE"""),""",")</f>
        <v>",</v>
      </c>
    </row>
    <row r="145">
      <c r="A145" s="9" t="str">
        <f>IFERROR(__xludf.DUMMYFUNCTION("""COMPUTED_VALUE"""),"""")</f>
        <v>"</v>
      </c>
      <c r="B145" s="9" t="s">
        <v>154</v>
      </c>
      <c r="C145" s="9" t="str">
        <f>IFERROR(__xludf.DUMMYFUNCTION("""COMPUTED_VALUE"""),""":""")</f>
        <v>":"</v>
      </c>
      <c r="D145" s="24">
        <v>5.4767121386609777E18</v>
      </c>
      <c r="E145" s="9" t="str">
        <f>IFERROR(__xludf.DUMMYFUNCTION("""COMPUTED_VALUE"""),""",")</f>
        <v>",</v>
      </c>
    </row>
    <row r="146">
      <c r="A146" s="9" t="str">
        <f>IFERROR(__xludf.DUMMYFUNCTION("""COMPUTED_VALUE"""),"""")</f>
        <v>"</v>
      </c>
      <c r="B146" s="9" t="s">
        <v>155</v>
      </c>
      <c r="C146" s="9" t="str">
        <f>IFERROR(__xludf.DUMMYFUNCTION("""COMPUTED_VALUE"""),""":""")</f>
        <v>":"</v>
      </c>
      <c r="D146" s="24">
        <v>6.2005979458241782E18</v>
      </c>
      <c r="E146" s="9" t="str">
        <f>IFERROR(__xludf.DUMMYFUNCTION("""COMPUTED_VALUE"""),""",")</f>
        <v>",</v>
      </c>
    </row>
    <row r="147">
      <c r="A147" s="9" t="str">
        <f>IFERROR(__xludf.DUMMYFUNCTION("""COMPUTED_VALUE"""),"""")</f>
        <v>"</v>
      </c>
      <c r="B147" s="9" t="s">
        <v>156</v>
      </c>
      <c r="C147" s="9" t="str">
        <f>IFERROR(__xludf.DUMMYFUNCTION("""COMPUTED_VALUE"""),""":""")</f>
        <v>":"</v>
      </c>
      <c r="D147" s="24">
        <v>2.0248888511809958E19</v>
      </c>
      <c r="E147" s="9" t="str">
        <f>IFERROR(__xludf.DUMMYFUNCTION("""COMPUTED_VALUE"""),""",")</f>
        <v>",</v>
      </c>
    </row>
    <row r="148">
      <c r="A148" s="9" t="str">
        <f>IFERROR(__xludf.DUMMYFUNCTION("""COMPUTED_VALUE"""),"""")</f>
        <v>"</v>
      </c>
      <c r="B148" s="9" t="s">
        <v>157</v>
      </c>
      <c r="C148" s="9" t="str">
        <f>IFERROR(__xludf.DUMMYFUNCTION("""COMPUTED_VALUE"""),""":""")</f>
        <v>":"</v>
      </c>
      <c r="D148" s="24">
        <v>1.66462048146158208E18</v>
      </c>
      <c r="E148" s="9" t="str">
        <f>IFERROR(__xludf.DUMMYFUNCTION("""COMPUTED_VALUE"""),""",")</f>
        <v>",</v>
      </c>
    </row>
    <row r="149">
      <c r="A149" s="9" t="str">
        <f>IFERROR(__xludf.DUMMYFUNCTION("""COMPUTED_VALUE"""),"""")</f>
        <v>"</v>
      </c>
      <c r="B149" s="9" t="s">
        <v>158</v>
      </c>
      <c r="C149" s="9" t="str">
        <f>IFERROR(__xludf.DUMMYFUNCTION("""COMPUTED_VALUE"""),""":""")</f>
        <v>":"</v>
      </c>
      <c r="D149" s="24">
        <v>4.0944482971650442E18</v>
      </c>
      <c r="E149" s="9" t="str">
        <f>IFERROR(__xludf.DUMMYFUNCTION("""COMPUTED_VALUE"""),""",")</f>
        <v>",</v>
      </c>
    </row>
    <row r="150">
      <c r="A150" s="9" t="str">
        <f>IFERROR(__xludf.DUMMYFUNCTION("""COMPUTED_VALUE"""),"""")</f>
        <v>"</v>
      </c>
      <c r="B150" s="9" t="s">
        <v>159</v>
      </c>
      <c r="C150" s="9" t="str">
        <f>IFERROR(__xludf.DUMMYFUNCTION("""COMPUTED_VALUE"""),""":""")</f>
        <v>":"</v>
      </c>
      <c r="D150" s="24">
        <v>2.0248888511809958E19</v>
      </c>
      <c r="E150" s="9" t="str">
        <f>IFERROR(__xludf.DUMMYFUNCTION("""COMPUTED_VALUE"""),""",")</f>
        <v>",</v>
      </c>
    </row>
    <row r="151">
      <c r="A151" s="9" t="str">
        <f>IFERROR(__xludf.DUMMYFUNCTION("""COMPUTED_VALUE"""),"""")</f>
        <v>"</v>
      </c>
      <c r="B151" s="9" t="s">
        <v>160</v>
      </c>
      <c r="C151" s="9" t="str">
        <f>IFERROR(__xludf.DUMMYFUNCTION("""COMPUTED_VALUE"""),""":""")</f>
        <v>":"</v>
      </c>
      <c r="D151" s="24">
        <v>1.5239043363540288E18</v>
      </c>
      <c r="E151" s="9" t="str">
        <f>IFERROR(__xludf.DUMMYFUNCTION("""COMPUTED_VALUE"""),""",")</f>
        <v>",</v>
      </c>
    </row>
    <row r="152">
      <c r="A152" s="9" t="str">
        <f>IFERROR(__xludf.DUMMYFUNCTION("""COMPUTED_VALUE"""),"""")</f>
        <v>"</v>
      </c>
      <c r="B152" s="9" t="s">
        <v>161</v>
      </c>
      <c r="C152" s="9" t="str">
        <f>IFERROR(__xludf.DUMMYFUNCTION("""COMPUTED_VALUE"""),""":""")</f>
        <v>":"</v>
      </c>
      <c r="D152" s="24">
        <v>6.2005979458241782E18</v>
      </c>
      <c r="E152" s="9" t="str">
        <f>IFERROR(__xludf.DUMMYFUNCTION("""COMPUTED_VALUE"""),""",")</f>
        <v>",</v>
      </c>
    </row>
    <row r="153">
      <c r="A153" s="9" t="str">
        <f>IFERROR(__xludf.DUMMYFUNCTION("""COMPUTED_VALUE"""),"""")</f>
        <v>"</v>
      </c>
      <c r="B153" s="9" t="s">
        <v>162</v>
      </c>
      <c r="C153" s="9" t="str">
        <f>IFERROR(__xludf.DUMMYFUNCTION("""COMPUTED_VALUE"""),""":""")</f>
        <v>":"</v>
      </c>
      <c r="D153" s="24">
        <v>8.5580925917545779E18</v>
      </c>
      <c r="E153" s="9" t="str">
        <f>IFERROR(__xludf.DUMMYFUNCTION("""COMPUTED_VALUE"""),""",")</f>
        <v>",</v>
      </c>
    </row>
    <row r="154">
      <c r="A154" s="9" t="str">
        <f>IFERROR(__xludf.DUMMYFUNCTION("""COMPUTED_VALUE"""),"""")</f>
        <v>"</v>
      </c>
      <c r="B154" s="9" t="s">
        <v>163</v>
      </c>
      <c r="C154" s="9" t="str">
        <f>IFERROR(__xludf.DUMMYFUNCTION("""COMPUTED_VALUE"""),""":""")</f>
        <v>":"</v>
      </c>
      <c r="D154" s="24">
        <v>1.992615995885031E20</v>
      </c>
      <c r="E154" s="9" t="str">
        <f>IFERROR(__xludf.DUMMYFUNCTION("""COMPUTED_VALUE"""),""",")</f>
        <v>",</v>
      </c>
    </row>
    <row r="155">
      <c r="A155" s="9" t="str">
        <f>IFERROR(__xludf.DUMMYFUNCTION("""COMPUTED_VALUE"""),"""")</f>
        <v>"</v>
      </c>
      <c r="B155" s="9" t="s">
        <v>164</v>
      </c>
      <c r="C155" s="9" t="str">
        <f>IFERROR(__xludf.DUMMYFUNCTION("""COMPUTED_VALUE"""),""":""")</f>
        <v>":"</v>
      </c>
      <c r="D155" s="24">
        <v>2.0248888511809958E19</v>
      </c>
      <c r="E155" s="9" t="str">
        <f>IFERROR(__xludf.DUMMYFUNCTION("""COMPUTED_VALUE"""),""",")</f>
        <v>",</v>
      </c>
    </row>
    <row r="156">
      <c r="A156" s="9" t="str">
        <f>IFERROR(__xludf.DUMMYFUNCTION("""COMPUTED_VALUE"""),"""")</f>
        <v>"</v>
      </c>
      <c r="B156" s="9" t="s">
        <v>165</v>
      </c>
      <c r="C156" s="9" t="str">
        <f>IFERROR(__xludf.DUMMYFUNCTION("""COMPUTED_VALUE"""),""":""")</f>
        <v>":"</v>
      </c>
      <c r="D156" s="24">
        <v>2.0498013420591415E19</v>
      </c>
      <c r="E156" s="9" t="str">
        <f>IFERROR(__xludf.DUMMYFUNCTION("""COMPUTED_VALUE"""),""",")</f>
        <v>",</v>
      </c>
    </row>
    <row r="157">
      <c r="A157" s="9" t="str">
        <f>IFERROR(__xludf.DUMMYFUNCTION("""COMPUTED_VALUE"""),"""")</f>
        <v>"</v>
      </c>
      <c r="B157" s="9" t="s">
        <v>166</v>
      </c>
      <c r="C157" s="9" t="str">
        <f>IFERROR(__xludf.DUMMYFUNCTION("""COMPUTED_VALUE"""),""":""")</f>
        <v>":"</v>
      </c>
      <c r="D157" s="24">
        <v>6.2005979458241782E18</v>
      </c>
      <c r="E157" s="9" t="str">
        <f>IFERROR(__xludf.DUMMYFUNCTION("""COMPUTED_VALUE"""),""",")</f>
        <v>",</v>
      </c>
    </row>
    <row r="158">
      <c r="A158" s="9" t="str">
        <f>IFERROR(__xludf.DUMMYFUNCTION("""COMPUTED_VALUE"""),"""")</f>
        <v>"</v>
      </c>
      <c r="B158" s="9" t="s">
        <v>167</v>
      </c>
      <c r="C158" s="9" t="str">
        <f>IFERROR(__xludf.DUMMYFUNCTION("""COMPUTED_VALUE"""),""":""")</f>
        <v>":"</v>
      </c>
      <c r="D158" s="24">
        <v>5.883137280135851E18</v>
      </c>
      <c r="E158" s="9" t="str">
        <f>IFERROR(__xludf.DUMMYFUNCTION("""COMPUTED_VALUE"""),""",")</f>
        <v>",</v>
      </c>
    </row>
    <row r="159">
      <c r="A159" s="9" t="str">
        <f>IFERROR(__xludf.DUMMYFUNCTION("""COMPUTED_VALUE"""),"""")</f>
        <v>"</v>
      </c>
      <c r="B159" s="9" t="s">
        <v>168</v>
      </c>
      <c r="C159" s="9" t="str">
        <f>IFERROR(__xludf.DUMMYFUNCTION("""COMPUTED_VALUE"""),""":""")</f>
        <v>":"</v>
      </c>
      <c r="D159" s="24">
        <v>5.8538894608750674E18</v>
      </c>
      <c r="E159" s="9" t="str">
        <f>IFERROR(__xludf.DUMMYFUNCTION("""COMPUTED_VALUE"""),""",")</f>
        <v>",</v>
      </c>
    </row>
    <row r="160">
      <c r="A160" s="9" t="str">
        <f>IFERROR(__xludf.DUMMYFUNCTION("""COMPUTED_VALUE"""),"""")</f>
        <v>"</v>
      </c>
      <c r="B160" s="9" t="s">
        <v>169</v>
      </c>
      <c r="C160" s="9" t="str">
        <f>IFERROR(__xludf.DUMMYFUNCTION("""COMPUTED_VALUE"""),""":""")</f>
        <v>":"</v>
      </c>
      <c r="D160" s="24">
        <v>2.0248888511809958E19</v>
      </c>
      <c r="E160" s="9" t="str">
        <f>IFERROR(__xludf.DUMMYFUNCTION("""COMPUTED_VALUE"""),""",")</f>
        <v>",</v>
      </c>
    </row>
    <row r="161">
      <c r="A161" s="9" t="str">
        <f>IFERROR(__xludf.DUMMYFUNCTION("""COMPUTED_VALUE"""),"""")</f>
        <v>"</v>
      </c>
      <c r="B161" s="9" t="s">
        <v>170</v>
      </c>
      <c r="C161" s="9" t="str">
        <f>IFERROR(__xludf.DUMMYFUNCTION("""COMPUTED_VALUE"""),""":""")</f>
        <v>":"</v>
      </c>
      <c r="D161" s="24">
        <v>2.0248888511809958E19</v>
      </c>
      <c r="E161" s="9" t="str">
        <f>IFERROR(__xludf.DUMMYFUNCTION("""COMPUTED_VALUE"""),""",")</f>
        <v>",</v>
      </c>
    </row>
    <row r="162">
      <c r="A162" s="9" t="str">
        <f>IFERROR(__xludf.DUMMYFUNCTION("""COMPUTED_VALUE"""),"""")</f>
        <v>"</v>
      </c>
      <c r="B162" s="9" t="s">
        <v>171</v>
      </c>
      <c r="C162" s="9" t="str">
        <f>IFERROR(__xludf.DUMMYFUNCTION("""COMPUTED_VALUE"""),""":""")</f>
        <v>":"</v>
      </c>
      <c r="D162" s="24">
        <v>2.7541325273041336E18</v>
      </c>
      <c r="E162" s="9" t="str">
        <f>IFERROR(__xludf.DUMMYFUNCTION("""COMPUTED_VALUE"""),""",")</f>
        <v>",</v>
      </c>
    </row>
    <row r="163">
      <c r="A163" s="9" t="str">
        <f>IFERROR(__xludf.DUMMYFUNCTION("""COMPUTED_VALUE"""),"""")</f>
        <v>"</v>
      </c>
      <c r="B163" s="9" t="s">
        <v>172</v>
      </c>
      <c r="C163" s="9" t="str">
        <f>IFERROR(__xludf.DUMMYFUNCTION("""COMPUTED_VALUE"""),""":""")</f>
        <v>":"</v>
      </c>
      <c r="D163" s="24">
        <v>1.6630552751956574E19</v>
      </c>
      <c r="E163" s="9" t="str">
        <f>IFERROR(__xludf.DUMMYFUNCTION("""COMPUTED_VALUE"""),""",")</f>
        <v>",</v>
      </c>
    </row>
    <row r="164">
      <c r="A164" s="9" t="str">
        <f>IFERROR(__xludf.DUMMYFUNCTION("""COMPUTED_VALUE"""),"""")</f>
        <v>"</v>
      </c>
      <c r="B164" s="9" t="s">
        <v>173</v>
      </c>
      <c r="C164" s="9" t="str">
        <f>IFERROR(__xludf.DUMMYFUNCTION("""COMPUTED_VALUE"""),""":""")</f>
        <v>":"</v>
      </c>
      <c r="D164" s="24">
        <v>8.806630710803974E19</v>
      </c>
      <c r="E164" s="9" t="str">
        <f>IFERROR(__xludf.DUMMYFUNCTION("""COMPUTED_VALUE"""),""",")</f>
        <v>",</v>
      </c>
    </row>
    <row r="165">
      <c r="A165" s="9" t="str">
        <f>IFERROR(__xludf.DUMMYFUNCTION("""COMPUTED_VALUE"""),"""")</f>
        <v>"</v>
      </c>
      <c r="B165" s="9" t="s">
        <v>174</v>
      </c>
      <c r="C165" s="9" t="str">
        <f>IFERROR(__xludf.DUMMYFUNCTION("""COMPUTED_VALUE"""),""":""")</f>
        <v>":"</v>
      </c>
      <c r="D165" s="24">
        <v>5.7278687987227566E18</v>
      </c>
      <c r="E165" s="9" t="str">
        <f>IFERROR(__xludf.DUMMYFUNCTION("""COMPUTED_VALUE"""),""",")</f>
        <v>",</v>
      </c>
    </row>
    <row r="166">
      <c r="A166" s="9" t="str">
        <f>IFERROR(__xludf.DUMMYFUNCTION("""COMPUTED_VALUE"""),"""")</f>
        <v>"</v>
      </c>
      <c r="B166" s="9" t="s">
        <v>175</v>
      </c>
      <c r="C166" s="9" t="str">
        <f>IFERROR(__xludf.DUMMYFUNCTION("""COMPUTED_VALUE"""),""":""")</f>
        <v>":"</v>
      </c>
      <c r="D166" s="24">
        <v>5.7479013454401116E18</v>
      </c>
      <c r="E166" s="9" t="str">
        <f>IFERROR(__xludf.DUMMYFUNCTION("""COMPUTED_VALUE"""),""",")</f>
        <v>",</v>
      </c>
    </row>
    <row r="167">
      <c r="A167" s="9" t="str">
        <f>IFERROR(__xludf.DUMMYFUNCTION("""COMPUTED_VALUE"""),"""")</f>
        <v>"</v>
      </c>
      <c r="B167" s="9" t="s">
        <v>176</v>
      </c>
      <c r="C167" s="9" t="str">
        <f>IFERROR(__xludf.DUMMYFUNCTION("""COMPUTED_VALUE"""),""":""")</f>
        <v>":"</v>
      </c>
      <c r="D167" s="24">
        <v>2.0248888511809958E19</v>
      </c>
      <c r="E167" s="9" t="str">
        <f>IFERROR(__xludf.DUMMYFUNCTION("""COMPUTED_VALUE"""),""",")</f>
        <v>",</v>
      </c>
    </row>
    <row r="168">
      <c r="A168" s="9" t="str">
        <f>IFERROR(__xludf.DUMMYFUNCTION("""COMPUTED_VALUE"""),"""")</f>
        <v>"</v>
      </c>
      <c r="B168" s="9" t="s">
        <v>177</v>
      </c>
      <c r="C168" s="9" t="str">
        <f>IFERROR(__xludf.DUMMYFUNCTION("""COMPUTED_VALUE"""),""":""")</f>
        <v>":"</v>
      </c>
      <c r="D168" s="24">
        <v>2.0248888511809958E19</v>
      </c>
      <c r="E168" s="9" t="str">
        <f>IFERROR(__xludf.DUMMYFUNCTION("""COMPUTED_VALUE"""),""",")</f>
        <v>",</v>
      </c>
    </row>
    <row r="169">
      <c r="A169" s="9" t="str">
        <f>IFERROR(__xludf.DUMMYFUNCTION("""COMPUTED_VALUE"""),"""")</f>
        <v>"</v>
      </c>
      <c r="B169" s="9" t="s">
        <v>178</v>
      </c>
      <c r="C169" s="9" t="str">
        <f>IFERROR(__xludf.DUMMYFUNCTION("""COMPUTED_VALUE"""),""":""")</f>
        <v>":"</v>
      </c>
      <c r="D169" s="24">
        <v>5.7653529617456005E18</v>
      </c>
      <c r="E169" s="9" t="str">
        <f>IFERROR(__xludf.DUMMYFUNCTION("""COMPUTED_VALUE"""),""",")</f>
        <v>",</v>
      </c>
    </row>
    <row r="170">
      <c r="A170" s="9" t="str">
        <f>IFERROR(__xludf.DUMMYFUNCTION("""COMPUTED_VALUE"""),"""")</f>
        <v>"</v>
      </c>
      <c r="B170" s="9" t="s">
        <v>179</v>
      </c>
      <c r="C170" s="9" t="str">
        <f>IFERROR(__xludf.DUMMYFUNCTION("""COMPUTED_VALUE"""),""":""")</f>
        <v>":"</v>
      </c>
      <c r="D170" s="24">
        <v>4.6196225707525775E18</v>
      </c>
      <c r="E170" s="9" t="str">
        <f>IFERROR(__xludf.DUMMYFUNCTION("""COMPUTED_VALUE"""),""",")</f>
        <v>",</v>
      </c>
    </row>
    <row r="171">
      <c r="A171" s="9" t="str">
        <f>IFERROR(__xludf.DUMMYFUNCTION("""COMPUTED_VALUE"""),"""")</f>
        <v>"</v>
      </c>
      <c r="B171" s="9" t="s">
        <v>180</v>
      </c>
      <c r="C171" s="9" t="str">
        <f>IFERROR(__xludf.DUMMYFUNCTION("""COMPUTED_VALUE"""),""":""")</f>
        <v>":"</v>
      </c>
      <c r="D171" s="24">
        <v>6.2005979458241782E18</v>
      </c>
      <c r="E171" s="9" t="str">
        <f>IFERROR(__xludf.DUMMYFUNCTION("""COMPUTED_VALUE"""),""",")</f>
        <v>",</v>
      </c>
    </row>
    <row r="172">
      <c r="A172" s="9" t="str">
        <f>IFERROR(__xludf.DUMMYFUNCTION("""COMPUTED_VALUE"""),"""")</f>
        <v>"</v>
      </c>
      <c r="B172" s="9" t="s">
        <v>181</v>
      </c>
      <c r="C172" s="9" t="str">
        <f>IFERROR(__xludf.DUMMYFUNCTION("""COMPUTED_VALUE"""),""":""")</f>
        <v>":"</v>
      </c>
      <c r="D172" s="24">
        <v>6.2005979458241782E18</v>
      </c>
      <c r="E172" s="9" t="str">
        <f>IFERROR(__xludf.DUMMYFUNCTION("""COMPUTED_VALUE"""),""",")</f>
        <v>",</v>
      </c>
    </row>
    <row r="173">
      <c r="A173" s="9" t="str">
        <f>IFERROR(__xludf.DUMMYFUNCTION("""COMPUTED_VALUE"""),"""")</f>
        <v>"</v>
      </c>
      <c r="B173" s="9" t="s">
        <v>182</v>
      </c>
      <c r="C173" s="9" t="str">
        <f>IFERROR(__xludf.DUMMYFUNCTION("""COMPUTED_VALUE"""),""":""")</f>
        <v>":"</v>
      </c>
      <c r="D173" s="24">
        <v>2.0248888511809958E19</v>
      </c>
      <c r="E173" s="9" t="str">
        <f>IFERROR(__xludf.DUMMYFUNCTION("""COMPUTED_VALUE"""),""",")</f>
        <v>",</v>
      </c>
    </row>
    <row r="174">
      <c r="A174" s="9" t="str">
        <f>IFERROR(__xludf.DUMMYFUNCTION("""COMPUTED_VALUE"""),"""")</f>
        <v>"</v>
      </c>
      <c r="B174" s="9" t="s">
        <v>183</v>
      </c>
      <c r="C174" s="9" t="str">
        <f>IFERROR(__xludf.DUMMYFUNCTION("""COMPUTED_VALUE"""),""":""")</f>
        <v>":"</v>
      </c>
      <c r="D174" s="24">
        <v>6.2005979458241782E18</v>
      </c>
      <c r="E174" s="9" t="str">
        <f>IFERROR(__xludf.DUMMYFUNCTION("""COMPUTED_VALUE"""),""",")</f>
        <v>",</v>
      </c>
    </row>
    <row r="175">
      <c r="A175" s="9" t="str">
        <f>IFERROR(__xludf.DUMMYFUNCTION("""COMPUTED_VALUE"""),"""")</f>
        <v>"</v>
      </c>
      <c r="B175" s="9" t="s">
        <v>184</v>
      </c>
      <c r="C175" s="9" t="str">
        <f>IFERROR(__xludf.DUMMYFUNCTION("""COMPUTED_VALUE"""),""":""")</f>
        <v>":"</v>
      </c>
      <c r="D175" s="24">
        <v>2.197847992317897E19</v>
      </c>
      <c r="E175" s="9" t="str">
        <f>IFERROR(__xludf.DUMMYFUNCTION("""COMPUTED_VALUE"""),""",")</f>
        <v>",</v>
      </c>
    </row>
    <row r="176">
      <c r="A176" s="9" t="str">
        <f>IFERROR(__xludf.DUMMYFUNCTION("""COMPUTED_VALUE"""),"""")</f>
        <v>"</v>
      </c>
      <c r="B176" s="9" t="s">
        <v>185</v>
      </c>
      <c r="C176" s="9" t="str">
        <f>IFERROR(__xludf.DUMMYFUNCTION("""COMPUTED_VALUE"""),""":""")</f>
        <v>":"</v>
      </c>
      <c r="D176" s="24">
        <v>5.8909438054035784E18</v>
      </c>
      <c r="E176" s="9" t="str">
        <f>IFERROR(__xludf.DUMMYFUNCTION("""COMPUTED_VALUE"""),""",")</f>
        <v>",</v>
      </c>
    </row>
    <row r="177">
      <c r="A177" s="9" t="str">
        <f>IFERROR(__xludf.DUMMYFUNCTION("""COMPUTED_VALUE"""),"""")</f>
        <v>"</v>
      </c>
      <c r="B177" s="9" t="s">
        <v>186</v>
      </c>
      <c r="C177" s="9" t="str">
        <f>IFERROR(__xludf.DUMMYFUNCTION("""COMPUTED_VALUE"""),""":""")</f>
        <v>":"</v>
      </c>
      <c r="D177" s="24">
        <v>5.3055061934367334E18</v>
      </c>
      <c r="E177" s="9" t="str">
        <f>IFERROR(__xludf.DUMMYFUNCTION("""COMPUTED_VALUE"""),""",")</f>
        <v>",</v>
      </c>
    </row>
    <row r="178">
      <c r="A178" s="9" t="str">
        <f>IFERROR(__xludf.DUMMYFUNCTION("""COMPUTED_VALUE"""),"""")</f>
        <v>"</v>
      </c>
      <c r="B178" s="9" t="s">
        <v>187</v>
      </c>
      <c r="C178" s="9" t="str">
        <f>IFERROR(__xludf.DUMMYFUNCTION("""COMPUTED_VALUE"""),""":""")</f>
        <v>":"</v>
      </c>
      <c r="D178" s="24">
        <v>2.0248888511809958E19</v>
      </c>
      <c r="E178" s="9" t="str">
        <f>IFERROR(__xludf.DUMMYFUNCTION("""COMPUTED_VALUE"""),""",")</f>
        <v>",</v>
      </c>
    </row>
    <row r="179">
      <c r="A179" s="9" t="str">
        <f>IFERROR(__xludf.DUMMYFUNCTION("""COMPUTED_VALUE"""),"""")</f>
        <v>"</v>
      </c>
      <c r="B179" s="9" t="s">
        <v>188</v>
      </c>
      <c r="C179" s="9" t="str">
        <f>IFERROR(__xludf.DUMMYFUNCTION("""COMPUTED_VALUE"""),""":""")</f>
        <v>":"</v>
      </c>
      <c r="D179" s="24">
        <v>3.4950441367308366E19</v>
      </c>
      <c r="E179" s="9" t="str">
        <f>IFERROR(__xludf.DUMMYFUNCTION("""COMPUTED_VALUE"""),""",")</f>
        <v>",</v>
      </c>
    </row>
    <row r="180">
      <c r="A180" s="9" t="str">
        <f>IFERROR(__xludf.DUMMYFUNCTION("""COMPUTED_VALUE"""),"""")</f>
        <v>"</v>
      </c>
      <c r="B180" s="9" t="s">
        <v>189</v>
      </c>
      <c r="C180" s="9" t="str">
        <f>IFERROR(__xludf.DUMMYFUNCTION("""COMPUTED_VALUE"""),""":""")</f>
        <v>":"</v>
      </c>
      <c r="D180" s="24">
        <v>1.9423413529607934E19</v>
      </c>
      <c r="E180" s="9" t="str">
        <f>IFERROR(__xludf.DUMMYFUNCTION("""COMPUTED_VALUE"""),""",")</f>
        <v>",</v>
      </c>
    </row>
    <row r="181">
      <c r="A181" s="9" t="str">
        <f>IFERROR(__xludf.DUMMYFUNCTION("""COMPUTED_VALUE"""),"""")</f>
        <v>"</v>
      </c>
      <c r="B181" s="9" t="s">
        <v>190</v>
      </c>
      <c r="C181" s="9" t="str">
        <f>IFERROR(__xludf.DUMMYFUNCTION("""COMPUTED_VALUE"""),""":""")</f>
        <v>":"</v>
      </c>
      <c r="D181" s="24">
        <v>2.0248888511809958E19</v>
      </c>
      <c r="E181" s="9" t="str">
        <f>IFERROR(__xludf.DUMMYFUNCTION("""COMPUTED_VALUE"""),""",")</f>
        <v>",</v>
      </c>
    </row>
    <row r="182">
      <c r="A182" s="9" t="str">
        <f>IFERROR(__xludf.DUMMYFUNCTION("""COMPUTED_VALUE"""),"""")</f>
        <v>"</v>
      </c>
      <c r="B182" s="9" t="s">
        <v>191</v>
      </c>
      <c r="C182" s="9" t="str">
        <f>IFERROR(__xludf.DUMMYFUNCTION("""COMPUTED_VALUE"""),""":""")</f>
        <v>":"</v>
      </c>
      <c r="D182" s="24">
        <v>6.6329957986664315E18</v>
      </c>
      <c r="E182" s="9" t="str">
        <f>IFERROR(__xludf.DUMMYFUNCTION("""COMPUTED_VALUE"""),""",")</f>
        <v>",</v>
      </c>
    </row>
    <row r="183">
      <c r="A183" s="9" t="str">
        <f>IFERROR(__xludf.DUMMYFUNCTION("""COMPUTED_VALUE"""),"""")</f>
        <v>"</v>
      </c>
      <c r="B183" s="9" t="s">
        <v>192</v>
      </c>
      <c r="C183" s="9" t="str">
        <f>IFERROR(__xludf.DUMMYFUNCTION("""COMPUTED_VALUE"""),""":""")</f>
        <v>":"</v>
      </c>
      <c r="D183" s="24">
        <v>5.5552257201312676E18</v>
      </c>
      <c r="E183" s="9" t="str">
        <f>IFERROR(__xludf.DUMMYFUNCTION("""COMPUTED_VALUE"""),""",")</f>
        <v>",</v>
      </c>
    </row>
    <row r="184">
      <c r="A184" s="9" t="str">
        <f>IFERROR(__xludf.DUMMYFUNCTION("""COMPUTED_VALUE"""),"""")</f>
        <v>"</v>
      </c>
      <c r="B184" s="9" t="s">
        <v>193</v>
      </c>
      <c r="C184" s="9" t="str">
        <f>IFERROR(__xludf.DUMMYFUNCTION("""COMPUTED_VALUE"""),""":""")</f>
        <v>":"</v>
      </c>
      <c r="D184" s="24">
        <v>5.4973277826412667E18</v>
      </c>
      <c r="E184" s="9" t="str">
        <f>IFERROR(__xludf.DUMMYFUNCTION("""COMPUTED_VALUE"""),""",")</f>
        <v>",</v>
      </c>
    </row>
    <row r="185">
      <c r="A185" s="9" t="str">
        <f>IFERROR(__xludf.DUMMYFUNCTION("""COMPUTED_VALUE"""),"""")</f>
        <v>"</v>
      </c>
      <c r="B185" s="9" t="s">
        <v>194</v>
      </c>
      <c r="C185" s="9" t="str">
        <f>IFERROR(__xludf.DUMMYFUNCTION("""COMPUTED_VALUE"""),""":""")</f>
        <v>":"</v>
      </c>
      <c r="D185" s="24">
        <v>1.02811263874257776E17</v>
      </c>
      <c r="E185" s="9" t="str">
        <f>IFERROR(__xludf.DUMMYFUNCTION("""COMPUTED_VALUE"""),""",")</f>
        <v>",</v>
      </c>
    </row>
    <row r="186">
      <c r="A186" s="9" t="str">
        <f>IFERROR(__xludf.DUMMYFUNCTION("""COMPUTED_VALUE"""),"""")</f>
        <v>"</v>
      </c>
      <c r="B186" s="9" t="s">
        <v>195</v>
      </c>
      <c r="C186" s="9" t="str">
        <f>IFERROR(__xludf.DUMMYFUNCTION("""COMPUTED_VALUE"""),""":""")</f>
        <v>":"</v>
      </c>
      <c r="D186" s="24">
        <v>6.2005979458241782E18</v>
      </c>
      <c r="E186" s="9" t="str">
        <f>IFERROR(__xludf.DUMMYFUNCTION("""COMPUTED_VALUE"""),""",")</f>
        <v>",</v>
      </c>
    </row>
    <row r="187">
      <c r="A187" s="9" t="str">
        <f>IFERROR(__xludf.DUMMYFUNCTION("""COMPUTED_VALUE"""),"""")</f>
        <v>"</v>
      </c>
      <c r="B187" s="9" t="s">
        <v>196</v>
      </c>
      <c r="C187" s="9" t="str">
        <f>IFERROR(__xludf.DUMMYFUNCTION("""COMPUTED_VALUE"""),""":""")</f>
        <v>":"</v>
      </c>
      <c r="D187" s="24">
        <v>2.148623820643965E19</v>
      </c>
      <c r="E187" s="9" t="str">
        <f>IFERROR(__xludf.DUMMYFUNCTION("""COMPUTED_VALUE"""),""",")</f>
        <v>",</v>
      </c>
    </row>
    <row r="188">
      <c r="A188" s="9" t="str">
        <f>IFERROR(__xludf.DUMMYFUNCTION("""COMPUTED_VALUE"""),"""")</f>
        <v>"</v>
      </c>
      <c r="B188" s="9" t="s">
        <v>197</v>
      </c>
      <c r="C188" s="9" t="str">
        <f>IFERROR(__xludf.DUMMYFUNCTION("""COMPUTED_VALUE"""),""":""")</f>
        <v>":"</v>
      </c>
      <c r="D188" s="24">
        <v>3.6682201180008228E18</v>
      </c>
      <c r="E188" s="9" t="str">
        <f>IFERROR(__xludf.DUMMYFUNCTION("""COMPUTED_VALUE"""),""",")</f>
        <v>",</v>
      </c>
    </row>
    <row r="189">
      <c r="A189" s="9" t="str">
        <f>IFERROR(__xludf.DUMMYFUNCTION("""COMPUTED_VALUE"""),"""")</f>
        <v>"</v>
      </c>
      <c r="B189" s="9" t="s">
        <v>198</v>
      </c>
      <c r="C189" s="9" t="str">
        <f>IFERROR(__xludf.DUMMYFUNCTION("""COMPUTED_VALUE"""),""":""")</f>
        <v>":"</v>
      </c>
      <c r="D189" s="24">
        <v>1.041340719632073E20</v>
      </c>
      <c r="E189" s="9" t="str">
        <f>IFERROR(__xludf.DUMMYFUNCTION("""COMPUTED_VALUE"""),""",")</f>
        <v>",</v>
      </c>
    </row>
    <row r="190">
      <c r="A190" s="9" t="str">
        <f>IFERROR(__xludf.DUMMYFUNCTION("""COMPUTED_VALUE"""),"""")</f>
        <v>"</v>
      </c>
      <c r="B190" s="9" t="s">
        <v>199</v>
      </c>
      <c r="C190" s="9" t="str">
        <f>IFERROR(__xludf.DUMMYFUNCTION("""COMPUTED_VALUE"""),""":""")</f>
        <v>":"</v>
      </c>
      <c r="D190" s="24">
        <v>2.0248888511809958E19</v>
      </c>
      <c r="E190" s="9" t="str">
        <f>IFERROR(__xludf.DUMMYFUNCTION("""COMPUTED_VALUE"""),""",")</f>
        <v>",</v>
      </c>
    </row>
    <row r="191">
      <c r="A191" s="9" t="str">
        <f>IFERROR(__xludf.DUMMYFUNCTION("""COMPUTED_VALUE"""),"""")</f>
        <v>"</v>
      </c>
      <c r="B191" s="9" t="s">
        <v>200</v>
      </c>
      <c r="C191" s="9" t="str">
        <f>IFERROR(__xludf.DUMMYFUNCTION("""COMPUTED_VALUE"""),""":""")</f>
        <v>":"</v>
      </c>
      <c r="D191" s="24">
        <v>5.4544034272423107E18</v>
      </c>
      <c r="E191" s="9" t="str">
        <f>IFERROR(__xludf.DUMMYFUNCTION("""COMPUTED_VALUE"""),""",")</f>
        <v>",</v>
      </c>
    </row>
    <row r="192">
      <c r="A192" s="9" t="str">
        <f>IFERROR(__xludf.DUMMYFUNCTION("""COMPUTED_VALUE"""),"""")</f>
        <v>"</v>
      </c>
      <c r="B192" s="9" t="s">
        <v>201</v>
      </c>
      <c r="C192" s="9" t="str">
        <f>IFERROR(__xludf.DUMMYFUNCTION("""COMPUTED_VALUE"""),""":""")</f>
        <v>":"</v>
      </c>
      <c r="D192" s="24">
        <v>2.0248888511809958E19</v>
      </c>
      <c r="E192" s="9" t="str">
        <f>IFERROR(__xludf.DUMMYFUNCTION("""COMPUTED_VALUE"""),""",")</f>
        <v>",</v>
      </c>
    </row>
    <row r="193">
      <c r="A193" s="9" t="str">
        <f>IFERROR(__xludf.DUMMYFUNCTION("""COMPUTED_VALUE"""),"""")</f>
        <v>"</v>
      </c>
      <c r="B193" s="9" t="s">
        <v>202</v>
      </c>
      <c r="C193" s="9" t="str">
        <f>IFERROR(__xludf.DUMMYFUNCTION("""COMPUTED_VALUE"""),""":""")</f>
        <v>":"</v>
      </c>
      <c r="D193" s="24">
        <v>1.9466275507985998E19</v>
      </c>
      <c r="E193" s="9" t="str">
        <f>IFERROR(__xludf.DUMMYFUNCTION("""COMPUTED_VALUE"""),""",")</f>
        <v>",</v>
      </c>
    </row>
    <row r="194">
      <c r="A194" s="9" t="str">
        <f>IFERROR(__xludf.DUMMYFUNCTION("""COMPUTED_VALUE"""),"""")</f>
        <v>"</v>
      </c>
      <c r="B194" s="9" t="s">
        <v>203</v>
      </c>
      <c r="C194" s="9" t="str">
        <f>IFERROR(__xludf.DUMMYFUNCTION("""COMPUTED_VALUE"""),""":""")</f>
        <v>":"</v>
      </c>
      <c r="D194" s="24">
        <v>5.7818029290462003E18</v>
      </c>
      <c r="E194" s="9" t="str">
        <f>IFERROR(__xludf.DUMMYFUNCTION("""COMPUTED_VALUE"""),""",")</f>
        <v>",</v>
      </c>
    </row>
    <row r="195">
      <c r="A195" s="9" t="str">
        <f>IFERROR(__xludf.DUMMYFUNCTION("""COMPUTED_VALUE"""),"""")</f>
        <v>"</v>
      </c>
      <c r="B195" s="9" t="s">
        <v>204</v>
      </c>
      <c r="C195" s="9" t="str">
        <f>IFERROR(__xludf.DUMMYFUNCTION("""COMPUTED_VALUE"""),""":""")</f>
        <v>":"</v>
      </c>
      <c r="D195" s="24">
        <v>1.7254908668263776E19</v>
      </c>
      <c r="E195" s="9" t="str">
        <f>IFERROR(__xludf.DUMMYFUNCTION("""COMPUTED_VALUE"""),""",")</f>
        <v>",</v>
      </c>
    </row>
    <row r="196">
      <c r="A196" s="9" t="str">
        <f>IFERROR(__xludf.DUMMYFUNCTION("""COMPUTED_VALUE"""),"""")</f>
        <v>"</v>
      </c>
      <c r="B196" s="9" t="s">
        <v>205</v>
      </c>
      <c r="C196" s="9" t="str">
        <f>IFERROR(__xludf.DUMMYFUNCTION("""COMPUTED_VALUE"""),""":""")</f>
        <v>":"</v>
      </c>
      <c r="D196" s="24">
        <v>6.2005979458241782E18</v>
      </c>
      <c r="E196" s="9" t="str">
        <f>IFERROR(__xludf.DUMMYFUNCTION("""COMPUTED_VALUE"""),""",")</f>
        <v>",</v>
      </c>
    </row>
    <row r="197">
      <c r="A197" s="9" t="str">
        <f>IFERROR(__xludf.DUMMYFUNCTION("""COMPUTED_VALUE"""),"""")</f>
        <v>"</v>
      </c>
      <c r="B197" s="9" t="s">
        <v>206</v>
      </c>
      <c r="C197" s="9" t="str">
        <f>IFERROR(__xludf.DUMMYFUNCTION("""COMPUTED_VALUE"""),""":""")</f>
        <v>":"</v>
      </c>
      <c r="D197" s="24">
        <v>6.2005979458241782E18</v>
      </c>
      <c r="E197" s="9" t="str">
        <f>IFERROR(__xludf.DUMMYFUNCTION("""COMPUTED_VALUE"""),""",")</f>
        <v>",</v>
      </c>
    </row>
    <row r="198">
      <c r="A198" s="9" t="str">
        <f>IFERROR(__xludf.DUMMYFUNCTION("""COMPUTED_VALUE"""),"""")</f>
        <v>"</v>
      </c>
      <c r="B198" s="9" t="s">
        <v>207</v>
      </c>
      <c r="C198" s="9" t="str">
        <f>IFERROR(__xludf.DUMMYFUNCTION("""COMPUTED_VALUE"""),""":""")</f>
        <v>":"</v>
      </c>
      <c r="D198" s="24">
        <v>6.174588877748778E18</v>
      </c>
      <c r="E198" s="9" t="str">
        <f>IFERROR(__xludf.DUMMYFUNCTION("""COMPUTED_VALUE"""),""",")</f>
        <v>",</v>
      </c>
    </row>
    <row r="199">
      <c r="A199" s="9" t="str">
        <f>IFERROR(__xludf.DUMMYFUNCTION("""COMPUTED_VALUE"""),"""")</f>
        <v>"</v>
      </c>
      <c r="B199" s="9" t="s">
        <v>208</v>
      </c>
      <c r="C199" s="9" t="str">
        <f>IFERROR(__xludf.DUMMYFUNCTION("""COMPUTED_VALUE"""),""":""")</f>
        <v>":"</v>
      </c>
      <c r="D199" s="24">
        <v>6.2005979458241782E18</v>
      </c>
      <c r="E199" s="9" t="str">
        <f>IFERROR(__xludf.DUMMYFUNCTION("""COMPUTED_VALUE"""),""",")</f>
        <v>",</v>
      </c>
    </row>
    <row r="200">
      <c r="A200" s="9" t="str">
        <f>IFERROR(__xludf.DUMMYFUNCTION("""COMPUTED_VALUE"""),"""")</f>
        <v>"</v>
      </c>
      <c r="B200" s="9" t="s">
        <v>209</v>
      </c>
      <c r="C200" s="9" t="str">
        <f>IFERROR(__xludf.DUMMYFUNCTION("""COMPUTED_VALUE"""),""":""")</f>
        <v>":"</v>
      </c>
      <c r="D200" s="24">
        <v>2.846444771581278E19</v>
      </c>
      <c r="E200" s="9" t="str">
        <f>IFERROR(__xludf.DUMMYFUNCTION("""COMPUTED_VALUE"""),""",")</f>
        <v>",</v>
      </c>
    </row>
    <row r="201">
      <c r="A201" s="9" t="str">
        <f>IFERROR(__xludf.DUMMYFUNCTION("""COMPUTED_VALUE"""),"""")</f>
        <v>"</v>
      </c>
      <c r="B201" s="9" t="s">
        <v>210</v>
      </c>
      <c r="C201" s="9" t="str">
        <f>IFERROR(__xludf.DUMMYFUNCTION("""COMPUTED_VALUE"""),""":""")</f>
        <v>":"</v>
      </c>
      <c r="D201" s="24">
        <v>5.7463642243512668E18</v>
      </c>
      <c r="E201" s="9" t="str">
        <f>IFERROR(__xludf.DUMMYFUNCTION("""COMPUTED_VALUE"""),""",")</f>
        <v>",</v>
      </c>
    </row>
    <row r="202">
      <c r="A202" s="9" t="str">
        <f>IFERROR(__xludf.DUMMYFUNCTION("""COMPUTED_VALUE"""),"""")</f>
        <v>"</v>
      </c>
      <c r="B202" s="9" t="s">
        <v>211</v>
      </c>
      <c r="C202" s="9" t="str">
        <f>IFERROR(__xludf.DUMMYFUNCTION("""COMPUTED_VALUE"""),""":""")</f>
        <v>":"</v>
      </c>
      <c r="D202" s="24">
        <v>2.0248888511809958E19</v>
      </c>
      <c r="E202" s="9" t="str">
        <f>IFERROR(__xludf.DUMMYFUNCTION("""COMPUTED_VALUE"""),""",")</f>
        <v>",</v>
      </c>
    </row>
    <row r="203">
      <c r="A203" s="9" t="str">
        <f>IFERROR(__xludf.DUMMYFUNCTION("""COMPUTED_VALUE"""),"""")</f>
        <v>"</v>
      </c>
      <c r="B203" s="9" t="s">
        <v>212</v>
      </c>
      <c r="C203" s="9" t="str">
        <f>IFERROR(__xludf.DUMMYFUNCTION("""COMPUTED_VALUE"""),""":""")</f>
        <v>":"</v>
      </c>
      <c r="D203" s="24">
        <v>6.2005979458241782E18</v>
      </c>
      <c r="E203" s="9" t="str">
        <f>IFERROR(__xludf.DUMMYFUNCTION("""COMPUTED_VALUE"""),""",")</f>
        <v>",</v>
      </c>
    </row>
    <row r="204">
      <c r="A204" s="9" t="str">
        <f>IFERROR(__xludf.DUMMYFUNCTION("""COMPUTED_VALUE"""),"""")</f>
        <v>"</v>
      </c>
      <c r="B204" s="9" t="s">
        <v>213</v>
      </c>
      <c r="C204" s="9" t="str">
        <f>IFERROR(__xludf.DUMMYFUNCTION("""COMPUTED_VALUE"""),""":""")</f>
        <v>":"</v>
      </c>
      <c r="D204" s="24">
        <v>6.1996632511407555E18</v>
      </c>
      <c r="E204" s="9" t="str">
        <f>IFERROR(__xludf.DUMMYFUNCTION("""COMPUTED_VALUE"""),""",")</f>
        <v>",</v>
      </c>
    </row>
    <row r="205">
      <c r="A205" s="9" t="str">
        <f>IFERROR(__xludf.DUMMYFUNCTION("""COMPUTED_VALUE"""),"""")</f>
        <v>"</v>
      </c>
      <c r="B205" s="9" t="s">
        <v>214</v>
      </c>
      <c r="C205" s="9" t="str">
        <f>IFERROR(__xludf.DUMMYFUNCTION("""COMPUTED_VALUE"""),""":""")</f>
        <v>":"</v>
      </c>
      <c r="D205" s="24">
        <v>6.2005979458241782E18</v>
      </c>
      <c r="E205" s="9" t="str">
        <f>IFERROR(__xludf.DUMMYFUNCTION("""COMPUTED_VALUE"""),""",")</f>
        <v>",</v>
      </c>
    </row>
    <row r="206">
      <c r="A206" s="9" t="str">
        <f>IFERROR(__xludf.DUMMYFUNCTION("""COMPUTED_VALUE"""),"""")</f>
        <v>"</v>
      </c>
      <c r="B206" s="9" t="s">
        <v>215</v>
      </c>
      <c r="C206" s="9" t="str">
        <f>IFERROR(__xludf.DUMMYFUNCTION("""COMPUTED_VALUE"""),""":""")</f>
        <v>":"</v>
      </c>
      <c r="D206" s="24">
        <v>2.0248888511809958E19</v>
      </c>
      <c r="E206" s="9" t="str">
        <f>IFERROR(__xludf.DUMMYFUNCTION("""COMPUTED_VALUE"""),""",")</f>
        <v>",</v>
      </c>
    </row>
    <row r="207">
      <c r="A207" s="9" t="str">
        <f>IFERROR(__xludf.DUMMYFUNCTION("""COMPUTED_VALUE"""),"""")</f>
        <v>"</v>
      </c>
      <c r="B207" s="9" t="s">
        <v>216</v>
      </c>
      <c r="C207" s="9" t="str">
        <f>IFERROR(__xludf.DUMMYFUNCTION("""COMPUTED_VALUE"""),""":""")</f>
        <v>":"</v>
      </c>
      <c r="D207" s="24">
        <v>3.0902811789630444E18</v>
      </c>
      <c r="E207" s="9" t="str">
        <f>IFERROR(__xludf.DUMMYFUNCTION("""COMPUTED_VALUE"""),""",")</f>
        <v>",</v>
      </c>
    </row>
    <row r="208">
      <c r="A208" s="9" t="str">
        <f>IFERROR(__xludf.DUMMYFUNCTION("""COMPUTED_VALUE"""),"""")</f>
        <v>"</v>
      </c>
      <c r="B208" s="9" t="s">
        <v>217</v>
      </c>
      <c r="C208" s="9" t="str">
        <f>IFERROR(__xludf.DUMMYFUNCTION("""COMPUTED_VALUE"""),""":""")</f>
        <v>":"</v>
      </c>
      <c r="D208" s="24">
        <v>6.2005979458241782E18</v>
      </c>
      <c r="E208" s="9" t="str">
        <f>IFERROR(__xludf.DUMMYFUNCTION("""COMPUTED_VALUE"""),""",")</f>
        <v>",</v>
      </c>
    </row>
    <row r="209">
      <c r="A209" s="9" t="str">
        <f>IFERROR(__xludf.DUMMYFUNCTION("""COMPUTED_VALUE"""),"""")</f>
        <v>"</v>
      </c>
      <c r="B209" s="9" t="s">
        <v>218</v>
      </c>
      <c r="C209" s="9" t="str">
        <f>IFERROR(__xludf.DUMMYFUNCTION("""COMPUTED_VALUE"""),""":""")</f>
        <v>":"</v>
      </c>
      <c r="D209" s="24">
        <v>6.2005979458241782E18</v>
      </c>
      <c r="E209" s="9" t="str">
        <f>IFERROR(__xludf.DUMMYFUNCTION("""COMPUTED_VALUE"""),""",")</f>
        <v>",</v>
      </c>
    </row>
    <row r="210">
      <c r="A210" s="9" t="str">
        <f>IFERROR(__xludf.DUMMYFUNCTION("""COMPUTED_VALUE"""),"""")</f>
        <v>"</v>
      </c>
      <c r="B210" s="9" t="s">
        <v>219</v>
      </c>
      <c r="C210" s="9" t="str">
        <f>IFERROR(__xludf.DUMMYFUNCTION("""COMPUTED_VALUE"""),""":""")</f>
        <v>":"</v>
      </c>
      <c r="D210" s="24">
        <v>6.2005979458241782E18</v>
      </c>
      <c r="E210" s="9" t="str">
        <f>IFERROR(__xludf.DUMMYFUNCTION("""COMPUTED_VALUE"""),""",")</f>
        <v>",</v>
      </c>
    </row>
    <row r="211">
      <c r="A211" s="9" t="str">
        <f>IFERROR(__xludf.DUMMYFUNCTION("""COMPUTED_VALUE"""),"""")</f>
        <v>"</v>
      </c>
      <c r="B211" s="9" t="s">
        <v>220</v>
      </c>
      <c r="C211" s="9" t="str">
        <f>IFERROR(__xludf.DUMMYFUNCTION("""COMPUTED_VALUE"""),""":""")</f>
        <v>":"</v>
      </c>
      <c r="D211" s="24">
        <v>2.0248888511809958E19</v>
      </c>
      <c r="E211" s="9" t="str">
        <f>IFERROR(__xludf.DUMMYFUNCTION("""COMPUTED_VALUE"""),""",")</f>
        <v>",</v>
      </c>
    </row>
    <row r="212">
      <c r="A212" s="9" t="str">
        <f>IFERROR(__xludf.DUMMYFUNCTION("""COMPUTED_VALUE"""),"""")</f>
        <v>"</v>
      </c>
      <c r="B212" s="9" t="s">
        <v>221</v>
      </c>
      <c r="C212" s="9" t="str">
        <f>IFERROR(__xludf.DUMMYFUNCTION("""COMPUTED_VALUE"""),""":""")</f>
        <v>":"</v>
      </c>
      <c r="D212" s="24">
        <v>1.096373160835451E19</v>
      </c>
      <c r="E212" s="9" t="str">
        <f>IFERROR(__xludf.DUMMYFUNCTION("""COMPUTED_VALUE"""),""",")</f>
        <v>",</v>
      </c>
    </row>
    <row r="213">
      <c r="A213" s="9" t="str">
        <f>IFERROR(__xludf.DUMMYFUNCTION("""COMPUTED_VALUE"""),"""")</f>
        <v>"</v>
      </c>
      <c r="B213" s="9" t="s">
        <v>222</v>
      </c>
      <c r="C213" s="9" t="str">
        <f>IFERROR(__xludf.DUMMYFUNCTION("""COMPUTED_VALUE"""),""":""")</f>
        <v>":"</v>
      </c>
      <c r="D213" s="24">
        <v>3.0175991010174403E19</v>
      </c>
      <c r="E213" s="9" t="str">
        <f>IFERROR(__xludf.DUMMYFUNCTION("""COMPUTED_VALUE"""),""",")</f>
        <v>",</v>
      </c>
    </row>
    <row r="214">
      <c r="A214" s="9" t="str">
        <f>IFERROR(__xludf.DUMMYFUNCTION("""COMPUTED_VALUE"""),"""")</f>
        <v>"</v>
      </c>
      <c r="B214" s="9" t="s">
        <v>223</v>
      </c>
      <c r="C214" s="9" t="str">
        <f>IFERROR(__xludf.DUMMYFUNCTION("""COMPUTED_VALUE"""),""":""")</f>
        <v>":"</v>
      </c>
      <c r="D214" s="24">
        <v>2.0248888511809958E19</v>
      </c>
      <c r="E214" s="9" t="str">
        <f>IFERROR(__xludf.DUMMYFUNCTION("""COMPUTED_VALUE"""),""",")</f>
        <v>",</v>
      </c>
    </row>
    <row r="215">
      <c r="A215" s="9" t="str">
        <f>IFERROR(__xludf.DUMMYFUNCTION("""COMPUTED_VALUE"""),"""")</f>
        <v>"</v>
      </c>
      <c r="B215" s="9" t="s">
        <v>224</v>
      </c>
      <c r="C215" s="9" t="str">
        <f>IFERROR(__xludf.DUMMYFUNCTION("""COMPUTED_VALUE"""),""":""")</f>
        <v>":"</v>
      </c>
      <c r="D215" s="24">
        <v>6.2005979458241782E18</v>
      </c>
      <c r="E215" s="9" t="str">
        <f>IFERROR(__xludf.DUMMYFUNCTION("""COMPUTED_VALUE"""),""",")</f>
        <v>",</v>
      </c>
    </row>
    <row r="216">
      <c r="A216" s="9" t="str">
        <f>IFERROR(__xludf.DUMMYFUNCTION("""COMPUTED_VALUE"""),"""")</f>
        <v>"</v>
      </c>
      <c r="B216" s="9" t="s">
        <v>225</v>
      </c>
      <c r="C216" s="9" t="str">
        <f>IFERROR(__xludf.DUMMYFUNCTION("""COMPUTED_VALUE"""),""":""")</f>
        <v>":"</v>
      </c>
      <c r="D216" s="24">
        <v>1.22649514697343104E18</v>
      </c>
      <c r="E216" s="9" t="str">
        <f>IFERROR(__xludf.DUMMYFUNCTION("""COMPUTED_VALUE"""),""",")</f>
        <v>",</v>
      </c>
    </row>
    <row r="217">
      <c r="A217" s="9" t="str">
        <f>IFERROR(__xludf.DUMMYFUNCTION("""COMPUTED_VALUE"""),"""")</f>
        <v>"</v>
      </c>
      <c r="B217" s="9" t="s">
        <v>226</v>
      </c>
      <c r="C217" s="9" t="str">
        <f>IFERROR(__xludf.DUMMYFUNCTION("""COMPUTED_VALUE"""),""":""")</f>
        <v>":"</v>
      </c>
      <c r="D217" s="24">
        <v>6.2005979458241782E18</v>
      </c>
      <c r="E217" s="9" t="str">
        <f>IFERROR(__xludf.DUMMYFUNCTION("""COMPUTED_VALUE"""),""",")</f>
        <v>",</v>
      </c>
    </row>
    <row r="218">
      <c r="A218" s="9" t="str">
        <f>IFERROR(__xludf.DUMMYFUNCTION("""COMPUTED_VALUE"""),"""")</f>
        <v>"</v>
      </c>
      <c r="B218" s="9" t="s">
        <v>227</v>
      </c>
      <c r="C218" s="9" t="str">
        <f>IFERROR(__xludf.DUMMYFUNCTION("""COMPUTED_VALUE"""),""":""")</f>
        <v>":"</v>
      </c>
      <c r="D218" s="24">
        <v>5.3871362728074885E18</v>
      </c>
      <c r="E218" s="9" t="str">
        <f>IFERROR(__xludf.DUMMYFUNCTION("""COMPUTED_VALUE"""),""",")</f>
        <v>",</v>
      </c>
    </row>
    <row r="219">
      <c r="A219" s="9" t="str">
        <f>IFERROR(__xludf.DUMMYFUNCTION("""COMPUTED_VALUE"""),"""")</f>
        <v>"</v>
      </c>
      <c r="B219" s="9" t="s">
        <v>228</v>
      </c>
      <c r="C219" s="9" t="str">
        <f>IFERROR(__xludf.DUMMYFUNCTION("""COMPUTED_VALUE"""),""":""")</f>
        <v>":"</v>
      </c>
      <c r="D219" s="24">
        <v>2.0248888511809958E19</v>
      </c>
      <c r="E219" s="9" t="str">
        <f>IFERROR(__xludf.DUMMYFUNCTION("""COMPUTED_VALUE"""),""",")</f>
        <v>",</v>
      </c>
    </row>
    <row r="220">
      <c r="A220" s="9" t="str">
        <f>IFERROR(__xludf.DUMMYFUNCTION("""COMPUTED_VALUE"""),"""")</f>
        <v>"</v>
      </c>
      <c r="B220" s="9" t="s">
        <v>229</v>
      </c>
      <c r="C220" s="9" t="str">
        <f>IFERROR(__xludf.DUMMYFUNCTION("""COMPUTED_VALUE"""),""":""")</f>
        <v>":"</v>
      </c>
      <c r="D220" s="24">
        <v>6.2005979458241782E18</v>
      </c>
      <c r="E220" s="9" t="str">
        <f>IFERROR(__xludf.DUMMYFUNCTION("""COMPUTED_VALUE"""),""",")</f>
        <v>",</v>
      </c>
    </row>
    <row r="221">
      <c r="A221" s="9" t="str">
        <f>IFERROR(__xludf.DUMMYFUNCTION("""COMPUTED_VALUE"""),"""")</f>
        <v>"</v>
      </c>
      <c r="B221" s="9" t="s">
        <v>230</v>
      </c>
      <c r="C221" s="9" t="str">
        <f>IFERROR(__xludf.DUMMYFUNCTION("""COMPUTED_VALUE"""),""":""")</f>
        <v>":"</v>
      </c>
      <c r="D221" s="24">
        <v>2.9173081817598218E18</v>
      </c>
      <c r="E221" s="9" t="str">
        <f>IFERROR(__xludf.DUMMYFUNCTION("""COMPUTED_VALUE"""),""",")</f>
        <v>",</v>
      </c>
    </row>
    <row r="222">
      <c r="A222" s="9" t="str">
        <f>IFERROR(__xludf.DUMMYFUNCTION("""COMPUTED_VALUE"""),"""")</f>
        <v>"</v>
      </c>
      <c r="B222" s="9" t="s">
        <v>231</v>
      </c>
      <c r="C222" s="9" t="str">
        <f>IFERROR(__xludf.DUMMYFUNCTION("""COMPUTED_VALUE"""),""":""")</f>
        <v>":"</v>
      </c>
      <c r="D222" s="24">
        <v>5.3721227655568896E18</v>
      </c>
      <c r="E222" s="9" t="str">
        <f>IFERROR(__xludf.DUMMYFUNCTION("""COMPUTED_VALUE"""),""",")</f>
        <v>",</v>
      </c>
    </row>
    <row r="223">
      <c r="A223" s="9" t="str">
        <f>IFERROR(__xludf.DUMMYFUNCTION("""COMPUTED_VALUE"""),"""")</f>
        <v>"</v>
      </c>
      <c r="B223" s="9" t="s">
        <v>232</v>
      </c>
      <c r="C223" s="9" t="str">
        <f>IFERROR(__xludf.DUMMYFUNCTION("""COMPUTED_VALUE"""),""":""")</f>
        <v>":"</v>
      </c>
      <c r="D223" s="24">
        <v>6.7727093192387533E17</v>
      </c>
      <c r="E223" s="9" t="str">
        <f>IFERROR(__xludf.DUMMYFUNCTION("""COMPUTED_VALUE"""),""",")</f>
        <v>",</v>
      </c>
    </row>
    <row r="224">
      <c r="A224" s="9" t="str">
        <f>IFERROR(__xludf.DUMMYFUNCTION("""COMPUTED_VALUE"""),"""")</f>
        <v>"</v>
      </c>
      <c r="B224" s="9" t="s">
        <v>233</v>
      </c>
      <c r="C224" s="9" t="str">
        <f>IFERROR(__xludf.DUMMYFUNCTION("""COMPUTED_VALUE"""),""":""")</f>
        <v>":"</v>
      </c>
      <c r="D224" s="24">
        <v>6.2005979458241782E18</v>
      </c>
      <c r="E224" s="9" t="str">
        <f>IFERROR(__xludf.DUMMYFUNCTION("""COMPUTED_VALUE"""),""",")</f>
        <v>",</v>
      </c>
    </row>
    <row r="225">
      <c r="A225" s="9" t="str">
        <f>IFERROR(__xludf.DUMMYFUNCTION("""COMPUTED_VALUE"""),"""")</f>
        <v>"</v>
      </c>
      <c r="B225" s="9" t="s">
        <v>234</v>
      </c>
      <c r="C225" s="9" t="str">
        <f>IFERROR(__xludf.DUMMYFUNCTION("""COMPUTED_VALUE"""),""":""")</f>
        <v>":"</v>
      </c>
      <c r="D225" s="24">
        <v>1.3062384528468728E19</v>
      </c>
      <c r="E225" s="9" t="str">
        <f>IFERROR(__xludf.DUMMYFUNCTION("""COMPUTED_VALUE"""),""",")</f>
        <v>",</v>
      </c>
    </row>
    <row r="226">
      <c r="A226" s="9" t="str">
        <f>IFERROR(__xludf.DUMMYFUNCTION("""COMPUTED_VALUE"""),"""")</f>
        <v>"</v>
      </c>
      <c r="B226" s="9" t="s">
        <v>235</v>
      </c>
      <c r="C226" s="9" t="str">
        <f>IFERROR(__xludf.DUMMYFUNCTION("""COMPUTED_VALUE"""),""":""")</f>
        <v>":"</v>
      </c>
      <c r="D226" s="24">
        <v>5.7179076874602004E18</v>
      </c>
      <c r="E226" s="9" t="str">
        <f>IFERROR(__xludf.DUMMYFUNCTION("""COMPUTED_VALUE"""),""",")</f>
        <v>",</v>
      </c>
    </row>
    <row r="227">
      <c r="A227" s="9" t="str">
        <f>IFERROR(__xludf.DUMMYFUNCTION("""COMPUTED_VALUE"""),"""")</f>
        <v>"</v>
      </c>
      <c r="B227" s="9" t="s">
        <v>236</v>
      </c>
      <c r="C227" s="9" t="str">
        <f>IFERROR(__xludf.DUMMYFUNCTION("""COMPUTED_VALUE"""),""":""")</f>
        <v>":"</v>
      </c>
      <c r="D227" s="24">
        <v>6.2005979458241782E18</v>
      </c>
      <c r="E227" s="9" t="str">
        <f>IFERROR(__xludf.DUMMYFUNCTION("""COMPUTED_VALUE"""),""",")</f>
        <v>",</v>
      </c>
    </row>
    <row r="228">
      <c r="A228" s="9" t="str">
        <f>IFERROR(__xludf.DUMMYFUNCTION("""COMPUTED_VALUE"""),"""")</f>
        <v>"</v>
      </c>
      <c r="B228" s="9" t="s">
        <v>237</v>
      </c>
      <c r="C228" s="9" t="str">
        <f>IFERROR(__xludf.DUMMYFUNCTION("""COMPUTED_VALUE"""),""":""")</f>
        <v>":"</v>
      </c>
      <c r="D228" s="24">
        <v>3.7203587674945111E18</v>
      </c>
      <c r="E228" s="9" t="str">
        <f>IFERROR(__xludf.DUMMYFUNCTION("""COMPUTED_VALUE"""),""",")</f>
        <v>",</v>
      </c>
    </row>
    <row r="229">
      <c r="A229" s="9" t="str">
        <f>IFERROR(__xludf.DUMMYFUNCTION("""COMPUTED_VALUE"""),"""")</f>
        <v>"</v>
      </c>
      <c r="B229" s="9" t="s">
        <v>238</v>
      </c>
      <c r="C229" s="9" t="str">
        <f>IFERROR(__xludf.DUMMYFUNCTION("""COMPUTED_VALUE"""),""":""")</f>
        <v>":"</v>
      </c>
      <c r="D229" s="24">
        <v>6.7625295684636088E18</v>
      </c>
      <c r="E229" s="9" t="str">
        <f>IFERROR(__xludf.DUMMYFUNCTION("""COMPUTED_VALUE"""),""",")</f>
        <v>",</v>
      </c>
    </row>
    <row r="230">
      <c r="A230" s="9" t="str">
        <f>IFERROR(__xludf.DUMMYFUNCTION("""COMPUTED_VALUE"""),"""")</f>
        <v>"</v>
      </c>
      <c r="B230" s="9" t="s">
        <v>239</v>
      </c>
      <c r="C230" s="9" t="str">
        <f>IFERROR(__xludf.DUMMYFUNCTION("""COMPUTED_VALUE"""),""":""")</f>
        <v>":"</v>
      </c>
      <c r="D230" s="24">
        <v>1.4675111068089655E19</v>
      </c>
      <c r="E230" s="9" t="str">
        <f>IFERROR(__xludf.DUMMYFUNCTION("""COMPUTED_VALUE"""),""",")</f>
        <v>",</v>
      </c>
    </row>
    <row r="231">
      <c r="A231" s="9" t="str">
        <f>IFERROR(__xludf.DUMMYFUNCTION("""COMPUTED_VALUE"""),"""")</f>
        <v>"</v>
      </c>
      <c r="B231" s="9" t="s">
        <v>240</v>
      </c>
      <c r="C231" s="9" t="str">
        <f>IFERROR(__xludf.DUMMYFUNCTION("""COMPUTED_VALUE"""),""":""")</f>
        <v>":"</v>
      </c>
      <c r="D231" s="24">
        <v>2.0248888511809958E19</v>
      </c>
      <c r="E231" s="9" t="str">
        <f>IFERROR(__xludf.DUMMYFUNCTION("""COMPUTED_VALUE"""),""",")</f>
        <v>",</v>
      </c>
    </row>
    <row r="232">
      <c r="A232" s="9" t="str">
        <f>IFERROR(__xludf.DUMMYFUNCTION("""COMPUTED_VALUE"""),"""")</f>
        <v>"</v>
      </c>
      <c r="B232" s="9" t="s">
        <v>241</v>
      </c>
      <c r="C232" s="9" t="str">
        <f>IFERROR(__xludf.DUMMYFUNCTION("""COMPUTED_VALUE"""),""":""")</f>
        <v>":"</v>
      </c>
      <c r="D232" s="24">
        <v>2.0248888511809958E19</v>
      </c>
      <c r="E232" s="9" t="str">
        <f>IFERROR(__xludf.DUMMYFUNCTION("""COMPUTED_VALUE"""),""",")</f>
        <v>",</v>
      </c>
    </row>
    <row r="233">
      <c r="A233" s="9" t="str">
        <f>IFERROR(__xludf.DUMMYFUNCTION("""COMPUTED_VALUE"""),"""")</f>
        <v>"</v>
      </c>
      <c r="B233" s="9" t="s">
        <v>242</v>
      </c>
      <c r="C233" s="9" t="str">
        <f>IFERROR(__xludf.DUMMYFUNCTION("""COMPUTED_VALUE"""),""":""")</f>
        <v>":"</v>
      </c>
      <c r="D233" s="24">
        <v>2.067263840759536E19</v>
      </c>
      <c r="E233" s="9" t="str">
        <f>IFERROR(__xludf.DUMMYFUNCTION("""COMPUTED_VALUE"""),""",")</f>
        <v>",</v>
      </c>
    </row>
    <row r="234">
      <c r="A234" s="9" t="str">
        <f>IFERROR(__xludf.DUMMYFUNCTION("""COMPUTED_VALUE"""),"""")</f>
        <v>"</v>
      </c>
      <c r="B234" s="9" t="s">
        <v>243</v>
      </c>
      <c r="C234" s="9" t="str">
        <f>IFERROR(__xludf.DUMMYFUNCTION("""COMPUTED_VALUE"""),""":""")</f>
        <v>":"</v>
      </c>
      <c r="D234" s="24">
        <v>5.7302695622126674E18</v>
      </c>
      <c r="E234" s="9" t="str">
        <f>IFERROR(__xludf.DUMMYFUNCTION("""COMPUTED_VALUE"""),""",")</f>
        <v>",</v>
      </c>
    </row>
    <row r="235">
      <c r="A235" s="9" t="str">
        <f>IFERROR(__xludf.DUMMYFUNCTION("""COMPUTED_VALUE"""),"""")</f>
        <v>"</v>
      </c>
      <c r="B235" s="9" t="s">
        <v>244</v>
      </c>
      <c r="C235" s="9" t="str">
        <f>IFERROR(__xludf.DUMMYFUNCTION("""COMPUTED_VALUE"""),""":""")</f>
        <v>":"</v>
      </c>
      <c r="D235" s="24">
        <v>6.2005979458241782E18</v>
      </c>
      <c r="E235" s="9" t="str">
        <f>IFERROR(__xludf.DUMMYFUNCTION("""COMPUTED_VALUE"""),""",")</f>
        <v>",</v>
      </c>
    </row>
    <row r="236">
      <c r="A236" s="9" t="str">
        <f>IFERROR(__xludf.DUMMYFUNCTION("""COMPUTED_VALUE"""),"""")</f>
        <v>"</v>
      </c>
      <c r="B236" s="9" t="s">
        <v>245</v>
      </c>
      <c r="C236" s="9" t="str">
        <f>IFERROR(__xludf.DUMMYFUNCTION("""COMPUTED_VALUE"""),""":""")</f>
        <v>":"</v>
      </c>
      <c r="D236" s="24">
        <v>2.0248888511809958E19</v>
      </c>
      <c r="E236" s="9" t="str">
        <f>IFERROR(__xludf.DUMMYFUNCTION("""COMPUTED_VALUE"""),""",")</f>
        <v>",</v>
      </c>
    </row>
    <row r="237">
      <c r="A237" s="9" t="str">
        <f>IFERROR(__xludf.DUMMYFUNCTION("""COMPUTED_VALUE"""),"""")</f>
        <v>"</v>
      </c>
      <c r="B237" s="9" t="s">
        <v>246</v>
      </c>
      <c r="C237" s="9" t="str">
        <f>IFERROR(__xludf.DUMMYFUNCTION("""COMPUTED_VALUE"""),""":""")</f>
        <v>":"</v>
      </c>
      <c r="D237" s="24">
        <v>6.2005979458241782E18</v>
      </c>
      <c r="E237" s="9" t="str">
        <f>IFERROR(__xludf.DUMMYFUNCTION("""COMPUTED_VALUE"""),""",")</f>
        <v>",</v>
      </c>
    </row>
    <row r="238">
      <c r="A238" s="9" t="str">
        <f>IFERROR(__xludf.DUMMYFUNCTION("""COMPUTED_VALUE"""),"""")</f>
        <v>"</v>
      </c>
      <c r="B238" s="9" t="s">
        <v>247</v>
      </c>
      <c r="C238" s="9" t="str">
        <f>IFERROR(__xludf.DUMMYFUNCTION("""COMPUTED_VALUE"""),""":""")</f>
        <v>":"</v>
      </c>
      <c r="D238" s="24">
        <v>1.83290845790915584E18</v>
      </c>
      <c r="E238" s="9" t="str">
        <f>IFERROR(__xludf.DUMMYFUNCTION("""COMPUTED_VALUE"""),""",")</f>
        <v>",</v>
      </c>
    </row>
    <row r="239">
      <c r="A239" s="9" t="str">
        <f>IFERROR(__xludf.DUMMYFUNCTION("""COMPUTED_VALUE"""),"""")</f>
        <v>"</v>
      </c>
      <c r="B239" s="9" t="s">
        <v>248</v>
      </c>
      <c r="C239" s="9" t="str">
        <f>IFERROR(__xludf.DUMMYFUNCTION("""COMPUTED_VALUE"""),""":""")</f>
        <v>":"</v>
      </c>
      <c r="D239" s="24">
        <v>2.6210052249472758E19</v>
      </c>
      <c r="E239" s="9" t="str">
        <f>IFERROR(__xludf.DUMMYFUNCTION("""COMPUTED_VALUE"""),""",")</f>
        <v>",</v>
      </c>
    </row>
    <row r="240">
      <c r="A240" s="9" t="str">
        <f>IFERROR(__xludf.DUMMYFUNCTION("""COMPUTED_VALUE"""),"""")</f>
        <v>"</v>
      </c>
      <c r="B240" s="9" t="s">
        <v>249</v>
      </c>
      <c r="C240" s="9" t="str">
        <f>IFERROR(__xludf.DUMMYFUNCTION("""COMPUTED_VALUE"""),""":""")</f>
        <v>":"</v>
      </c>
      <c r="D240" s="24">
        <v>6.2005979458241782E18</v>
      </c>
      <c r="E240" s="9" t="str">
        <f>IFERROR(__xludf.DUMMYFUNCTION("""COMPUTED_VALUE"""),""",")</f>
        <v>",</v>
      </c>
    </row>
    <row r="241">
      <c r="A241" s="9" t="str">
        <f>IFERROR(__xludf.DUMMYFUNCTION("""COMPUTED_VALUE"""),"""")</f>
        <v>"</v>
      </c>
      <c r="B241" s="9" t="s">
        <v>250</v>
      </c>
      <c r="C241" s="9" t="str">
        <f>IFERROR(__xludf.DUMMYFUNCTION("""COMPUTED_VALUE"""),""":""")</f>
        <v>":"</v>
      </c>
      <c r="D241" s="24">
        <v>5.7082521761741343E18</v>
      </c>
      <c r="E241" s="9" t="str">
        <f>IFERROR(__xludf.DUMMYFUNCTION("""COMPUTED_VALUE"""),""",")</f>
        <v>",</v>
      </c>
    </row>
    <row r="242">
      <c r="A242" s="9" t="str">
        <f>IFERROR(__xludf.DUMMYFUNCTION("""COMPUTED_VALUE"""),"""")</f>
        <v>"</v>
      </c>
      <c r="B242" s="9" t="s">
        <v>251</v>
      </c>
      <c r="C242" s="9" t="str">
        <f>IFERROR(__xludf.DUMMYFUNCTION("""COMPUTED_VALUE"""),""":""")</f>
        <v>":"</v>
      </c>
      <c r="D242" s="24">
        <v>4.664811459316639E19</v>
      </c>
      <c r="E242" s="9" t="str">
        <f>IFERROR(__xludf.DUMMYFUNCTION("""COMPUTED_VALUE"""),""",")</f>
        <v>",</v>
      </c>
    </row>
    <row r="243">
      <c r="A243" s="9" t="str">
        <f>IFERROR(__xludf.DUMMYFUNCTION("""COMPUTED_VALUE"""),"""")</f>
        <v>"</v>
      </c>
      <c r="B243" s="9" t="s">
        <v>252</v>
      </c>
      <c r="C243" s="9" t="str">
        <f>IFERROR(__xludf.DUMMYFUNCTION("""COMPUTED_VALUE"""),""":""")</f>
        <v>":"</v>
      </c>
      <c r="D243" s="24">
        <v>2.0248888511809958E19</v>
      </c>
      <c r="E243" s="9" t="str">
        <f>IFERROR(__xludf.DUMMYFUNCTION("""COMPUTED_VALUE"""),""",")</f>
        <v>",</v>
      </c>
    </row>
    <row r="244">
      <c r="A244" s="9" t="str">
        <f>IFERROR(__xludf.DUMMYFUNCTION("""COMPUTED_VALUE"""),"""")</f>
        <v>"</v>
      </c>
      <c r="B244" s="9" t="s">
        <v>253</v>
      </c>
      <c r="C244" s="9" t="str">
        <f>IFERROR(__xludf.DUMMYFUNCTION("""COMPUTED_VALUE"""),""":""")</f>
        <v>":"</v>
      </c>
      <c r="D244" s="24">
        <v>4.6563422515112673E18</v>
      </c>
      <c r="E244" s="9" t="str">
        <f>IFERROR(__xludf.DUMMYFUNCTION("""COMPUTED_VALUE"""),""",")</f>
        <v>",</v>
      </c>
    </row>
    <row r="245">
      <c r="A245" s="9" t="str">
        <f>IFERROR(__xludf.DUMMYFUNCTION("""COMPUTED_VALUE"""),"""")</f>
        <v>"</v>
      </c>
      <c r="B245" s="9" t="s">
        <v>254</v>
      </c>
      <c r="C245" s="9" t="str">
        <f>IFERROR(__xludf.DUMMYFUNCTION("""COMPUTED_VALUE"""),""":""")</f>
        <v>":"</v>
      </c>
      <c r="D245" s="24">
        <v>1.6193483992676934E19</v>
      </c>
      <c r="E245" s="9" t="str">
        <f>IFERROR(__xludf.DUMMYFUNCTION("""COMPUTED_VALUE"""),""",")</f>
        <v>",</v>
      </c>
    </row>
    <row r="246">
      <c r="A246" s="9" t="str">
        <f>IFERROR(__xludf.DUMMYFUNCTION("""COMPUTED_VALUE"""),"""")</f>
        <v>"</v>
      </c>
      <c r="B246" s="9" t="s">
        <v>255</v>
      </c>
      <c r="C246" s="9" t="str">
        <f>IFERROR(__xludf.DUMMYFUNCTION("""COMPUTED_VALUE"""),""":""")</f>
        <v>":"</v>
      </c>
      <c r="D246" s="24">
        <v>6.2005979458241782E18</v>
      </c>
      <c r="E246" s="9" t="str">
        <f>IFERROR(__xludf.DUMMYFUNCTION("""COMPUTED_VALUE"""),""",")</f>
        <v>",</v>
      </c>
    </row>
    <row r="247">
      <c r="A247" s="9" t="str">
        <f>IFERROR(__xludf.DUMMYFUNCTION("""COMPUTED_VALUE"""),"""")</f>
        <v>"</v>
      </c>
      <c r="B247" s="9" t="s">
        <v>256</v>
      </c>
      <c r="C247" s="9" t="str">
        <f>IFERROR(__xludf.DUMMYFUNCTION("""COMPUTED_VALUE"""),""":""")</f>
        <v>":"</v>
      </c>
      <c r="D247" s="24">
        <v>6.2005979458241782E18</v>
      </c>
      <c r="E247" s="9" t="str">
        <f>IFERROR(__xludf.DUMMYFUNCTION("""COMPUTED_VALUE"""),""",")</f>
        <v>",</v>
      </c>
    </row>
    <row r="248">
      <c r="A248" s="9" t="str">
        <f>IFERROR(__xludf.DUMMYFUNCTION("""COMPUTED_VALUE"""),"""")</f>
        <v>"</v>
      </c>
      <c r="B248" s="9" t="s">
        <v>257</v>
      </c>
      <c r="C248" s="9" t="str">
        <f>IFERROR(__xludf.DUMMYFUNCTION("""COMPUTED_VALUE"""),""":""")</f>
        <v>":"</v>
      </c>
      <c r="D248" s="24">
        <v>1.4385495418246556E19</v>
      </c>
      <c r="E248" s="9" t="str">
        <f>IFERROR(__xludf.DUMMYFUNCTION("""COMPUTED_VALUE"""),""",")</f>
        <v>",</v>
      </c>
    </row>
    <row r="249">
      <c r="A249" s="9" t="str">
        <f>IFERROR(__xludf.DUMMYFUNCTION("""COMPUTED_VALUE"""),"""")</f>
        <v>"</v>
      </c>
      <c r="B249" s="9" t="s">
        <v>258</v>
      </c>
      <c r="C249" s="9" t="str">
        <f>IFERROR(__xludf.DUMMYFUNCTION("""COMPUTED_VALUE"""),""":""")</f>
        <v>":"</v>
      </c>
      <c r="D249" s="24">
        <v>4.1669159021405553E18</v>
      </c>
      <c r="E249" s="9" t="str">
        <f>IFERROR(__xludf.DUMMYFUNCTION("""COMPUTED_VALUE"""),""",")</f>
        <v>",</v>
      </c>
    </row>
    <row r="250">
      <c r="A250" s="9" t="str">
        <f>IFERROR(__xludf.DUMMYFUNCTION("""COMPUTED_VALUE"""),"""")</f>
        <v>"</v>
      </c>
      <c r="B250" s="9" t="s">
        <v>259</v>
      </c>
      <c r="C250" s="9" t="str">
        <f>IFERROR(__xludf.DUMMYFUNCTION("""COMPUTED_VALUE"""),""":""")</f>
        <v>":"</v>
      </c>
      <c r="D250" s="24">
        <v>4.3475516150910444E18</v>
      </c>
      <c r="E250" s="9" t="str">
        <f>IFERROR(__xludf.DUMMYFUNCTION("""COMPUTED_VALUE"""),""",")</f>
        <v>",</v>
      </c>
    </row>
    <row r="251">
      <c r="A251" s="9" t="str">
        <f>IFERROR(__xludf.DUMMYFUNCTION("""COMPUTED_VALUE"""),"""")</f>
        <v>"</v>
      </c>
      <c r="B251" s="9" t="s">
        <v>260</v>
      </c>
      <c r="C251" s="9" t="str">
        <f>IFERROR(__xludf.DUMMYFUNCTION("""COMPUTED_VALUE"""),""":""")</f>
        <v>":"</v>
      </c>
      <c r="D251" s="24">
        <v>3.969243628099702E19</v>
      </c>
      <c r="E251" s="9" t="str">
        <f>IFERROR(__xludf.DUMMYFUNCTION("""COMPUTED_VALUE"""),""",")</f>
        <v>",</v>
      </c>
    </row>
    <row r="252">
      <c r="A252" s="9" t="str">
        <f>IFERROR(__xludf.DUMMYFUNCTION("""COMPUTED_VALUE"""),"""")</f>
        <v>"</v>
      </c>
      <c r="B252" s="9" t="s">
        <v>261</v>
      </c>
      <c r="C252" s="9" t="str">
        <f>IFERROR(__xludf.DUMMYFUNCTION("""COMPUTED_VALUE"""),""":""")</f>
        <v>":"</v>
      </c>
      <c r="D252" s="24">
        <v>2.7669181432973882E20</v>
      </c>
      <c r="E252" s="9" t="str">
        <f>IFERROR(__xludf.DUMMYFUNCTION("""COMPUTED_VALUE"""),""",")</f>
        <v>",</v>
      </c>
    </row>
    <row r="253">
      <c r="A253" s="9" t="str">
        <f>IFERROR(__xludf.DUMMYFUNCTION("""COMPUTED_VALUE"""),"""")</f>
        <v>"</v>
      </c>
      <c r="B253" s="9" t="s">
        <v>262</v>
      </c>
      <c r="C253" s="9" t="str">
        <f>IFERROR(__xludf.DUMMYFUNCTION("""COMPUTED_VALUE"""),""":""")</f>
        <v>":"</v>
      </c>
      <c r="D253" s="24">
        <v>1.61566449044681984E18</v>
      </c>
      <c r="E253" s="9" t="str">
        <f>IFERROR(__xludf.DUMMYFUNCTION("""COMPUTED_VALUE"""),""",")</f>
        <v>",</v>
      </c>
    </row>
    <row r="254">
      <c r="A254" s="9" t="str">
        <f>IFERROR(__xludf.DUMMYFUNCTION("""COMPUTED_VALUE"""),"""")</f>
        <v>"</v>
      </c>
      <c r="B254" s="9" t="s">
        <v>263</v>
      </c>
      <c r="C254" s="9" t="str">
        <f>IFERROR(__xludf.DUMMYFUNCTION("""COMPUTED_VALUE"""),""":""")</f>
        <v>":"</v>
      </c>
      <c r="D254" s="24">
        <v>1.3508366461850796E19</v>
      </c>
      <c r="E254" s="9" t="str">
        <f>IFERROR(__xludf.DUMMYFUNCTION("""COMPUTED_VALUE"""),""",")</f>
        <v>",</v>
      </c>
    </row>
    <row r="255">
      <c r="A255" s="9" t="str">
        <f>IFERROR(__xludf.DUMMYFUNCTION("""COMPUTED_VALUE"""),"""")</f>
        <v>"</v>
      </c>
      <c r="B255" s="9" t="s">
        <v>264</v>
      </c>
      <c r="C255" s="9" t="str">
        <f>IFERROR(__xludf.DUMMYFUNCTION("""COMPUTED_VALUE"""),""":""")</f>
        <v>":"</v>
      </c>
      <c r="D255" s="24">
        <v>6.1549564631936666E18</v>
      </c>
      <c r="E255" s="9" t="str">
        <f>IFERROR(__xludf.DUMMYFUNCTION("""COMPUTED_VALUE"""),""",")</f>
        <v>",</v>
      </c>
    </row>
    <row r="256">
      <c r="A256" s="9" t="str">
        <f>IFERROR(__xludf.DUMMYFUNCTION("""COMPUTED_VALUE"""),"""")</f>
        <v>"</v>
      </c>
      <c r="B256" s="9" t="s">
        <v>265</v>
      </c>
      <c r="C256" s="9" t="str">
        <f>IFERROR(__xludf.DUMMYFUNCTION("""COMPUTED_VALUE"""),""":""")</f>
        <v>":"</v>
      </c>
      <c r="D256" s="24">
        <v>6.2005979458241782E18</v>
      </c>
      <c r="E256" s="9" t="str">
        <f>IFERROR(__xludf.DUMMYFUNCTION("""COMPUTED_VALUE"""),""",")</f>
        <v>",</v>
      </c>
    </row>
    <row r="257">
      <c r="A257" s="9" t="str">
        <f>IFERROR(__xludf.DUMMYFUNCTION("""COMPUTED_VALUE"""),"""")</f>
        <v>"</v>
      </c>
      <c r="B257" s="9" t="s">
        <v>266</v>
      </c>
      <c r="C257" s="9" t="str">
        <f>IFERROR(__xludf.DUMMYFUNCTION("""COMPUTED_VALUE"""),""":""")</f>
        <v>":"</v>
      </c>
      <c r="D257" s="24">
        <v>1.64838843503122227E18</v>
      </c>
      <c r="E257" s="9" t="str">
        <f>IFERROR(__xludf.DUMMYFUNCTION("""COMPUTED_VALUE"""),""",")</f>
        <v>",</v>
      </c>
    </row>
    <row r="258">
      <c r="A258" s="9" t="str">
        <f>IFERROR(__xludf.DUMMYFUNCTION("""COMPUTED_VALUE"""),"""")</f>
        <v>"</v>
      </c>
      <c r="B258" s="9" t="s">
        <v>267</v>
      </c>
      <c r="C258" s="9" t="str">
        <f>IFERROR(__xludf.DUMMYFUNCTION("""COMPUTED_VALUE"""),""":""")</f>
        <v>":"</v>
      </c>
      <c r="D258" s="24">
        <v>6.2005979458241782E18</v>
      </c>
      <c r="E258" s="9" t="str">
        <f>IFERROR(__xludf.DUMMYFUNCTION("""COMPUTED_VALUE"""),""",")</f>
        <v>",</v>
      </c>
    </row>
    <row r="259">
      <c r="A259" s="9" t="str">
        <f>IFERROR(__xludf.DUMMYFUNCTION("""COMPUTED_VALUE"""),"""")</f>
        <v>"</v>
      </c>
      <c r="B259" s="9" t="s">
        <v>268</v>
      </c>
      <c r="C259" s="9" t="str">
        <f>IFERROR(__xludf.DUMMYFUNCTION("""COMPUTED_VALUE"""),""":""")</f>
        <v>":"</v>
      </c>
      <c r="D259" s="24">
        <v>6.2005979458241782E18</v>
      </c>
      <c r="E259" s="9" t="str">
        <f>IFERROR(__xludf.DUMMYFUNCTION("""COMPUTED_VALUE"""),""",")</f>
        <v>",</v>
      </c>
    </row>
    <row r="260">
      <c r="A260" s="9" t="str">
        <f>IFERROR(__xludf.DUMMYFUNCTION("""COMPUTED_VALUE"""),"""")</f>
        <v>"</v>
      </c>
      <c r="B260" s="9" t="s">
        <v>269</v>
      </c>
      <c r="C260" s="9" t="str">
        <f>IFERROR(__xludf.DUMMYFUNCTION("""COMPUTED_VALUE"""),""":""")</f>
        <v>":"</v>
      </c>
      <c r="D260" s="24">
        <v>6.2005979458241782E18</v>
      </c>
      <c r="E260" s="9" t="str">
        <f>IFERROR(__xludf.DUMMYFUNCTION("""COMPUTED_VALUE"""),""",")</f>
        <v>",</v>
      </c>
    </row>
    <row r="261">
      <c r="A261" s="9" t="str">
        <f>IFERROR(__xludf.DUMMYFUNCTION("""COMPUTED_VALUE"""),"""")</f>
        <v>"</v>
      </c>
      <c r="B261" s="9" t="s">
        <v>270</v>
      </c>
      <c r="C261" s="9" t="str">
        <f>IFERROR(__xludf.DUMMYFUNCTION("""COMPUTED_VALUE"""),""":""")</f>
        <v>":"</v>
      </c>
      <c r="D261" s="24">
        <v>6.5200459485231022E18</v>
      </c>
      <c r="E261" s="9" t="str">
        <f>IFERROR(__xludf.DUMMYFUNCTION("""COMPUTED_VALUE"""),""",")</f>
        <v>",</v>
      </c>
    </row>
    <row r="262">
      <c r="A262" s="9" t="str">
        <f>IFERROR(__xludf.DUMMYFUNCTION("""COMPUTED_VALUE"""),"""")</f>
        <v>"</v>
      </c>
      <c r="B262" s="9" t="s">
        <v>271</v>
      </c>
      <c r="C262" s="9" t="str">
        <f>IFERROR(__xludf.DUMMYFUNCTION("""COMPUTED_VALUE"""),""":""")</f>
        <v>":"</v>
      </c>
      <c r="D262" s="24">
        <v>2.0248888511809958E19</v>
      </c>
      <c r="E262" s="9" t="str">
        <f>IFERROR(__xludf.DUMMYFUNCTION("""COMPUTED_VALUE"""),""",")</f>
        <v>",</v>
      </c>
    </row>
    <row r="263">
      <c r="A263" s="9" t="str">
        <f>IFERROR(__xludf.DUMMYFUNCTION("""COMPUTED_VALUE"""),"""")</f>
        <v>"</v>
      </c>
      <c r="B263" s="9" t="s">
        <v>272</v>
      </c>
      <c r="C263" s="9" t="str">
        <f>IFERROR(__xludf.DUMMYFUNCTION("""COMPUTED_VALUE"""),""":""")</f>
        <v>":"</v>
      </c>
      <c r="D263" s="24">
        <v>2.0248888511809958E19</v>
      </c>
      <c r="E263" s="9" t="str">
        <f>IFERROR(__xludf.DUMMYFUNCTION("""COMPUTED_VALUE"""),""",")</f>
        <v>",</v>
      </c>
    </row>
    <row r="264">
      <c r="A264" s="9" t="str">
        <f>IFERROR(__xludf.DUMMYFUNCTION("""COMPUTED_VALUE"""),"""")</f>
        <v>"</v>
      </c>
      <c r="B264" s="9" t="s">
        <v>273</v>
      </c>
      <c r="C264" s="9" t="str">
        <f>IFERROR(__xludf.DUMMYFUNCTION("""COMPUTED_VALUE"""),""":""")</f>
        <v>":"</v>
      </c>
      <c r="D264" s="24">
        <v>3.5036895079015043E19</v>
      </c>
      <c r="E264" s="9" t="str">
        <f>IFERROR(__xludf.DUMMYFUNCTION("""COMPUTED_VALUE"""),""",")</f>
        <v>",</v>
      </c>
    </row>
    <row r="265">
      <c r="A265" s="9" t="str">
        <f>IFERROR(__xludf.DUMMYFUNCTION("""COMPUTED_VALUE"""),"""")</f>
        <v>"</v>
      </c>
      <c r="B265" s="9" t="s">
        <v>274</v>
      </c>
      <c r="C265" s="9" t="str">
        <f>IFERROR(__xludf.DUMMYFUNCTION("""COMPUTED_VALUE"""),""":""")</f>
        <v>":"</v>
      </c>
      <c r="D265" s="24">
        <v>5.9308626271391334E18</v>
      </c>
      <c r="E265" s="9" t="str">
        <f>IFERROR(__xludf.DUMMYFUNCTION("""COMPUTED_VALUE"""),""",")</f>
        <v>",</v>
      </c>
    </row>
    <row r="266">
      <c r="A266" s="9" t="str">
        <f>IFERROR(__xludf.DUMMYFUNCTION("""COMPUTED_VALUE"""),"""")</f>
        <v>"</v>
      </c>
      <c r="B266" s="9" t="s">
        <v>275</v>
      </c>
      <c r="C266" s="9" t="str">
        <f>IFERROR(__xludf.DUMMYFUNCTION("""COMPUTED_VALUE"""),""":""")</f>
        <v>":"</v>
      </c>
      <c r="D266" s="24">
        <v>9.515994519396823E18</v>
      </c>
      <c r="E266" s="9" t="str">
        <f>IFERROR(__xludf.DUMMYFUNCTION("""COMPUTED_VALUE"""),""",")</f>
        <v>",</v>
      </c>
    </row>
    <row r="267">
      <c r="A267" s="9" t="str">
        <f>IFERROR(__xludf.DUMMYFUNCTION("""COMPUTED_VALUE"""),"""")</f>
        <v>"</v>
      </c>
      <c r="B267" s="9" t="s">
        <v>276</v>
      </c>
      <c r="C267" s="9" t="str">
        <f>IFERROR(__xludf.DUMMYFUNCTION("""COMPUTED_VALUE"""),""":""")</f>
        <v>":"</v>
      </c>
      <c r="D267" s="24">
        <v>5.753510380137644E18</v>
      </c>
      <c r="E267" s="9" t="str">
        <f>IFERROR(__xludf.DUMMYFUNCTION("""COMPUTED_VALUE"""),""",")</f>
        <v>",</v>
      </c>
    </row>
    <row r="268">
      <c r="A268" s="9" t="str">
        <f>IFERROR(__xludf.DUMMYFUNCTION("""COMPUTED_VALUE"""),"""")</f>
        <v>"</v>
      </c>
      <c r="B268" s="9" t="s">
        <v>277</v>
      </c>
      <c r="C268" s="9" t="str">
        <f>IFERROR(__xludf.DUMMYFUNCTION("""COMPUTED_VALUE"""),""":""")</f>
        <v>":"</v>
      </c>
      <c r="D268" s="24">
        <v>5.8395880330285117E18</v>
      </c>
      <c r="E268" s="9" t="str">
        <f>IFERROR(__xludf.DUMMYFUNCTION("""COMPUTED_VALUE"""),""",")</f>
        <v>",</v>
      </c>
    </row>
    <row r="269">
      <c r="A269" s="9" t="str">
        <f>IFERROR(__xludf.DUMMYFUNCTION("""COMPUTED_VALUE"""),"""")</f>
        <v>"</v>
      </c>
      <c r="B269" s="9" t="s">
        <v>278</v>
      </c>
      <c r="C269" s="9" t="str">
        <f>IFERROR(__xludf.DUMMYFUNCTION("""COMPUTED_VALUE"""),""":""")</f>
        <v>":"</v>
      </c>
      <c r="D269" s="24">
        <v>4.1473054540850217E18</v>
      </c>
      <c r="E269" s="9" t="str">
        <f>IFERROR(__xludf.DUMMYFUNCTION("""COMPUTED_VALUE"""),""",")</f>
        <v>",</v>
      </c>
    </row>
    <row r="270">
      <c r="A270" s="9" t="str">
        <f>IFERROR(__xludf.DUMMYFUNCTION("""COMPUTED_VALUE"""),"""")</f>
        <v>"</v>
      </c>
      <c r="B270" s="9" t="s">
        <v>279</v>
      </c>
      <c r="C270" s="9" t="str">
        <f>IFERROR(__xludf.DUMMYFUNCTION("""COMPUTED_VALUE"""),""":""")</f>
        <v>":"</v>
      </c>
      <c r="D270" s="24">
        <v>2.0248888511809958E19</v>
      </c>
      <c r="E270" s="9" t="str">
        <f>IFERROR(__xludf.DUMMYFUNCTION("""COMPUTED_VALUE"""),""",")</f>
        <v>",</v>
      </c>
    </row>
    <row r="271">
      <c r="A271" s="9" t="str">
        <f>IFERROR(__xludf.DUMMYFUNCTION("""COMPUTED_VALUE"""),"""")</f>
        <v>"</v>
      </c>
      <c r="B271" s="9" t="s">
        <v>280</v>
      </c>
      <c r="C271" s="9" t="str">
        <f>IFERROR(__xludf.DUMMYFUNCTION("""COMPUTED_VALUE"""),""":""")</f>
        <v>":"</v>
      </c>
      <c r="D271" s="24">
        <v>3.455752700057758E19</v>
      </c>
      <c r="E271" s="9" t="str">
        <f>IFERROR(__xludf.DUMMYFUNCTION("""COMPUTED_VALUE"""),""",")</f>
        <v>",</v>
      </c>
    </row>
    <row r="272">
      <c r="A272" s="9" t="str">
        <f>IFERROR(__xludf.DUMMYFUNCTION("""COMPUTED_VALUE"""),"""")</f>
        <v>"</v>
      </c>
      <c r="B272" s="9" t="s">
        <v>281</v>
      </c>
      <c r="C272" s="9" t="str">
        <f>IFERROR(__xludf.DUMMYFUNCTION("""COMPUTED_VALUE"""),""":""")</f>
        <v>":"</v>
      </c>
      <c r="D272" s="24">
        <v>6.2005979458241782E18</v>
      </c>
      <c r="E272" s="9" t="str">
        <f>IFERROR(__xludf.DUMMYFUNCTION("""COMPUTED_VALUE"""),""",")</f>
        <v>",</v>
      </c>
    </row>
    <row r="273">
      <c r="A273" s="9" t="str">
        <f>IFERROR(__xludf.DUMMYFUNCTION("""COMPUTED_VALUE"""),"""")</f>
        <v>"</v>
      </c>
      <c r="B273" s="9" t="s">
        <v>282</v>
      </c>
      <c r="C273" s="9" t="str">
        <f>IFERROR(__xludf.DUMMYFUNCTION("""COMPUTED_VALUE"""),""":""")</f>
        <v>":"</v>
      </c>
      <c r="D273" s="24">
        <v>1.75681894036122E19</v>
      </c>
      <c r="E273" s="9" t="str">
        <f>IFERROR(__xludf.DUMMYFUNCTION("""COMPUTED_VALUE"""),""",")</f>
        <v>",</v>
      </c>
    </row>
    <row r="274">
      <c r="A274" s="9" t="str">
        <f>IFERROR(__xludf.DUMMYFUNCTION("""COMPUTED_VALUE"""),"""")</f>
        <v>"</v>
      </c>
      <c r="B274" s="9" t="s">
        <v>283</v>
      </c>
      <c r="C274" s="9" t="str">
        <f>IFERROR(__xludf.DUMMYFUNCTION("""COMPUTED_VALUE"""),""":""")</f>
        <v>":"</v>
      </c>
      <c r="D274" s="24">
        <v>6.2005979458241782E18</v>
      </c>
      <c r="E274" s="9" t="str">
        <f>IFERROR(__xludf.DUMMYFUNCTION("""COMPUTED_VALUE"""),""",")</f>
        <v>",</v>
      </c>
    </row>
    <row r="275">
      <c r="A275" s="9" t="str">
        <f>IFERROR(__xludf.DUMMYFUNCTION("""COMPUTED_VALUE"""),"""")</f>
        <v>"</v>
      </c>
      <c r="B275" s="9" t="s">
        <v>284</v>
      </c>
      <c r="C275" s="9" t="str">
        <f>IFERROR(__xludf.DUMMYFUNCTION("""COMPUTED_VALUE"""),""":""")</f>
        <v>":"</v>
      </c>
      <c r="D275" s="24">
        <v>6.2005979458241782E18</v>
      </c>
      <c r="E275" s="9" t="str">
        <f>IFERROR(__xludf.DUMMYFUNCTION("""COMPUTED_VALUE"""),""",")</f>
        <v>",</v>
      </c>
    </row>
    <row r="276">
      <c r="A276" s="9" t="str">
        <f>IFERROR(__xludf.DUMMYFUNCTION("""COMPUTED_VALUE"""),"""")</f>
        <v>"</v>
      </c>
      <c r="B276" s="9" t="s">
        <v>285</v>
      </c>
      <c r="C276" s="9" t="str">
        <f>IFERROR(__xludf.DUMMYFUNCTION("""COMPUTED_VALUE"""),""":""")</f>
        <v>":"</v>
      </c>
      <c r="D276" s="24">
        <v>6.2005979458241782E18</v>
      </c>
      <c r="E276" s="9" t="str">
        <f>IFERROR(__xludf.DUMMYFUNCTION("""COMPUTED_VALUE"""),""",")</f>
        <v>",</v>
      </c>
    </row>
    <row r="277">
      <c r="A277" s="9" t="str">
        <f>IFERROR(__xludf.DUMMYFUNCTION("""COMPUTED_VALUE"""),"""")</f>
        <v>"</v>
      </c>
      <c r="B277" s="9" t="s">
        <v>286</v>
      </c>
      <c r="C277" s="9" t="str">
        <f>IFERROR(__xludf.DUMMYFUNCTION("""COMPUTED_VALUE"""),""":""")</f>
        <v>":"</v>
      </c>
      <c r="D277" s="24">
        <v>6.2005979458241782E18</v>
      </c>
      <c r="E277" s="9" t="str">
        <f>IFERROR(__xludf.DUMMYFUNCTION("""COMPUTED_VALUE"""),""",")</f>
        <v>",</v>
      </c>
    </row>
    <row r="278">
      <c r="A278" s="9" t="str">
        <f>IFERROR(__xludf.DUMMYFUNCTION("""COMPUTED_VALUE"""),"""")</f>
        <v>"</v>
      </c>
      <c r="B278" s="9" t="s">
        <v>287</v>
      </c>
      <c r="C278" s="9" t="str">
        <f>IFERROR(__xludf.DUMMYFUNCTION("""COMPUTED_VALUE"""),""":""")</f>
        <v>":"</v>
      </c>
      <c r="D278" s="24">
        <v>2.0751077961281245E19</v>
      </c>
      <c r="E278" s="9" t="str">
        <f>IFERROR(__xludf.DUMMYFUNCTION("""COMPUTED_VALUE"""),""",")</f>
        <v>",</v>
      </c>
    </row>
    <row r="279">
      <c r="A279" s="9" t="str">
        <f>IFERROR(__xludf.DUMMYFUNCTION("""COMPUTED_VALUE"""),"""")</f>
        <v>"</v>
      </c>
      <c r="B279" s="9" t="s">
        <v>288</v>
      </c>
      <c r="C279" s="9" t="str">
        <f>IFERROR(__xludf.DUMMYFUNCTION("""COMPUTED_VALUE"""),""":""")</f>
        <v>":"</v>
      </c>
      <c r="D279" s="24">
        <v>6.2005979458241782E18</v>
      </c>
      <c r="E279" s="9" t="str">
        <f>IFERROR(__xludf.DUMMYFUNCTION("""COMPUTED_VALUE"""),""",")</f>
        <v>",</v>
      </c>
    </row>
    <row r="280">
      <c r="A280" s="9" t="str">
        <f>IFERROR(__xludf.DUMMYFUNCTION("""COMPUTED_VALUE"""),"""")</f>
        <v>"</v>
      </c>
      <c r="B280" s="9" t="s">
        <v>289</v>
      </c>
      <c r="C280" s="9" t="str">
        <f>IFERROR(__xludf.DUMMYFUNCTION("""COMPUTED_VALUE"""),""":""")</f>
        <v>":"</v>
      </c>
      <c r="D280" s="24">
        <v>2.0248888511809958E19</v>
      </c>
      <c r="E280" s="9" t="str">
        <f>IFERROR(__xludf.DUMMYFUNCTION("""COMPUTED_VALUE"""),""",")</f>
        <v>",</v>
      </c>
    </row>
    <row r="281">
      <c r="A281" s="9" t="str">
        <f>IFERROR(__xludf.DUMMYFUNCTION("""COMPUTED_VALUE"""),"""")</f>
        <v>"</v>
      </c>
      <c r="B281" s="9" t="s">
        <v>290</v>
      </c>
      <c r="C281" s="9" t="str">
        <f>IFERROR(__xludf.DUMMYFUNCTION("""COMPUTED_VALUE"""),""":""")</f>
        <v>":"</v>
      </c>
      <c r="D281" s="24">
        <v>2.0248888511809958E19</v>
      </c>
      <c r="E281" s="9" t="str">
        <f>IFERROR(__xludf.DUMMYFUNCTION("""COMPUTED_VALUE"""),""",")</f>
        <v>",</v>
      </c>
    </row>
    <row r="282">
      <c r="A282" s="9" t="str">
        <f>IFERROR(__xludf.DUMMYFUNCTION("""COMPUTED_VALUE"""),"""")</f>
        <v>"</v>
      </c>
      <c r="B282" s="9" t="s">
        <v>291</v>
      </c>
      <c r="C282" s="9" t="str">
        <f>IFERROR(__xludf.DUMMYFUNCTION("""COMPUTED_VALUE"""),""":""")</f>
        <v>":"</v>
      </c>
      <c r="D282" s="24">
        <v>6.2005979458241782E18</v>
      </c>
      <c r="E282" s="9" t="str">
        <f>IFERROR(__xludf.DUMMYFUNCTION("""COMPUTED_VALUE"""),""",")</f>
        <v>",</v>
      </c>
    </row>
    <row r="283">
      <c r="A283" s="9" t="str">
        <f>IFERROR(__xludf.DUMMYFUNCTION("""COMPUTED_VALUE"""),"""")</f>
        <v>"</v>
      </c>
      <c r="B283" s="9" t="s">
        <v>292</v>
      </c>
      <c r="C283" s="9" t="str">
        <f>IFERROR(__xludf.DUMMYFUNCTION("""COMPUTED_VALUE"""),""":""")</f>
        <v>":"</v>
      </c>
      <c r="D283" s="24">
        <v>5.0322906291414886E18</v>
      </c>
      <c r="E283" s="9" t="str">
        <f>IFERROR(__xludf.DUMMYFUNCTION("""COMPUTED_VALUE"""),""",")</f>
        <v>",</v>
      </c>
    </row>
    <row r="284">
      <c r="A284" s="9" t="str">
        <f>IFERROR(__xludf.DUMMYFUNCTION("""COMPUTED_VALUE"""),"""")</f>
        <v>"</v>
      </c>
      <c r="B284" s="9" t="s">
        <v>293</v>
      </c>
      <c r="C284" s="9" t="str">
        <f>IFERROR(__xludf.DUMMYFUNCTION("""COMPUTED_VALUE"""),""":""")</f>
        <v>":"</v>
      </c>
      <c r="D284" s="24">
        <v>3.962054161665429E19</v>
      </c>
      <c r="E284" s="9" t="str">
        <f>IFERROR(__xludf.DUMMYFUNCTION("""COMPUTED_VALUE"""),""",")</f>
        <v>",</v>
      </c>
    </row>
    <row r="285">
      <c r="A285" s="9" t="str">
        <f>IFERROR(__xludf.DUMMYFUNCTION("""COMPUTED_VALUE"""),"""")</f>
        <v>"</v>
      </c>
      <c r="B285" s="9" t="s">
        <v>294</v>
      </c>
      <c r="C285" s="9" t="str">
        <f>IFERROR(__xludf.DUMMYFUNCTION("""COMPUTED_VALUE"""),""":""")</f>
        <v>":"</v>
      </c>
      <c r="D285" s="24">
        <v>6.3597003363335311E18</v>
      </c>
      <c r="E285" s="9" t="str">
        <f>IFERROR(__xludf.DUMMYFUNCTION("""COMPUTED_VALUE"""),""",")</f>
        <v>",</v>
      </c>
    </row>
    <row r="286">
      <c r="A286" s="9" t="str">
        <f>IFERROR(__xludf.DUMMYFUNCTION("""COMPUTED_VALUE"""),"""")</f>
        <v>"</v>
      </c>
      <c r="B286" s="9" t="s">
        <v>295</v>
      </c>
      <c r="C286" s="9" t="str">
        <f>IFERROR(__xludf.DUMMYFUNCTION("""COMPUTED_VALUE"""),""":""")</f>
        <v>":"</v>
      </c>
      <c r="D286" s="24">
        <v>6.2005979458241782E18</v>
      </c>
      <c r="E286" s="9" t="str">
        <f>IFERROR(__xludf.DUMMYFUNCTION("""COMPUTED_VALUE"""),""",")</f>
        <v>",</v>
      </c>
    </row>
    <row r="287">
      <c r="A287" s="9" t="str">
        <f>IFERROR(__xludf.DUMMYFUNCTION("""COMPUTED_VALUE"""),"""")</f>
        <v>"</v>
      </c>
      <c r="B287" s="9" t="s">
        <v>296</v>
      </c>
      <c r="C287" s="9" t="str">
        <f>IFERROR(__xludf.DUMMYFUNCTION("""COMPUTED_VALUE"""),""":""")</f>
        <v>":"</v>
      </c>
      <c r="D287" s="24">
        <v>6.2005979458241782E18</v>
      </c>
      <c r="E287" s="9" t="str">
        <f>IFERROR(__xludf.DUMMYFUNCTION("""COMPUTED_VALUE"""),""",")</f>
        <v>",</v>
      </c>
    </row>
    <row r="288">
      <c r="A288" s="9" t="str">
        <f>IFERROR(__xludf.DUMMYFUNCTION("""COMPUTED_VALUE"""),"""")</f>
        <v>"</v>
      </c>
      <c r="B288" s="9" t="s">
        <v>297</v>
      </c>
      <c r="C288" s="9" t="str">
        <f>IFERROR(__xludf.DUMMYFUNCTION("""COMPUTED_VALUE"""),""":""")</f>
        <v>":"</v>
      </c>
      <c r="D288" s="24">
        <v>6.2005979458241782E18</v>
      </c>
      <c r="E288" s="9" t="str">
        <f>IFERROR(__xludf.DUMMYFUNCTION("""COMPUTED_VALUE"""),""",")</f>
        <v>",</v>
      </c>
    </row>
    <row r="289">
      <c r="A289" s="9" t="str">
        <f>IFERROR(__xludf.DUMMYFUNCTION("""COMPUTED_VALUE"""),"""")</f>
        <v>"</v>
      </c>
      <c r="B289" s="9" t="s">
        <v>298</v>
      </c>
      <c r="C289" s="9" t="str">
        <f>IFERROR(__xludf.DUMMYFUNCTION("""COMPUTED_VALUE"""),""":""")</f>
        <v>":"</v>
      </c>
      <c r="D289" s="24">
        <v>6.2005979458241782E18</v>
      </c>
      <c r="E289" s="9" t="str">
        <f>IFERROR(__xludf.DUMMYFUNCTION("""COMPUTED_VALUE"""),""",")</f>
        <v>",</v>
      </c>
    </row>
    <row r="290">
      <c r="A290" s="9" t="str">
        <f>IFERROR(__xludf.DUMMYFUNCTION("""COMPUTED_VALUE"""),"""")</f>
        <v>"</v>
      </c>
      <c r="B290" s="9" t="s">
        <v>299</v>
      </c>
      <c r="C290" s="9" t="str">
        <f>IFERROR(__xludf.DUMMYFUNCTION("""COMPUTED_VALUE"""),""":""")</f>
        <v>":"</v>
      </c>
      <c r="D290" s="24">
        <v>5.5658299507363338E18</v>
      </c>
      <c r="E290" s="9" t="str">
        <f>IFERROR(__xludf.DUMMYFUNCTION("""COMPUTED_VALUE"""),""",")</f>
        <v>",</v>
      </c>
    </row>
    <row r="291">
      <c r="A291" s="9" t="str">
        <f>IFERROR(__xludf.DUMMYFUNCTION("""COMPUTED_VALUE"""),"""")</f>
        <v>"</v>
      </c>
      <c r="B291" s="9" t="s">
        <v>300</v>
      </c>
      <c r="C291" s="9" t="str">
        <f>IFERROR(__xludf.DUMMYFUNCTION("""COMPUTED_VALUE"""),""":""")</f>
        <v>":"</v>
      </c>
      <c r="D291" s="24">
        <v>2.0248888511809958E19</v>
      </c>
      <c r="E291" s="9" t="str">
        <f>IFERROR(__xludf.DUMMYFUNCTION("""COMPUTED_VALUE"""),""",")</f>
        <v>",</v>
      </c>
    </row>
    <row r="292">
      <c r="A292" s="9" t="str">
        <f>IFERROR(__xludf.DUMMYFUNCTION("""COMPUTED_VALUE"""),"""")</f>
        <v>"</v>
      </c>
      <c r="B292" s="9" t="s">
        <v>301</v>
      </c>
      <c r="C292" s="9" t="str">
        <f>IFERROR(__xludf.DUMMYFUNCTION("""COMPUTED_VALUE"""),""":""")</f>
        <v>":"</v>
      </c>
      <c r="D292" s="24">
        <v>1.999570757941782E19</v>
      </c>
      <c r="E292" s="9" t="str">
        <f>IFERROR(__xludf.DUMMYFUNCTION("""COMPUTED_VALUE"""),""",")</f>
        <v>",</v>
      </c>
    </row>
    <row r="293">
      <c r="A293" s="9" t="str">
        <f>IFERROR(__xludf.DUMMYFUNCTION("""COMPUTED_VALUE"""),"""")</f>
        <v>"</v>
      </c>
      <c r="B293" s="9" t="s">
        <v>302</v>
      </c>
      <c r="C293" s="9" t="str">
        <f>IFERROR(__xludf.DUMMYFUNCTION("""COMPUTED_VALUE"""),""":""")</f>
        <v>":"</v>
      </c>
      <c r="D293" s="24">
        <v>2.285192358592031E19</v>
      </c>
      <c r="E293" s="9" t="str">
        <f>IFERROR(__xludf.DUMMYFUNCTION("""COMPUTED_VALUE"""),""",")</f>
        <v>",</v>
      </c>
    </row>
    <row r="294">
      <c r="A294" s="9" t="str">
        <f>IFERROR(__xludf.DUMMYFUNCTION("""COMPUTED_VALUE"""),"""")</f>
        <v>"</v>
      </c>
      <c r="B294" s="9" t="s">
        <v>303</v>
      </c>
      <c r="C294" s="9" t="str">
        <f>IFERROR(__xludf.DUMMYFUNCTION("""COMPUTED_VALUE"""),""":""")</f>
        <v>":"</v>
      </c>
      <c r="D294" s="24">
        <v>6.2005979458241782E18</v>
      </c>
      <c r="E294" s="9" t="str">
        <f>IFERROR(__xludf.DUMMYFUNCTION("""COMPUTED_VALUE"""),""",")</f>
        <v>",</v>
      </c>
    </row>
    <row r="295">
      <c r="A295" s="9" t="str">
        <f>IFERROR(__xludf.DUMMYFUNCTION("""COMPUTED_VALUE"""),"""")</f>
        <v>"</v>
      </c>
      <c r="B295" s="9" t="s">
        <v>304</v>
      </c>
      <c r="C295" s="9" t="str">
        <f>IFERROR(__xludf.DUMMYFUNCTION("""COMPUTED_VALUE"""),""":""")</f>
        <v>":"</v>
      </c>
      <c r="D295" s="24">
        <v>5.7911497707043113E18</v>
      </c>
      <c r="E295" s="9" t="str">
        <f>IFERROR(__xludf.DUMMYFUNCTION("""COMPUTED_VALUE"""),""",")</f>
        <v>",</v>
      </c>
    </row>
    <row r="296">
      <c r="A296" s="9" t="str">
        <f>IFERROR(__xludf.DUMMYFUNCTION("""COMPUTED_VALUE"""),"""")</f>
        <v>"</v>
      </c>
      <c r="B296" s="9" t="s">
        <v>305</v>
      </c>
      <c r="C296" s="9" t="str">
        <f>IFERROR(__xludf.DUMMYFUNCTION("""COMPUTED_VALUE"""),""":""")</f>
        <v>":"</v>
      </c>
      <c r="D296" s="24">
        <v>2.027163908411402E19</v>
      </c>
      <c r="E296" s="9" t="str">
        <f>IFERROR(__xludf.DUMMYFUNCTION("""COMPUTED_VALUE"""),""",")</f>
        <v>",</v>
      </c>
    </row>
    <row r="297">
      <c r="A297" s="9" t="str">
        <f>IFERROR(__xludf.DUMMYFUNCTION("""COMPUTED_VALUE"""),"""")</f>
        <v>"</v>
      </c>
      <c r="B297" s="9" t="s">
        <v>306</v>
      </c>
      <c r="C297" s="9" t="str">
        <f>IFERROR(__xludf.DUMMYFUNCTION("""COMPUTED_VALUE"""),""":""")</f>
        <v>":"</v>
      </c>
      <c r="D297" s="24">
        <v>6.0255450465645332E18</v>
      </c>
      <c r="E297" s="9" t="str">
        <f>IFERROR(__xludf.DUMMYFUNCTION("""COMPUTED_VALUE"""),""",")</f>
        <v>",</v>
      </c>
    </row>
    <row r="298">
      <c r="A298" s="9" t="str">
        <f>IFERROR(__xludf.DUMMYFUNCTION("""COMPUTED_VALUE"""),"""")</f>
        <v>"</v>
      </c>
      <c r="B298" s="9" t="s">
        <v>307</v>
      </c>
      <c r="C298" s="9" t="str">
        <f>IFERROR(__xludf.DUMMYFUNCTION("""COMPUTED_VALUE"""),""":""")</f>
        <v>":"</v>
      </c>
      <c r="D298" s="24">
        <v>6.2562204847550689E18</v>
      </c>
      <c r="E298" s="9" t="str">
        <f>IFERROR(__xludf.DUMMYFUNCTION("""COMPUTED_VALUE"""),""",")</f>
        <v>",</v>
      </c>
    </row>
    <row r="299">
      <c r="A299" s="9" t="str">
        <f>IFERROR(__xludf.DUMMYFUNCTION("""COMPUTED_VALUE"""),"""")</f>
        <v>"</v>
      </c>
      <c r="B299" s="9" t="s">
        <v>308</v>
      </c>
      <c r="C299" s="9" t="str">
        <f>IFERROR(__xludf.DUMMYFUNCTION("""COMPUTED_VALUE"""),""":""")</f>
        <v>":"</v>
      </c>
      <c r="D299" s="24">
        <v>6.2005979458241782E18</v>
      </c>
      <c r="E299" s="9" t="str">
        <f>IFERROR(__xludf.DUMMYFUNCTION("""COMPUTED_VALUE"""),""",")</f>
        <v>",</v>
      </c>
    </row>
    <row r="300">
      <c r="A300" s="9" t="str">
        <f>IFERROR(__xludf.DUMMYFUNCTION("""COMPUTED_VALUE"""),"""")</f>
        <v>"</v>
      </c>
      <c r="B300" s="9" t="s">
        <v>309</v>
      </c>
      <c r="C300" s="9" t="str">
        <f>IFERROR(__xludf.DUMMYFUNCTION("""COMPUTED_VALUE"""),""":""")</f>
        <v>":"</v>
      </c>
      <c r="D300" s="24">
        <v>6.2005979458241782E18</v>
      </c>
      <c r="E300" s="9" t="str">
        <f>IFERROR(__xludf.DUMMYFUNCTION("""COMPUTED_VALUE"""),""",")</f>
        <v>",</v>
      </c>
    </row>
    <row r="301">
      <c r="A301" s="9" t="str">
        <f>IFERROR(__xludf.DUMMYFUNCTION("""COMPUTED_VALUE"""),"""")</f>
        <v>"</v>
      </c>
      <c r="B301" s="9" t="s">
        <v>310</v>
      </c>
      <c r="C301" s="9" t="str">
        <f>IFERROR(__xludf.DUMMYFUNCTION("""COMPUTED_VALUE"""),""":""")</f>
        <v>":"</v>
      </c>
      <c r="D301" s="24">
        <v>1.229125580803529E19</v>
      </c>
      <c r="E301" s="9" t="str">
        <f>IFERROR(__xludf.DUMMYFUNCTION("""COMPUTED_VALUE"""),""",")</f>
        <v>",</v>
      </c>
    </row>
    <row r="302">
      <c r="A302" s="9" t="str">
        <f>IFERROR(__xludf.DUMMYFUNCTION("""COMPUTED_VALUE"""),"""")</f>
        <v>"</v>
      </c>
      <c r="B302" s="9" t="s">
        <v>311</v>
      </c>
      <c r="C302" s="9" t="str">
        <f>IFERROR(__xludf.DUMMYFUNCTION("""COMPUTED_VALUE"""),""":""")</f>
        <v>":"</v>
      </c>
      <c r="D302" s="24">
        <v>6.2005979458241782E18</v>
      </c>
      <c r="E302" s="9" t="str">
        <f>IFERROR(__xludf.DUMMYFUNCTION("""COMPUTED_VALUE"""),""",")</f>
        <v>",</v>
      </c>
    </row>
    <row r="303">
      <c r="A303" s="9" t="str">
        <f>IFERROR(__xludf.DUMMYFUNCTION("""COMPUTED_VALUE"""),"""")</f>
        <v>"</v>
      </c>
      <c r="B303" s="9" t="s">
        <v>312</v>
      </c>
      <c r="C303" s="9" t="str">
        <f>IFERROR(__xludf.DUMMYFUNCTION("""COMPUTED_VALUE"""),""":""")</f>
        <v>":"</v>
      </c>
      <c r="D303" s="24">
        <v>5.9912205391420006E18</v>
      </c>
      <c r="E303" s="9" t="str">
        <f>IFERROR(__xludf.DUMMYFUNCTION("""COMPUTED_VALUE"""),""",")</f>
        <v>",</v>
      </c>
    </row>
    <row r="304">
      <c r="A304" s="9" t="str">
        <f>IFERROR(__xludf.DUMMYFUNCTION("""COMPUTED_VALUE"""),"""")</f>
        <v>"</v>
      </c>
      <c r="B304" s="9" t="s">
        <v>313</v>
      </c>
      <c r="C304" s="9" t="str">
        <f>IFERROR(__xludf.DUMMYFUNCTION("""COMPUTED_VALUE"""),""":""")</f>
        <v>":"</v>
      </c>
      <c r="D304" s="24">
        <v>5.8915141915073782E18</v>
      </c>
      <c r="E304" s="9" t="str">
        <f>IFERROR(__xludf.DUMMYFUNCTION("""COMPUTED_VALUE"""),""",")</f>
        <v>",</v>
      </c>
    </row>
    <row r="305">
      <c r="A305" s="9" t="str">
        <f>IFERROR(__xludf.DUMMYFUNCTION("""COMPUTED_VALUE"""),"""")</f>
        <v>"</v>
      </c>
      <c r="B305" s="9" t="s">
        <v>314</v>
      </c>
      <c r="C305" s="9" t="str">
        <f>IFERROR(__xludf.DUMMYFUNCTION("""COMPUTED_VALUE"""),""":""")</f>
        <v>":"</v>
      </c>
      <c r="D305" s="24">
        <v>6.2005979458241782E18</v>
      </c>
      <c r="E305" s="9" t="str">
        <f>IFERROR(__xludf.DUMMYFUNCTION("""COMPUTED_VALUE"""),""",")</f>
        <v>",</v>
      </c>
    </row>
    <row r="306">
      <c r="A306" s="9" t="str">
        <f>IFERROR(__xludf.DUMMYFUNCTION("""COMPUTED_VALUE"""),"""")</f>
        <v>"</v>
      </c>
      <c r="B306" s="9" t="s">
        <v>315</v>
      </c>
      <c r="C306" s="9" t="str">
        <f>IFERROR(__xludf.DUMMYFUNCTION("""COMPUTED_VALUE"""),""":""")</f>
        <v>":"</v>
      </c>
      <c r="D306" s="24">
        <v>5.8444036624770007E18</v>
      </c>
      <c r="E306" s="9" t="str">
        <f>IFERROR(__xludf.DUMMYFUNCTION("""COMPUTED_VALUE"""),""",")</f>
        <v>",</v>
      </c>
    </row>
    <row r="307">
      <c r="A307" s="9" t="str">
        <f>IFERROR(__xludf.DUMMYFUNCTION("""COMPUTED_VALUE"""),"""")</f>
        <v>"</v>
      </c>
      <c r="B307" s="9" t="s">
        <v>316</v>
      </c>
      <c r="C307" s="9" t="str">
        <f>IFERROR(__xludf.DUMMYFUNCTION("""COMPUTED_VALUE"""),""":""")</f>
        <v>":"</v>
      </c>
      <c r="D307" s="24">
        <v>5.0140976348048906E18</v>
      </c>
      <c r="E307" s="9" t="str">
        <f>IFERROR(__xludf.DUMMYFUNCTION("""COMPUTED_VALUE"""),""",")</f>
        <v>",</v>
      </c>
    </row>
    <row r="308">
      <c r="A308" s="9" t="str">
        <f>IFERROR(__xludf.DUMMYFUNCTION("""COMPUTED_VALUE"""),"""")</f>
        <v>"</v>
      </c>
      <c r="B308" s="9" t="s">
        <v>317</v>
      </c>
      <c r="C308" s="9" t="str">
        <f>IFERROR(__xludf.DUMMYFUNCTION("""COMPUTED_VALUE"""),""":""")</f>
        <v>":"</v>
      </c>
      <c r="D308" s="24">
        <v>6.2005979458241782E18</v>
      </c>
      <c r="E308" s="9" t="str">
        <f>IFERROR(__xludf.DUMMYFUNCTION("""COMPUTED_VALUE"""),""",")</f>
        <v>",</v>
      </c>
    </row>
    <row r="309">
      <c r="A309" s="9" t="str">
        <f>IFERROR(__xludf.DUMMYFUNCTION("""COMPUTED_VALUE"""),"""")</f>
        <v>"</v>
      </c>
      <c r="B309" s="9" t="s">
        <v>318</v>
      </c>
      <c r="C309" s="9" t="str">
        <f>IFERROR(__xludf.DUMMYFUNCTION("""COMPUTED_VALUE"""),""":""")</f>
        <v>":"</v>
      </c>
      <c r="D309" s="24">
        <v>6.2005979458241782E18</v>
      </c>
      <c r="E309" s="9" t="str">
        <f>IFERROR(__xludf.DUMMYFUNCTION("""COMPUTED_VALUE"""),""",")</f>
        <v>",</v>
      </c>
    </row>
    <row r="310">
      <c r="A310" s="9" t="str">
        <f>IFERROR(__xludf.DUMMYFUNCTION("""COMPUTED_VALUE"""),"""")</f>
        <v>"</v>
      </c>
      <c r="B310" s="9" t="s">
        <v>319</v>
      </c>
      <c r="C310" s="9" t="str">
        <f>IFERROR(__xludf.DUMMYFUNCTION("""COMPUTED_VALUE"""),""":""")</f>
        <v>":"</v>
      </c>
      <c r="D310" s="24">
        <v>2.4395482429587358E19</v>
      </c>
      <c r="E310" s="9" t="str">
        <f>IFERROR(__xludf.DUMMYFUNCTION("""COMPUTED_VALUE"""),""",")</f>
        <v>",</v>
      </c>
    </row>
    <row r="311">
      <c r="A311" s="9" t="str">
        <f>IFERROR(__xludf.DUMMYFUNCTION("""COMPUTED_VALUE"""),"""")</f>
        <v>"</v>
      </c>
      <c r="B311" s="9" t="s">
        <v>320</v>
      </c>
      <c r="C311" s="9" t="str">
        <f>IFERROR(__xludf.DUMMYFUNCTION("""COMPUTED_VALUE"""),""":""")</f>
        <v>":"</v>
      </c>
      <c r="D311" s="24">
        <v>2.0248888511809958E19</v>
      </c>
      <c r="E311" s="9" t="str">
        <f>IFERROR(__xludf.DUMMYFUNCTION("""COMPUTED_VALUE"""),""",")</f>
        <v>",</v>
      </c>
    </row>
    <row r="312">
      <c r="A312" s="9" t="str">
        <f>IFERROR(__xludf.DUMMYFUNCTION("""COMPUTED_VALUE"""),"""")</f>
        <v>"</v>
      </c>
      <c r="B312" s="9" t="s">
        <v>321</v>
      </c>
      <c r="C312" s="9" t="str">
        <f>IFERROR(__xludf.DUMMYFUNCTION("""COMPUTED_VALUE"""),""":""")</f>
        <v>":"</v>
      </c>
      <c r="D312" s="24">
        <v>2.0248888511809958E19</v>
      </c>
      <c r="E312" s="9" t="str">
        <f>IFERROR(__xludf.DUMMYFUNCTION("""COMPUTED_VALUE"""),""",")</f>
        <v>",</v>
      </c>
    </row>
    <row r="313">
      <c r="A313" s="9" t="str">
        <f>IFERROR(__xludf.DUMMYFUNCTION("""COMPUTED_VALUE"""),"""")</f>
        <v>"</v>
      </c>
      <c r="B313" s="9" t="s">
        <v>322</v>
      </c>
      <c r="C313" s="9" t="str">
        <f>IFERROR(__xludf.DUMMYFUNCTION("""COMPUTED_VALUE"""),""":""")</f>
        <v>":"</v>
      </c>
      <c r="D313" s="24">
        <v>2.197847992317897E19</v>
      </c>
      <c r="E313" s="9" t="str">
        <f>IFERROR(__xludf.DUMMYFUNCTION("""COMPUTED_VALUE"""),""",")</f>
        <v>",</v>
      </c>
    </row>
    <row r="314">
      <c r="A314" s="9" t="str">
        <f>IFERROR(__xludf.DUMMYFUNCTION("""COMPUTED_VALUE"""),"""")</f>
        <v>"</v>
      </c>
      <c r="B314" s="9" t="s">
        <v>323</v>
      </c>
      <c r="C314" s="9" t="str">
        <f>IFERROR(__xludf.DUMMYFUNCTION("""COMPUTED_VALUE"""),""":""")</f>
        <v>":"</v>
      </c>
      <c r="D314" s="24">
        <v>5.5168783605921106E18</v>
      </c>
      <c r="E314" s="9" t="str">
        <f>IFERROR(__xludf.DUMMYFUNCTION("""COMPUTED_VALUE"""),""",")</f>
        <v>",</v>
      </c>
    </row>
    <row r="315">
      <c r="A315" s="9" t="str">
        <f>IFERROR(__xludf.DUMMYFUNCTION("""COMPUTED_VALUE"""),"""")</f>
        <v>"</v>
      </c>
      <c r="B315" s="9" t="s">
        <v>324</v>
      </c>
      <c r="C315" s="9" t="str">
        <f>IFERROR(__xludf.DUMMYFUNCTION("""COMPUTED_VALUE"""),""":""")</f>
        <v>":"</v>
      </c>
      <c r="D315" s="24">
        <v>6.2005979458241782E18</v>
      </c>
      <c r="E315" s="9" t="str">
        <f>IFERROR(__xludf.DUMMYFUNCTION("""COMPUTED_VALUE"""),""",")</f>
        <v>",</v>
      </c>
    </row>
    <row r="316">
      <c r="A316" s="9" t="str">
        <f>IFERROR(__xludf.DUMMYFUNCTION("""COMPUTED_VALUE"""),"""")</f>
        <v>"</v>
      </c>
      <c r="B316" s="9" t="s">
        <v>325</v>
      </c>
      <c r="C316" s="9" t="str">
        <f>IFERROR(__xludf.DUMMYFUNCTION("""COMPUTED_VALUE"""),""":""")</f>
        <v>":"</v>
      </c>
      <c r="D316" s="24">
        <v>6.2005979458241782E18</v>
      </c>
      <c r="E316" s="9" t="str">
        <f>IFERROR(__xludf.DUMMYFUNCTION("""COMPUTED_VALUE"""),""",")</f>
        <v>",</v>
      </c>
    </row>
    <row r="317">
      <c r="A317" s="9" t="str">
        <f>IFERROR(__xludf.DUMMYFUNCTION("""COMPUTED_VALUE"""),"""")</f>
        <v>"</v>
      </c>
      <c r="B317" s="9" t="s">
        <v>326</v>
      </c>
      <c r="C317" s="9" t="str">
        <f>IFERROR(__xludf.DUMMYFUNCTION("""COMPUTED_VALUE"""),""":""")</f>
        <v>":"</v>
      </c>
      <c r="D317" s="24">
        <v>2.0248888511809958E19</v>
      </c>
      <c r="E317" s="9" t="str">
        <f>IFERROR(__xludf.DUMMYFUNCTION("""COMPUTED_VALUE"""),""",")</f>
        <v>",</v>
      </c>
    </row>
    <row r="318">
      <c r="A318" s="9" t="str">
        <f>IFERROR(__xludf.DUMMYFUNCTION("""COMPUTED_VALUE"""),"""")</f>
        <v>"</v>
      </c>
      <c r="B318" s="9" t="s">
        <v>327</v>
      </c>
      <c r="C318" s="9" t="str">
        <f>IFERROR(__xludf.DUMMYFUNCTION("""COMPUTED_VALUE"""),""":""")</f>
        <v>":"</v>
      </c>
      <c r="D318" s="24">
        <v>1.74392303986128E19</v>
      </c>
      <c r="E318" s="9" t="str">
        <f>IFERROR(__xludf.DUMMYFUNCTION("""COMPUTED_VALUE"""),""",")</f>
        <v>",</v>
      </c>
    </row>
    <row r="319">
      <c r="A319" s="9" t="str">
        <f>IFERROR(__xludf.DUMMYFUNCTION("""COMPUTED_VALUE"""),"""")</f>
        <v>"</v>
      </c>
      <c r="B319" s="9" t="s">
        <v>328</v>
      </c>
      <c r="C319" s="9" t="str">
        <f>IFERROR(__xludf.DUMMYFUNCTION("""COMPUTED_VALUE"""),""":""")</f>
        <v>":"</v>
      </c>
      <c r="D319" s="24">
        <v>2.0248888511809958E19</v>
      </c>
      <c r="E319" s="9" t="str">
        <f>IFERROR(__xludf.DUMMYFUNCTION("""COMPUTED_VALUE"""),""",")</f>
        <v>",</v>
      </c>
    </row>
    <row r="320">
      <c r="A320" s="9" t="str">
        <f>IFERROR(__xludf.DUMMYFUNCTION("""COMPUTED_VALUE"""),"""")</f>
        <v>"</v>
      </c>
      <c r="B320" s="9" t="s">
        <v>329</v>
      </c>
      <c r="C320" s="9" t="str">
        <f>IFERROR(__xludf.DUMMYFUNCTION("""COMPUTED_VALUE"""),""":""")</f>
        <v>":"</v>
      </c>
      <c r="D320" s="24">
        <v>6.2005979458241782E18</v>
      </c>
      <c r="E320" s="9" t="str">
        <f>IFERROR(__xludf.DUMMYFUNCTION("""COMPUTED_VALUE"""),""",")</f>
        <v>",</v>
      </c>
    </row>
    <row r="321">
      <c r="A321" s="9" t="str">
        <f>IFERROR(__xludf.DUMMYFUNCTION("""COMPUTED_VALUE"""),"""")</f>
        <v>"</v>
      </c>
      <c r="B321" s="9" t="s">
        <v>330</v>
      </c>
      <c r="C321" s="9" t="str">
        <f>IFERROR(__xludf.DUMMYFUNCTION("""COMPUTED_VALUE"""),""":""")</f>
        <v>":"</v>
      </c>
      <c r="D321" s="24">
        <v>1.81742585903080218E18</v>
      </c>
      <c r="E321" s="9" t="str">
        <f>IFERROR(__xludf.DUMMYFUNCTION("""COMPUTED_VALUE"""),""",")</f>
        <v>",</v>
      </c>
    </row>
    <row r="322">
      <c r="A322" s="9" t="str">
        <f>IFERROR(__xludf.DUMMYFUNCTION("""COMPUTED_VALUE"""),"""")</f>
        <v>"</v>
      </c>
      <c r="B322" s="9" t="s">
        <v>331</v>
      </c>
      <c r="C322" s="9" t="str">
        <f>IFERROR(__xludf.DUMMYFUNCTION("""COMPUTED_VALUE"""),""":""")</f>
        <v>":"</v>
      </c>
      <c r="D322" s="24">
        <v>6.0720408522687232E18</v>
      </c>
      <c r="E322" s="9" t="str">
        <f>IFERROR(__xludf.DUMMYFUNCTION("""COMPUTED_VALUE"""),""",")</f>
        <v>",</v>
      </c>
    </row>
    <row r="323">
      <c r="A323" s="9" t="str">
        <f>IFERROR(__xludf.DUMMYFUNCTION("""COMPUTED_VALUE"""),"""")</f>
        <v>"</v>
      </c>
      <c r="B323" s="9" t="s">
        <v>332</v>
      </c>
      <c r="C323" s="9" t="str">
        <f>IFERROR(__xludf.DUMMYFUNCTION("""COMPUTED_VALUE"""),""":""")</f>
        <v>":"</v>
      </c>
      <c r="D323" s="24">
        <v>4.4454724651371336E16</v>
      </c>
      <c r="E323" s="9" t="str">
        <f>IFERROR(__xludf.DUMMYFUNCTION("""COMPUTED_VALUE"""),""",")</f>
        <v>",</v>
      </c>
    </row>
    <row r="324">
      <c r="A324" s="9" t="str">
        <f>IFERROR(__xludf.DUMMYFUNCTION("""COMPUTED_VALUE"""),"""")</f>
        <v>"</v>
      </c>
      <c r="B324" s="9" t="s">
        <v>333</v>
      </c>
      <c r="C324" s="9" t="str">
        <f>IFERROR(__xludf.DUMMYFUNCTION("""COMPUTED_VALUE"""),""":""")</f>
        <v>":"</v>
      </c>
      <c r="D324" s="24">
        <v>2.0248888511809958E19</v>
      </c>
      <c r="E324" s="9" t="str">
        <f>IFERROR(__xludf.DUMMYFUNCTION("""COMPUTED_VALUE"""),""",")</f>
        <v>",</v>
      </c>
    </row>
    <row r="325">
      <c r="A325" s="9" t="str">
        <f>IFERROR(__xludf.DUMMYFUNCTION("""COMPUTED_VALUE"""),"""")</f>
        <v>"</v>
      </c>
      <c r="B325" s="9" t="s">
        <v>334</v>
      </c>
      <c r="C325" s="9" t="str">
        <f>IFERROR(__xludf.DUMMYFUNCTION("""COMPUTED_VALUE"""),""":""")</f>
        <v>":"</v>
      </c>
      <c r="D325" s="24">
        <v>2.519040407323571E19</v>
      </c>
      <c r="E325" s="9" t="str">
        <f>IFERROR(__xludf.DUMMYFUNCTION("""COMPUTED_VALUE"""),""",")</f>
        <v>",</v>
      </c>
    </row>
    <row r="326">
      <c r="A326" s="9" t="str">
        <f>IFERROR(__xludf.DUMMYFUNCTION("""COMPUTED_VALUE"""),"""")</f>
        <v>"</v>
      </c>
      <c r="B326" s="9" t="s">
        <v>335</v>
      </c>
      <c r="C326" s="9" t="str">
        <f>IFERROR(__xludf.DUMMYFUNCTION("""COMPUTED_VALUE"""),""":""")</f>
        <v>":"</v>
      </c>
      <c r="D326" s="24">
        <v>6.6329957986664315E18</v>
      </c>
      <c r="E326" s="9" t="str">
        <f>IFERROR(__xludf.DUMMYFUNCTION("""COMPUTED_VALUE"""),""",")</f>
        <v>",</v>
      </c>
    </row>
    <row r="327">
      <c r="A327" s="9" t="str">
        <f>IFERROR(__xludf.DUMMYFUNCTION("""COMPUTED_VALUE"""),"""")</f>
        <v>"</v>
      </c>
      <c r="B327" s="9" t="s">
        <v>336</v>
      </c>
      <c r="C327" s="9" t="str">
        <f>IFERROR(__xludf.DUMMYFUNCTION("""COMPUTED_VALUE"""),""":""")</f>
        <v>":"</v>
      </c>
      <c r="D327" s="24">
        <v>1.67053061793184512E17</v>
      </c>
      <c r="E327" s="9" t="str">
        <f>IFERROR(__xludf.DUMMYFUNCTION("""COMPUTED_VALUE"""),""",")</f>
        <v>",</v>
      </c>
    </row>
    <row r="328">
      <c r="A328" s="9" t="str">
        <f>IFERROR(__xludf.DUMMYFUNCTION("""COMPUTED_VALUE"""),"""")</f>
        <v>"</v>
      </c>
      <c r="B328" s="9" t="s">
        <v>337</v>
      </c>
      <c r="C328" s="9" t="str">
        <f>IFERROR(__xludf.DUMMYFUNCTION("""COMPUTED_VALUE"""),""":""")</f>
        <v>":"</v>
      </c>
      <c r="D328" s="24">
        <v>6.1331090060166226E18</v>
      </c>
      <c r="E328" s="9" t="str">
        <f>IFERROR(__xludf.DUMMYFUNCTION("""COMPUTED_VALUE"""),""",")</f>
        <v>",</v>
      </c>
    </row>
    <row r="329">
      <c r="A329" s="9" t="str">
        <f>IFERROR(__xludf.DUMMYFUNCTION("""COMPUTED_VALUE"""),"""")</f>
        <v>"</v>
      </c>
      <c r="B329" s="9" t="s">
        <v>338</v>
      </c>
      <c r="C329" s="9" t="str">
        <f>IFERROR(__xludf.DUMMYFUNCTION("""COMPUTED_VALUE"""),""":""")</f>
        <v>":"</v>
      </c>
      <c r="D329" s="24">
        <v>6.2005979458241782E18</v>
      </c>
      <c r="E329" s="9" t="str">
        <f>IFERROR(__xludf.DUMMYFUNCTION("""COMPUTED_VALUE"""),""",")</f>
        <v>",</v>
      </c>
    </row>
    <row r="330">
      <c r="A330" s="9" t="str">
        <f>IFERROR(__xludf.DUMMYFUNCTION("""COMPUTED_VALUE"""),"""")</f>
        <v>"</v>
      </c>
      <c r="B330" s="9" t="s">
        <v>339</v>
      </c>
      <c r="C330" s="9" t="str">
        <f>IFERROR(__xludf.DUMMYFUNCTION("""COMPUTED_VALUE"""),""":""")</f>
        <v>":"</v>
      </c>
      <c r="D330" s="24">
        <v>6.2005979458241782E18</v>
      </c>
      <c r="E330" s="9" t="str">
        <f>IFERROR(__xludf.DUMMYFUNCTION("""COMPUTED_VALUE"""),""",")</f>
        <v>",</v>
      </c>
    </row>
    <row r="331">
      <c r="A331" s="9" t="str">
        <f>IFERROR(__xludf.DUMMYFUNCTION("""COMPUTED_VALUE"""),"""")</f>
        <v>"</v>
      </c>
      <c r="B331" s="9" t="s">
        <v>340</v>
      </c>
      <c r="C331" s="9" t="str">
        <f>IFERROR(__xludf.DUMMYFUNCTION("""COMPUTED_VALUE"""),""":""")</f>
        <v>":"</v>
      </c>
      <c r="D331" s="24">
        <v>2.2428793829185667E19</v>
      </c>
      <c r="E331" s="9" t="str">
        <f>IFERROR(__xludf.DUMMYFUNCTION("""COMPUTED_VALUE"""),""",")</f>
        <v>",</v>
      </c>
    </row>
    <row r="332">
      <c r="A332" s="9" t="str">
        <f>IFERROR(__xludf.DUMMYFUNCTION("""COMPUTED_VALUE"""),"""")</f>
        <v>"</v>
      </c>
      <c r="B332" s="9" t="s">
        <v>341</v>
      </c>
      <c r="C332" s="9" t="str">
        <f>IFERROR(__xludf.DUMMYFUNCTION("""COMPUTED_VALUE"""),""":""")</f>
        <v>":"</v>
      </c>
      <c r="D332" s="24">
        <v>2.0248888511809958E19</v>
      </c>
      <c r="E332" s="9" t="str">
        <f>IFERROR(__xludf.DUMMYFUNCTION("""COMPUTED_VALUE"""),""",")</f>
        <v>",</v>
      </c>
    </row>
    <row r="333">
      <c r="A333" s="9" t="str">
        <f>IFERROR(__xludf.DUMMYFUNCTION("""COMPUTED_VALUE"""),"""")</f>
        <v>"</v>
      </c>
      <c r="B333" s="9" t="s">
        <v>342</v>
      </c>
      <c r="C333" s="9" t="str">
        <f>IFERROR(__xludf.DUMMYFUNCTION("""COMPUTED_VALUE"""),""":""")</f>
        <v>":"</v>
      </c>
      <c r="D333" s="24">
        <v>6.2005979458241782E18</v>
      </c>
      <c r="E333" s="9" t="str">
        <f>IFERROR(__xludf.DUMMYFUNCTION("""COMPUTED_VALUE"""),""",")</f>
        <v>",</v>
      </c>
    </row>
    <row r="334">
      <c r="A334" s="9" t="str">
        <f>IFERROR(__xludf.DUMMYFUNCTION("""COMPUTED_VALUE"""),"""")</f>
        <v>"</v>
      </c>
      <c r="B334" s="9" t="s">
        <v>343</v>
      </c>
      <c r="C334" s="9" t="str">
        <f>IFERROR(__xludf.DUMMYFUNCTION("""COMPUTED_VALUE"""),""":""")</f>
        <v>":"</v>
      </c>
      <c r="D334" s="24">
        <v>3.4950415508446597E19</v>
      </c>
      <c r="E334" s="9" t="str">
        <f>IFERROR(__xludf.DUMMYFUNCTION("""COMPUTED_VALUE"""),""",")</f>
        <v>",</v>
      </c>
    </row>
    <row r="335">
      <c r="A335" s="9" t="str">
        <f>IFERROR(__xludf.DUMMYFUNCTION("""COMPUTED_VALUE"""),"""")</f>
        <v>"</v>
      </c>
      <c r="B335" s="9" t="s">
        <v>344</v>
      </c>
      <c r="C335" s="9" t="str">
        <f>IFERROR(__xludf.DUMMYFUNCTION("""COMPUTED_VALUE"""),""":""")</f>
        <v>":"</v>
      </c>
      <c r="D335" s="24">
        <v>2.0248888511809958E19</v>
      </c>
      <c r="E335" s="9" t="str">
        <f>IFERROR(__xludf.DUMMYFUNCTION("""COMPUTED_VALUE"""),""",")</f>
        <v>",</v>
      </c>
    </row>
    <row r="336">
      <c r="A336" s="9" t="str">
        <f>IFERROR(__xludf.DUMMYFUNCTION("""COMPUTED_VALUE"""),"""")</f>
        <v>"</v>
      </c>
      <c r="B336" s="9" t="s">
        <v>345</v>
      </c>
      <c r="C336" s="9" t="str">
        <f>IFERROR(__xludf.DUMMYFUNCTION("""COMPUTED_VALUE"""),""":""")</f>
        <v>":"</v>
      </c>
      <c r="D336" s="24">
        <v>2.0248888511809958E19</v>
      </c>
      <c r="E336" s="9" t="str">
        <f>IFERROR(__xludf.DUMMYFUNCTION("""COMPUTED_VALUE"""),""",")</f>
        <v>",</v>
      </c>
    </row>
    <row r="337">
      <c r="A337" s="9" t="str">
        <f>IFERROR(__xludf.DUMMYFUNCTION("""COMPUTED_VALUE"""),"""")</f>
        <v>"</v>
      </c>
      <c r="B337" s="9" t="s">
        <v>346</v>
      </c>
      <c r="C337" s="9" t="str">
        <f>IFERROR(__xludf.DUMMYFUNCTION("""COMPUTED_VALUE"""),""":""")</f>
        <v>":"</v>
      </c>
      <c r="D337" s="24">
        <v>6.2005979458241782E18</v>
      </c>
      <c r="E337" s="9" t="str">
        <f>IFERROR(__xludf.DUMMYFUNCTION("""COMPUTED_VALUE"""),""",")</f>
        <v>",</v>
      </c>
    </row>
    <row r="338">
      <c r="A338" s="9" t="str">
        <f>IFERROR(__xludf.DUMMYFUNCTION("""COMPUTED_VALUE"""),"""")</f>
        <v>"</v>
      </c>
      <c r="B338" s="9" t="s">
        <v>347</v>
      </c>
      <c r="C338" s="9" t="str">
        <f>IFERROR(__xludf.DUMMYFUNCTION("""COMPUTED_VALUE"""),""":""")</f>
        <v>":"</v>
      </c>
      <c r="D338" s="24">
        <v>6.6762355839506555E18</v>
      </c>
      <c r="E338" s="9" t="str">
        <f>IFERROR(__xludf.DUMMYFUNCTION("""COMPUTED_VALUE"""),""",")</f>
        <v>",</v>
      </c>
    </row>
    <row r="339">
      <c r="A339" s="9" t="str">
        <f>IFERROR(__xludf.DUMMYFUNCTION("""COMPUTED_VALUE"""),"""")</f>
        <v>"</v>
      </c>
      <c r="B339" s="9" t="s">
        <v>348</v>
      </c>
      <c r="C339" s="9" t="str">
        <f>IFERROR(__xludf.DUMMYFUNCTION("""COMPUTED_VALUE"""),""":""")</f>
        <v>":"</v>
      </c>
      <c r="D339" s="24">
        <v>2.0409231605556306E19</v>
      </c>
      <c r="E339" s="9" t="str">
        <f>IFERROR(__xludf.DUMMYFUNCTION("""COMPUTED_VALUE"""),""",")</f>
        <v>",</v>
      </c>
    </row>
    <row r="340">
      <c r="A340" s="9" t="str">
        <f>IFERROR(__xludf.DUMMYFUNCTION("""COMPUTED_VALUE"""),"""")</f>
        <v>"</v>
      </c>
      <c r="B340" s="9" t="s">
        <v>349</v>
      </c>
      <c r="C340" s="9" t="str">
        <f>IFERROR(__xludf.DUMMYFUNCTION("""COMPUTED_VALUE"""),""":""")</f>
        <v>":"</v>
      </c>
      <c r="D340" s="24">
        <v>7.76282404073793E19</v>
      </c>
      <c r="E340" s="9" t="str">
        <f>IFERROR(__xludf.DUMMYFUNCTION("""COMPUTED_VALUE"""),""",")</f>
        <v>",</v>
      </c>
    </row>
    <row r="341">
      <c r="A341" s="9" t="str">
        <f>IFERROR(__xludf.DUMMYFUNCTION("""COMPUTED_VALUE"""),"""")</f>
        <v>"</v>
      </c>
      <c r="B341" s="9" t="s">
        <v>350</v>
      </c>
      <c r="C341" s="9" t="str">
        <f>IFERROR(__xludf.DUMMYFUNCTION("""COMPUTED_VALUE"""),""":""")</f>
        <v>":"</v>
      </c>
      <c r="D341" s="24">
        <v>2.631149983899831E19</v>
      </c>
      <c r="E341" s="9" t="str">
        <f>IFERROR(__xludf.DUMMYFUNCTION("""COMPUTED_VALUE"""),""",")</f>
        <v>",</v>
      </c>
    </row>
    <row r="342">
      <c r="A342" s="9" t="str">
        <f>IFERROR(__xludf.DUMMYFUNCTION("""COMPUTED_VALUE"""),"""")</f>
        <v>"</v>
      </c>
      <c r="B342" s="9" t="s">
        <v>351</v>
      </c>
      <c r="C342" s="9" t="str">
        <f>IFERROR(__xludf.DUMMYFUNCTION("""COMPUTED_VALUE"""),""":""")</f>
        <v>":"</v>
      </c>
      <c r="D342" s="24">
        <v>5.5096337989041336E18</v>
      </c>
      <c r="E342" s="9" t="str">
        <f>IFERROR(__xludf.DUMMYFUNCTION("""COMPUTED_VALUE"""),""",")</f>
        <v>",</v>
      </c>
    </row>
    <row r="343">
      <c r="A343" s="9" t="str">
        <f>IFERROR(__xludf.DUMMYFUNCTION("""COMPUTED_VALUE"""),"""")</f>
        <v>"</v>
      </c>
      <c r="B343" s="9" t="s">
        <v>352</v>
      </c>
      <c r="C343" s="9" t="str">
        <f>IFERROR(__xludf.DUMMYFUNCTION("""COMPUTED_VALUE"""),""":""")</f>
        <v>":"</v>
      </c>
      <c r="D343" s="24">
        <v>6.2005979458241782E18</v>
      </c>
      <c r="E343" s="9" t="str">
        <f>IFERROR(__xludf.DUMMYFUNCTION("""COMPUTED_VALUE"""),""",")</f>
        <v>",</v>
      </c>
    </row>
    <row r="344">
      <c r="A344" s="9" t="str">
        <f>IFERROR(__xludf.DUMMYFUNCTION("""COMPUTED_VALUE"""),"""")</f>
        <v>"</v>
      </c>
      <c r="B344" s="9" t="s">
        <v>353</v>
      </c>
      <c r="C344" s="9" t="str">
        <f>IFERROR(__xludf.DUMMYFUNCTION("""COMPUTED_VALUE"""),""":""")</f>
        <v>":"</v>
      </c>
      <c r="D344" s="24">
        <v>5.4085571283569326E18</v>
      </c>
      <c r="E344" s="9" t="str">
        <f>IFERROR(__xludf.DUMMYFUNCTION("""COMPUTED_VALUE"""),""",")</f>
        <v>",</v>
      </c>
    </row>
    <row r="345">
      <c r="A345" s="9" t="str">
        <f>IFERROR(__xludf.DUMMYFUNCTION("""COMPUTED_VALUE"""),"""")</f>
        <v>"</v>
      </c>
      <c r="B345" s="9" t="s">
        <v>354</v>
      </c>
      <c r="C345" s="9" t="str">
        <f>IFERROR(__xludf.DUMMYFUNCTION("""COMPUTED_VALUE"""),""":""")</f>
        <v>":"</v>
      </c>
      <c r="D345" s="24">
        <v>1.9633236622759043E19</v>
      </c>
      <c r="E345" s="9" t="str">
        <f>IFERROR(__xludf.DUMMYFUNCTION("""COMPUTED_VALUE"""),""",")</f>
        <v>",</v>
      </c>
    </row>
    <row r="346">
      <c r="A346" s="9" t="str">
        <f>IFERROR(__xludf.DUMMYFUNCTION("""COMPUTED_VALUE"""),"""")</f>
        <v>"</v>
      </c>
      <c r="B346" s="9" t="s">
        <v>355</v>
      </c>
      <c r="C346" s="9" t="str">
        <f>IFERROR(__xludf.DUMMYFUNCTION("""COMPUTED_VALUE"""),""":""")</f>
        <v>":"</v>
      </c>
      <c r="D346" s="24">
        <v>3.952518479151764E19</v>
      </c>
      <c r="E346" s="9" t="str">
        <f>IFERROR(__xludf.DUMMYFUNCTION("""COMPUTED_VALUE"""),""",")</f>
        <v>",</v>
      </c>
    </row>
    <row r="347">
      <c r="A347" s="9" t="str">
        <f>IFERROR(__xludf.DUMMYFUNCTION("""COMPUTED_VALUE"""),"""")</f>
        <v>"</v>
      </c>
      <c r="B347" s="9" t="s">
        <v>356</v>
      </c>
      <c r="C347" s="9" t="str">
        <f>IFERROR(__xludf.DUMMYFUNCTION("""COMPUTED_VALUE"""),""":""")</f>
        <v>":"</v>
      </c>
      <c r="D347" s="24">
        <v>2.0248888511809958E19</v>
      </c>
      <c r="E347" s="9" t="str">
        <f>IFERROR(__xludf.DUMMYFUNCTION("""COMPUTED_VALUE"""),""",")</f>
        <v>",</v>
      </c>
    </row>
    <row r="348">
      <c r="A348" s="9" t="str">
        <f>IFERROR(__xludf.DUMMYFUNCTION("""COMPUTED_VALUE"""),"""")</f>
        <v>"</v>
      </c>
      <c r="B348" s="9" t="s">
        <v>357</v>
      </c>
      <c r="C348" s="9" t="str">
        <f>IFERROR(__xludf.DUMMYFUNCTION("""COMPUTED_VALUE"""),""":""")</f>
        <v>":"</v>
      </c>
      <c r="D348" s="24">
        <v>3.790421878319727E19</v>
      </c>
      <c r="E348" s="9" t="str">
        <f>IFERROR(__xludf.DUMMYFUNCTION("""COMPUTED_VALUE"""),""",")</f>
        <v>",</v>
      </c>
    </row>
    <row r="349">
      <c r="A349" s="9" t="str">
        <f>IFERROR(__xludf.DUMMYFUNCTION("""COMPUTED_VALUE"""),"""")</f>
        <v>"</v>
      </c>
      <c r="B349" s="9" t="s">
        <v>358</v>
      </c>
      <c r="C349" s="9" t="str">
        <f>IFERROR(__xludf.DUMMYFUNCTION("""COMPUTED_VALUE"""),""":""")</f>
        <v>":"</v>
      </c>
      <c r="D349" s="24">
        <v>4.300569118377578E18</v>
      </c>
      <c r="E349" s="9" t="str">
        <f>IFERROR(__xludf.DUMMYFUNCTION("""COMPUTED_VALUE"""),""",")</f>
        <v>",</v>
      </c>
    </row>
    <row r="350">
      <c r="A350" s="9" t="str">
        <f>IFERROR(__xludf.DUMMYFUNCTION("""COMPUTED_VALUE"""),"""")</f>
        <v>"</v>
      </c>
      <c r="B350" s="9" t="s">
        <v>359</v>
      </c>
      <c r="C350" s="9" t="str">
        <f>IFERROR(__xludf.DUMMYFUNCTION("""COMPUTED_VALUE"""),""":""")</f>
        <v>":"</v>
      </c>
      <c r="D350" s="24">
        <v>5.6766724984875336E18</v>
      </c>
      <c r="E350" s="9" t="str">
        <f>IFERROR(__xludf.DUMMYFUNCTION("""COMPUTED_VALUE"""),""",")</f>
        <v>",</v>
      </c>
    </row>
    <row r="351">
      <c r="A351" s="9" t="str">
        <f>IFERROR(__xludf.DUMMYFUNCTION("""COMPUTED_VALUE"""),"""")</f>
        <v>"</v>
      </c>
      <c r="B351" s="9" t="s">
        <v>360</v>
      </c>
      <c r="C351" s="9" t="str">
        <f>IFERROR(__xludf.DUMMYFUNCTION("""COMPUTED_VALUE"""),""":""")</f>
        <v>":"</v>
      </c>
      <c r="D351" s="24">
        <v>2.0248888511809958E19</v>
      </c>
      <c r="E351" s="9" t="str">
        <f>IFERROR(__xludf.DUMMYFUNCTION("""COMPUTED_VALUE"""),""",")</f>
        <v>",</v>
      </c>
    </row>
    <row r="352">
      <c r="A352" s="9" t="str">
        <f>IFERROR(__xludf.DUMMYFUNCTION("""COMPUTED_VALUE"""),"""")</f>
        <v>"</v>
      </c>
      <c r="B352" s="9" t="s">
        <v>361</v>
      </c>
      <c r="C352" s="9" t="str">
        <f>IFERROR(__xludf.DUMMYFUNCTION("""COMPUTED_VALUE"""),""":""")</f>
        <v>":"</v>
      </c>
      <c r="D352" s="24">
        <v>2.0248888511809958E19</v>
      </c>
      <c r="E352" s="9" t="str">
        <f>IFERROR(__xludf.DUMMYFUNCTION("""COMPUTED_VALUE"""),""",")</f>
        <v>",</v>
      </c>
    </row>
    <row r="353">
      <c r="A353" s="9" t="str">
        <f>IFERROR(__xludf.DUMMYFUNCTION("""COMPUTED_VALUE"""),"""")</f>
        <v>"</v>
      </c>
      <c r="B353" s="9" t="s">
        <v>362</v>
      </c>
      <c r="C353" s="9" t="str">
        <f>IFERROR(__xludf.DUMMYFUNCTION("""COMPUTED_VALUE"""),""":""")</f>
        <v>":"</v>
      </c>
      <c r="D353" s="24">
        <v>1.21855502524408653E18</v>
      </c>
      <c r="E353" s="9" t="str">
        <f>IFERROR(__xludf.DUMMYFUNCTION("""COMPUTED_VALUE"""),""",")</f>
        <v>",</v>
      </c>
    </row>
    <row r="354">
      <c r="A354" s="9" t="str">
        <f>IFERROR(__xludf.DUMMYFUNCTION("""COMPUTED_VALUE"""),"""")</f>
        <v>"</v>
      </c>
      <c r="B354" s="9" t="s">
        <v>363</v>
      </c>
      <c r="C354" s="9" t="str">
        <f>IFERROR(__xludf.DUMMYFUNCTION("""COMPUTED_VALUE"""),""":""")</f>
        <v>":"</v>
      </c>
      <c r="D354" s="24">
        <v>1.8170330405202934E19</v>
      </c>
      <c r="E354" s="9" t="str">
        <f>IFERROR(__xludf.DUMMYFUNCTION("""COMPUTED_VALUE"""),""",")</f>
        <v>",</v>
      </c>
    </row>
    <row r="355">
      <c r="A355" s="9" t="str">
        <f>IFERROR(__xludf.DUMMYFUNCTION("""COMPUTED_VALUE"""),"""")</f>
        <v>"</v>
      </c>
      <c r="B355" s="9" t="s">
        <v>364</v>
      </c>
      <c r="C355" s="9" t="str">
        <f>IFERROR(__xludf.DUMMYFUNCTION("""COMPUTED_VALUE"""),""":""")</f>
        <v>":"</v>
      </c>
      <c r="D355" s="24">
        <v>6.2005979458241782E18</v>
      </c>
      <c r="E355" s="9" t="str">
        <f>IFERROR(__xludf.DUMMYFUNCTION("""COMPUTED_VALUE"""),""",")</f>
        <v>",</v>
      </c>
    </row>
    <row r="356">
      <c r="A356" s="9" t="str">
        <f>IFERROR(__xludf.DUMMYFUNCTION("""COMPUTED_VALUE"""),"""")</f>
        <v>"</v>
      </c>
      <c r="B356" s="9" t="s">
        <v>365</v>
      </c>
      <c r="C356" s="9" t="str">
        <f>IFERROR(__xludf.DUMMYFUNCTION("""COMPUTED_VALUE"""),""":""")</f>
        <v>":"</v>
      </c>
      <c r="D356" s="24">
        <v>5.8939122745020447E18</v>
      </c>
      <c r="E356" s="9" t="str">
        <f>IFERROR(__xludf.DUMMYFUNCTION("""COMPUTED_VALUE"""),""",")</f>
        <v>",</v>
      </c>
    </row>
    <row r="357">
      <c r="A357" s="9" t="str">
        <f>IFERROR(__xludf.DUMMYFUNCTION("""COMPUTED_VALUE"""),"""")</f>
        <v>"</v>
      </c>
      <c r="B357" s="9" t="s">
        <v>366</v>
      </c>
      <c r="C357" s="9" t="str">
        <f>IFERROR(__xludf.DUMMYFUNCTION("""COMPUTED_VALUE"""),""":""")</f>
        <v>":"</v>
      </c>
      <c r="D357" s="24">
        <v>2.0248888511809958E19</v>
      </c>
      <c r="E357" s="9" t="str">
        <f>IFERROR(__xludf.DUMMYFUNCTION("""COMPUTED_VALUE"""),""",")</f>
        <v>",</v>
      </c>
    </row>
    <row r="358">
      <c r="A358" s="9" t="str">
        <f>IFERROR(__xludf.DUMMYFUNCTION("""COMPUTED_VALUE"""),"""")</f>
        <v>"</v>
      </c>
      <c r="B358" s="9" t="s">
        <v>367</v>
      </c>
      <c r="C358" s="9" t="str">
        <f>IFERROR(__xludf.DUMMYFUNCTION("""COMPUTED_VALUE"""),""":""")</f>
        <v>":"</v>
      </c>
      <c r="D358" s="24">
        <v>5.4822041517484442E18</v>
      </c>
      <c r="E358" s="9" t="str">
        <f>IFERROR(__xludf.DUMMYFUNCTION("""COMPUTED_VALUE"""),""",")</f>
        <v>",</v>
      </c>
    </row>
    <row r="359">
      <c r="A359" s="9" t="str">
        <f>IFERROR(__xludf.DUMMYFUNCTION("""COMPUTED_VALUE"""),"""")</f>
        <v>"</v>
      </c>
      <c r="B359" s="9" t="s">
        <v>368</v>
      </c>
      <c r="C359" s="9" t="str">
        <f>IFERROR(__xludf.DUMMYFUNCTION("""COMPUTED_VALUE"""),""":""")</f>
        <v>":"</v>
      </c>
      <c r="D359" s="24">
        <v>1.2112838959116288E19</v>
      </c>
      <c r="E359" s="9" t="str">
        <f>IFERROR(__xludf.DUMMYFUNCTION("""COMPUTED_VALUE"""),""",")</f>
        <v>",</v>
      </c>
    </row>
    <row r="360">
      <c r="A360" s="9" t="str">
        <f>IFERROR(__xludf.DUMMYFUNCTION("""COMPUTED_VALUE"""),"""")</f>
        <v>"</v>
      </c>
      <c r="B360" s="9" t="s">
        <v>369</v>
      </c>
      <c r="C360" s="9" t="str">
        <f>IFERROR(__xludf.DUMMYFUNCTION("""COMPUTED_VALUE"""),""":""")</f>
        <v>":"</v>
      </c>
      <c r="D360" s="24">
        <v>6.164615325030956E18</v>
      </c>
      <c r="E360" s="9" t="str">
        <f>IFERROR(__xludf.DUMMYFUNCTION("""COMPUTED_VALUE"""),""",")</f>
        <v>",</v>
      </c>
    </row>
    <row r="361">
      <c r="A361" s="9" t="str">
        <f>IFERROR(__xludf.DUMMYFUNCTION("""COMPUTED_VALUE"""),"""")</f>
        <v>"</v>
      </c>
      <c r="B361" s="9" t="s">
        <v>370</v>
      </c>
      <c r="C361" s="9" t="str">
        <f>IFERROR(__xludf.DUMMYFUNCTION("""COMPUTED_VALUE"""),""":""")</f>
        <v>":"</v>
      </c>
      <c r="D361" s="24">
        <v>5.9018716122915113E18</v>
      </c>
      <c r="E361" s="9" t="str">
        <f>IFERROR(__xludf.DUMMYFUNCTION("""COMPUTED_VALUE"""),""",")</f>
        <v>",</v>
      </c>
    </row>
    <row r="362">
      <c r="A362" s="9" t="str">
        <f>IFERROR(__xludf.DUMMYFUNCTION("""COMPUTED_VALUE"""),"""")</f>
        <v>"</v>
      </c>
      <c r="B362" s="9" t="s">
        <v>371</v>
      </c>
      <c r="C362" s="9" t="str">
        <f>IFERROR(__xludf.DUMMYFUNCTION("""COMPUTED_VALUE"""),""":""")</f>
        <v>":"</v>
      </c>
      <c r="D362" s="24">
        <v>4.6457040804568443E18</v>
      </c>
      <c r="E362" s="9" t="str">
        <f>IFERROR(__xludf.DUMMYFUNCTION("""COMPUTED_VALUE"""),""",")</f>
        <v>",</v>
      </c>
    </row>
    <row r="363">
      <c r="A363" s="9" t="str">
        <f>IFERROR(__xludf.DUMMYFUNCTION("""COMPUTED_VALUE"""),"""")</f>
        <v>"</v>
      </c>
      <c r="B363" s="9" t="s">
        <v>372</v>
      </c>
      <c r="C363" s="9" t="str">
        <f>IFERROR(__xludf.DUMMYFUNCTION("""COMPUTED_VALUE"""),""":""")</f>
        <v>":"</v>
      </c>
      <c r="D363" s="24">
        <v>6.2005979458241782E18</v>
      </c>
      <c r="E363" s="9" t="str">
        <f>IFERROR(__xludf.DUMMYFUNCTION("""COMPUTED_VALUE"""),""",")</f>
        <v>",</v>
      </c>
    </row>
    <row r="364">
      <c r="A364" s="9" t="str">
        <f>IFERROR(__xludf.DUMMYFUNCTION("""COMPUTED_VALUE"""),"""")</f>
        <v>"</v>
      </c>
      <c r="B364" s="9" t="s">
        <v>373</v>
      </c>
      <c r="C364" s="9" t="str">
        <f>IFERROR(__xludf.DUMMYFUNCTION("""COMPUTED_VALUE"""),""":""")</f>
        <v>":"</v>
      </c>
      <c r="D364" s="24">
        <v>5.521157198520023E18</v>
      </c>
      <c r="E364" s="9" t="str">
        <f>IFERROR(__xludf.DUMMYFUNCTION("""COMPUTED_VALUE"""),""",")</f>
        <v>",</v>
      </c>
    </row>
    <row r="365">
      <c r="A365" s="9" t="str">
        <f>IFERROR(__xludf.DUMMYFUNCTION("""COMPUTED_VALUE"""),"""")</f>
        <v>"</v>
      </c>
      <c r="B365" s="9" t="s">
        <v>374</v>
      </c>
      <c r="C365" s="9" t="str">
        <f>IFERROR(__xludf.DUMMYFUNCTION("""COMPUTED_VALUE"""),""":""")</f>
        <v>":"</v>
      </c>
      <c r="D365" s="24">
        <v>8.3641087358461778E18</v>
      </c>
      <c r="E365" s="9" t="str">
        <f>IFERROR(__xludf.DUMMYFUNCTION("""COMPUTED_VALUE"""),""",")</f>
        <v>",</v>
      </c>
    </row>
    <row r="366">
      <c r="A366" s="9" t="str">
        <f>IFERROR(__xludf.DUMMYFUNCTION("""COMPUTED_VALUE"""),"""")</f>
        <v>"</v>
      </c>
      <c r="B366" s="9" t="s">
        <v>375</v>
      </c>
      <c r="C366" s="9" t="str">
        <f>IFERROR(__xludf.DUMMYFUNCTION("""COMPUTED_VALUE"""),""":""")</f>
        <v>":"</v>
      </c>
      <c r="D366" s="24">
        <v>1.6211540761610643E19</v>
      </c>
      <c r="E366" s="9" t="str">
        <f>IFERROR(__xludf.DUMMYFUNCTION("""COMPUTED_VALUE"""),""",")</f>
        <v>",</v>
      </c>
    </row>
    <row r="367">
      <c r="A367" s="9" t="str">
        <f>IFERROR(__xludf.DUMMYFUNCTION("""COMPUTED_VALUE"""),"""")</f>
        <v>"</v>
      </c>
      <c r="B367" s="9" t="s">
        <v>376</v>
      </c>
      <c r="C367" s="9" t="str">
        <f>IFERROR(__xludf.DUMMYFUNCTION("""COMPUTED_VALUE"""),""":""")</f>
        <v>":"</v>
      </c>
      <c r="D367" s="24">
        <v>6.2005979458241782E18</v>
      </c>
      <c r="E367" s="9" t="str">
        <f>IFERROR(__xludf.DUMMYFUNCTION("""COMPUTED_VALUE"""),""",")</f>
        <v>",</v>
      </c>
    </row>
    <row r="368">
      <c r="A368" s="9" t="str">
        <f>IFERROR(__xludf.DUMMYFUNCTION("""COMPUTED_VALUE"""),"""")</f>
        <v>"</v>
      </c>
      <c r="B368" s="9" t="s">
        <v>377</v>
      </c>
      <c r="C368" s="9" t="str">
        <f>IFERROR(__xludf.DUMMYFUNCTION("""COMPUTED_VALUE"""),""":""")</f>
        <v>":"</v>
      </c>
      <c r="D368" s="24">
        <v>2.217154663120719E19</v>
      </c>
      <c r="E368" s="9" t="str">
        <f>IFERROR(__xludf.DUMMYFUNCTION("""COMPUTED_VALUE"""),""",")</f>
        <v>",</v>
      </c>
    </row>
    <row r="369">
      <c r="A369" s="9" t="str">
        <f>IFERROR(__xludf.DUMMYFUNCTION("""COMPUTED_VALUE"""),"""")</f>
        <v>"</v>
      </c>
      <c r="B369" s="9" t="s">
        <v>378</v>
      </c>
      <c r="C369" s="9" t="str">
        <f>IFERROR(__xludf.DUMMYFUNCTION("""COMPUTED_VALUE"""),""":""")</f>
        <v>":"</v>
      </c>
      <c r="D369" s="24">
        <v>5.6195631908082442E18</v>
      </c>
      <c r="E369" s="9" t="str">
        <f>IFERROR(__xludf.DUMMYFUNCTION("""COMPUTED_VALUE"""),""",")</f>
        <v>",</v>
      </c>
    </row>
    <row r="370">
      <c r="A370" s="9" t="str">
        <f>IFERROR(__xludf.DUMMYFUNCTION("""COMPUTED_VALUE"""),"""")</f>
        <v>"</v>
      </c>
      <c r="B370" s="9" t="s">
        <v>379</v>
      </c>
      <c r="C370" s="9" t="str">
        <f>IFERROR(__xludf.DUMMYFUNCTION("""COMPUTED_VALUE"""),""":""")</f>
        <v>":"</v>
      </c>
      <c r="D370" s="24">
        <v>2.0248888511809958E19</v>
      </c>
      <c r="E370" s="9" t="str">
        <f>IFERROR(__xludf.DUMMYFUNCTION("""COMPUTED_VALUE"""),""",")</f>
        <v>",</v>
      </c>
    </row>
    <row r="371">
      <c r="A371" s="9" t="str">
        <f>IFERROR(__xludf.DUMMYFUNCTION("""COMPUTED_VALUE"""),"""")</f>
        <v>"</v>
      </c>
      <c r="B371" s="9" t="s">
        <v>380</v>
      </c>
      <c r="C371" s="9" t="str">
        <f>IFERROR(__xludf.DUMMYFUNCTION("""COMPUTED_VALUE"""),""":""")</f>
        <v>":"</v>
      </c>
      <c r="D371" s="24">
        <v>6.2005979458241782E18</v>
      </c>
      <c r="E371" s="9" t="str">
        <f>IFERROR(__xludf.DUMMYFUNCTION("""COMPUTED_VALUE"""),""",")</f>
        <v>",</v>
      </c>
    </row>
    <row r="372">
      <c r="A372" s="9" t="str">
        <f>IFERROR(__xludf.DUMMYFUNCTION("""COMPUTED_VALUE"""),"""")</f>
        <v>"</v>
      </c>
      <c r="B372" s="9" t="s">
        <v>381</v>
      </c>
      <c r="C372" s="9" t="str">
        <f>IFERROR(__xludf.DUMMYFUNCTION("""COMPUTED_VALUE"""),""":""")</f>
        <v>":"</v>
      </c>
      <c r="D372" s="24">
        <v>8.2738903226870221E18</v>
      </c>
      <c r="E372" s="9" t="str">
        <f>IFERROR(__xludf.DUMMYFUNCTION("""COMPUTED_VALUE"""),""",")</f>
        <v>",</v>
      </c>
    </row>
    <row r="373">
      <c r="A373" s="9" t="str">
        <f>IFERROR(__xludf.DUMMYFUNCTION("""COMPUTED_VALUE"""),"""")</f>
        <v>"</v>
      </c>
      <c r="B373" s="9" t="s">
        <v>382</v>
      </c>
      <c r="C373" s="9" t="str">
        <f>IFERROR(__xludf.DUMMYFUNCTION("""COMPUTED_VALUE"""),""":""")</f>
        <v>":"</v>
      </c>
      <c r="D373" s="24">
        <v>2.0248888511809958E19</v>
      </c>
      <c r="E373" s="9" t="str">
        <f>IFERROR(__xludf.DUMMYFUNCTION("""COMPUTED_VALUE"""),""",")</f>
        <v>",</v>
      </c>
    </row>
    <row r="374">
      <c r="A374" s="9" t="str">
        <f>IFERROR(__xludf.DUMMYFUNCTION("""COMPUTED_VALUE"""),"""")</f>
        <v>"</v>
      </c>
      <c r="B374" s="9" t="s">
        <v>383</v>
      </c>
      <c r="C374" s="9" t="str">
        <f>IFERROR(__xludf.DUMMYFUNCTION("""COMPUTED_VALUE"""),""":""")</f>
        <v>":"</v>
      </c>
      <c r="D374" s="24">
        <v>6.2005979458241782E18</v>
      </c>
      <c r="E374" s="9" t="str">
        <f>IFERROR(__xludf.DUMMYFUNCTION("""COMPUTED_VALUE"""),""",")</f>
        <v>",</v>
      </c>
    </row>
    <row r="375">
      <c r="A375" s="9" t="str">
        <f>IFERROR(__xludf.DUMMYFUNCTION("""COMPUTED_VALUE"""),"""")</f>
        <v>"</v>
      </c>
      <c r="B375" s="9" t="s">
        <v>384</v>
      </c>
      <c r="C375" s="9" t="str">
        <f>IFERROR(__xludf.DUMMYFUNCTION("""COMPUTED_VALUE"""),""":""")</f>
        <v>":"</v>
      </c>
      <c r="D375" s="24">
        <v>6.2005979458241782E18</v>
      </c>
      <c r="E375" s="9" t="str">
        <f>IFERROR(__xludf.DUMMYFUNCTION("""COMPUTED_VALUE"""),""",")</f>
        <v>",</v>
      </c>
    </row>
    <row r="376">
      <c r="A376" s="9" t="str">
        <f>IFERROR(__xludf.DUMMYFUNCTION("""COMPUTED_VALUE"""),"""")</f>
        <v>"</v>
      </c>
      <c r="B376" s="9" t="s">
        <v>385</v>
      </c>
      <c r="C376" s="9" t="str">
        <f>IFERROR(__xludf.DUMMYFUNCTION("""COMPUTED_VALUE"""),""":""")</f>
        <v>":"</v>
      </c>
      <c r="D376" s="24">
        <v>1.190314403369418E19</v>
      </c>
      <c r="E376" s="9" t="str">
        <f>IFERROR(__xludf.DUMMYFUNCTION("""COMPUTED_VALUE"""),""",")</f>
        <v>",</v>
      </c>
    </row>
    <row r="377">
      <c r="A377" s="9" t="str">
        <f>IFERROR(__xludf.DUMMYFUNCTION("""COMPUTED_VALUE"""),"""")</f>
        <v>"</v>
      </c>
      <c r="B377" s="9" t="s">
        <v>386</v>
      </c>
      <c r="C377" s="9" t="str">
        <f>IFERROR(__xludf.DUMMYFUNCTION("""COMPUTED_VALUE"""),""":""")</f>
        <v>":"</v>
      </c>
      <c r="D377" s="24">
        <v>3.5939661469312225E18</v>
      </c>
      <c r="E377" s="9" t="str">
        <f>IFERROR(__xludf.DUMMYFUNCTION("""COMPUTED_VALUE"""),""",")</f>
        <v>",</v>
      </c>
    </row>
    <row r="378">
      <c r="A378" s="9" t="str">
        <f>IFERROR(__xludf.DUMMYFUNCTION("""COMPUTED_VALUE"""),"""")</f>
        <v>"</v>
      </c>
      <c r="B378" s="9" t="s">
        <v>387</v>
      </c>
      <c r="C378" s="9" t="str">
        <f>IFERROR(__xludf.DUMMYFUNCTION("""COMPUTED_VALUE"""),""":""")</f>
        <v>":"</v>
      </c>
      <c r="D378" s="24">
        <v>2.284642062630404E19</v>
      </c>
      <c r="E378" s="9" t="str">
        <f>IFERROR(__xludf.DUMMYFUNCTION("""COMPUTED_VALUE"""),""",")</f>
        <v>",</v>
      </c>
    </row>
    <row r="379">
      <c r="A379" s="9" t="str">
        <f>IFERROR(__xludf.DUMMYFUNCTION("""COMPUTED_VALUE"""),"""")</f>
        <v>"</v>
      </c>
      <c r="B379" s="9" t="s">
        <v>388</v>
      </c>
      <c r="C379" s="9" t="str">
        <f>IFERROR(__xludf.DUMMYFUNCTION("""COMPUTED_VALUE"""),""":""")</f>
        <v>":"</v>
      </c>
      <c r="D379" s="24">
        <v>6.6329957986664315E18</v>
      </c>
      <c r="E379" s="9" t="str">
        <f>IFERROR(__xludf.DUMMYFUNCTION("""COMPUTED_VALUE"""),""",")</f>
        <v>",</v>
      </c>
    </row>
    <row r="380">
      <c r="A380" s="9" t="str">
        <f>IFERROR(__xludf.DUMMYFUNCTION("""COMPUTED_VALUE"""),"""")</f>
        <v>"</v>
      </c>
      <c r="B380" s="9" t="s">
        <v>389</v>
      </c>
      <c r="C380" s="9" t="str">
        <f>IFERROR(__xludf.DUMMYFUNCTION("""COMPUTED_VALUE"""),""":""")</f>
        <v>":"</v>
      </c>
      <c r="D380" s="24">
        <v>6.2005979458241782E18</v>
      </c>
      <c r="E380" s="9" t="str">
        <f>IFERROR(__xludf.DUMMYFUNCTION("""COMPUTED_VALUE"""),""",")</f>
        <v>",</v>
      </c>
    </row>
    <row r="381">
      <c r="A381" s="9" t="str">
        <f>IFERROR(__xludf.DUMMYFUNCTION("""COMPUTED_VALUE"""),"""")</f>
        <v>"</v>
      </c>
      <c r="B381" s="9" t="s">
        <v>390</v>
      </c>
      <c r="C381" s="9" t="str">
        <f>IFERROR(__xludf.DUMMYFUNCTION("""COMPUTED_VALUE"""),""":""")</f>
        <v>":"</v>
      </c>
      <c r="D381" s="24">
        <v>2.5592862300451558E18</v>
      </c>
      <c r="E381" s="9" t="str">
        <f>IFERROR(__xludf.DUMMYFUNCTION("""COMPUTED_VALUE"""),""",")</f>
        <v>",</v>
      </c>
    </row>
    <row r="382">
      <c r="A382" s="9" t="str">
        <f>IFERROR(__xludf.DUMMYFUNCTION("""COMPUTED_VALUE"""),"""")</f>
        <v>"</v>
      </c>
      <c r="B382" s="9" t="s">
        <v>391</v>
      </c>
      <c r="C382" s="9" t="str">
        <f>IFERROR(__xludf.DUMMYFUNCTION("""COMPUTED_VALUE"""),""":""")</f>
        <v>":"</v>
      </c>
      <c r="D382" s="24">
        <v>2.182179214571075E20</v>
      </c>
      <c r="E382" s="9" t="str">
        <f>IFERROR(__xludf.DUMMYFUNCTION("""COMPUTED_VALUE"""),""",")</f>
        <v>",</v>
      </c>
    </row>
    <row r="383">
      <c r="A383" s="9" t="str">
        <f>IFERROR(__xludf.DUMMYFUNCTION("""COMPUTED_VALUE"""),"""")</f>
        <v>"</v>
      </c>
      <c r="B383" s="9" t="s">
        <v>392</v>
      </c>
      <c r="C383" s="9" t="str">
        <f>IFERROR(__xludf.DUMMYFUNCTION("""COMPUTED_VALUE"""),""":""")</f>
        <v>":"</v>
      </c>
      <c r="D383" s="24">
        <v>6.2005979458241782E18</v>
      </c>
      <c r="E383" s="9" t="str">
        <f>IFERROR(__xludf.DUMMYFUNCTION("""COMPUTED_VALUE"""),""",")</f>
        <v>",</v>
      </c>
    </row>
    <row r="384">
      <c r="A384" s="9" t="str">
        <f>IFERROR(__xludf.DUMMYFUNCTION("""COMPUTED_VALUE"""),"""")</f>
        <v>"</v>
      </c>
      <c r="B384" s="9" t="s">
        <v>393</v>
      </c>
      <c r="C384" s="9" t="str">
        <f>IFERROR(__xludf.DUMMYFUNCTION("""COMPUTED_VALUE"""),""":""")</f>
        <v>":"</v>
      </c>
      <c r="D384" s="24">
        <v>5.2233060131564216E18</v>
      </c>
      <c r="E384" s="9" t="str">
        <f>IFERROR(__xludf.DUMMYFUNCTION("""COMPUTED_VALUE"""),""",")</f>
        <v>",</v>
      </c>
    </row>
    <row r="385">
      <c r="A385" s="9" t="str">
        <f>IFERROR(__xludf.DUMMYFUNCTION("""COMPUTED_VALUE"""),"""")</f>
        <v>"</v>
      </c>
      <c r="B385" s="9" t="s">
        <v>394</v>
      </c>
      <c r="C385" s="9" t="str">
        <f>IFERROR(__xludf.DUMMYFUNCTION("""COMPUTED_VALUE"""),""":""")</f>
        <v>":"</v>
      </c>
      <c r="D385" s="24">
        <v>6.2005979458241782E18</v>
      </c>
      <c r="E385" s="9" t="str">
        <f>IFERROR(__xludf.DUMMYFUNCTION("""COMPUTED_VALUE"""),""",")</f>
        <v>",</v>
      </c>
    </row>
    <row r="386">
      <c r="A386" s="9" t="str">
        <f>IFERROR(__xludf.DUMMYFUNCTION("""COMPUTED_VALUE"""),"""")</f>
        <v>"</v>
      </c>
      <c r="B386" s="9" t="s">
        <v>395</v>
      </c>
      <c r="C386" s="9" t="str">
        <f>IFERROR(__xludf.DUMMYFUNCTION("""COMPUTED_VALUE"""),""":""")</f>
        <v>":"</v>
      </c>
      <c r="D386" s="24">
        <v>5.9480411071495567E18</v>
      </c>
      <c r="E386" s="9" t="str">
        <f>IFERROR(__xludf.DUMMYFUNCTION("""COMPUTED_VALUE"""),""",")</f>
        <v>",</v>
      </c>
    </row>
    <row r="387">
      <c r="A387" s="9" t="str">
        <f>IFERROR(__xludf.DUMMYFUNCTION("""COMPUTED_VALUE"""),"""")</f>
        <v>"</v>
      </c>
      <c r="B387" s="9" t="s">
        <v>396</v>
      </c>
      <c r="C387" s="9" t="str">
        <f>IFERROR(__xludf.DUMMYFUNCTION("""COMPUTED_VALUE"""),""":""")</f>
        <v>":"</v>
      </c>
      <c r="D387" s="24">
        <v>6.1987298003303557E18</v>
      </c>
      <c r="E387" s="9" t="str">
        <f>IFERROR(__xludf.DUMMYFUNCTION("""COMPUTED_VALUE"""),""",")</f>
        <v>",</v>
      </c>
    </row>
    <row r="388">
      <c r="A388" s="9" t="str">
        <f>IFERROR(__xludf.DUMMYFUNCTION("""COMPUTED_VALUE"""),"""")</f>
        <v>"</v>
      </c>
      <c r="B388" s="9" t="s">
        <v>397</v>
      </c>
      <c r="C388" s="9" t="str">
        <f>IFERROR(__xludf.DUMMYFUNCTION("""COMPUTED_VALUE"""),""":""")</f>
        <v>":"</v>
      </c>
      <c r="D388" s="24">
        <v>2.0248888511809958E19</v>
      </c>
      <c r="E388" s="9" t="str">
        <f>IFERROR(__xludf.DUMMYFUNCTION("""COMPUTED_VALUE"""),""",")</f>
        <v>",</v>
      </c>
    </row>
    <row r="389">
      <c r="A389" s="9" t="str">
        <f>IFERROR(__xludf.DUMMYFUNCTION("""COMPUTED_VALUE"""),"""")</f>
        <v>"</v>
      </c>
      <c r="B389" s="9" t="s">
        <v>398</v>
      </c>
      <c r="C389" s="9" t="str">
        <f>IFERROR(__xludf.DUMMYFUNCTION("""COMPUTED_VALUE"""),""":""")</f>
        <v>":"</v>
      </c>
      <c r="D389" s="24">
        <v>2.260739402999529E19</v>
      </c>
      <c r="E389" s="9" t="str">
        <f>IFERROR(__xludf.DUMMYFUNCTION("""COMPUTED_VALUE"""),""",")</f>
        <v>",</v>
      </c>
    </row>
    <row r="390">
      <c r="A390" s="9" t="str">
        <f>IFERROR(__xludf.DUMMYFUNCTION("""COMPUTED_VALUE"""),"""")</f>
        <v>"</v>
      </c>
      <c r="B390" s="9" t="s">
        <v>399</v>
      </c>
      <c r="C390" s="9" t="str">
        <f>IFERROR(__xludf.DUMMYFUNCTION("""COMPUTED_VALUE"""),""":""")</f>
        <v>":"</v>
      </c>
      <c r="D390" s="24">
        <v>5.6825548637223772E18</v>
      </c>
      <c r="E390" s="9" t="str">
        <f>IFERROR(__xludf.DUMMYFUNCTION("""COMPUTED_VALUE"""),""",")</f>
        <v>",</v>
      </c>
    </row>
    <row r="391">
      <c r="A391" s="9" t="str">
        <f>IFERROR(__xludf.DUMMYFUNCTION("""COMPUTED_VALUE"""),"""")</f>
        <v>"</v>
      </c>
      <c r="B391" s="9" t="s">
        <v>400</v>
      </c>
      <c r="C391" s="9" t="str">
        <f>IFERROR(__xludf.DUMMYFUNCTION("""COMPUTED_VALUE"""),""":""")</f>
        <v>":"</v>
      </c>
      <c r="D391" s="24">
        <v>6.2005979458241782E18</v>
      </c>
      <c r="E391" s="9" t="str">
        <f>IFERROR(__xludf.DUMMYFUNCTION("""COMPUTED_VALUE"""),""",")</f>
        <v>",</v>
      </c>
    </row>
    <row r="392">
      <c r="A392" s="9" t="str">
        <f>IFERROR(__xludf.DUMMYFUNCTION("""COMPUTED_VALUE"""),"""")</f>
        <v>"</v>
      </c>
      <c r="B392" s="9" t="s">
        <v>401</v>
      </c>
      <c r="C392" s="9" t="str">
        <f>IFERROR(__xludf.DUMMYFUNCTION("""COMPUTED_VALUE"""),""":""")</f>
        <v>":"</v>
      </c>
      <c r="D392" s="24">
        <v>9.0102560590213335E18</v>
      </c>
      <c r="E392" s="9" t="str">
        <f>IFERROR(__xludf.DUMMYFUNCTION("""COMPUTED_VALUE"""),""",")</f>
        <v>",</v>
      </c>
    </row>
    <row r="393">
      <c r="A393" s="9" t="str">
        <f>IFERROR(__xludf.DUMMYFUNCTION("""COMPUTED_VALUE"""),"""")</f>
        <v>"</v>
      </c>
      <c r="B393" s="9" t="s">
        <v>402</v>
      </c>
      <c r="C393" s="9" t="str">
        <f>IFERROR(__xludf.DUMMYFUNCTION("""COMPUTED_VALUE"""),""":""")</f>
        <v>":"</v>
      </c>
      <c r="D393" s="24">
        <v>6.2005979458241782E18</v>
      </c>
      <c r="E393" s="9" t="str">
        <f>IFERROR(__xludf.DUMMYFUNCTION("""COMPUTED_VALUE"""),""",")</f>
        <v>",</v>
      </c>
    </row>
    <row r="394">
      <c r="A394" s="9" t="str">
        <f>IFERROR(__xludf.DUMMYFUNCTION("""COMPUTED_VALUE"""),"""")</f>
        <v>"</v>
      </c>
      <c r="B394" s="9" t="s">
        <v>403</v>
      </c>
      <c r="C394" s="9" t="str">
        <f>IFERROR(__xludf.DUMMYFUNCTION("""COMPUTED_VALUE"""),""":""")</f>
        <v>":"</v>
      </c>
      <c r="D394" s="24">
        <v>6.2005979458241782E18</v>
      </c>
      <c r="E394" s="9" t="str">
        <f>IFERROR(__xludf.DUMMYFUNCTION("""COMPUTED_VALUE"""),""",")</f>
        <v>",</v>
      </c>
    </row>
    <row r="395">
      <c r="A395" s="9" t="str">
        <f>IFERROR(__xludf.DUMMYFUNCTION("""COMPUTED_VALUE"""),"""")</f>
        <v>"</v>
      </c>
      <c r="B395" s="9" t="s">
        <v>404</v>
      </c>
      <c r="C395" s="9" t="str">
        <f>IFERROR(__xludf.DUMMYFUNCTION("""COMPUTED_VALUE"""),""":""")</f>
        <v>":"</v>
      </c>
      <c r="D395" s="24">
        <v>3.4950415508446597E19</v>
      </c>
      <c r="E395" s="9" t="str">
        <f>IFERROR(__xludf.DUMMYFUNCTION("""COMPUTED_VALUE"""),""",")</f>
        <v>",</v>
      </c>
    </row>
    <row r="396">
      <c r="A396" s="9" t="str">
        <f>IFERROR(__xludf.DUMMYFUNCTION("""COMPUTED_VALUE"""),"""")</f>
        <v>"</v>
      </c>
      <c r="B396" s="9" t="s">
        <v>405</v>
      </c>
      <c r="C396" s="9" t="str">
        <f>IFERROR(__xludf.DUMMYFUNCTION("""COMPUTED_VALUE"""),""":""")</f>
        <v>":"</v>
      </c>
      <c r="D396" s="24">
        <v>1.3761890366636644E19</v>
      </c>
      <c r="E396" s="9" t="str">
        <f>IFERROR(__xludf.DUMMYFUNCTION("""COMPUTED_VALUE"""),""",")</f>
        <v>",</v>
      </c>
    </row>
    <row r="397">
      <c r="A397" s="9" t="str">
        <f>IFERROR(__xludf.DUMMYFUNCTION("""COMPUTED_VALUE"""),"""")</f>
        <v>"</v>
      </c>
      <c r="B397" s="9" t="s">
        <v>406</v>
      </c>
      <c r="C397" s="9" t="str">
        <f>IFERROR(__xludf.DUMMYFUNCTION("""COMPUTED_VALUE"""),""":""")</f>
        <v>":"</v>
      </c>
      <c r="D397" s="24">
        <v>6.2005979458241782E18</v>
      </c>
      <c r="E397" s="9" t="str">
        <f>IFERROR(__xludf.DUMMYFUNCTION("""COMPUTED_VALUE"""),""",")</f>
        <v>",</v>
      </c>
    </row>
    <row r="398">
      <c r="A398" s="9" t="str">
        <f>IFERROR(__xludf.DUMMYFUNCTION("""COMPUTED_VALUE"""),"""")</f>
        <v>"</v>
      </c>
      <c r="B398" s="9" t="s">
        <v>407</v>
      </c>
      <c r="C398" s="9" t="str">
        <f>IFERROR(__xludf.DUMMYFUNCTION("""COMPUTED_VALUE"""),""":""")</f>
        <v>":"</v>
      </c>
      <c r="D398" s="24">
        <v>6.2005979458241782E18</v>
      </c>
      <c r="E398" s="9" t="str">
        <f>IFERROR(__xludf.DUMMYFUNCTION("""COMPUTED_VALUE"""),""",")</f>
        <v>",</v>
      </c>
    </row>
    <row r="399">
      <c r="A399" s="9" t="str">
        <f>IFERROR(__xludf.DUMMYFUNCTION("""COMPUTED_VALUE"""),"""")</f>
        <v>"</v>
      </c>
      <c r="B399" s="9" t="s">
        <v>408</v>
      </c>
      <c r="C399" s="9" t="str">
        <f>IFERROR(__xludf.DUMMYFUNCTION("""COMPUTED_VALUE"""),""":""")</f>
        <v>":"</v>
      </c>
      <c r="D399" s="24">
        <v>4.615914050300289E18</v>
      </c>
      <c r="E399" s="9" t="str">
        <f>IFERROR(__xludf.DUMMYFUNCTION("""COMPUTED_VALUE"""),""",")</f>
        <v>",</v>
      </c>
    </row>
    <row r="400">
      <c r="A400" s="9" t="str">
        <f>IFERROR(__xludf.DUMMYFUNCTION("""COMPUTED_VALUE"""),"""")</f>
        <v>"</v>
      </c>
      <c r="B400" s="9" t="s">
        <v>409</v>
      </c>
      <c r="C400" s="9" t="str">
        <f>IFERROR(__xludf.DUMMYFUNCTION("""COMPUTED_VALUE"""),""":""")</f>
        <v>":"</v>
      </c>
      <c r="D400" s="24">
        <v>3.992972585770711E18</v>
      </c>
      <c r="E400" s="9" t="str">
        <f>IFERROR(__xludf.DUMMYFUNCTION("""COMPUTED_VALUE"""),""",")</f>
        <v>",</v>
      </c>
    </row>
    <row r="401">
      <c r="A401" s="9" t="str">
        <f>IFERROR(__xludf.DUMMYFUNCTION("""COMPUTED_VALUE"""),"""")</f>
        <v>"</v>
      </c>
      <c r="B401" s="9" t="s">
        <v>410</v>
      </c>
      <c r="C401" s="9" t="str">
        <f>IFERROR(__xludf.DUMMYFUNCTION("""COMPUTED_VALUE"""),""":""")</f>
        <v>":"</v>
      </c>
      <c r="D401" s="24">
        <v>6.2005979458241782E18</v>
      </c>
      <c r="E401" s="9" t="str">
        <f>IFERROR(__xludf.DUMMYFUNCTION("""COMPUTED_VALUE"""),""",")</f>
        <v>",</v>
      </c>
    </row>
    <row r="402">
      <c r="A402" s="9" t="str">
        <f>IFERROR(__xludf.DUMMYFUNCTION("""COMPUTED_VALUE"""),"""")</f>
        <v>"</v>
      </c>
      <c r="B402" s="9" t="s">
        <v>411</v>
      </c>
      <c r="C402" s="9" t="str">
        <f>IFERROR(__xludf.DUMMYFUNCTION("""COMPUTED_VALUE"""),""":""")</f>
        <v>":"</v>
      </c>
      <c r="D402" s="24">
        <v>6.2005979458241782E18</v>
      </c>
      <c r="E402" s="9" t="str">
        <f>IFERROR(__xludf.DUMMYFUNCTION("""COMPUTED_VALUE"""),""",")</f>
        <v>",</v>
      </c>
    </row>
    <row r="403">
      <c r="A403" s="9" t="str">
        <f>IFERROR(__xludf.DUMMYFUNCTION("""COMPUTED_VALUE"""),"""")</f>
        <v>"</v>
      </c>
      <c r="B403" s="9" t="s">
        <v>412</v>
      </c>
      <c r="C403" s="9" t="str">
        <f>IFERROR(__xludf.DUMMYFUNCTION("""COMPUTED_VALUE"""),""":""")</f>
        <v>":"</v>
      </c>
      <c r="D403" s="24">
        <v>5.0200898870483108E18</v>
      </c>
      <c r="E403" s="9" t="str">
        <f>IFERROR(__xludf.DUMMYFUNCTION("""COMPUTED_VALUE"""),""",")</f>
        <v>",</v>
      </c>
    </row>
    <row r="404">
      <c r="A404" s="9" t="str">
        <f>IFERROR(__xludf.DUMMYFUNCTION("""COMPUTED_VALUE"""),"""")</f>
        <v>"</v>
      </c>
      <c r="B404" s="9" t="s">
        <v>413</v>
      </c>
      <c r="C404" s="9" t="str">
        <f>IFERROR(__xludf.DUMMYFUNCTION("""COMPUTED_VALUE"""),""":""")</f>
        <v>":"</v>
      </c>
      <c r="D404" s="24">
        <v>3.1723721841277225E18</v>
      </c>
      <c r="E404" s="9" t="str">
        <f>IFERROR(__xludf.DUMMYFUNCTION("""COMPUTED_VALUE"""),""",")</f>
        <v>",</v>
      </c>
    </row>
    <row r="405">
      <c r="A405" s="9" t="str">
        <f>IFERROR(__xludf.DUMMYFUNCTION("""COMPUTED_VALUE"""),"""")</f>
        <v>"</v>
      </c>
      <c r="B405" s="9" t="s">
        <v>414</v>
      </c>
      <c r="C405" s="9" t="str">
        <f>IFERROR(__xludf.DUMMYFUNCTION("""COMPUTED_VALUE"""),""":""")</f>
        <v>":"</v>
      </c>
      <c r="D405" s="24">
        <v>4.3916115384199112E18</v>
      </c>
      <c r="E405" s="9" t="str">
        <f>IFERROR(__xludf.DUMMYFUNCTION("""COMPUTED_VALUE"""),""",")</f>
        <v>",</v>
      </c>
    </row>
    <row r="406">
      <c r="A406" s="9" t="str">
        <f>IFERROR(__xludf.DUMMYFUNCTION("""COMPUTED_VALUE"""),"""")</f>
        <v>"</v>
      </c>
      <c r="B406" s="9" t="s">
        <v>415</v>
      </c>
      <c r="C406" s="9" t="str">
        <f>IFERROR(__xludf.DUMMYFUNCTION("""COMPUTED_VALUE"""),""":""")</f>
        <v>":"</v>
      </c>
      <c r="D406" s="24">
        <v>1.749480622790969E19</v>
      </c>
      <c r="E406" s="9" t="str">
        <f>IFERROR(__xludf.DUMMYFUNCTION("""COMPUTED_VALUE"""),""",")</f>
        <v>",</v>
      </c>
    </row>
    <row r="407">
      <c r="A407" s="9" t="str">
        <f>IFERROR(__xludf.DUMMYFUNCTION("""COMPUTED_VALUE"""),"""")</f>
        <v>"</v>
      </c>
      <c r="B407" s="9" t="s">
        <v>416</v>
      </c>
      <c r="C407" s="9" t="str">
        <f>IFERROR(__xludf.DUMMYFUNCTION("""COMPUTED_VALUE"""),""":""")</f>
        <v>":"</v>
      </c>
      <c r="D407" s="24">
        <v>5.9162369560709775E18</v>
      </c>
      <c r="E407" s="9" t="str">
        <f>IFERROR(__xludf.DUMMYFUNCTION("""COMPUTED_VALUE"""),""",")</f>
        <v>",</v>
      </c>
    </row>
    <row r="408">
      <c r="A408" s="9" t="str">
        <f>IFERROR(__xludf.DUMMYFUNCTION("""COMPUTED_VALUE"""),"""")</f>
        <v>"</v>
      </c>
      <c r="B408" s="9" t="s">
        <v>417</v>
      </c>
      <c r="C408" s="9" t="str">
        <f>IFERROR(__xludf.DUMMYFUNCTION("""COMPUTED_VALUE"""),""":""")</f>
        <v>":"</v>
      </c>
      <c r="D408" s="24">
        <v>6.2005979458241782E18</v>
      </c>
      <c r="E408" s="9" t="str">
        <f>IFERROR(__xludf.DUMMYFUNCTION("""COMPUTED_VALUE"""),""",")</f>
        <v>",</v>
      </c>
    </row>
    <row r="409">
      <c r="A409" s="9" t="str">
        <f>IFERROR(__xludf.DUMMYFUNCTION("""COMPUTED_VALUE"""),"""")</f>
        <v>"</v>
      </c>
      <c r="B409" s="9" t="s">
        <v>418</v>
      </c>
      <c r="C409" s="9" t="str">
        <f>IFERROR(__xludf.DUMMYFUNCTION("""COMPUTED_VALUE"""),""":""")</f>
        <v>":"</v>
      </c>
      <c r="D409" s="24">
        <v>6.1532485887751332E18</v>
      </c>
      <c r="E409" s="9" t="str">
        <f>IFERROR(__xludf.DUMMYFUNCTION("""COMPUTED_VALUE"""),""",")</f>
        <v>",</v>
      </c>
    </row>
    <row r="410">
      <c r="A410" s="9" t="str">
        <f>IFERROR(__xludf.DUMMYFUNCTION("""COMPUTED_VALUE"""),"""")</f>
        <v>"</v>
      </c>
      <c r="B410" s="9" t="s">
        <v>419</v>
      </c>
      <c r="C410" s="9" t="str">
        <f>IFERROR(__xludf.DUMMYFUNCTION("""COMPUTED_VALUE"""),""":""")</f>
        <v>":"</v>
      </c>
      <c r="D410" s="24">
        <v>2.0248888511809958E19</v>
      </c>
      <c r="E410" s="9" t="str">
        <f>IFERROR(__xludf.DUMMYFUNCTION("""COMPUTED_VALUE"""),""",")</f>
        <v>",</v>
      </c>
    </row>
    <row r="411">
      <c r="A411" s="9" t="str">
        <f>IFERROR(__xludf.DUMMYFUNCTION("""COMPUTED_VALUE"""),"""")</f>
        <v>"</v>
      </c>
      <c r="B411" s="9" t="s">
        <v>420</v>
      </c>
      <c r="C411" s="9" t="str">
        <f>IFERROR(__xludf.DUMMYFUNCTION("""COMPUTED_VALUE"""),""":""")</f>
        <v>":"</v>
      </c>
      <c r="D411" s="24">
        <v>6.0143686683760886E18</v>
      </c>
      <c r="E411" s="9" t="str">
        <f>IFERROR(__xludf.DUMMYFUNCTION("""COMPUTED_VALUE"""),""",")</f>
        <v>",</v>
      </c>
    </row>
    <row r="412">
      <c r="A412" s="9" t="str">
        <f>IFERROR(__xludf.DUMMYFUNCTION("""COMPUTED_VALUE"""),"""")</f>
        <v>"</v>
      </c>
      <c r="B412" s="9" t="s">
        <v>421</v>
      </c>
      <c r="C412" s="9" t="str">
        <f>IFERROR(__xludf.DUMMYFUNCTION("""COMPUTED_VALUE"""),""":""")</f>
        <v>":"</v>
      </c>
      <c r="D412" s="24">
        <v>1.9907402664731976E19</v>
      </c>
      <c r="E412" s="9" t="str">
        <f>IFERROR(__xludf.DUMMYFUNCTION("""COMPUTED_VALUE"""),""",")</f>
        <v>",</v>
      </c>
    </row>
    <row r="413">
      <c r="A413" s="9" t="str">
        <f>IFERROR(__xludf.DUMMYFUNCTION("""COMPUTED_VALUE"""),"""")</f>
        <v>"</v>
      </c>
      <c r="B413" s="9" t="s">
        <v>422</v>
      </c>
      <c r="C413" s="9" t="str">
        <f>IFERROR(__xludf.DUMMYFUNCTION("""COMPUTED_VALUE"""),""":""")</f>
        <v>":"</v>
      </c>
      <c r="D413" s="24">
        <v>6.2005979458241782E18</v>
      </c>
      <c r="E413" s="9" t="str">
        <f>IFERROR(__xludf.DUMMYFUNCTION("""COMPUTED_VALUE"""),""",")</f>
        <v>",</v>
      </c>
    </row>
    <row r="414">
      <c r="A414" s="9" t="str">
        <f>IFERROR(__xludf.DUMMYFUNCTION("""COMPUTED_VALUE"""),"""")</f>
        <v>"</v>
      </c>
      <c r="B414" s="9" t="s">
        <v>423</v>
      </c>
      <c r="C414" s="9" t="str">
        <f>IFERROR(__xludf.DUMMYFUNCTION("""COMPUTED_VALUE"""),""":""")</f>
        <v>":"</v>
      </c>
      <c r="D414" s="24">
        <v>6.2005979458241782E18</v>
      </c>
      <c r="E414" s="9" t="str">
        <f>IFERROR(__xludf.DUMMYFUNCTION("""COMPUTED_VALUE"""),""",")</f>
        <v>",</v>
      </c>
    </row>
    <row r="415">
      <c r="A415" s="9" t="str">
        <f>IFERROR(__xludf.DUMMYFUNCTION("""COMPUTED_VALUE"""),"""")</f>
        <v>"</v>
      </c>
      <c r="B415" s="9" t="s">
        <v>424</v>
      </c>
      <c r="C415" s="9" t="str">
        <f>IFERROR(__xludf.DUMMYFUNCTION("""COMPUTED_VALUE"""),""":""")</f>
        <v>":"</v>
      </c>
      <c r="D415" s="24">
        <v>2.5162662884431843E19</v>
      </c>
      <c r="E415" s="9" t="str">
        <f>IFERROR(__xludf.DUMMYFUNCTION("""COMPUTED_VALUE"""),""",")</f>
        <v>",</v>
      </c>
    </row>
    <row r="416">
      <c r="A416" s="9" t="str">
        <f>IFERROR(__xludf.DUMMYFUNCTION("""COMPUTED_VALUE"""),"""")</f>
        <v>"</v>
      </c>
      <c r="B416" s="9" t="s">
        <v>425</v>
      </c>
      <c r="C416" s="9" t="str">
        <f>IFERROR(__xludf.DUMMYFUNCTION("""COMPUTED_VALUE"""),""":""")</f>
        <v>":"</v>
      </c>
      <c r="D416" s="24">
        <v>4.5207536115328666E18</v>
      </c>
      <c r="E416" s="9" t="str">
        <f>IFERROR(__xludf.DUMMYFUNCTION("""COMPUTED_VALUE"""),""",")</f>
        <v>",</v>
      </c>
    </row>
    <row r="417">
      <c r="A417" s="9" t="str">
        <f>IFERROR(__xludf.DUMMYFUNCTION("""COMPUTED_VALUE"""),"""")</f>
        <v>"</v>
      </c>
      <c r="B417" s="9" t="s">
        <v>426</v>
      </c>
      <c r="C417" s="9" t="str">
        <f>IFERROR(__xludf.DUMMYFUNCTION("""COMPUTED_VALUE"""),""":""")</f>
        <v>":"</v>
      </c>
      <c r="D417" s="24">
        <v>6.4329494097604751E18</v>
      </c>
      <c r="E417" s="9" t="str">
        <f>IFERROR(__xludf.DUMMYFUNCTION("""COMPUTED_VALUE"""),""",")</f>
        <v>",</v>
      </c>
    </row>
    <row r="418">
      <c r="A418" s="9" t="str">
        <f>IFERROR(__xludf.DUMMYFUNCTION("""COMPUTED_VALUE"""),"""")</f>
        <v>"</v>
      </c>
      <c r="B418" s="9" t="s">
        <v>427</v>
      </c>
      <c r="C418" s="9" t="str">
        <f>IFERROR(__xludf.DUMMYFUNCTION("""COMPUTED_VALUE"""),""":""")</f>
        <v>":"</v>
      </c>
      <c r="D418" s="24">
        <v>5.8773242715635159E18</v>
      </c>
      <c r="E418" s="9" t="str">
        <f>IFERROR(__xludf.DUMMYFUNCTION("""COMPUTED_VALUE"""),""",")</f>
        <v>",</v>
      </c>
    </row>
    <row r="419">
      <c r="A419" s="9" t="str">
        <f>IFERROR(__xludf.DUMMYFUNCTION("""COMPUTED_VALUE"""),"""")</f>
        <v>"</v>
      </c>
      <c r="B419" s="9" t="s">
        <v>428</v>
      </c>
      <c r="C419" s="9" t="str">
        <f>IFERROR(__xludf.DUMMYFUNCTION("""COMPUTED_VALUE"""),""":""")</f>
        <v>":"</v>
      </c>
      <c r="D419" s="24">
        <v>5.5686185741366446E18</v>
      </c>
      <c r="E419" s="9" t="str">
        <f>IFERROR(__xludf.DUMMYFUNCTION("""COMPUTED_VALUE"""),""",")</f>
        <v>",</v>
      </c>
    </row>
    <row r="420">
      <c r="A420" s="9" t="str">
        <f>IFERROR(__xludf.DUMMYFUNCTION("""COMPUTED_VALUE"""),"""")</f>
        <v>"</v>
      </c>
      <c r="B420" s="9" t="s">
        <v>429</v>
      </c>
      <c r="C420" s="9" t="str">
        <f>IFERROR(__xludf.DUMMYFUNCTION("""COMPUTED_VALUE"""),""":""")</f>
        <v>":"</v>
      </c>
      <c r="D420" s="24">
        <v>2.0248888511809958E19</v>
      </c>
      <c r="E420" s="9" t="str">
        <f>IFERROR(__xludf.DUMMYFUNCTION("""COMPUTED_VALUE"""),""",")</f>
        <v>",</v>
      </c>
    </row>
    <row r="421">
      <c r="A421" s="9" t="str">
        <f>IFERROR(__xludf.DUMMYFUNCTION("""COMPUTED_VALUE"""),"""")</f>
        <v>"</v>
      </c>
      <c r="B421" s="9" t="s">
        <v>430</v>
      </c>
      <c r="C421" s="9" t="str">
        <f>IFERROR(__xludf.DUMMYFUNCTION("""COMPUTED_VALUE"""),""":""")</f>
        <v>":"</v>
      </c>
      <c r="D421" s="24">
        <v>5.2931528040383775E18</v>
      </c>
      <c r="E421" s="9" t="str">
        <f>IFERROR(__xludf.DUMMYFUNCTION("""COMPUTED_VALUE"""),""",")</f>
        <v>",</v>
      </c>
    </row>
    <row r="422">
      <c r="A422" s="9" t="str">
        <f>IFERROR(__xludf.DUMMYFUNCTION("""COMPUTED_VALUE"""),"""")</f>
        <v>"</v>
      </c>
      <c r="B422" s="9" t="s">
        <v>431</v>
      </c>
      <c r="C422" s="9" t="str">
        <f>IFERROR(__xludf.DUMMYFUNCTION("""COMPUTED_VALUE"""),""":""")</f>
        <v>":"</v>
      </c>
      <c r="D422" s="24">
        <v>6.2005979458241782E18</v>
      </c>
      <c r="E422" s="9" t="str">
        <f>IFERROR(__xludf.DUMMYFUNCTION("""COMPUTED_VALUE"""),""",")</f>
        <v>",</v>
      </c>
    </row>
    <row r="423">
      <c r="A423" s="9" t="str">
        <f>IFERROR(__xludf.DUMMYFUNCTION("""COMPUTED_VALUE"""),"""")</f>
        <v>"</v>
      </c>
      <c r="B423" s="9" t="s">
        <v>432</v>
      </c>
      <c r="C423" s="9" t="str">
        <f>IFERROR(__xludf.DUMMYFUNCTION("""COMPUTED_VALUE"""),""":""")</f>
        <v>":"</v>
      </c>
      <c r="D423" s="24">
        <v>2.0248888511809958E19</v>
      </c>
      <c r="E423" s="9" t="str">
        <f>IFERROR(__xludf.DUMMYFUNCTION("""COMPUTED_VALUE"""),""",")</f>
        <v>",</v>
      </c>
    </row>
    <row r="424">
      <c r="A424" s="9" t="str">
        <f>IFERROR(__xludf.DUMMYFUNCTION("""COMPUTED_VALUE"""),"""")</f>
        <v>"</v>
      </c>
      <c r="B424" s="9" t="s">
        <v>433</v>
      </c>
      <c r="C424" s="9" t="str">
        <f>IFERROR(__xludf.DUMMYFUNCTION("""COMPUTED_VALUE"""),""":""")</f>
        <v>":"</v>
      </c>
      <c r="D424" s="24">
        <v>2.0248888511809958E19</v>
      </c>
      <c r="E424" s="9" t="str">
        <f>IFERROR(__xludf.DUMMYFUNCTION("""COMPUTED_VALUE"""),""",")</f>
        <v>",</v>
      </c>
    </row>
    <row r="425">
      <c r="A425" s="9" t="str">
        <f>IFERROR(__xludf.DUMMYFUNCTION("""COMPUTED_VALUE"""),"""")</f>
        <v>"</v>
      </c>
      <c r="B425" s="9" t="s">
        <v>434</v>
      </c>
      <c r="C425" s="9" t="str">
        <f>IFERROR(__xludf.DUMMYFUNCTION("""COMPUTED_VALUE"""),""":""")</f>
        <v>":"</v>
      </c>
      <c r="D425" s="24">
        <v>6.1407154414922445E18</v>
      </c>
      <c r="E425" s="9" t="str">
        <f>IFERROR(__xludf.DUMMYFUNCTION("""COMPUTED_VALUE"""),""",")</f>
        <v>",</v>
      </c>
    </row>
    <row r="426">
      <c r="A426" s="9" t="str">
        <f>IFERROR(__xludf.DUMMYFUNCTION("""COMPUTED_VALUE"""),"""")</f>
        <v>"</v>
      </c>
      <c r="B426" s="9" t="s">
        <v>435</v>
      </c>
      <c r="C426" s="9" t="str">
        <f>IFERROR(__xludf.DUMMYFUNCTION("""COMPUTED_VALUE"""),""":""")</f>
        <v>":"</v>
      </c>
      <c r="D426" s="24">
        <v>6.2005979458241782E18</v>
      </c>
      <c r="E426" s="9" t="str">
        <f>IFERROR(__xludf.DUMMYFUNCTION("""COMPUTED_VALUE"""),""",")</f>
        <v>",</v>
      </c>
    </row>
    <row r="427">
      <c r="A427" s="9" t="str">
        <f>IFERROR(__xludf.DUMMYFUNCTION("""COMPUTED_VALUE"""),"""")</f>
        <v>"</v>
      </c>
      <c r="B427" s="9" t="s">
        <v>436</v>
      </c>
      <c r="C427" s="9" t="str">
        <f>IFERROR(__xludf.DUMMYFUNCTION("""COMPUTED_VALUE"""),""":""")</f>
        <v>":"</v>
      </c>
      <c r="D427" s="24">
        <v>2.198260800399853E19</v>
      </c>
      <c r="E427" s="9" t="str">
        <f>IFERROR(__xludf.DUMMYFUNCTION("""COMPUTED_VALUE"""),""",")</f>
        <v>",</v>
      </c>
    </row>
    <row r="428">
      <c r="A428" s="9" t="str">
        <f>IFERROR(__xludf.DUMMYFUNCTION("""COMPUTED_VALUE"""),"""")</f>
        <v>"</v>
      </c>
      <c r="B428" s="9" t="s">
        <v>437</v>
      </c>
      <c r="C428" s="9" t="str">
        <f>IFERROR(__xludf.DUMMYFUNCTION("""COMPUTED_VALUE"""),""":""")</f>
        <v>":"</v>
      </c>
      <c r="D428" s="24">
        <v>1.5493094277344356E19</v>
      </c>
      <c r="E428" s="9" t="str">
        <f>IFERROR(__xludf.DUMMYFUNCTION("""COMPUTED_VALUE"""),""",")</f>
        <v>",</v>
      </c>
    </row>
    <row r="429">
      <c r="A429" s="9" t="str">
        <f>IFERROR(__xludf.DUMMYFUNCTION("""COMPUTED_VALUE"""),"""")</f>
        <v>"</v>
      </c>
      <c r="B429" s="9" t="s">
        <v>438</v>
      </c>
      <c r="C429" s="9" t="str">
        <f>IFERROR(__xludf.DUMMYFUNCTION("""COMPUTED_VALUE"""),""":""")</f>
        <v>":"</v>
      </c>
      <c r="D429" s="24">
        <v>2.0248888511809958E19</v>
      </c>
      <c r="E429" s="9" t="str">
        <f>IFERROR(__xludf.DUMMYFUNCTION("""COMPUTED_VALUE"""),""",")</f>
        <v>",</v>
      </c>
    </row>
    <row r="430">
      <c r="A430" s="9" t="str">
        <f>IFERROR(__xludf.DUMMYFUNCTION("""COMPUTED_VALUE"""),"""")</f>
        <v>"</v>
      </c>
      <c r="B430" s="9" t="s">
        <v>439</v>
      </c>
      <c r="C430" s="9" t="str">
        <f>IFERROR(__xludf.DUMMYFUNCTION("""COMPUTED_VALUE"""),""":""")</f>
        <v>":"</v>
      </c>
      <c r="D430" s="24">
        <v>1.540012491769471E19</v>
      </c>
      <c r="E430" s="9" t="str">
        <f>IFERROR(__xludf.DUMMYFUNCTION("""COMPUTED_VALUE"""),""",")</f>
        <v>",</v>
      </c>
    </row>
    <row r="431">
      <c r="A431" s="9" t="str">
        <f>IFERROR(__xludf.DUMMYFUNCTION("""COMPUTED_VALUE"""),"""")</f>
        <v>"</v>
      </c>
      <c r="B431" s="9" t="s">
        <v>440</v>
      </c>
      <c r="C431" s="9" t="str">
        <f>IFERROR(__xludf.DUMMYFUNCTION("""COMPUTED_VALUE"""),""":""")</f>
        <v>":"</v>
      </c>
      <c r="D431" s="24">
        <v>6.2005979458241782E18</v>
      </c>
      <c r="E431" s="9" t="str">
        <f>IFERROR(__xludf.DUMMYFUNCTION("""COMPUTED_VALUE"""),""",")</f>
        <v>",</v>
      </c>
    </row>
    <row r="432">
      <c r="A432" s="9" t="str">
        <f>IFERROR(__xludf.DUMMYFUNCTION("""COMPUTED_VALUE"""),"""")</f>
        <v>"</v>
      </c>
      <c r="B432" s="9" t="s">
        <v>441</v>
      </c>
      <c r="C432" s="9" t="str">
        <f>IFERROR(__xludf.DUMMYFUNCTION("""COMPUTED_VALUE"""),""":""")</f>
        <v>":"</v>
      </c>
      <c r="D432" s="24">
        <v>6.2005979458241782E18</v>
      </c>
      <c r="E432" s="9" t="str">
        <f>IFERROR(__xludf.DUMMYFUNCTION("""COMPUTED_VALUE"""),""",")</f>
        <v>",</v>
      </c>
    </row>
    <row r="433">
      <c r="A433" s="9" t="str">
        <f>IFERROR(__xludf.DUMMYFUNCTION("""COMPUTED_VALUE"""),"""")</f>
        <v>"</v>
      </c>
      <c r="B433" s="9" t="s">
        <v>442</v>
      </c>
      <c r="C433" s="9" t="str">
        <f>IFERROR(__xludf.DUMMYFUNCTION("""COMPUTED_VALUE"""),""":""")</f>
        <v>":"</v>
      </c>
      <c r="D433" s="24">
        <v>2.589856585273273E19</v>
      </c>
      <c r="E433" s="9" t="str">
        <f>IFERROR(__xludf.DUMMYFUNCTION("""COMPUTED_VALUE"""),""",")</f>
        <v>",</v>
      </c>
    </row>
    <row r="434">
      <c r="A434" s="9" t="str">
        <f>IFERROR(__xludf.DUMMYFUNCTION("""COMPUTED_VALUE"""),"""")</f>
        <v>"</v>
      </c>
      <c r="B434" s="9" t="s">
        <v>443</v>
      </c>
      <c r="C434" s="9" t="str">
        <f>IFERROR(__xludf.DUMMYFUNCTION("""COMPUTED_VALUE"""),""":""")</f>
        <v>":"</v>
      </c>
      <c r="D434" s="24">
        <v>6.2005979458241782E18</v>
      </c>
      <c r="E434" s="9" t="str">
        <f>IFERROR(__xludf.DUMMYFUNCTION("""COMPUTED_VALUE"""),""",")</f>
        <v>",</v>
      </c>
    </row>
    <row r="435">
      <c r="A435" s="9" t="str">
        <f>IFERROR(__xludf.DUMMYFUNCTION("""COMPUTED_VALUE"""),"""")</f>
        <v>"</v>
      </c>
      <c r="B435" s="9" t="s">
        <v>444</v>
      </c>
      <c r="C435" s="9" t="str">
        <f>IFERROR(__xludf.DUMMYFUNCTION("""COMPUTED_VALUE"""),""":""")</f>
        <v>":"</v>
      </c>
      <c r="D435" s="24">
        <v>2.1546082070336717E19</v>
      </c>
      <c r="E435" s="9" t="str">
        <f>IFERROR(__xludf.DUMMYFUNCTION("""COMPUTED_VALUE"""),""",")</f>
        <v>",</v>
      </c>
    </row>
    <row r="436">
      <c r="A436" s="9" t="str">
        <f>IFERROR(__xludf.DUMMYFUNCTION("""COMPUTED_VALUE"""),"""")</f>
        <v>"</v>
      </c>
      <c r="B436" s="9" t="s">
        <v>445</v>
      </c>
      <c r="C436" s="9" t="str">
        <f>IFERROR(__xludf.DUMMYFUNCTION("""COMPUTED_VALUE"""),""":""")</f>
        <v>":"</v>
      </c>
      <c r="D436" s="24">
        <v>6.2005979458241782E18</v>
      </c>
      <c r="E436" s="9" t="str">
        <f>IFERROR(__xludf.DUMMYFUNCTION("""COMPUTED_VALUE"""),""",")</f>
        <v>",</v>
      </c>
    </row>
    <row r="437">
      <c r="A437" s="9" t="str">
        <f>IFERROR(__xludf.DUMMYFUNCTION("""COMPUTED_VALUE"""),"""")</f>
        <v>"</v>
      </c>
      <c r="B437" s="9" t="s">
        <v>446</v>
      </c>
      <c r="C437" s="9" t="str">
        <f>IFERROR(__xludf.DUMMYFUNCTION("""COMPUTED_VALUE"""),""":""")</f>
        <v>":"</v>
      </c>
      <c r="D437" s="24">
        <v>3.9885699875497774E18</v>
      </c>
      <c r="E437" s="9" t="str">
        <f>IFERROR(__xludf.DUMMYFUNCTION("""COMPUTED_VALUE"""),""",")</f>
        <v>",</v>
      </c>
    </row>
    <row r="438">
      <c r="A438" s="9" t="str">
        <f>IFERROR(__xludf.DUMMYFUNCTION("""COMPUTED_VALUE"""),"""")</f>
        <v>"</v>
      </c>
      <c r="B438" s="9" t="s">
        <v>447</v>
      </c>
      <c r="C438" s="9" t="str">
        <f>IFERROR(__xludf.DUMMYFUNCTION("""COMPUTED_VALUE"""),""":""")</f>
        <v>":"</v>
      </c>
      <c r="D438" s="24">
        <v>6.4751634918331576E18</v>
      </c>
      <c r="E438" s="9" t="str">
        <f>IFERROR(__xludf.DUMMYFUNCTION("""COMPUTED_VALUE"""),""",")</f>
        <v>",</v>
      </c>
    </row>
    <row r="439">
      <c r="A439" s="9" t="str">
        <f>IFERROR(__xludf.DUMMYFUNCTION("""COMPUTED_VALUE"""),"""")</f>
        <v>"</v>
      </c>
      <c r="B439" s="9" t="s">
        <v>448</v>
      </c>
      <c r="C439" s="9" t="str">
        <f>IFERROR(__xludf.DUMMYFUNCTION("""COMPUTED_VALUE"""),""":""")</f>
        <v>":"</v>
      </c>
      <c r="D439" s="24">
        <v>5.8743641390844672E18</v>
      </c>
      <c r="E439" s="9" t="str">
        <f>IFERROR(__xludf.DUMMYFUNCTION("""COMPUTED_VALUE"""),""",")</f>
        <v>",</v>
      </c>
    </row>
    <row r="440">
      <c r="A440" s="9" t="str">
        <f>IFERROR(__xludf.DUMMYFUNCTION("""COMPUTED_VALUE"""),"""")</f>
        <v>"</v>
      </c>
      <c r="B440" s="9" t="s">
        <v>449</v>
      </c>
      <c r="C440" s="9" t="str">
        <f>IFERROR(__xludf.DUMMYFUNCTION("""COMPUTED_VALUE"""),""":""")</f>
        <v>":"</v>
      </c>
      <c r="D440" s="24">
        <v>2.892694045921285E19</v>
      </c>
      <c r="E440" s="9" t="str">
        <f>IFERROR(__xludf.DUMMYFUNCTION("""COMPUTED_VALUE"""),""",")</f>
        <v>",</v>
      </c>
    </row>
    <row r="441">
      <c r="A441" s="9" t="str">
        <f>IFERROR(__xludf.DUMMYFUNCTION("""COMPUTED_VALUE"""),"""")</f>
        <v>"</v>
      </c>
      <c r="B441" s="9" t="s">
        <v>450</v>
      </c>
      <c r="C441" s="9" t="str">
        <f>IFERROR(__xludf.DUMMYFUNCTION("""COMPUTED_VALUE"""),""":""")</f>
        <v>":"</v>
      </c>
      <c r="D441" s="24">
        <v>3.4922248940849398E19</v>
      </c>
      <c r="E441" s="9" t="str">
        <f>IFERROR(__xludf.DUMMYFUNCTION("""COMPUTED_VALUE"""),""",")</f>
        <v>",</v>
      </c>
    </row>
    <row r="442">
      <c r="A442" s="9" t="str">
        <f>IFERROR(__xludf.DUMMYFUNCTION("""COMPUTED_VALUE"""),"""")</f>
        <v>"</v>
      </c>
      <c r="B442" s="9" t="s">
        <v>451</v>
      </c>
      <c r="C442" s="9" t="str">
        <f>IFERROR(__xludf.DUMMYFUNCTION("""COMPUTED_VALUE"""),""":""")</f>
        <v>":"</v>
      </c>
      <c r="D442" s="24">
        <v>6.0284915226971116E18</v>
      </c>
      <c r="E442" s="9" t="str">
        <f>IFERROR(__xludf.DUMMYFUNCTION("""COMPUTED_VALUE"""),""",")</f>
        <v>",</v>
      </c>
    </row>
    <row r="443">
      <c r="A443" s="9" t="str">
        <f>IFERROR(__xludf.DUMMYFUNCTION("""COMPUTED_VALUE"""),"""")</f>
        <v>"</v>
      </c>
      <c r="B443" s="9" t="s">
        <v>452</v>
      </c>
      <c r="C443" s="9" t="str">
        <f>IFERROR(__xludf.DUMMYFUNCTION("""COMPUTED_VALUE"""),""":""")</f>
        <v>":"</v>
      </c>
      <c r="D443" s="24">
        <v>6.2005979458241782E18</v>
      </c>
      <c r="E443" s="9" t="str">
        <f>IFERROR(__xludf.DUMMYFUNCTION("""COMPUTED_VALUE"""),""",")</f>
        <v>",</v>
      </c>
    </row>
    <row r="444">
      <c r="A444" s="9" t="str">
        <f>IFERROR(__xludf.DUMMYFUNCTION("""COMPUTED_VALUE"""),"""")</f>
        <v>"</v>
      </c>
      <c r="B444" s="9" t="s">
        <v>453</v>
      </c>
      <c r="C444" s="9" t="str">
        <f>IFERROR(__xludf.DUMMYFUNCTION("""COMPUTED_VALUE"""),""":""")</f>
        <v>":"</v>
      </c>
      <c r="D444" s="24">
        <v>6.2005979458241782E18</v>
      </c>
      <c r="E444" s="9" t="str">
        <f>IFERROR(__xludf.DUMMYFUNCTION("""COMPUTED_VALUE"""),""",")</f>
        <v>",</v>
      </c>
    </row>
    <row r="445">
      <c r="A445" s="9" t="str">
        <f>IFERROR(__xludf.DUMMYFUNCTION("""COMPUTED_VALUE"""),"""")</f>
        <v>"</v>
      </c>
      <c r="B445" s="9" t="s">
        <v>454</v>
      </c>
      <c r="C445" s="9" t="str">
        <f>IFERROR(__xludf.DUMMYFUNCTION("""COMPUTED_VALUE"""),""":""")</f>
        <v>":"</v>
      </c>
      <c r="D445" s="24">
        <v>6.2005979458241782E18</v>
      </c>
      <c r="E445" s="9" t="str">
        <f>IFERROR(__xludf.DUMMYFUNCTION("""COMPUTED_VALUE"""),""",")</f>
        <v>",</v>
      </c>
    </row>
    <row r="446">
      <c r="A446" s="9" t="str">
        <f>IFERROR(__xludf.DUMMYFUNCTION("""COMPUTED_VALUE"""),"""")</f>
        <v>"</v>
      </c>
      <c r="B446" s="9" t="s">
        <v>455</v>
      </c>
      <c r="C446" s="9" t="str">
        <f>IFERROR(__xludf.DUMMYFUNCTION("""COMPUTED_VALUE"""),""":""")</f>
        <v>":"</v>
      </c>
      <c r="D446" s="24">
        <v>2.0248888511809958E19</v>
      </c>
      <c r="E446" s="9" t="str">
        <f>IFERROR(__xludf.DUMMYFUNCTION("""COMPUTED_VALUE"""),""",")</f>
        <v>",</v>
      </c>
    </row>
    <row r="447">
      <c r="A447" s="9" t="str">
        <f>IFERROR(__xludf.DUMMYFUNCTION("""COMPUTED_VALUE"""),"""")</f>
        <v>"</v>
      </c>
      <c r="B447" s="9" t="s">
        <v>456</v>
      </c>
      <c r="C447" s="9" t="str">
        <f>IFERROR(__xludf.DUMMYFUNCTION("""COMPUTED_VALUE"""),""":""")</f>
        <v>":"</v>
      </c>
      <c r="D447" s="24">
        <v>2.0248888511809958E19</v>
      </c>
      <c r="E447" s="9" t="str">
        <f>IFERROR(__xludf.DUMMYFUNCTION("""COMPUTED_VALUE"""),""",")</f>
        <v>",</v>
      </c>
    </row>
    <row r="448">
      <c r="A448" s="9" t="str">
        <f>IFERROR(__xludf.DUMMYFUNCTION("""COMPUTED_VALUE"""),"""")</f>
        <v>"</v>
      </c>
      <c r="B448" s="9" t="s">
        <v>457</v>
      </c>
      <c r="C448" s="9" t="str">
        <f>IFERROR(__xludf.DUMMYFUNCTION("""COMPUTED_VALUE"""),""":""")</f>
        <v>":"</v>
      </c>
      <c r="D448" s="24">
        <v>6.2005979458241782E18</v>
      </c>
      <c r="E448" s="9" t="str">
        <f>IFERROR(__xludf.DUMMYFUNCTION("""COMPUTED_VALUE"""),""",")</f>
        <v>",</v>
      </c>
    </row>
    <row r="449">
      <c r="A449" s="9" t="str">
        <f>IFERROR(__xludf.DUMMYFUNCTION("""COMPUTED_VALUE"""),"""")</f>
        <v>"</v>
      </c>
      <c r="B449" s="9" t="s">
        <v>458</v>
      </c>
      <c r="C449" s="9" t="str">
        <f>IFERROR(__xludf.DUMMYFUNCTION("""COMPUTED_VALUE"""),""":""")</f>
        <v>":"</v>
      </c>
      <c r="D449" s="24">
        <v>2.0803757752418275E19</v>
      </c>
      <c r="E449" s="9" t="str">
        <f>IFERROR(__xludf.DUMMYFUNCTION("""COMPUTED_VALUE"""),""",")</f>
        <v>",</v>
      </c>
    </row>
    <row r="450">
      <c r="A450" s="9" t="str">
        <f>IFERROR(__xludf.DUMMYFUNCTION("""COMPUTED_VALUE"""),"""")</f>
        <v>"</v>
      </c>
      <c r="B450" s="9" t="s">
        <v>459</v>
      </c>
      <c r="C450" s="9" t="str">
        <f>IFERROR(__xludf.DUMMYFUNCTION("""COMPUTED_VALUE"""),""":""")</f>
        <v>":"</v>
      </c>
      <c r="D450" s="24">
        <v>6.2005979458241782E18</v>
      </c>
      <c r="E450" s="9" t="str">
        <f>IFERROR(__xludf.DUMMYFUNCTION("""COMPUTED_VALUE"""),""",")</f>
        <v>",</v>
      </c>
    </row>
    <row r="451">
      <c r="A451" s="9" t="str">
        <f>IFERROR(__xludf.DUMMYFUNCTION("""COMPUTED_VALUE"""),"""")</f>
        <v>"</v>
      </c>
      <c r="B451" s="9" t="s">
        <v>460</v>
      </c>
      <c r="C451" s="9" t="str">
        <f>IFERROR(__xludf.DUMMYFUNCTION("""COMPUTED_VALUE"""),""":""")</f>
        <v>":"</v>
      </c>
      <c r="D451" s="24">
        <v>6.2005979458241782E18</v>
      </c>
      <c r="E451" s="9" t="str">
        <f>IFERROR(__xludf.DUMMYFUNCTION("""COMPUTED_VALUE"""),""",")</f>
        <v>",</v>
      </c>
    </row>
    <row r="452">
      <c r="A452" s="9" t="str">
        <f>IFERROR(__xludf.DUMMYFUNCTION("""COMPUTED_VALUE"""),"""")</f>
        <v>"</v>
      </c>
      <c r="B452" s="9" t="s">
        <v>461</v>
      </c>
      <c r="C452" s="9" t="str">
        <f>IFERROR(__xludf.DUMMYFUNCTION("""COMPUTED_VALUE"""),""":""")</f>
        <v>":"</v>
      </c>
      <c r="D452" s="24">
        <v>2.8502118097592443E18</v>
      </c>
      <c r="E452" s="9" t="str">
        <f>IFERROR(__xludf.DUMMYFUNCTION("""COMPUTED_VALUE"""),""",")</f>
        <v>",</v>
      </c>
    </row>
    <row r="453">
      <c r="A453" s="9" t="str">
        <f>IFERROR(__xludf.DUMMYFUNCTION("""COMPUTED_VALUE"""),"""")</f>
        <v>"</v>
      </c>
      <c r="B453" s="9" t="s">
        <v>462</v>
      </c>
      <c r="C453" s="9" t="str">
        <f>IFERROR(__xludf.DUMMYFUNCTION("""COMPUTED_VALUE"""),""":""")</f>
        <v>":"</v>
      </c>
      <c r="D453" s="24">
        <v>5.3807058009979331E18</v>
      </c>
      <c r="E453" s="9" t="str">
        <f>IFERROR(__xludf.DUMMYFUNCTION("""COMPUTED_VALUE"""),""",")</f>
        <v>",</v>
      </c>
    </row>
    <row r="454">
      <c r="A454" s="9" t="str">
        <f>IFERROR(__xludf.DUMMYFUNCTION("""COMPUTED_VALUE"""),"""")</f>
        <v>"</v>
      </c>
      <c r="B454" s="9" t="s">
        <v>463</v>
      </c>
      <c r="C454" s="9" t="str">
        <f>IFERROR(__xludf.DUMMYFUNCTION("""COMPUTED_VALUE"""),""":""")</f>
        <v>":"</v>
      </c>
      <c r="D454" s="24">
        <v>2.7775587083667333E18</v>
      </c>
      <c r="E454" s="9" t="str">
        <f>IFERROR(__xludf.DUMMYFUNCTION("""COMPUTED_VALUE"""),""",")</f>
        <v>",</v>
      </c>
    </row>
    <row r="455">
      <c r="A455" s="9" t="str">
        <f>IFERROR(__xludf.DUMMYFUNCTION("""COMPUTED_VALUE"""),"""")</f>
        <v>"</v>
      </c>
      <c r="B455" s="9" t="s">
        <v>464</v>
      </c>
      <c r="C455" s="9" t="str">
        <f>IFERROR(__xludf.DUMMYFUNCTION("""COMPUTED_VALUE"""),""":""")</f>
        <v>":"</v>
      </c>
      <c r="D455" s="24">
        <v>1.4629572285415645E19</v>
      </c>
      <c r="E455" s="9" t="str">
        <f>IFERROR(__xludf.DUMMYFUNCTION("""COMPUTED_VALUE"""),""",")</f>
        <v>",</v>
      </c>
    </row>
    <row r="456">
      <c r="A456" s="9" t="str">
        <f>IFERROR(__xludf.DUMMYFUNCTION("""COMPUTED_VALUE"""),"""")</f>
        <v>"</v>
      </c>
      <c r="B456" s="9" t="s">
        <v>465</v>
      </c>
      <c r="C456" s="9" t="str">
        <f>IFERROR(__xludf.DUMMYFUNCTION("""COMPUTED_VALUE"""),""":""")</f>
        <v>":"</v>
      </c>
      <c r="D456" s="24">
        <v>6.2005979458241782E18</v>
      </c>
      <c r="E456" s="9" t="str">
        <f>IFERROR(__xludf.DUMMYFUNCTION("""COMPUTED_VALUE"""),""",")</f>
        <v>",</v>
      </c>
    </row>
    <row r="457">
      <c r="A457" s="9" t="str">
        <f>IFERROR(__xludf.DUMMYFUNCTION("""COMPUTED_VALUE"""),"""")</f>
        <v>"</v>
      </c>
      <c r="B457" s="9" t="s">
        <v>466</v>
      </c>
      <c r="C457" s="9" t="str">
        <f>IFERROR(__xludf.DUMMYFUNCTION("""COMPUTED_VALUE"""),""":""")</f>
        <v>":"</v>
      </c>
      <c r="D457" s="24">
        <v>2.0248888511809958E19</v>
      </c>
      <c r="E457" s="9" t="str">
        <f>IFERROR(__xludf.DUMMYFUNCTION("""COMPUTED_VALUE"""),""",")</f>
        <v>",</v>
      </c>
    </row>
    <row r="458">
      <c r="A458" s="9" t="str">
        <f>IFERROR(__xludf.DUMMYFUNCTION("""COMPUTED_VALUE"""),"""")</f>
        <v>"</v>
      </c>
      <c r="B458" s="9" t="s">
        <v>467</v>
      </c>
      <c r="C458" s="9" t="str">
        <f>IFERROR(__xludf.DUMMYFUNCTION("""COMPUTED_VALUE"""),""":""")</f>
        <v>":"</v>
      </c>
      <c r="D458" s="24">
        <v>6.2005979458241782E18</v>
      </c>
      <c r="E458" s="9" t="str">
        <f>IFERROR(__xludf.DUMMYFUNCTION("""COMPUTED_VALUE"""),""",")</f>
        <v>",</v>
      </c>
    </row>
    <row r="459">
      <c r="A459" s="9" t="str">
        <f>IFERROR(__xludf.DUMMYFUNCTION("""COMPUTED_VALUE"""),"""")</f>
        <v>"</v>
      </c>
      <c r="B459" s="9" t="s">
        <v>468</v>
      </c>
      <c r="C459" s="9" t="str">
        <f>IFERROR(__xludf.DUMMYFUNCTION("""COMPUTED_VALUE"""),""":""")</f>
        <v>":"</v>
      </c>
      <c r="D459" s="24">
        <v>6.2005979458241782E18</v>
      </c>
      <c r="E459" s="9" t="str">
        <f>IFERROR(__xludf.DUMMYFUNCTION("""COMPUTED_VALUE"""),""",")</f>
        <v>",</v>
      </c>
    </row>
    <row r="460">
      <c r="A460" s="9" t="str">
        <f>IFERROR(__xludf.DUMMYFUNCTION("""COMPUTED_VALUE"""),"""")</f>
        <v>"</v>
      </c>
      <c r="B460" s="9" t="s">
        <v>469</v>
      </c>
      <c r="C460" s="9" t="str">
        <f>IFERROR(__xludf.DUMMYFUNCTION("""COMPUTED_VALUE"""),""":""")</f>
        <v>":"</v>
      </c>
      <c r="D460" s="24">
        <v>4.1707173556508667E18</v>
      </c>
      <c r="E460" s="9" t="str">
        <f>IFERROR(__xludf.DUMMYFUNCTION("""COMPUTED_VALUE"""),""",")</f>
        <v>",</v>
      </c>
    </row>
    <row r="461">
      <c r="A461" s="9" t="str">
        <f>IFERROR(__xludf.DUMMYFUNCTION("""COMPUTED_VALUE"""),"""")</f>
        <v>"</v>
      </c>
      <c r="B461" s="9" t="s">
        <v>470</v>
      </c>
      <c r="C461" s="9" t="str">
        <f>IFERROR(__xludf.DUMMYFUNCTION("""COMPUTED_VALUE"""),""":""")</f>
        <v>":"</v>
      </c>
      <c r="D461" s="24">
        <v>6.2005979458241782E18</v>
      </c>
      <c r="E461" s="9" t="str">
        <f>IFERROR(__xludf.DUMMYFUNCTION("""COMPUTED_VALUE"""),""",")</f>
        <v>",</v>
      </c>
    </row>
    <row r="462">
      <c r="A462" s="9" t="str">
        <f>IFERROR(__xludf.DUMMYFUNCTION("""COMPUTED_VALUE"""),"""")</f>
        <v>"</v>
      </c>
      <c r="B462" s="9" t="s">
        <v>471</v>
      </c>
      <c r="C462" s="9" t="str">
        <f>IFERROR(__xludf.DUMMYFUNCTION("""COMPUTED_VALUE"""),""":""")</f>
        <v>":"</v>
      </c>
      <c r="D462" s="24">
        <v>2.068128636465221E19</v>
      </c>
      <c r="E462" s="9" t="str">
        <f>IFERROR(__xludf.DUMMYFUNCTION("""COMPUTED_VALUE"""),""",")</f>
        <v>",</v>
      </c>
    </row>
    <row r="463">
      <c r="A463" s="9" t="str">
        <f>IFERROR(__xludf.DUMMYFUNCTION("""COMPUTED_VALUE"""),"""")</f>
        <v>"</v>
      </c>
      <c r="B463" s="9" t="s">
        <v>472</v>
      </c>
      <c r="C463" s="9" t="str">
        <f>IFERROR(__xludf.DUMMYFUNCTION("""COMPUTED_VALUE"""),""":""")</f>
        <v>":"</v>
      </c>
      <c r="D463" s="24">
        <v>1.55944531057043558E18</v>
      </c>
      <c r="E463" s="9" t="str">
        <f>IFERROR(__xludf.DUMMYFUNCTION("""COMPUTED_VALUE"""),""",")</f>
        <v>",</v>
      </c>
    </row>
    <row r="464">
      <c r="A464" s="9" t="str">
        <f>IFERROR(__xludf.DUMMYFUNCTION("""COMPUTED_VALUE"""),"""")</f>
        <v>"</v>
      </c>
      <c r="B464" s="9" t="s">
        <v>473</v>
      </c>
      <c r="C464" s="9" t="str">
        <f>IFERROR(__xludf.DUMMYFUNCTION("""COMPUTED_VALUE"""),""":""")</f>
        <v>":"</v>
      </c>
      <c r="D464" s="24">
        <v>6.1864567724142674E18</v>
      </c>
      <c r="E464" s="9" t="str">
        <f>IFERROR(__xludf.DUMMYFUNCTION("""COMPUTED_VALUE"""),""",")</f>
        <v>",</v>
      </c>
    </row>
    <row r="465">
      <c r="A465" s="9" t="str">
        <f>IFERROR(__xludf.DUMMYFUNCTION("""COMPUTED_VALUE"""),"""")</f>
        <v>"</v>
      </c>
      <c r="B465" s="9" t="s">
        <v>474</v>
      </c>
      <c r="C465" s="9" t="str">
        <f>IFERROR(__xludf.DUMMYFUNCTION("""COMPUTED_VALUE"""),""":""")</f>
        <v>":"</v>
      </c>
      <c r="D465" s="24">
        <v>2.0421847652946854E19</v>
      </c>
      <c r="E465" s="9" t="str">
        <f>IFERROR(__xludf.DUMMYFUNCTION("""COMPUTED_VALUE"""),""",")</f>
        <v>",</v>
      </c>
    </row>
    <row r="466">
      <c r="A466" s="9" t="str">
        <f>IFERROR(__xludf.DUMMYFUNCTION("""COMPUTED_VALUE"""),"""")</f>
        <v>"</v>
      </c>
      <c r="B466" s="9" t="s">
        <v>475</v>
      </c>
      <c r="C466" s="9" t="str">
        <f>IFERROR(__xludf.DUMMYFUNCTION("""COMPUTED_VALUE"""),""":""")</f>
        <v>":"</v>
      </c>
      <c r="D466" s="24">
        <v>6.2005979458241782E18</v>
      </c>
      <c r="E466" s="9" t="str">
        <f>IFERROR(__xludf.DUMMYFUNCTION("""COMPUTED_VALUE"""),""",")</f>
        <v>",</v>
      </c>
    </row>
    <row r="467">
      <c r="A467" s="9" t="str">
        <f>IFERROR(__xludf.DUMMYFUNCTION("""COMPUTED_VALUE"""),"""")</f>
        <v>"</v>
      </c>
      <c r="B467" s="9" t="s">
        <v>476</v>
      </c>
      <c r="C467" s="9" t="str">
        <f>IFERROR(__xludf.DUMMYFUNCTION("""COMPUTED_VALUE"""),""":""")</f>
        <v>":"</v>
      </c>
      <c r="D467" s="24">
        <v>6.2005979458241782E18</v>
      </c>
      <c r="E467" s="9" t="str">
        <f>IFERROR(__xludf.DUMMYFUNCTION("""COMPUTED_VALUE"""),""",")</f>
        <v>",</v>
      </c>
    </row>
    <row r="468">
      <c r="A468" s="9" t="str">
        <f>IFERROR(__xludf.DUMMYFUNCTION("""COMPUTED_VALUE"""),"""")</f>
        <v>"</v>
      </c>
      <c r="B468" s="9" t="s">
        <v>477</v>
      </c>
      <c r="C468" s="9" t="str">
        <f>IFERROR(__xludf.DUMMYFUNCTION("""COMPUTED_VALUE"""),""":""")</f>
        <v>":"</v>
      </c>
      <c r="D468" s="24">
        <v>6.2026887617560504E18</v>
      </c>
      <c r="E468" s="9" t="str">
        <f>IFERROR(__xludf.DUMMYFUNCTION("""COMPUTED_VALUE"""),""",")</f>
        <v>",</v>
      </c>
    </row>
    <row r="469">
      <c r="A469" s="9" t="str">
        <f>IFERROR(__xludf.DUMMYFUNCTION("""COMPUTED_VALUE"""),"""")</f>
        <v>"</v>
      </c>
      <c r="B469" s="9" t="s">
        <v>478</v>
      </c>
      <c r="C469" s="9" t="str">
        <f>IFERROR(__xludf.DUMMYFUNCTION("""COMPUTED_VALUE"""),""":""")</f>
        <v>":"</v>
      </c>
      <c r="D469" s="24">
        <v>2.0248888511809958E19</v>
      </c>
      <c r="E469" s="9" t="str">
        <f>IFERROR(__xludf.DUMMYFUNCTION("""COMPUTED_VALUE"""),""",")</f>
        <v>",</v>
      </c>
    </row>
    <row r="470">
      <c r="A470" s="9" t="str">
        <f>IFERROR(__xludf.DUMMYFUNCTION("""COMPUTED_VALUE"""),"""")</f>
        <v>"</v>
      </c>
      <c r="B470" s="9" t="s">
        <v>479</v>
      </c>
      <c r="C470" s="9" t="str">
        <f>IFERROR(__xludf.DUMMYFUNCTION("""COMPUTED_VALUE"""),""":""")</f>
        <v>":"</v>
      </c>
      <c r="D470" s="24">
        <v>2.0745435605425844E19</v>
      </c>
      <c r="E470" s="9" t="str">
        <f>IFERROR(__xludf.DUMMYFUNCTION("""COMPUTED_VALUE"""),""",")</f>
        <v>",</v>
      </c>
    </row>
    <row r="471">
      <c r="A471" s="9" t="str">
        <f>IFERROR(__xludf.DUMMYFUNCTION("""COMPUTED_VALUE"""),"""")</f>
        <v>"</v>
      </c>
      <c r="B471" s="9" t="s">
        <v>480</v>
      </c>
      <c r="C471" s="9" t="str">
        <f>IFERROR(__xludf.DUMMYFUNCTION("""COMPUTED_VALUE"""),""":""")</f>
        <v>":"</v>
      </c>
      <c r="D471" s="24">
        <v>6.2406047024979517E18</v>
      </c>
      <c r="E471" s="9" t="str">
        <f>IFERROR(__xludf.DUMMYFUNCTION("""COMPUTED_VALUE"""),""",")</f>
        <v>",</v>
      </c>
    </row>
    <row r="472">
      <c r="A472" s="9" t="str">
        <f>IFERROR(__xludf.DUMMYFUNCTION("""COMPUTED_VALUE"""),"""")</f>
        <v>"</v>
      </c>
      <c r="B472" s="9" t="s">
        <v>481</v>
      </c>
      <c r="C472" s="9" t="str">
        <f>IFERROR(__xludf.DUMMYFUNCTION("""COMPUTED_VALUE"""),""":""")</f>
        <v>":"</v>
      </c>
      <c r="D472" s="24">
        <v>6.2005979458241782E18</v>
      </c>
      <c r="E472" s="9" t="str">
        <f>IFERROR(__xludf.DUMMYFUNCTION("""COMPUTED_VALUE"""),""",")</f>
        <v>",</v>
      </c>
    </row>
    <row r="473">
      <c r="A473" s="9" t="str">
        <f>IFERROR(__xludf.DUMMYFUNCTION("""COMPUTED_VALUE"""),"""")</f>
        <v>"</v>
      </c>
      <c r="B473" s="9" t="s">
        <v>482</v>
      </c>
      <c r="C473" s="9" t="str">
        <f>IFERROR(__xludf.DUMMYFUNCTION("""COMPUTED_VALUE"""),""":""")</f>
        <v>":"</v>
      </c>
      <c r="D473" s="24">
        <v>6.1075938293091564E18</v>
      </c>
      <c r="E473" s="9" t="str">
        <f>IFERROR(__xludf.DUMMYFUNCTION("""COMPUTED_VALUE"""),""",")</f>
        <v>",</v>
      </c>
    </row>
    <row r="474">
      <c r="A474" s="9" t="str">
        <f>IFERROR(__xludf.DUMMYFUNCTION("""COMPUTED_VALUE"""),"""")</f>
        <v>"</v>
      </c>
      <c r="B474" s="9" t="s">
        <v>483</v>
      </c>
      <c r="C474" s="9" t="str">
        <f>IFERROR(__xludf.DUMMYFUNCTION("""COMPUTED_VALUE"""),""":""")</f>
        <v>":"</v>
      </c>
      <c r="D474" s="24">
        <v>3.937914750980475E19</v>
      </c>
      <c r="E474" s="9" t="str">
        <f>IFERROR(__xludf.DUMMYFUNCTION("""COMPUTED_VALUE"""),""",")</f>
        <v>",</v>
      </c>
    </row>
    <row r="475">
      <c r="A475" s="9" t="str">
        <f>IFERROR(__xludf.DUMMYFUNCTION("""COMPUTED_VALUE"""),"""")</f>
        <v>"</v>
      </c>
      <c r="B475" s="9" t="s">
        <v>484</v>
      </c>
      <c r="C475" s="9" t="str">
        <f>IFERROR(__xludf.DUMMYFUNCTION("""COMPUTED_VALUE"""),""":""")</f>
        <v>":"</v>
      </c>
      <c r="D475" s="24">
        <v>1.9298351203479114E19</v>
      </c>
      <c r="E475" s="9" t="str">
        <f>IFERROR(__xludf.DUMMYFUNCTION("""COMPUTED_VALUE"""),""",")</f>
        <v>",</v>
      </c>
    </row>
    <row r="476">
      <c r="A476" s="9" t="str">
        <f>IFERROR(__xludf.DUMMYFUNCTION("""COMPUTED_VALUE"""),"""")</f>
        <v>"</v>
      </c>
      <c r="B476" s="9" t="s">
        <v>485</v>
      </c>
      <c r="C476" s="9" t="str">
        <f>IFERROR(__xludf.DUMMYFUNCTION("""COMPUTED_VALUE"""),""":""")</f>
        <v>":"</v>
      </c>
      <c r="D476" s="24">
        <v>6.2005979458241782E18</v>
      </c>
      <c r="E476" s="9" t="str">
        <f>IFERROR(__xludf.DUMMYFUNCTION("""COMPUTED_VALUE"""),""",")</f>
        <v>",</v>
      </c>
    </row>
    <row r="477">
      <c r="A477" s="9" t="str">
        <f>IFERROR(__xludf.DUMMYFUNCTION("""COMPUTED_VALUE"""),"""")</f>
        <v>"</v>
      </c>
      <c r="B477" s="9" t="s">
        <v>486</v>
      </c>
      <c r="C477" s="9" t="str">
        <f>IFERROR(__xludf.DUMMYFUNCTION("""COMPUTED_VALUE"""),""":""")</f>
        <v>":"</v>
      </c>
      <c r="D477" s="24">
        <v>6.2005979458241782E18</v>
      </c>
      <c r="E477" s="9" t="str">
        <f>IFERROR(__xludf.DUMMYFUNCTION("""COMPUTED_VALUE"""),""",")</f>
        <v>",</v>
      </c>
    </row>
    <row r="478">
      <c r="A478" s="9" t="str">
        <f>IFERROR(__xludf.DUMMYFUNCTION("""COMPUTED_VALUE"""),"""")</f>
        <v>"</v>
      </c>
      <c r="B478" s="9" t="s">
        <v>487</v>
      </c>
      <c r="C478" s="9" t="str">
        <f>IFERROR(__xludf.DUMMYFUNCTION("""COMPUTED_VALUE"""),""":""")</f>
        <v>":"</v>
      </c>
      <c r="D478" s="24">
        <v>2.0248888511809958E19</v>
      </c>
      <c r="E478" s="9" t="str">
        <f>IFERROR(__xludf.DUMMYFUNCTION("""COMPUTED_VALUE"""),""",")</f>
        <v>",</v>
      </c>
    </row>
    <row r="479">
      <c r="A479" s="9" t="str">
        <f>IFERROR(__xludf.DUMMYFUNCTION("""COMPUTED_VALUE"""),"""")</f>
        <v>"</v>
      </c>
      <c r="B479" s="9" t="s">
        <v>488</v>
      </c>
      <c r="C479" s="9" t="str">
        <f>IFERROR(__xludf.DUMMYFUNCTION("""COMPUTED_VALUE"""),""":""")</f>
        <v>":"</v>
      </c>
      <c r="D479" s="24">
        <v>6.2005979458241782E18</v>
      </c>
      <c r="E479" s="9" t="str">
        <f>IFERROR(__xludf.DUMMYFUNCTION("""COMPUTED_VALUE"""),""",")</f>
        <v>",</v>
      </c>
    </row>
    <row r="480">
      <c r="A480" s="9" t="str">
        <f>IFERROR(__xludf.DUMMYFUNCTION("""COMPUTED_VALUE"""),"""")</f>
        <v>"</v>
      </c>
      <c r="B480" s="9" t="s">
        <v>489</v>
      </c>
      <c r="C480" s="9" t="str">
        <f>IFERROR(__xludf.DUMMYFUNCTION("""COMPUTED_VALUE"""),""":""")</f>
        <v>":"</v>
      </c>
      <c r="D480" s="24">
        <v>6.1425890005262449E18</v>
      </c>
      <c r="E480" s="9" t="str">
        <f>IFERROR(__xludf.DUMMYFUNCTION("""COMPUTED_VALUE"""),""",")</f>
        <v>",</v>
      </c>
    </row>
    <row r="481">
      <c r="A481" s="9" t="str">
        <f>IFERROR(__xludf.DUMMYFUNCTION("""COMPUTED_VALUE"""),"""")</f>
        <v>"</v>
      </c>
      <c r="B481" s="9" t="s">
        <v>490</v>
      </c>
      <c r="C481" s="9" t="str">
        <f>IFERROR(__xludf.DUMMYFUNCTION("""COMPUTED_VALUE"""),""":""")</f>
        <v>":"</v>
      </c>
      <c r="D481" s="24">
        <v>6.2005979458241782E18</v>
      </c>
      <c r="E481" s="9" t="str">
        <f>IFERROR(__xludf.DUMMYFUNCTION("""COMPUTED_VALUE"""),""",")</f>
        <v>",</v>
      </c>
    </row>
    <row r="482">
      <c r="A482" s="9" t="str">
        <f>IFERROR(__xludf.DUMMYFUNCTION("""COMPUTED_VALUE"""),"""")</f>
        <v>"</v>
      </c>
      <c r="B482" s="9" t="s">
        <v>491</v>
      </c>
      <c r="C482" s="9" t="str">
        <f>IFERROR(__xludf.DUMMYFUNCTION("""COMPUTED_VALUE"""),""":""")</f>
        <v>":"</v>
      </c>
      <c r="D482" s="24">
        <v>6.0541133103798221E18</v>
      </c>
      <c r="E482" s="9" t="str">
        <f>IFERROR(__xludf.DUMMYFUNCTION("""COMPUTED_VALUE"""),""",")</f>
        <v>",</v>
      </c>
    </row>
    <row r="483">
      <c r="A483" s="9" t="str">
        <f>IFERROR(__xludf.DUMMYFUNCTION("""COMPUTED_VALUE"""),"""")</f>
        <v>"</v>
      </c>
      <c r="B483" s="9" t="s">
        <v>492</v>
      </c>
      <c r="C483" s="9" t="str">
        <f>IFERROR(__xludf.DUMMYFUNCTION("""COMPUTED_VALUE"""),""":""")</f>
        <v>":"</v>
      </c>
      <c r="D483" s="24">
        <v>2.0248888511809958E19</v>
      </c>
      <c r="E483" s="9" t="str">
        <f>IFERROR(__xludf.DUMMYFUNCTION("""COMPUTED_VALUE"""),""",")</f>
        <v>",</v>
      </c>
    </row>
    <row r="484">
      <c r="A484" s="9" t="str">
        <f>IFERROR(__xludf.DUMMYFUNCTION("""COMPUTED_VALUE"""),"""")</f>
        <v>"</v>
      </c>
      <c r="B484" s="9" t="s">
        <v>493</v>
      </c>
      <c r="C484" s="9" t="str">
        <f>IFERROR(__xludf.DUMMYFUNCTION("""COMPUTED_VALUE"""),""":""")</f>
        <v>":"</v>
      </c>
      <c r="D484" s="24">
        <v>6.2005979458241782E18</v>
      </c>
      <c r="E484" s="9" t="str">
        <f>IFERROR(__xludf.DUMMYFUNCTION("""COMPUTED_VALUE"""),""",")</f>
        <v>",</v>
      </c>
    </row>
    <row r="485">
      <c r="A485" s="9" t="str">
        <f>IFERROR(__xludf.DUMMYFUNCTION("""COMPUTED_VALUE"""),"""")</f>
        <v>"</v>
      </c>
      <c r="B485" s="9" t="s">
        <v>494</v>
      </c>
      <c r="C485" s="9" t="str">
        <f>IFERROR(__xludf.DUMMYFUNCTION("""COMPUTED_VALUE"""),""":""")</f>
        <v>":"</v>
      </c>
      <c r="D485" s="24">
        <v>6.2005979458241782E18</v>
      </c>
      <c r="E485" s="9" t="str">
        <f>IFERROR(__xludf.DUMMYFUNCTION("""COMPUTED_VALUE"""),""",")</f>
        <v>",</v>
      </c>
    </row>
    <row r="486">
      <c r="A486" s="9" t="str">
        <f>IFERROR(__xludf.DUMMYFUNCTION("""COMPUTED_VALUE"""),"""")</f>
        <v>"</v>
      </c>
      <c r="B486" s="9" t="s">
        <v>495</v>
      </c>
      <c r="C486" s="9" t="str">
        <f>IFERROR(__xludf.DUMMYFUNCTION("""COMPUTED_VALUE"""),""":""")</f>
        <v>":"</v>
      </c>
      <c r="D486" s="24">
        <v>6.5964603674202552E18</v>
      </c>
      <c r="E486" s="9" t="str">
        <f>IFERROR(__xludf.DUMMYFUNCTION("""COMPUTED_VALUE"""),""",")</f>
        <v>",</v>
      </c>
    </row>
    <row r="487">
      <c r="A487" s="9" t="str">
        <f>IFERROR(__xludf.DUMMYFUNCTION("""COMPUTED_VALUE"""),"""")</f>
        <v>"</v>
      </c>
      <c r="B487" s="9" t="s">
        <v>496</v>
      </c>
      <c r="C487" s="9" t="str">
        <f>IFERROR(__xludf.DUMMYFUNCTION("""COMPUTED_VALUE"""),""":""")</f>
        <v>":"</v>
      </c>
      <c r="D487" s="24">
        <v>6.1686607174348227E18</v>
      </c>
      <c r="E487" s="9" t="str">
        <f>IFERROR(__xludf.DUMMYFUNCTION("""COMPUTED_VALUE"""),""",")</f>
        <v>",</v>
      </c>
    </row>
    <row r="488">
      <c r="A488" s="9" t="str">
        <f>IFERROR(__xludf.DUMMYFUNCTION("""COMPUTED_VALUE"""),"""")</f>
        <v>"</v>
      </c>
      <c r="B488" s="9" t="s">
        <v>497</v>
      </c>
      <c r="C488" s="9" t="str">
        <f>IFERROR(__xludf.DUMMYFUNCTION("""COMPUTED_VALUE"""),""":""")</f>
        <v>":"</v>
      </c>
      <c r="D488" s="24">
        <v>3.0670294188208673E19</v>
      </c>
      <c r="E488" s="9" t="str">
        <f>IFERROR(__xludf.DUMMYFUNCTION("""COMPUTED_VALUE"""),""",")</f>
        <v>",</v>
      </c>
    </row>
    <row r="489">
      <c r="A489" s="9" t="str">
        <f>IFERROR(__xludf.DUMMYFUNCTION("""COMPUTED_VALUE"""),"""")</f>
        <v>"</v>
      </c>
      <c r="B489" s="9" t="s">
        <v>498</v>
      </c>
      <c r="C489" s="9" t="str">
        <f>IFERROR(__xludf.DUMMYFUNCTION("""COMPUTED_VALUE"""),""":""")</f>
        <v>":"</v>
      </c>
      <c r="D489" s="24">
        <v>2.6010476589671997E18</v>
      </c>
      <c r="E489" s="9" t="str">
        <f>IFERROR(__xludf.DUMMYFUNCTION("""COMPUTED_VALUE"""),""",")</f>
        <v>",</v>
      </c>
    </row>
    <row r="490">
      <c r="A490" s="9" t="str">
        <f>IFERROR(__xludf.DUMMYFUNCTION("""COMPUTED_VALUE"""),"""")</f>
        <v>"</v>
      </c>
      <c r="B490" s="9" t="s">
        <v>499</v>
      </c>
      <c r="C490" s="9" t="str">
        <f>IFERROR(__xludf.DUMMYFUNCTION("""COMPUTED_VALUE"""),""":""")</f>
        <v>":"</v>
      </c>
      <c r="D490" s="24">
        <v>6.2005979458241782E18</v>
      </c>
      <c r="E490" s="9" t="str">
        <f>IFERROR(__xludf.DUMMYFUNCTION("""COMPUTED_VALUE"""),""",")</f>
        <v>",</v>
      </c>
    </row>
    <row r="491">
      <c r="A491" s="9" t="str">
        <f>IFERROR(__xludf.DUMMYFUNCTION("""COMPUTED_VALUE"""),"""")</f>
        <v>"</v>
      </c>
      <c r="B491" s="9" t="s">
        <v>500</v>
      </c>
      <c r="C491" s="9" t="str">
        <f>IFERROR(__xludf.DUMMYFUNCTION("""COMPUTED_VALUE"""),""":""")</f>
        <v>":"</v>
      </c>
      <c r="D491" s="24">
        <v>6.2005979458241782E18</v>
      </c>
      <c r="E491" s="9" t="str">
        <f>IFERROR(__xludf.DUMMYFUNCTION("""COMPUTED_VALUE"""),""",")</f>
        <v>",</v>
      </c>
    </row>
    <row r="492">
      <c r="A492" s="9" t="str">
        <f>IFERROR(__xludf.DUMMYFUNCTION("""COMPUTED_VALUE"""),"""")</f>
        <v>"</v>
      </c>
      <c r="B492" s="9" t="s">
        <v>501</v>
      </c>
      <c r="C492" s="9" t="str">
        <f>IFERROR(__xludf.DUMMYFUNCTION("""COMPUTED_VALUE"""),""":""")</f>
        <v>":"</v>
      </c>
      <c r="D492" s="24">
        <v>5.2124699924401336E18</v>
      </c>
      <c r="E492" s="9" t="str">
        <f>IFERROR(__xludf.DUMMYFUNCTION("""COMPUTED_VALUE"""),""",")</f>
        <v>",</v>
      </c>
    </row>
    <row r="493">
      <c r="A493" s="9" t="str">
        <f>IFERROR(__xludf.DUMMYFUNCTION("""COMPUTED_VALUE"""),"""")</f>
        <v>"</v>
      </c>
      <c r="B493" s="9" t="s">
        <v>502</v>
      </c>
      <c r="C493" s="9" t="str">
        <f>IFERROR(__xludf.DUMMYFUNCTION("""COMPUTED_VALUE"""),""":""")</f>
        <v>":"</v>
      </c>
      <c r="D493" s="24">
        <v>6.2005979458241782E18</v>
      </c>
      <c r="E493" s="9" t="str">
        <f>IFERROR(__xludf.DUMMYFUNCTION("""COMPUTED_VALUE"""),""",")</f>
        <v>",</v>
      </c>
    </row>
    <row r="494">
      <c r="A494" s="9" t="str">
        <f>IFERROR(__xludf.DUMMYFUNCTION("""COMPUTED_VALUE"""),"""")</f>
        <v>"</v>
      </c>
      <c r="B494" s="9" t="s">
        <v>503</v>
      </c>
      <c r="C494" s="9" t="str">
        <f>IFERROR(__xludf.DUMMYFUNCTION("""COMPUTED_VALUE"""),""":""")</f>
        <v>":"</v>
      </c>
      <c r="D494" s="24">
        <v>1.74392303986128E19</v>
      </c>
      <c r="E494" s="9" t="str">
        <f>IFERROR(__xludf.DUMMYFUNCTION("""COMPUTED_VALUE"""),""",")</f>
        <v>",</v>
      </c>
    </row>
    <row r="495">
      <c r="A495" s="9" t="str">
        <f>IFERROR(__xludf.DUMMYFUNCTION("""COMPUTED_VALUE"""),"""")</f>
        <v>"</v>
      </c>
      <c r="B495" s="9" t="s">
        <v>504</v>
      </c>
      <c r="C495" s="9" t="str">
        <f>IFERROR(__xludf.DUMMYFUNCTION("""COMPUTED_VALUE"""),""":""")</f>
        <v>":"</v>
      </c>
      <c r="D495" s="24">
        <v>6.2005979458241782E18</v>
      </c>
      <c r="E495" s="9" t="str">
        <f>IFERROR(__xludf.DUMMYFUNCTION("""COMPUTED_VALUE"""),""",")</f>
        <v>",</v>
      </c>
    </row>
    <row r="496">
      <c r="A496" s="9" t="str">
        <f>IFERROR(__xludf.DUMMYFUNCTION("""COMPUTED_VALUE"""),"""")</f>
        <v>"</v>
      </c>
      <c r="B496" s="9" t="s">
        <v>505</v>
      </c>
      <c r="C496" s="9" t="str">
        <f>IFERROR(__xludf.DUMMYFUNCTION("""COMPUTED_VALUE"""),""":""")</f>
        <v>":"</v>
      </c>
      <c r="D496" s="24">
        <v>2.0248888511809958E19</v>
      </c>
      <c r="E496" s="9" t="str">
        <f>IFERROR(__xludf.DUMMYFUNCTION("""COMPUTED_VALUE"""),""",")</f>
        <v>",</v>
      </c>
    </row>
    <row r="497">
      <c r="A497" s="9" t="str">
        <f>IFERROR(__xludf.DUMMYFUNCTION("""COMPUTED_VALUE"""),"""")</f>
        <v>"</v>
      </c>
      <c r="B497" s="9" t="s">
        <v>506</v>
      </c>
      <c r="C497" s="9" t="str">
        <f>IFERROR(__xludf.DUMMYFUNCTION("""COMPUTED_VALUE"""),""":""")</f>
        <v>":"</v>
      </c>
      <c r="D497" s="24">
        <v>5.9118551848718981E18</v>
      </c>
      <c r="E497" s="9" t="str">
        <f>IFERROR(__xludf.DUMMYFUNCTION("""COMPUTED_VALUE"""),""",")</f>
        <v>",</v>
      </c>
    </row>
    <row r="498">
      <c r="A498" s="9" t="str">
        <f>IFERROR(__xludf.DUMMYFUNCTION("""COMPUTED_VALUE"""),"""")</f>
        <v>"</v>
      </c>
      <c r="B498" s="9" t="s">
        <v>507</v>
      </c>
      <c r="C498" s="9" t="str">
        <f>IFERROR(__xludf.DUMMYFUNCTION("""COMPUTED_VALUE"""),""":""")</f>
        <v>":"</v>
      </c>
      <c r="D498" s="24">
        <v>2.0248888511809958E19</v>
      </c>
      <c r="E498" s="9" t="str">
        <f>IFERROR(__xludf.DUMMYFUNCTION("""COMPUTED_VALUE"""),""",")</f>
        <v>",</v>
      </c>
    </row>
    <row r="499">
      <c r="A499" s="9" t="str">
        <f>IFERROR(__xludf.DUMMYFUNCTION("""COMPUTED_VALUE"""),"""")</f>
        <v>"</v>
      </c>
      <c r="B499" s="9" t="s">
        <v>508</v>
      </c>
      <c r="C499" s="9" t="str">
        <f>IFERROR(__xludf.DUMMYFUNCTION("""COMPUTED_VALUE"""),""":""")</f>
        <v>":"</v>
      </c>
      <c r="D499" s="24">
        <v>6.2005979458241782E18</v>
      </c>
      <c r="E499" s="9" t="str">
        <f>IFERROR(__xludf.DUMMYFUNCTION("""COMPUTED_VALUE"""),""",")</f>
        <v>",</v>
      </c>
    </row>
    <row r="500">
      <c r="A500" s="9" t="str">
        <f>IFERROR(__xludf.DUMMYFUNCTION("""COMPUTED_VALUE"""),"""")</f>
        <v>"</v>
      </c>
      <c r="B500" s="9" t="s">
        <v>509</v>
      </c>
      <c r="C500" s="9" t="str">
        <f>IFERROR(__xludf.DUMMYFUNCTION("""COMPUTED_VALUE"""),""":""")</f>
        <v>":"</v>
      </c>
      <c r="D500" s="24">
        <v>1.95741631887787136E17</v>
      </c>
      <c r="E500" s="9" t="str">
        <f>IFERROR(__xludf.DUMMYFUNCTION("""COMPUTED_VALUE"""),""",")</f>
        <v>",</v>
      </c>
    </row>
    <row r="501">
      <c r="A501" s="9" t="str">
        <f>IFERROR(__xludf.DUMMYFUNCTION("""COMPUTED_VALUE"""),"""")</f>
        <v>"</v>
      </c>
      <c r="B501" s="9" t="s">
        <v>510</v>
      </c>
      <c r="C501" s="9" t="str">
        <f>IFERROR(__xludf.DUMMYFUNCTION("""COMPUTED_VALUE"""),""":""")</f>
        <v>":"</v>
      </c>
      <c r="D501" s="24">
        <v>5.6356701862287114E18</v>
      </c>
      <c r="E501" s="9" t="str">
        <f>IFERROR(__xludf.DUMMYFUNCTION("""COMPUTED_VALUE"""),""",")</f>
        <v>",</v>
      </c>
    </row>
    <row r="502">
      <c r="A502" s="9" t="str">
        <f>IFERROR(__xludf.DUMMYFUNCTION("""COMPUTED_VALUE"""),"""")</f>
        <v>"</v>
      </c>
      <c r="B502" s="9" t="s">
        <v>511</v>
      </c>
      <c r="C502" s="9" t="str">
        <f>IFERROR(__xludf.DUMMYFUNCTION("""COMPUTED_VALUE"""),""":""")</f>
        <v>":"</v>
      </c>
      <c r="D502" s="24">
        <v>2.0248888511809958E19</v>
      </c>
      <c r="E502" s="9" t="str">
        <f>IFERROR(__xludf.DUMMYFUNCTION("""COMPUTED_VALUE"""),""",")</f>
        <v>",</v>
      </c>
    </row>
    <row r="503">
      <c r="A503" s="9" t="str">
        <f>IFERROR(__xludf.DUMMYFUNCTION("""COMPUTED_VALUE"""),"""")</f>
        <v>"</v>
      </c>
      <c r="B503" s="9" t="s">
        <v>512</v>
      </c>
      <c r="C503" s="9" t="str">
        <f>IFERROR(__xludf.DUMMYFUNCTION("""COMPUTED_VALUE"""),""":""")</f>
        <v>":"</v>
      </c>
      <c r="D503" s="24">
        <v>1.7633891359511355E19</v>
      </c>
      <c r="E503" s="9" t="str">
        <f>IFERROR(__xludf.DUMMYFUNCTION("""COMPUTED_VALUE"""),""",")</f>
        <v>",</v>
      </c>
    </row>
    <row r="504">
      <c r="A504" s="9" t="str">
        <f>IFERROR(__xludf.DUMMYFUNCTION("""COMPUTED_VALUE"""),"""")</f>
        <v>"</v>
      </c>
      <c r="B504" s="9" t="s">
        <v>513</v>
      </c>
      <c r="C504" s="9" t="str">
        <f>IFERROR(__xludf.DUMMYFUNCTION("""COMPUTED_VALUE"""),""":""")</f>
        <v>":"</v>
      </c>
      <c r="D504" s="24">
        <v>4.0608107041341112E18</v>
      </c>
      <c r="E504" s="9" t="str">
        <f>IFERROR(__xludf.DUMMYFUNCTION("""COMPUTED_VALUE"""),""",")</f>
        <v>",</v>
      </c>
    </row>
    <row r="505">
      <c r="A505" s="9" t="str">
        <f>IFERROR(__xludf.DUMMYFUNCTION("""COMPUTED_VALUE"""),"""")</f>
        <v>"</v>
      </c>
      <c r="B505" s="9" t="s">
        <v>514</v>
      </c>
      <c r="C505" s="9" t="str">
        <f>IFERROR(__xludf.DUMMYFUNCTION("""COMPUTED_VALUE"""),""":""")</f>
        <v>":"</v>
      </c>
      <c r="D505" s="24">
        <v>6.108237555017285E19</v>
      </c>
      <c r="E505" s="9" t="str">
        <f>IFERROR(__xludf.DUMMYFUNCTION("""COMPUTED_VALUE"""),""",")</f>
        <v>",</v>
      </c>
    </row>
    <row r="506">
      <c r="A506" s="9" t="str">
        <f>IFERROR(__xludf.DUMMYFUNCTION("""COMPUTED_VALUE"""),"""")</f>
        <v>"</v>
      </c>
      <c r="B506" s="9" t="s">
        <v>515</v>
      </c>
      <c r="C506" s="9" t="str">
        <f>IFERROR(__xludf.DUMMYFUNCTION("""COMPUTED_VALUE"""),""":""")</f>
        <v>":"</v>
      </c>
      <c r="D506" s="24">
        <v>1.62113956213713101E18</v>
      </c>
      <c r="E506" s="9" t="str">
        <f>IFERROR(__xludf.DUMMYFUNCTION("""COMPUTED_VALUE"""),""",")</f>
        <v>",</v>
      </c>
    </row>
    <row r="507">
      <c r="A507" s="9" t="str">
        <f>IFERROR(__xludf.DUMMYFUNCTION("""COMPUTED_VALUE"""),"""")</f>
        <v>"</v>
      </c>
      <c r="B507" s="9" t="s">
        <v>516</v>
      </c>
      <c r="C507" s="9" t="str">
        <f>IFERROR(__xludf.DUMMYFUNCTION("""COMPUTED_VALUE"""),""":""")</f>
        <v>":"</v>
      </c>
      <c r="D507" s="24">
        <v>2.0248888511809958E19</v>
      </c>
      <c r="E507" s="9" t="str">
        <f>IFERROR(__xludf.DUMMYFUNCTION("""COMPUTED_VALUE"""),""",")</f>
        <v>",</v>
      </c>
    </row>
    <row r="508">
      <c r="A508" s="9" t="str">
        <f>IFERROR(__xludf.DUMMYFUNCTION("""COMPUTED_VALUE"""),"""")</f>
        <v>"</v>
      </c>
      <c r="B508" s="9" t="s">
        <v>517</v>
      </c>
      <c r="C508" s="9" t="str">
        <f>IFERROR(__xludf.DUMMYFUNCTION("""COMPUTED_VALUE"""),""":""")</f>
        <v>":"</v>
      </c>
      <c r="D508" s="24">
        <v>1.33372155810284877E18</v>
      </c>
      <c r="E508" s="9" t="str">
        <f>IFERROR(__xludf.DUMMYFUNCTION("""COMPUTED_VALUE"""),""",")</f>
        <v>",</v>
      </c>
    </row>
    <row r="509">
      <c r="A509" s="9" t="str">
        <f>IFERROR(__xludf.DUMMYFUNCTION("""COMPUTED_VALUE"""),"""")</f>
        <v>"</v>
      </c>
      <c r="B509" s="9" t="s">
        <v>518</v>
      </c>
      <c r="C509" s="9" t="str">
        <f>IFERROR(__xludf.DUMMYFUNCTION("""COMPUTED_VALUE"""),""":""")</f>
        <v>":"</v>
      </c>
      <c r="D509" s="24">
        <v>2.2843275628863468E19</v>
      </c>
      <c r="E509" s="9" t="str">
        <f>IFERROR(__xludf.DUMMYFUNCTION("""COMPUTED_VALUE"""),""",")</f>
        <v>",</v>
      </c>
    </row>
    <row r="510">
      <c r="A510" s="9" t="str">
        <f>IFERROR(__xludf.DUMMYFUNCTION("""COMPUTED_VALUE"""),"""")</f>
        <v>"</v>
      </c>
      <c r="B510" s="9" t="s">
        <v>519</v>
      </c>
      <c r="C510" s="9" t="str">
        <f>IFERROR(__xludf.DUMMYFUNCTION("""COMPUTED_VALUE"""),""":""")</f>
        <v>":"</v>
      </c>
      <c r="D510" s="24">
        <v>4.048194010017158E19</v>
      </c>
      <c r="E510" s="9" t="str">
        <f>IFERROR(__xludf.DUMMYFUNCTION("""COMPUTED_VALUE"""),""",")</f>
        <v>",</v>
      </c>
    </row>
    <row r="511">
      <c r="A511" s="9" t="str">
        <f>IFERROR(__xludf.DUMMYFUNCTION("""COMPUTED_VALUE"""),"""")</f>
        <v>"</v>
      </c>
      <c r="B511" s="9" t="s">
        <v>520</v>
      </c>
      <c r="C511" s="9" t="str">
        <f>IFERROR(__xludf.DUMMYFUNCTION("""COMPUTED_VALUE"""),""":""")</f>
        <v>":"</v>
      </c>
      <c r="D511" s="24">
        <v>5.8519225594206669E18</v>
      </c>
      <c r="E511" s="9" t="str">
        <f>IFERROR(__xludf.DUMMYFUNCTION("""COMPUTED_VALUE"""),""",")</f>
        <v>",</v>
      </c>
    </row>
    <row r="512">
      <c r="A512" s="9" t="str">
        <f>IFERROR(__xludf.DUMMYFUNCTION("""COMPUTED_VALUE"""),"""")</f>
        <v>"</v>
      </c>
      <c r="B512" s="9" t="s">
        <v>521</v>
      </c>
      <c r="C512" s="9" t="str">
        <f>IFERROR(__xludf.DUMMYFUNCTION("""COMPUTED_VALUE"""),""":""")</f>
        <v>":"</v>
      </c>
      <c r="D512" s="24">
        <v>1.4629572285415645E19</v>
      </c>
      <c r="E512" s="9" t="str">
        <f>IFERROR(__xludf.DUMMYFUNCTION("""COMPUTED_VALUE"""),""",")</f>
        <v>",</v>
      </c>
    </row>
    <row r="513">
      <c r="A513" s="9" t="str">
        <f>IFERROR(__xludf.DUMMYFUNCTION("""COMPUTED_VALUE"""),"""")</f>
        <v>"</v>
      </c>
      <c r="B513" s="9" t="s">
        <v>522</v>
      </c>
      <c r="C513" s="9" t="str">
        <f>IFERROR(__xludf.DUMMYFUNCTION("""COMPUTED_VALUE"""),""":""")</f>
        <v>":"</v>
      </c>
      <c r="D513" s="24">
        <v>6.2005979458241782E18</v>
      </c>
      <c r="E513" s="9" t="str">
        <f>IFERROR(__xludf.DUMMYFUNCTION("""COMPUTED_VALUE"""),""",")</f>
        <v>",</v>
      </c>
    </row>
    <row r="514">
      <c r="A514" s="9" t="str">
        <f>IFERROR(__xludf.DUMMYFUNCTION("""COMPUTED_VALUE"""),"""")</f>
        <v>"</v>
      </c>
      <c r="B514" s="9" t="s">
        <v>523</v>
      </c>
      <c r="C514" s="9" t="str">
        <f>IFERROR(__xludf.DUMMYFUNCTION("""COMPUTED_VALUE"""),""":""")</f>
        <v>":"</v>
      </c>
      <c r="D514" s="24">
        <v>6.2005979458241782E18</v>
      </c>
      <c r="E514" s="9" t="str">
        <f>IFERROR(__xludf.DUMMYFUNCTION("""COMPUTED_VALUE"""),""",")</f>
        <v>",</v>
      </c>
    </row>
    <row r="515">
      <c r="A515" s="9" t="str">
        <f>IFERROR(__xludf.DUMMYFUNCTION("""COMPUTED_VALUE"""),"""")</f>
        <v>"</v>
      </c>
      <c r="B515" s="9" t="s">
        <v>524</v>
      </c>
      <c r="C515" s="9" t="str">
        <f>IFERROR(__xludf.DUMMYFUNCTION("""COMPUTED_VALUE"""),""":""")</f>
        <v>":"</v>
      </c>
      <c r="D515" s="24">
        <v>6.2005979458241782E18</v>
      </c>
      <c r="E515" s="9" t="str">
        <f>IFERROR(__xludf.DUMMYFUNCTION("""COMPUTED_VALUE"""),""",")</f>
        <v>",</v>
      </c>
    </row>
    <row r="516">
      <c r="A516" s="9" t="str">
        <f>IFERROR(__xludf.DUMMYFUNCTION("""COMPUTED_VALUE"""),"""")</f>
        <v>"</v>
      </c>
      <c r="B516" s="9" t="s">
        <v>525</v>
      </c>
      <c r="C516" s="9" t="str">
        <f>IFERROR(__xludf.DUMMYFUNCTION("""COMPUTED_VALUE"""),""":""")</f>
        <v>":"</v>
      </c>
      <c r="D516" s="24">
        <v>3.1267840093143332E18</v>
      </c>
      <c r="E516" s="9" t="str">
        <f>IFERROR(__xludf.DUMMYFUNCTION("""COMPUTED_VALUE"""),""",")</f>
        <v>",</v>
      </c>
    </row>
    <row r="517">
      <c r="A517" s="9" t="str">
        <f>IFERROR(__xludf.DUMMYFUNCTION("""COMPUTED_VALUE"""),"""")</f>
        <v>"</v>
      </c>
      <c r="B517" s="9" t="s">
        <v>526</v>
      </c>
      <c r="C517" s="9" t="str">
        <f>IFERROR(__xludf.DUMMYFUNCTION("""COMPUTED_VALUE"""),""":""")</f>
        <v>":"</v>
      </c>
      <c r="D517" s="24">
        <v>6.2005979458241782E18</v>
      </c>
      <c r="E517" s="9" t="str">
        <f>IFERROR(__xludf.DUMMYFUNCTION("""COMPUTED_VALUE"""),""",")</f>
        <v>",</v>
      </c>
    </row>
    <row r="518">
      <c r="A518" s="9" t="str">
        <f>IFERROR(__xludf.DUMMYFUNCTION("""COMPUTED_VALUE"""),"""")</f>
        <v>"</v>
      </c>
      <c r="B518" s="9" t="s">
        <v>527</v>
      </c>
      <c r="C518" s="9" t="str">
        <f>IFERROR(__xludf.DUMMYFUNCTION("""COMPUTED_VALUE"""),""":""")</f>
        <v>":"</v>
      </c>
      <c r="D518" s="24">
        <v>2.0248888511809958E19</v>
      </c>
      <c r="E518" s="9" t="str">
        <f>IFERROR(__xludf.DUMMYFUNCTION("""COMPUTED_VALUE"""),""",")</f>
        <v>",</v>
      </c>
    </row>
    <row r="519">
      <c r="A519" s="9" t="str">
        <f>IFERROR(__xludf.DUMMYFUNCTION("""COMPUTED_VALUE"""),"""")</f>
        <v>"</v>
      </c>
      <c r="B519" s="9" t="s">
        <v>528</v>
      </c>
      <c r="C519" s="9" t="str">
        <f>IFERROR(__xludf.DUMMYFUNCTION("""COMPUTED_VALUE"""),""":""")</f>
        <v>":"</v>
      </c>
      <c r="D519" s="24">
        <v>6.439151951566039E17</v>
      </c>
      <c r="E519" s="9" t="str">
        <f>IFERROR(__xludf.DUMMYFUNCTION("""COMPUTED_VALUE"""),""",")</f>
        <v>",</v>
      </c>
    </row>
    <row r="520">
      <c r="A520" s="9" t="str">
        <f>IFERROR(__xludf.DUMMYFUNCTION("""COMPUTED_VALUE"""),"""")</f>
        <v>"</v>
      </c>
      <c r="B520" s="9" t="s">
        <v>529</v>
      </c>
      <c r="C520" s="9" t="str">
        <f>IFERROR(__xludf.DUMMYFUNCTION("""COMPUTED_VALUE"""),""":""")</f>
        <v>":"</v>
      </c>
      <c r="D520" s="24">
        <v>6.2005979458241782E18</v>
      </c>
      <c r="E520" s="9" t="str">
        <f>IFERROR(__xludf.DUMMYFUNCTION("""COMPUTED_VALUE"""),""",")</f>
        <v>",</v>
      </c>
    </row>
    <row r="521">
      <c r="A521" s="9" t="str">
        <f>IFERROR(__xludf.DUMMYFUNCTION("""COMPUTED_VALUE"""),"""")</f>
        <v>"</v>
      </c>
      <c r="B521" s="9" t="s">
        <v>530</v>
      </c>
      <c r="C521" s="9" t="str">
        <f>IFERROR(__xludf.DUMMYFUNCTION("""COMPUTED_VALUE"""),""":""")</f>
        <v>":"</v>
      </c>
      <c r="D521" s="24">
        <v>3.1200727563622001E18</v>
      </c>
      <c r="E521" s="9" t="str">
        <f>IFERROR(__xludf.DUMMYFUNCTION("""COMPUTED_VALUE"""),""",")</f>
        <v>",</v>
      </c>
    </row>
    <row r="522">
      <c r="A522" s="9" t="str">
        <f>IFERROR(__xludf.DUMMYFUNCTION("""COMPUTED_VALUE"""),"""")</f>
        <v>"</v>
      </c>
      <c r="B522" s="9" t="s">
        <v>531</v>
      </c>
      <c r="C522" s="9" t="str">
        <f>IFERROR(__xludf.DUMMYFUNCTION("""COMPUTED_VALUE"""),""":""")</f>
        <v>":"</v>
      </c>
      <c r="D522" s="24">
        <v>6.2005979458241782E18</v>
      </c>
      <c r="E522" s="9" t="str">
        <f>IFERROR(__xludf.DUMMYFUNCTION("""COMPUTED_VALUE"""),""",")</f>
        <v>",</v>
      </c>
    </row>
    <row r="523">
      <c r="A523" s="9" t="str">
        <f>IFERROR(__xludf.DUMMYFUNCTION("""COMPUTED_VALUE"""),"""")</f>
        <v>"</v>
      </c>
      <c r="B523" s="9" t="s">
        <v>532</v>
      </c>
      <c r="C523" s="9" t="str">
        <f>IFERROR(__xludf.DUMMYFUNCTION("""COMPUTED_VALUE"""),""":""")</f>
        <v>":"</v>
      </c>
      <c r="D523" s="24">
        <v>3.149123268570856E19</v>
      </c>
      <c r="E523" s="9" t="str">
        <f>IFERROR(__xludf.DUMMYFUNCTION("""COMPUTED_VALUE"""),""",")</f>
        <v>",</v>
      </c>
    </row>
    <row r="524">
      <c r="A524" s="9" t="str">
        <f>IFERROR(__xludf.DUMMYFUNCTION("""COMPUTED_VALUE"""),"""")</f>
        <v>"</v>
      </c>
      <c r="B524" s="9" t="s">
        <v>533</v>
      </c>
      <c r="C524" s="9" t="str">
        <f>IFERROR(__xludf.DUMMYFUNCTION("""COMPUTED_VALUE"""),""":""")</f>
        <v>":"</v>
      </c>
      <c r="D524" s="24">
        <v>5.7520792996181115E18</v>
      </c>
      <c r="E524" s="9" t="str">
        <f>IFERROR(__xludf.DUMMYFUNCTION("""COMPUTED_VALUE"""),""",")</f>
        <v>",</v>
      </c>
    </row>
    <row r="525">
      <c r="A525" s="9" t="str">
        <f>IFERROR(__xludf.DUMMYFUNCTION("""COMPUTED_VALUE"""),"""")</f>
        <v>"</v>
      </c>
      <c r="B525" s="9" t="s">
        <v>534</v>
      </c>
      <c r="C525" s="9" t="str">
        <f>IFERROR(__xludf.DUMMYFUNCTION("""COMPUTED_VALUE"""),""":""")</f>
        <v>":"</v>
      </c>
      <c r="D525" s="24">
        <v>2.6887069180857114E18</v>
      </c>
      <c r="E525" s="9" t="str">
        <f>IFERROR(__xludf.DUMMYFUNCTION("""COMPUTED_VALUE"""),""",")</f>
        <v>",</v>
      </c>
    </row>
    <row r="526">
      <c r="A526" s="9" t="str">
        <f>IFERROR(__xludf.DUMMYFUNCTION("""COMPUTED_VALUE"""),"""")</f>
        <v>"</v>
      </c>
      <c r="B526" s="9" t="s">
        <v>535</v>
      </c>
      <c r="C526" s="9" t="str">
        <f>IFERROR(__xludf.DUMMYFUNCTION("""COMPUTED_VALUE"""),""":""")</f>
        <v>":"</v>
      </c>
      <c r="D526" s="24">
        <v>8.7521984159176909E17</v>
      </c>
      <c r="E526" s="9" t="str">
        <f>IFERROR(__xludf.DUMMYFUNCTION("""COMPUTED_VALUE"""),""",")</f>
        <v>",</v>
      </c>
    </row>
    <row r="527">
      <c r="A527" s="9" t="str">
        <f>IFERROR(__xludf.DUMMYFUNCTION("""COMPUTED_VALUE"""),"""")</f>
        <v>"</v>
      </c>
      <c r="B527" s="9" t="s">
        <v>536</v>
      </c>
      <c r="C527" s="9" t="str">
        <f>IFERROR(__xludf.DUMMYFUNCTION("""COMPUTED_VALUE"""),""":""")</f>
        <v>":"</v>
      </c>
      <c r="D527" s="24">
        <v>5.9648296599230003E17</v>
      </c>
      <c r="E527" s="9" t="str">
        <f>IFERROR(__xludf.DUMMYFUNCTION("""COMPUTED_VALUE"""),""",")</f>
        <v>",</v>
      </c>
    </row>
    <row r="528">
      <c r="A528" s="9" t="str">
        <f>IFERROR(__xludf.DUMMYFUNCTION("""COMPUTED_VALUE"""),"""")</f>
        <v>"</v>
      </c>
      <c r="B528" s="9" t="s">
        <v>537</v>
      </c>
      <c r="C528" s="9" t="str">
        <f>IFERROR(__xludf.DUMMYFUNCTION("""COMPUTED_VALUE"""),""":""")</f>
        <v>":"</v>
      </c>
      <c r="D528" s="24">
        <v>6.2005979458241782E18</v>
      </c>
      <c r="E528" s="9" t="str">
        <f>IFERROR(__xludf.DUMMYFUNCTION("""COMPUTED_VALUE"""),""",")</f>
        <v>",</v>
      </c>
    </row>
    <row r="529">
      <c r="A529" s="9" t="str">
        <f>IFERROR(__xludf.DUMMYFUNCTION("""COMPUTED_VALUE"""),"""")</f>
        <v>"</v>
      </c>
      <c r="B529" s="9" t="s">
        <v>538</v>
      </c>
      <c r="C529" s="9" t="str">
        <f>IFERROR(__xludf.DUMMYFUNCTION("""COMPUTED_VALUE"""),""":""")</f>
        <v>":"</v>
      </c>
      <c r="D529" s="24">
        <v>2.14502496848767808E17</v>
      </c>
      <c r="E529" s="9" t="str">
        <f>IFERROR(__xludf.DUMMYFUNCTION("""COMPUTED_VALUE"""),""",")</f>
        <v>",</v>
      </c>
    </row>
    <row r="530">
      <c r="A530" s="9" t="str">
        <f>IFERROR(__xludf.DUMMYFUNCTION("""COMPUTED_VALUE"""),"""")</f>
        <v>"</v>
      </c>
      <c r="B530" s="9" t="s">
        <v>539</v>
      </c>
      <c r="C530" s="9" t="str">
        <f>IFERROR(__xludf.DUMMYFUNCTION("""COMPUTED_VALUE"""),""":""")</f>
        <v>":"</v>
      </c>
      <c r="D530" s="24">
        <v>6.2005979458241782E18</v>
      </c>
      <c r="E530" s="9" t="str">
        <f>IFERROR(__xludf.DUMMYFUNCTION("""COMPUTED_VALUE"""),""",")</f>
        <v>",</v>
      </c>
    </row>
    <row r="531">
      <c r="A531" s="9" t="str">
        <f>IFERROR(__xludf.DUMMYFUNCTION("""COMPUTED_VALUE"""),"""")</f>
        <v>"</v>
      </c>
      <c r="B531" s="9" t="s">
        <v>540</v>
      </c>
      <c r="C531" s="9" t="str">
        <f>IFERROR(__xludf.DUMMYFUNCTION("""COMPUTED_VALUE"""),""":""")</f>
        <v>":"</v>
      </c>
      <c r="D531" s="24">
        <v>2.0248888511809958E19</v>
      </c>
      <c r="E531" s="9" t="str">
        <f>IFERROR(__xludf.DUMMYFUNCTION("""COMPUTED_VALUE"""),""",")</f>
        <v>",</v>
      </c>
    </row>
    <row r="532">
      <c r="A532" s="9" t="str">
        <f>IFERROR(__xludf.DUMMYFUNCTION("""COMPUTED_VALUE"""),"""")</f>
        <v>"</v>
      </c>
      <c r="B532" s="9" t="s">
        <v>541</v>
      </c>
      <c r="C532" s="9" t="str">
        <f>IFERROR(__xludf.DUMMYFUNCTION("""COMPUTED_VALUE"""),""":""")</f>
        <v>":"</v>
      </c>
      <c r="D532" s="24">
        <v>6.2005979458241782E18</v>
      </c>
      <c r="E532" s="9" t="str">
        <f>IFERROR(__xludf.DUMMYFUNCTION("""COMPUTED_VALUE"""),""",")</f>
        <v>",</v>
      </c>
    </row>
    <row r="533">
      <c r="A533" s="9" t="str">
        <f>IFERROR(__xludf.DUMMYFUNCTION("""COMPUTED_VALUE"""),"""")</f>
        <v>"</v>
      </c>
      <c r="B533" s="9" t="s">
        <v>542</v>
      </c>
      <c r="C533" s="9" t="str">
        <f>IFERROR(__xludf.DUMMYFUNCTION("""COMPUTED_VALUE"""),""":""")</f>
        <v>":"</v>
      </c>
      <c r="D533" s="24">
        <v>8.7196151993063997E18</v>
      </c>
      <c r="E533" s="9" t="str">
        <f>IFERROR(__xludf.DUMMYFUNCTION("""COMPUTED_VALUE"""),""",")</f>
        <v>",</v>
      </c>
    </row>
    <row r="534">
      <c r="A534" s="9" t="str">
        <f>IFERROR(__xludf.DUMMYFUNCTION("""COMPUTED_VALUE"""),"""")</f>
        <v>"</v>
      </c>
      <c r="B534" s="9" t="s">
        <v>543</v>
      </c>
      <c r="C534" s="9" t="str">
        <f>IFERROR(__xludf.DUMMYFUNCTION("""COMPUTED_VALUE"""),""":""")</f>
        <v>":"</v>
      </c>
      <c r="D534" s="24">
        <v>9.506547823446532E18</v>
      </c>
      <c r="E534" s="9" t="str">
        <f>IFERROR(__xludf.DUMMYFUNCTION("""COMPUTED_VALUE"""),""",")</f>
        <v>",</v>
      </c>
    </row>
    <row r="535">
      <c r="A535" s="9" t="str">
        <f>IFERROR(__xludf.DUMMYFUNCTION("""COMPUTED_VALUE"""),"""")</f>
        <v>"</v>
      </c>
      <c r="B535" s="9" t="s">
        <v>544</v>
      </c>
      <c r="C535" s="9" t="str">
        <f>IFERROR(__xludf.DUMMYFUNCTION("""COMPUTED_VALUE"""),""":""")</f>
        <v>":"</v>
      </c>
      <c r="D535" s="24">
        <v>5.8728357639109345E18</v>
      </c>
      <c r="E535" s="9" t="str">
        <f>IFERROR(__xludf.DUMMYFUNCTION("""COMPUTED_VALUE"""),""",")</f>
        <v>",</v>
      </c>
    </row>
    <row r="536">
      <c r="A536" s="9" t="str">
        <f>IFERROR(__xludf.DUMMYFUNCTION("""COMPUTED_VALUE"""),"""")</f>
        <v>"</v>
      </c>
      <c r="B536" s="9" t="s">
        <v>545</v>
      </c>
      <c r="C536" s="9" t="str">
        <f>IFERROR(__xludf.DUMMYFUNCTION("""COMPUTED_VALUE"""),""":""")</f>
        <v>":"</v>
      </c>
      <c r="D536" s="24">
        <v>6.6329957986664315E18</v>
      </c>
      <c r="E536" s="9" t="str">
        <f>IFERROR(__xludf.DUMMYFUNCTION("""COMPUTED_VALUE"""),""",")</f>
        <v>",</v>
      </c>
    </row>
    <row r="537">
      <c r="A537" s="9" t="str">
        <f>IFERROR(__xludf.DUMMYFUNCTION("""COMPUTED_VALUE"""),"""")</f>
        <v>"</v>
      </c>
      <c r="B537" s="9" t="s">
        <v>546</v>
      </c>
      <c r="C537" s="9" t="str">
        <f>IFERROR(__xludf.DUMMYFUNCTION("""COMPUTED_VALUE"""),""":""")</f>
        <v>":"</v>
      </c>
      <c r="D537" s="24">
        <v>6.2005979458241782E18</v>
      </c>
      <c r="E537" s="9" t="str">
        <f>IFERROR(__xludf.DUMMYFUNCTION("""COMPUTED_VALUE"""),""",")</f>
        <v>",</v>
      </c>
    </row>
    <row r="538">
      <c r="A538" s="9" t="str">
        <f>IFERROR(__xludf.DUMMYFUNCTION("""COMPUTED_VALUE"""),"""")</f>
        <v>"</v>
      </c>
      <c r="B538" s="9" t="s">
        <v>547</v>
      </c>
      <c r="C538" s="9" t="str">
        <f>IFERROR(__xludf.DUMMYFUNCTION("""COMPUTED_VALUE"""),""":""")</f>
        <v>":"</v>
      </c>
      <c r="D538" s="24">
        <v>2.068128636465221E19</v>
      </c>
      <c r="E538" s="9" t="str">
        <f>IFERROR(__xludf.DUMMYFUNCTION("""COMPUTED_VALUE"""),""",")</f>
        <v>",</v>
      </c>
    </row>
    <row r="539">
      <c r="A539" s="9" t="str">
        <f>IFERROR(__xludf.DUMMYFUNCTION("""COMPUTED_VALUE"""),"""")</f>
        <v>"</v>
      </c>
      <c r="B539" s="9" t="s">
        <v>548</v>
      </c>
      <c r="C539" s="9" t="str">
        <f>IFERROR(__xludf.DUMMYFUNCTION("""COMPUTED_VALUE"""),""":""")</f>
        <v>":"</v>
      </c>
      <c r="D539" s="24">
        <v>1.8307299979714286E19</v>
      </c>
      <c r="E539" s="9" t="str">
        <f>IFERROR(__xludf.DUMMYFUNCTION("""COMPUTED_VALUE"""),""",")</f>
        <v>",</v>
      </c>
    </row>
    <row r="540">
      <c r="A540" s="9" t="str">
        <f>IFERROR(__xludf.DUMMYFUNCTION("""COMPUTED_VALUE"""),"""")</f>
        <v>"</v>
      </c>
      <c r="B540" s="9" t="s">
        <v>549</v>
      </c>
      <c r="C540" s="9" t="str">
        <f>IFERROR(__xludf.DUMMYFUNCTION("""COMPUTED_VALUE"""),""":""")</f>
        <v>":"</v>
      </c>
      <c r="D540" s="24">
        <v>5.7242183092161331E18</v>
      </c>
      <c r="E540" s="9" t="str">
        <f>IFERROR(__xludf.DUMMYFUNCTION("""COMPUTED_VALUE"""),""",")</f>
        <v>",</v>
      </c>
    </row>
    <row r="541">
      <c r="A541" s="9" t="str">
        <f>IFERROR(__xludf.DUMMYFUNCTION("""COMPUTED_VALUE"""),"""")</f>
        <v>"</v>
      </c>
      <c r="B541" s="9" t="s">
        <v>550</v>
      </c>
      <c r="C541" s="9" t="str">
        <f>IFERROR(__xludf.DUMMYFUNCTION("""COMPUTED_VALUE"""),""":""")</f>
        <v>":"</v>
      </c>
      <c r="D541" s="24">
        <v>2.054022573052675E19</v>
      </c>
      <c r="E541" s="9" t="str">
        <f>IFERROR(__xludf.DUMMYFUNCTION("""COMPUTED_VALUE"""),""",")</f>
        <v>",</v>
      </c>
    </row>
    <row r="542">
      <c r="A542" s="9" t="str">
        <f>IFERROR(__xludf.DUMMYFUNCTION("""COMPUTED_VALUE"""),"""")</f>
        <v>"</v>
      </c>
      <c r="B542" s="9" t="s">
        <v>551</v>
      </c>
      <c r="C542" s="9" t="str">
        <f>IFERROR(__xludf.DUMMYFUNCTION("""COMPUTED_VALUE"""),""":""")</f>
        <v>":"</v>
      </c>
      <c r="D542" s="24">
        <v>4.1694338272224005E18</v>
      </c>
      <c r="E542" s="9" t="str">
        <f>IFERROR(__xludf.DUMMYFUNCTION("""COMPUTED_VALUE"""),""",")</f>
        <v>",</v>
      </c>
    </row>
    <row r="543">
      <c r="A543" s="9" t="str">
        <f>IFERROR(__xludf.DUMMYFUNCTION("""COMPUTED_VALUE"""),"""")</f>
        <v>"</v>
      </c>
      <c r="B543" s="9" t="s">
        <v>552</v>
      </c>
      <c r="C543" s="9" t="str">
        <f>IFERROR(__xludf.DUMMYFUNCTION("""COMPUTED_VALUE"""),""":""")</f>
        <v>":"</v>
      </c>
      <c r="D543" s="24">
        <v>4.5917744336754668E18</v>
      </c>
      <c r="E543" s="9" t="str">
        <f>IFERROR(__xludf.DUMMYFUNCTION("""COMPUTED_VALUE"""),""",")</f>
        <v>",</v>
      </c>
    </row>
    <row r="544">
      <c r="A544" s="9" t="str">
        <f>IFERROR(__xludf.DUMMYFUNCTION("""COMPUTED_VALUE"""),"""")</f>
        <v>"</v>
      </c>
      <c r="B544" s="9" t="s">
        <v>553</v>
      </c>
      <c r="C544" s="9" t="str">
        <f>IFERROR(__xludf.DUMMYFUNCTION("""COMPUTED_VALUE"""),""":""")</f>
        <v>":"</v>
      </c>
      <c r="D544" s="24">
        <v>5.7397856682247997E18</v>
      </c>
      <c r="E544" s="9" t="str">
        <f>IFERROR(__xludf.DUMMYFUNCTION("""COMPUTED_VALUE"""),""",")</f>
        <v>",</v>
      </c>
    </row>
    <row r="545">
      <c r="A545" s="9" t="str">
        <f>IFERROR(__xludf.DUMMYFUNCTION("""COMPUTED_VALUE"""),"""")</f>
        <v>"</v>
      </c>
      <c r="B545" s="9" t="s">
        <v>554</v>
      </c>
      <c r="C545" s="9" t="str">
        <f>IFERROR(__xludf.DUMMYFUNCTION("""COMPUTED_VALUE"""),""":""")</f>
        <v>":"</v>
      </c>
      <c r="D545" s="24">
        <v>5.4656080656445553E18</v>
      </c>
      <c r="E545" s="9" t="str">
        <f>IFERROR(__xludf.DUMMYFUNCTION("""COMPUTED_VALUE"""),""",")</f>
        <v>",</v>
      </c>
    </row>
    <row r="546">
      <c r="A546" s="9" t="str">
        <f>IFERROR(__xludf.DUMMYFUNCTION("""COMPUTED_VALUE"""),"""")</f>
        <v>"</v>
      </c>
      <c r="B546" s="9" t="s">
        <v>555</v>
      </c>
      <c r="C546" s="9" t="str">
        <f>IFERROR(__xludf.DUMMYFUNCTION("""COMPUTED_VALUE"""),""":""")</f>
        <v>":"</v>
      </c>
      <c r="D546" s="24">
        <v>6.2005979458241782E18</v>
      </c>
      <c r="E546" s="9" t="str">
        <f>IFERROR(__xludf.DUMMYFUNCTION("""COMPUTED_VALUE"""),""",")</f>
        <v>",</v>
      </c>
    </row>
    <row r="547">
      <c r="A547" s="9" t="str">
        <f>IFERROR(__xludf.DUMMYFUNCTION("""COMPUTED_VALUE"""),"""")</f>
        <v>"</v>
      </c>
      <c r="B547" s="9" t="s">
        <v>556</v>
      </c>
      <c r="C547" s="9" t="str">
        <f>IFERROR(__xludf.DUMMYFUNCTION("""COMPUTED_VALUE"""),""":""")</f>
        <v>":"</v>
      </c>
      <c r="D547" s="24">
        <v>6.2005979458241782E18</v>
      </c>
      <c r="E547" s="9" t="str">
        <f>IFERROR(__xludf.DUMMYFUNCTION("""COMPUTED_VALUE"""),""",")</f>
        <v>",</v>
      </c>
    </row>
    <row r="548">
      <c r="A548" s="9" t="str">
        <f>IFERROR(__xludf.DUMMYFUNCTION("""COMPUTED_VALUE"""),"""")</f>
        <v>"</v>
      </c>
      <c r="B548" s="9" t="s">
        <v>557</v>
      </c>
      <c r="C548" s="9" t="str">
        <f>IFERROR(__xludf.DUMMYFUNCTION("""COMPUTED_VALUE"""),""":""")</f>
        <v>":"</v>
      </c>
      <c r="D548" s="24">
        <v>2.656189716330687E19</v>
      </c>
      <c r="E548" s="9" t="str">
        <f>IFERROR(__xludf.DUMMYFUNCTION("""COMPUTED_VALUE"""),""",")</f>
        <v>",</v>
      </c>
    </row>
    <row r="549">
      <c r="A549" s="9" t="str">
        <f>IFERROR(__xludf.DUMMYFUNCTION("""COMPUTED_VALUE"""),"""")</f>
        <v>"</v>
      </c>
      <c r="B549" s="9" t="s">
        <v>558</v>
      </c>
      <c r="C549" s="9" t="str">
        <f>IFERROR(__xludf.DUMMYFUNCTION("""COMPUTED_VALUE"""),""":""")</f>
        <v>":"</v>
      </c>
      <c r="D549" s="24">
        <v>6.2005979458241782E18</v>
      </c>
      <c r="E549" s="9" t="str">
        <f>IFERROR(__xludf.DUMMYFUNCTION("""COMPUTED_VALUE"""),""",")</f>
        <v>",</v>
      </c>
    </row>
    <row r="550">
      <c r="A550" s="9" t="str">
        <f>IFERROR(__xludf.DUMMYFUNCTION("""COMPUTED_VALUE"""),"""")</f>
        <v>"</v>
      </c>
      <c r="B550" s="9" t="s">
        <v>559</v>
      </c>
      <c r="C550" s="9" t="str">
        <f>IFERROR(__xludf.DUMMYFUNCTION("""COMPUTED_VALUE"""),""":""")</f>
        <v>":"</v>
      </c>
      <c r="D550" s="24">
        <v>5.1941496393746217E18</v>
      </c>
      <c r="E550" s="9" t="str">
        <f>IFERROR(__xludf.DUMMYFUNCTION("""COMPUTED_VALUE"""),""",")</f>
        <v>",</v>
      </c>
    </row>
    <row r="551">
      <c r="A551" s="9" t="str">
        <f>IFERROR(__xludf.DUMMYFUNCTION("""COMPUTED_VALUE"""),"""")</f>
        <v>"</v>
      </c>
      <c r="B551" s="9" t="s">
        <v>560</v>
      </c>
      <c r="C551" s="9" t="str">
        <f>IFERROR(__xludf.DUMMYFUNCTION("""COMPUTED_VALUE"""),""":""")</f>
        <v>":"</v>
      </c>
      <c r="D551" s="24">
        <v>6.2005979458241782E18</v>
      </c>
      <c r="E551" s="9" t="str">
        <f>IFERROR(__xludf.DUMMYFUNCTION("""COMPUTED_VALUE"""),""",")</f>
        <v>",</v>
      </c>
    </row>
    <row r="552">
      <c r="A552" s="9" t="str">
        <f>IFERROR(__xludf.DUMMYFUNCTION("""COMPUTED_VALUE"""),"""")</f>
        <v>"</v>
      </c>
      <c r="B552" s="9" t="s">
        <v>561</v>
      </c>
      <c r="C552" s="9" t="str">
        <f>IFERROR(__xludf.DUMMYFUNCTION("""COMPUTED_VALUE"""),""":""")</f>
        <v>":"</v>
      </c>
      <c r="D552" s="24">
        <v>6.2005979458241782E18</v>
      </c>
      <c r="E552" s="9" t="str">
        <f>IFERROR(__xludf.DUMMYFUNCTION("""COMPUTED_VALUE"""),""",")</f>
        <v>",</v>
      </c>
    </row>
    <row r="553">
      <c r="A553" s="9" t="str">
        <f>IFERROR(__xludf.DUMMYFUNCTION("""COMPUTED_VALUE"""),"""")</f>
        <v>"</v>
      </c>
      <c r="B553" s="9" t="s">
        <v>562</v>
      </c>
      <c r="C553" s="9" t="str">
        <f>IFERROR(__xludf.DUMMYFUNCTION("""COMPUTED_VALUE"""),""":""")</f>
        <v>":"</v>
      </c>
      <c r="D553" s="24">
        <v>3.0399141480605553E18</v>
      </c>
      <c r="E553" s="9" t="str">
        <f>IFERROR(__xludf.DUMMYFUNCTION("""COMPUTED_VALUE"""),""",")</f>
        <v>",</v>
      </c>
    </row>
    <row r="554">
      <c r="A554" s="9" t="str">
        <f>IFERROR(__xludf.DUMMYFUNCTION("""COMPUTED_VALUE"""),"""")</f>
        <v>"</v>
      </c>
      <c r="B554" s="9" t="s">
        <v>563</v>
      </c>
      <c r="C554" s="9" t="str">
        <f>IFERROR(__xludf.DUMMYFUNCTION("""COMPUTED_VALUE"""),""":""")</f>
        <v>":"</v>
      </c>
      <c r="D554" s="24">
        <v>6.1513586025251553E18</v>
      </c>
      <c r="E554" s="9" t="str">
        <f>IFERROR(__xludf.DUMMYFUNCTION("""COMPUTED_VALUE"""),""",")</f>
        <v>",</v>
      </c>
    </row>
    <row r="555">
      <c r="A555" s="9" t="str">
        <f>IFERROR(__xludf.DUMMYFUNCTION("""COMPUTED_VALUE"""),"""")</f>
        <v>"</v>
      </c>
      <c r="B555" s="9" t="s">
        <v>564</v>
      </c>
      <c r="C555" s="9" t="str">
        <f>IFERROR(__xludf.DUMMYFUNCTION("""COMPUTED_VALUE"""),""":""")</f>
        <v>":"</v>
      </c>
      <c r="D555" s="24">
        <v>2.2843275628863468E19</v>
      </c>
      <c r="E555" s="9" t="str">
        <f>IFERROR(__xludf.DUMMYFUNCTION("""COMPUTED_VALUE"""),""",")</f>
        <v>",</v>
      </c>
    </row>
    <row r="556">
      <c r="A556" s="9" t="str">
        <f>IFERROR(__xludf.DUMMYFUNCTION("""COMPUTED_VALUE"""),"""")</f>
        <v>"</v>
      </c>
      <c r="B556" s="9" t="s">
        <v>565</v>
      </c>
      <c r="C556" s="9" t="str">
        <f>IFERROR(__xludf.DUMMYFUNCTION("""COMPUTED_VALUE"""),""":""")</f>
        <v>":"</v>
      </c>
      <c r="D556" s="24">
        <v>6.6329957986664315E18</v>
      </c>
      <c r="E556" s="9" t="str">
        <f>IFERROR(__xludf.DUMMYFUNCTION("""COMPUTED_VALUE"""),""",")</f>
        <v>",</v>
      </c>
    </row>
    <row r="557">
      <c r="A557" s="9" t="str">
        <f>IFERROR(__xludf.DUMMYFUNCTION("""COMPUTED_VALUE"""),"""")</f>
        <v>"</v>
      </c>
      <c r="B557" s="9" t="s">
        <v>566</v>
      </c>
      <c r="C557" s="9" t="str">
        <f>IFERROR(__xludf.DUMMYFUNCTION("""COMPUTED_VALUE"""),""":""")</f>
        <v>":"</v>
      </c>
      <c r="D557" s="24">
        <v>1.7435840160920068E19</v>
      </c>
      <c r="E557" s="9" t="str">
        <f>IFERROR(__xludf.DUMMYFUNCTION("""COMPUTED_VALUE"""),""",")</f>
        <v>",</v>
      </c>
    </row>
    <row r="558">
      <c r="A558" s="9" t="str">
        <f>IFERROR(__xludf.DUMMYFUNCTION("""COMPUTED_VALUE"""),"""")</f>
        <v>"</v>
      </c>
      <c r="B558" s="9" t="s">
        <v>567</v>
      </c>
      <c r="C558" s="9" t="str">
        <f>IFERROR(__xludf.DUMMYFUNCTION("""COMPUTED_VALUE"""),""":""")</f>
        <v>":"</v>
      </c>
      <c r="D558" s="24">
        <v>5.7259611321787556E18</v>
      </c>
      <c r="E558" s="9" t="str">
        <f>IFERROR(__xludf.DUMMYFUNCTION("""COMPUTED_VALUE"""),""",")</f>
        <v>",</v>
      </c>
    </row>
    <row r="559">
      <c r="A559" s="9" t="str">
        <f>IFERROR(__xludf.DUMMYFUNCTION("""COMPUTED_VALUE"""),"""")</f>
        <v>"</v>
      </c>
      <c r="B559" s="9" t="s">
        <v>568</v>
      </c>
      <c r="C559" s="9" t="str">
        <f>IFERROR(__xludf.DUMMYFUNCTION("""COMPUTED_VALUE"""),""":""")</f>
        <v>":"</v>
      </c>
      <c r="D559" s="24">
        <v>2.0248888511809958E19</v>
      </c>
      <c r="E559" s="9" t="str">
        <f>IFERROR(__xludf.DUMMYFUNCTION("""COMPUTED_VALUE"""),""",")</f>
        <v>",</v>
      </c>
    </row>
    <row r="560">
      <c r="A560" s="9" t="str">
        <f>IFERROR(__xludf.DUMMYFUNCTION("""COMPUTED_VALUE"""),"""")</f>
        <v>"</v>
      </c>
      <c r="B560" s="9" t="s">
        <v>569</v>
      </c>
      <c r="C560" s="9" t="str">
        <f>IFERROR(__xludf.DUMMYFUNCTION("""COMPUTED_VALUE"""),""":""")</f>
        <v>":"</v>
      </c>
      <c r="D560" s="24">
        <v>6.2005979458241782E18</v>
      </c>
      <c r="E560" s="9" t="str">
        <f>IFERROR(__xludf.DUMMYFUNCTION("""COMPUTED_VALUE"""),""",")</f>
        <v>",</v>
      </c>
    </row>
    <row r="561">
      <c r="A561" s="9" t="str">
        <f>IFERROR(__xludf.DUMMYFUNCTION("""COMPUTED_VALUE"""),"""")</f>
        <v>"</v>
      </c>
      <c r="B561" s="9" t="s">
        <v>570</v>
      </c>
      <c r="C561" s="9" t="str">
        <f>IFERROR(__xludf.DUMMYFUNCTION("""COMPUTED_VALUE"""),""":""")</f>
        <v>":"</v>
      </c>
      <c r="D561" s="24">
        <v>5.8998078382024008E18</v>
      </c>
      <c r="E561" s="9" t="str">
        <f>IFERROR(__xludf.DUMMYFUNCTION("""COMPUTED_VALUE"""),""",")</f>
        <v>",</v>
      </c>
    </row>
    <row r="562">
      <c r="A562" s="9" t="str">
        <f>IFERROR(__xludf.DUMMYFUNCTION("""COMPUTED_VALUE"""),"""")</f>
        <v>"</v>
      </c>
      <c r="B562" s="9" t="s">
        <v>571</v>
      </c>
      <c r="C562" s="9" t="str">
        <f>IFERROR(__xludf.DUMMYFUNCTION("""COMPUTED_VALUE"""),""":""")</f>
        <v>":"</v>
      </c>
      <c r="D562" s="24">
        <v>2.9358999871111692E19</v>
      </c>
      <c r="E562" s="9" t="str">
        <f>IFERROR(__xludf.DUMMYFUNCTION("""COMPUTED_VALUE"""),""",")</f>
        <v>",</v>
      </c>
    </row>
    <row r="563">
      <c r="A563" s="9" t="str">
        <f>IFERROR(__xludf.DUMMYFUNCTION("""COMPUTED_VALUE"""),"""")</f>
        <v>"</v>
      </c>
      <c r="B563" s="9" t="s">
        <v>572</v>
      </c>
      <c r="C563" s="9" t="str">
        <f>IFERROR(__xludf.DUMMYFUNCTION("""COMPUTED_VALUE"""),""":""")</f>
        <v>":"</v>
      </c>
      <c r="D563" s="24">
        <v>2.0248888511809958E19</v>
      </c>
      <c r="E563" s="9" t="str">
        <f>IFERROR(__xludf.DUMMYFUNCTION("""COMPUTED_VALUE"""),""",")</f>
        <v>",</v>
      </c>
    </row>
    <row r="564">
      <c r="A564" s="9" t="str">
        <f>IFERROR(__xludf.DUMMYFUNCTION("""COMPUTED_VALUE"""),"""")</f>
        <v>"</v>
      </c>
      <c r="B564" s="9" t="s">
        <v>573</v>
      </c>
      <c r="C564" s="9" t="str">
        <f>IFERROR(__xludf.DUMMYFUNCTION("""COMPUTED_VALUE"""),""":""")</f>
        <v>":"</v>
      </c>
      <c r="D564" s="24">
        <v>6.2005979458241782E18</v>
      </c>
      <c r="E564" s="9" t="str">
        <f>IFERROR(__xludf.DUMMYFUNCTION("""COMPUTED_VALUE"""),""",")</f>
        <v>",</v>
      </c>
    </row>
    <row r="565">
      <c r="A565" s="9" t="str">
        <f>IFERROR(__xludf.DUMMYFUNCTION("""COMPUTED_VALUE"""),"""")</f>
        <v>"</v>
      </c>
      <c r="B565" s="9" t="s">
        <v>574</v>
      </c>
      <c r="C565" s="9" t="str">
        <f>IFERROR(__xludf.DUMMYFUNCTION("""COMPUTED_VALUE"""),""":""")</f>
        <v>":"</v>
      </c>
      <c r="D565" s="24">
        <v>1.74392303986128E19</v>
      </c>
      <c r="E565" s="9" t="str">
        <f>IFERROR(__xludf.DUMMYFUNCTION("""COMPUTED_VALUE"""),""",")</f>
        <v>",</v>
      </c>
    </row>
    <row r="566">
      <c r="A566" s="9" t="str">
        <f>IFERROR(__xludf.DUMMYFUNCTION("""COMPUTED_VALUE"""),"""")</f>
        <v>"</v>
      </c>
      <c r="B566" s="9" t="s">
        <v>575</v>
      </c>
      <c r="C566" s="9" t="str">
        <f>IFERROR(__xludf.DUMMYFUNCTION("""COMPUTED_VALUE"""),""":""")</f>
        <v>":"</v>
      </c>
      <c r="D566" s="24">
        <v>6.2005979458241782E18</v>
      </c>
      <c r="E566" s="9" t="str">
        <f>IFERROR(__xludf.DUMMYFUNCTION("""COMPUTED_VALUE"""),""",")</f>
        <v>",</v>
      </c>
    </row>
    <row r="567">
      <c r="A567" s="9" t="str">
        <f>IFERROR(__xludf.DUMMYFUNCTION("""COMPUTED_VALUE"""),"""")</f>
        <v>"</v>
      </c>
      <c r="B567" s="9" t="s">
        <v>576</v>
      </c>
      <c r="C567" s="9" t="str">
        <f>IFERROR(__xludf.DUMMYFUNCTION("""COMPUTED_VALUE"""),""":""")</f>
        <v>":"</v>
      </c>
      <c r="D567" s="24">
        <v>2.0248888511809958E19</v>
      </c>
      <c r="E567" s="9" t="str">
        <f>IFERROR(__xludf.DUMMYFUNCTION("""COMPUTED_VALUE"""),""",")</f>
        <v>",</v>
      </c>
    </row>
    <row r="568">
      <c r="A568" s="9" t="str">
        <f>IFERROR(__xludf.DUMMYFUNCTION("""COMPUTED_VALUE"""),"""")</f>
        <v>"</v>
      </c>
      <c r="B568" s="9" t="s">
        <v>577</v>
      </c>
      <c r="C568" s="9" t="str">
        <f>IFERROR(__xludf.DUMMYFUNCTION("""COMPUTED_VALUE"""),""":""")</f>
        <v>":"</v>
      </c>
      <c r="D568" s="24">
        <v>2.2843275628863468E19</v>
      </c>
      <c r="E568" s="9" t="str">
        <f>IFERROR(__xludf.DUMMYFUNCTION("""COMPUTED_VALUE"""),""",")</f>
        <v>",</v>
      </c>
    </row>
    <row r="569">
      <c r="A569" s="9" t="str">
        <f>IFERROR(__xludf.DUMMYFUNCTION("""COMPUTED_VALUE"""),"""")</f>
        <v>"</v>
      </c>
      <c r="B569" s="9" t="s">
        <v>578</v>
      </c>
      <c r="C569" s="9" t="str">
        <f>IFERROR(__xludf.DUMMYFUNCTION("""COMPUTED_VALUE"""),""":""")</f>
        <v>":"</v>
      </c>
      <c r="D569" s="24">
        <v>6.2005979458241782E18</v>
      </c>
      <c r="E569" s="9" t="str">
        <f>IFERROR(__xludf.DUMMYFUNCTION("""COMPUTED_VALUE"""),""",")</f>
        <v>",</v>
      </c>
    </row>
    <row r="570">
      <c r="A570" s="9" t="str">
        <f>IFERROR(__xludf.DUMMYFUNCTION("""COMPUTED_VALUE"""),"""")</f>
        <v>"</v>
      </c>
      <c r="B570" s="9" t="s">
        <v>579</v>
      </c>
      <c r="C570" s="9" t="str">
        <f>IFERROR(__xludf.DUMMYFUNCTION("""COMPUTED_VALUE"""),""":""")</f>
        <v>":"</v>
      </c>
      <c r="D570" s="24">
        <v>2.0248888511809958E19</v>
      </c>
      <c r="E570" s="9" t="str">
        <f>IFERROR(__xludf.DUMMYFUNCTION("""COMPUTED_VALUE"""),""",")</f>
        <v>",</v>
      </c>
    </row>
    <row r="571">
      <c r="A571" s="9" t="str">
        <f>IFERROR(__xludf.DUMMYFUNCTION("""COMPUTED_VALUE"""),"""")</f>
        <v>"</v>
      </c>
      <c r="B571" s="9" t="s">
        <v>580</v>
      </c>
      <c r="C571" s="9" t="str">
        <f>IFERROR(__xludf.DUMMYFUNCTION("""COMPUTED_VALUE"""),""":""")</f>
        <v>":"</v>
      </c>
      <c r="D571" s="24">
        <v>2.2843275628863468E19</v>
      </c>
      <c r="E571" s="9" t="str">
        <f>IFERROR(__xludf.DUMMYFUNCTION("""COMPUTED_VALUE"""),""",")</f>
        <v>",</v>
      </c>
    </row>
    <row r="572">
      <c r="A572" s="9" t="str">
        <f>IFERROR(__xludf.DUMMYFUNCTION("""COMPUTED_VALUE"""),"""")</f>
        <v>"</v>
      </c>
      <c r="B572" s="9" t="s">
        <v>581</v>
      </c>
      <c r="C572" s="9" t="str">
        <f>IFERROR(__xludf.DUMMYFUNCTION("""COMPUTED_VALUE"""),""":""")</f>
        <v>":"</v>
      </c>
      <c r="D572" s="24">
        <v>6.2005979458241782E18</v>
      </c>
      <c r="E572" s="9" t="str">
        <f>IFERROR(__xludf.DUMMYFUNCTION("""COMPUTED_VALUE"""),""",")</f>
        <v>",</v>
      </c>
    </row>
    <row r="573">
      <c r="A573" s="9" t="str">
        <f>IFERROR(__xludf.DUMMYFUNCTION("""COMPUTED_VALUE"""),"""")</f>
        <v>"</v>
      </c>
      <c r="B573" s="9" t="s">
        <v>582</v>
      </c>
      <c r="C573" s="9" t="str">
        <f>IFERROR(__xludf.DUMMYFUNCTION("""COMPUTED_VALUE"""),""":""")</f>
        <v>":"</v>
      </c>
      <c r="D573" s="24">
        <v>3.4950415508446597E19</v>
      </c>
      <c r="E573" s="9" t="str">
        <f>IFERROR(__xludf.DUMMYFUNCTION("""COMPUTED_VALUE"""),""",")</f>
        <v>",</v>
      </c>
    </row>
    <row r="574">
      <c r="A574" s="9" t="str">
        <f>IFERROR(__xludf.DUMMYFUNCTION("""COMPUTED_VALUE"""),"""")</f>
        <v>"</v>
      </c>
      <c r="B574" s="9" t="s">
        <v>583</v>
      </c>
      <c r="C574" s="9" t="str">
        <f>IFERROR(__xludf.DUMMYFUNCTION("""COMPUTED_VALUE"""),""":""")</f>
        <v>":"</v>
      </c>
      <c r="D574" s="24">
        <v>2.0219620128319136E19</v>
      </c>
      <c r="E574" s="9" t="str">
        <f>IFERROR(__xludf.DUMMYFUNCTION("""COMPUTED_VALUE"""),""",")</f>
        <v>",</v>
      </c>
    </row>
    <row r="575">
      <c r="A575" s="9" t="str">
        <f>IFERROR(__xludf.DUMMYFUNCTION("""COMPUTED_VALUE"""),"""")</f>
        <v>"</v>
      </c>
      <c r="B575" s="9" t="s">
        <v>584</v>
      </c>
      <c r="C575" s="9" t="str">
        <f>IFERROR(__xludf.DUMMYFUNCTION("""COMPUTED_VALUE"""),""":""")</f>
        <v>":"</v>
      </c>
      <c r="D575" s="24">
        <v>6.2005979458241782E18</v>
      </c>
      <c r="E575" s="9" t="str">
        <f>IFERROR(__xludf.DUMMYFUNCTION("""COMPUTED_VALUE"""),""",")</f>
        <v>",</v>
      </c>
    </row>
    <row r="576">
      <c r="A576" s="9" t="str">
        <f>IFERROR(__xludf.DUMMYFUNCTION("""COMPUTED_VALUE"""),"""")</f>
        <v>"</v>
      </c>
      <c r="B576" s="9" t="s">
        <v>585</v>
      </c>
      <c r="C576" s="9" t="str">
        <f>IFERROR(__xludf.DUMMYFUNCTION("""COMPUTED_VALUE"""),""":""")</f>
        <v>":"</v>
      </c>
      <c r="D576" s="24">
        <v>2.0248888511809958E19</v>
      </c>
      <c r="E576" s="9" t="str">
        <f>IFERROR(__xludf.DUMMYFUNCTION("""COMPUTED_VALUE"""),""",")</f>
        <v>",</v>
      </c>
    </row>
    <row r="577">
      <c r="A577" s="9" t="str">
        <f>IFERROR(__xludf.DUMMYFUNCTION("""COMPUTED_VALUE"""),"""")</f>
        <v>"</v>
      </c>
      <c r="B577" s="9" t="s">
        <v>586</v>
      </c>
      <c r="C577" s="9" t="str">
        <f>IFERROR(__xludf.DUMMYFUNCTION("""COMPUTED_VALUE"""),""":""")</f>
        <v>":"</v>
      </c>
      <c r="D577" s="24">
        <v>1.7955394263996797E19</v>
      </c>
      <c r="E577" s="9" t="str">
        <f>IFERROR(__xludf.DUMMYFUNCTION("""COMPUTED_VALUE"""),""",")</f>
        <v>",</v>
      </c>
    </row>
    <row r="578">
      <c r="A578" s="9" t="str">
        <f>IFERROR(__xludf.DUMMYFUNCTION("""COMPUTED_VALUE"""),"""")</f>
        <v>"</v>
      </c>
      <c r="B578" s="9" t="s">
        <v>587</v>
      </c>
      <c r="C578" s="9" t="str">
        <f>IFERROR(__xludf.DUMMYFUNCTION("""COMPUTED_VALUE"""),""":""")</f>
        <v>":"</v>
      </c>
      <c r="D578" s="24">
        <v>6.2005979458241782E18</v>
      </c>
      <c r="E578" s="9" t="str">
        <f>IFERROR(__xludf.DUMMYFUNCTION("""COMPUTED_VALUE"""),""",")</f>
        <v>",</v>
      </c>
    </row>
    <row r="579">
      <c r="A579" s="9" t="str">
        <f>IFERROR(__xludf.DUMMYFUNCTION("""COMPUTED_VALUE"""),"""")</f>
        <v>"</v>
      </c>
      <c r="B579" s="9" t="s">
        <v>588</v>
      </c>
      <c r="C579" s="9" t="str">
        <f>IFERROR(__xludf.DUMMYFUNCTION("""COMPUTED_VALUE"""),""":""")</f>
        <v>":"</v>
      </c>
      <c r="D579" s="24">
        <v>2.0248888511809958E19</v>
      </c>
      <c r="E579" s="9" t="str">
        <f>IFERROR(__xludf.DUMMYFUNCTION("""COMPUTED_VALUE"""),""",")</f>
        <v>",</v>
      </c>
    </row>
    <row r="580">
      <c r="A580" s="9" t="str">
        <f>IFERROR(__xludf.DUMMYFUNCTION("""COMPUTED_VALUE"""),"""")</f>
        <v>"</v>
      </c>
      <c r="B580" s="9" t="s">
        <v>589</v>
      </c>
      <c r="C580" s="9" t="str">
        <f>IFERROR(__xludf.DUMMYFUNCTION("""COMPUTED_VALUE"""),""":""")</f>
        <v>":"</v>
      </c>
      <c r="D580" s="24">
        <v>4.9547622820038598E17</v>
      </c>
      <c r="E580" s="9" t="str">
        <f>IFERROR(__xludf.DUMMYFUNCTION("""COMPUTED_VALUE"""),""",")</f>
        <v>",</v>
      </c>
    </row>
    <row r="581">
      <c r="A581" s="9" t="str">
        <f>IFERROR(__xludf.DUMMYFUNCTION("""COMPUTED_VALUE"""),"""")</f>
        <v>"</v>
      </c>
      <c r="B581" s="9" t="s">
        <v>590</v>
      </c>
      <c r="C581" s="9" t="str">
        <f>IFERROR(__xludf.DUMMYFUNCTION("""COMPUTED_VALUE"""),""":""")</f>
        <v>":"</v>
      </c>
      <c r="D581" s="24">
        <v>6.1234236546740439E18</v>
      </c>
      <c r="E581" s="9" t="str">
        <f>IFERROR(__xludf.DUMMYFUNCTION("""COMPUTED_VALUE"""),""",")</f>
        <v>",</v>
      </c>
    </row>
    <row r="582">
      <c r="A582" s="9" t="str">
        <f>IFERROR(__xludf.DUMMYFUNCTION("""COMPUTED_VALUE"""),"""")</f>
        <v>"</v>
      </c>
      <c r="B582" s="9" t="s">
        <v>591</v>
      </c>
      <c r="C582" s="9" t="str">
        <f>IFERROR(__xludf.DUMMYFUNCTION("""COMPUTED_VALUE"""),""":""")</f>
        <v>":"</v>
      </c>
      <c r="D582" s="24">
        <v>6.749267791335463E19</v>
      </c>
      <c r="E582" s="9" t="str">
        <f>IFERROR(__xludf.DUMMYFUNCTION("""COMPUTED_VALUE"""),""",")</f>
        <v>",</v>
      </c>
    </row>
    <row r="583">
      <c r="A583" s="9" t="str">
        <f>IFERROR(__xludf.DUMMYFUNCTION("""COMPUTED_VALUE"""),"""")</f>
        <v>"</v>
      </c>
      <c r="B583" s="9" t="s">
        <v>592</v>
      </c>
      <c r="C583" s="9" t="str">
        <f>IFERROR(__xludf.DUMMYFUNCTION("""COMPUTED_VALUE"""),""":""")</f>
        <v>":"</v>
      </c>
      <c r="D583" s="24">
        <v>5.3480407655030897E18</v>
      </c>
      <c r="E583" s="9" t="str">
        <f>IFERROR(__xludf.DUMMYFUNCTION("""COMPUTED_VALUE"""),""",")</f>
        <v>",</v>
      </c>
    </row>
    <row r="584">
      <c r="A584" s="9" t="str">
        <f>IFERROR(__xludf.DUMMYFUNCTION("""COMPUTED_VALUE"""),"""")</f>
        <v>"</v>
      </c>
      <c r="B584" s="9" t="s">
        <v>593</v>
      </c>
      <c r="C584" s="9" t="str">
        <f>IFERROR(__xludf.DUMMYFUNCTION("""COMPUTED_VALUE"""),""":""")</f>
        <v>":"</v>
      </c>
      <c r="D584" s="24">
        <v>6.2005979458241782E18</v>
      </c>
      <c r="E584" s="9" t="str">
        <f>IFERROR(__xludf.DUMMYFUNCTION("""COMPUTED_VALUE"""),""",")</f>
        <v>",</v>
      </c>
    </row>
    <row r="585">
      <c r="A585" s="9" t="str">
        <f>IFERROR(__xludf.DUMMYFUNCTION("""COMPUTED_VALUE"""),"""")</f>
        <v>"</v>
      </c>
      <c r="B585" s="9" t="s">
        <v>594</v>
      </c>
      <c r="C585" s="9" t="str">
        <f>IFERROR(__xludf.DUMMYFUNCTION("""COMPUTED_VALUE"""),""":""")</f>
        <v>":"</v>
      </c>
      <c r="D585" s="24">
        <v>2.1814070748985078E19</v>
      </c>
      <c r="E585" s="9" t="str">
        <f>IFERROR(__xludf.DUMMYFUNCTION("""COMPUTED_VALUE"""),""",")</f>
        <v>",</v>
      </c>
    </row>
    <row r="586">
      <c r="A586" s="9" t="str">
        <f>IFERROR(__xludf.DUMMYFUNCTION("""COMPUTED_VALUE"""),"""")</f>
        <v>"</v>
      </c>
      <c r="B586" s="9" t="s">
        <v>595</v>
      </c>
      <c r="C586" s="9" t="str">
        <f>IFERROR(__xludf.DUMMYFUNCTION("""COMPUTED_VALUE"""),""":""")</f>
        <v>":"</v>
      </c>
      <c r="D586" s="24">
        <v>6.2005979458241782E18</v>
      </c>
      <c r="E586" s="9" t="str">
        <f>IFERROR(__xludf.DUMMYFUNCTION("""COMPUTED_VALUE"""),""",")</f>
        <v>",</v>
      </c>
    </row>
    <row r="587">
      <c r="A587" s="9" t="str">
        <f>IFERROR(__xludf.DUMMYFUNCTION("""COMPUTED_VALUE"""),"""")</f>
        <v>"</v>
      </c>
      <c r="B587" s="9" t="s">
        <v>596</v>
      </c>
      <c r="C587" s="9" t="str">
        <f>IFERROR(__xludf.DUMMYFUNCTION("""COMPUTED_VALUE"""),""":""")</f>
        <v>":"</v>
      </c>
      <c r="D587" s="24">
        <v>2.0245231102016487E19</v>
      </c>
      <c r="E587" s="9" t="str">
        <f>IFERROR(__xludf.DUMMYFUNCTION("""COMPUTED_VALUE"""),""",")</f>
        <v>",</v>
      </c>
    </row>
    <row r="588">
      <c r="A588" s="9" t="str">
        <f>IFERROR(__xludf.DUMMYFUNCTION("""COMPUTED_VALUE"""),"""")</f>
        <v>"</v>
      </c>
      <c r="B588" s="9" t="s">
        <v>597</v>
      </c>
      <c r="C588" s="9" t="str">
        <f>IFERROR(__xludf.DUMMYFUNCTION("""COMPUTED_VALUE"""),""":""")</f>
        <v>":"</v>
      </c>
      <c r="D588" s="24">
        <v>2.0248888511809958E19</v>
      </c>
      <c r="E588" s="9" t="str">
        <f>IFERROR(__xludf.DUMMYFUNCTION("""COMPUTED_VALUE"""),""",")</f>
        <v>",</v>
      </c>
    </row>
    <row r="589">
      <c r="A589" s="9" t="str">
        <f>IFERROR(__xludf.DUMMYFUNCTION("""COMPUTED_VALUE"""),"""")</f>
        <v>"</v>
      </c>
      <c r="B589" s="9" t="s">
        <v>598</v>
      </c>
      <c r="C589" s="9" t="str">
        <f>IFERROR(__xludf.DUMMYFUNCTION("""COMPUTED_VALUE"""),""":""")</f>
        <v>":"</v>
      </c>
      <c r="D589" s="24">
        <v>3.227178837870931E19</v>
      </c>
      <c r="E589" s="9" t="str">
        <f>IFERROR(__xludf.DUMMYFUNCTION("""COMPUTED_VALUE"""),""",")</f>
        <v>",</v>
      </c>
    </row>
    <row r="590">
      <c r="A590" s="9" t="str">
        <f>IFERROR(__xludf.DUMMYFUNCTION("""COMPUTED_VALUE"""),"""")</f>
        <v>"</v>
      </c>
      <c r="B590" s="9" t="s">
        <v>599</v>
      </c>
      <c r="C590" s="9" t="str">
        <f>IFERROR(__xludf.DUMMYFUNCTION("""COMPUTED_VALUE"""),""":""")</f>
        <v>":"</v>
      </c>
      <c r="D590" s="24">
        <v>6.2005979458241782E18</v>
      </c>
      <c r="E590" s="9" t="str">
        <f>IFERROR(__xludf.DUMMYFUNCTION("""COMPUTED_VALUE"""),""",")</f>
        <v>",</v>
      </c>
    </row>
    <row r="591">
      <c r="A591" s="9" t="str">
        <f>IFERROR(__xludf.DUMMYFUNCTION("""COMPUTED_VALUE"""),"""")</f>
        <v>"</v>
      </c>
      <c r="B591" s="9" t="s">
        <v>600</v>
      </c>
      <c r="C591" s="9" t="str">
        <f>IFERROR(__xludf.DUMMYFUNCTION("""COMPUTED_VALUE"""),""":""")</f>
        <v>":"</v>
      </c>
      <c r="D591" s="24">
        <v>2.0248888511809958E19</v>
      </c>
      <c r="E591" s="9" t="str">
        <f>IFERROR(__xludf.DUMMYFUNCTION("""COMPUTED_VALUE"""),""",")</f>
        <v>",</v>
      </c>
    </row>
    <row r="592">
      <c r="A592" s="9" t="str">
        <f>IFERROR(__xludf.DUMMYFUNCTION("""COMPUTED_VALUE"""),"""")</f>
        <v>"</v>
      </c>
      <c r="B592" s="9" t="s">
        <v>601</v>
      </c>
      <c r="C592" s="9" t="str">
        <f>IFERROR(__xludf.DUMMYFUNCTION("""COMPUTED_VALUE"""),""":""")</f>
        <v>":"</v>
      </c>
      <c r="D592" s="24">
        <v>4.6629994066448456E18</v>
      </c>
      <c r="E592" s="9" t="str">
        <f>IFERROR(__xludf.DUMMYFUNCTION("""COMPUTED_VALUE"""),""",")</f>
        <v>",</v>
      </c>
    </row>
    <row r="593">
      <c r="A593" s="9" t="str">
        <f>IFERROR(__xludf.DUMMYFUNCTION("""COMPUTED_VALUE"""),"""")</f>
        <v>"</v>
      </c>
      <c r="B593" s="9" t="s">
        <v>602</v>
      </c>
      <c r="C593" s="9" t="str">
        <f>IFERROR(__xludf.DUMMYFUNCTION("""COMPUTED_VALUE"""),""":""")</f>
        <v>":"</v>
      </c>
      <c r="D593" s="24">
        <v>2.0248888511809958E19</v>
      </c>
      <c r="E593" s="9" t="str">
        <f>IFERROR(__xludf.DUMMYFUNCTION("""COMPUTED_VALUE"""),""",")</f>
        <v>",</v>
      </c>
    </row>
    <row r="594">
      <c r="A594" s="9" t="str">
        <f>IFERROR(__xludf.DUMMYFUNCTION("""COMPUTED_VALUE"""),"""")</f>
        <v>"</v>
      </c>
      <c r="B594" s="9" t="s">
        <v>603</v>
      </c>
      <c r="C594" s="9" t="str">
        <f>IFERROR(__xludf.DUMMYFUNCTION("""COMPUTED_VALUE"""),""":""")</f>
        <v>":"</v>
      </c>
      <c r="D594" s="24">
        <v>6.2005979458241782E18</v>
      </c>
      <c r="E594" s="9" t="str">
        <f>IFERROR(__xludf.DUMMYFUNCTION("""COMPUTED_VALUE"""),""",")</f>
        <v>",</v>
      </c>
    </row>
    <row r="595">
      <c r="A595" s="9" t="str">
        <f>IFERROR(__xludf.DUMMYFUNCTION("""COMPUTED_VALUE"""),"""")</f>
        <v>"</v>
      </c>
      <c r="B595" s="9" t="s">
        <v>604</v>
      </c>
      <c r="C595" s="9" t="str">
        <f>IFERROR(__xludf.DUMMYFUNCTION("""COMPUTED_VALUE"""),""":""")</f>
        <v>":"</v>
      </c>
      <c r="D595" s="24">
        <v>6.384543798458058E19</v>
      </c>
      <c r="E595" s="9" t="str">
        <f>IFERROR(__xludf.DUMMYFUNCTION("""COMPUTED_VALUE"""),""",")</f>
        <v>",</v>
      </c>
    </row>
    <row r="596">
      <c r="A596" s="9" t="str">
        <f>IFERROR(__xludf.DUMMYFUNCTION("""COMPUTED_VALUE"""),"""")</f>
        <v>"</v>
      </c>
      <c r="B596" s="9" t="s">
        <v>605</v>
      </c>
      <c r="C596" s="9" t="str">
        <f>IFERROR(__xludf.DUMMYFUNCTION("""COMPUTED_VALUE"""),""":""")</f>
        <v>":"</v>
      </c>
      <c r="D596" s="24">
        <v>6.2005979458241782E18</v>
      </c>
      <c r="E596" s="9" t="str">
        <f>IFERROR(__xludf.DUMMYFUNCTION("""COMPUTED_VALUE"""),""",")</f>
        <v>",</v>
      </c>
    </row>
    <row r="597">
      <c r="A597" s="9" t="str">
        <f>IFERROR(__xludf.DUMMYFUNCTION("""COMPUTED_VALUE"""),"""")</f>
        <v>"</v>
      </c>
      <c r="B597" s="9" t="s">
        <v>606</v>
      </c>
      <c r="C597" s="9" t="str">
        <f>IFERROR(__xludf.DUMMYFUNCTION("""COMPUTED_VALUE"""),""":""")</f>
        <v>":"</v>
      </c>
      <c r="D597" s="24">
        <v>2.0248888511809958E19</v>
      </c>
      <c r="E597" s="9" t="str">
        <f>IFERROR(__xludf.DUMMYFUNCTION("""COMPUTED_VALUE"""),""",")</f>
        <v>",</v>
      </c>
    </row>
    <row r="598">
      <c r="A598" s="9" t="str">
        <f>IFERROR(__xludf.DUMMYFUNCTION("""COMPUTED_VALUE"""),"""")</f>
        <v>"</v>
      </c>
      <c r="B598" s="9" t="s">
        <v>607</v>
      </c>
      <c r="C598" s="9" t="str">
        <f>IFERROR(__xludf.DUMMYFUNCTION("""COMPUTED_VALUE"""),""":""")</f>
        <v>":"</v>
      </c>
      <c r="D598" s="24">
        <v>2.0248888511809958E19</v>
      </c>
      <c r="E598" s="9" t="str">
        <f>IFERROR(__xludf.DUMMYFUNCTION("""COMPUTED_VALUE"""),""",")</f>
        <v>",</v>
      </c>
    </row>
    <row r="599">
      <c r="A599" s="9" t="str">
        <f>IFERROR(__xludf.DUMMYFUNCTION("""COMPUTED_VALUE"""),"""")</f>
        <v>"</v>
      </c>
      <c r="B599" s="9" t="s">
        <v>608</v>
      </c>
      <c r="C599" s="9" t="str">
        <f>IFERROR(__xludf.DUMMYFUNCTION("""COMPUTED_VALUE"""),""":""")</f>
        <v>":"</v>
      </c>
      <c r="D599" s="24">
        <v>1.913060290297613E19</v>
      </c>
      <c r="E599" s="9" t="str">
        <f>IFERROR(__xludf.DUMMYFUNCTION("""COMPUTED_VALUE"""),""",")</f>
        <v>",</v>
      </c>
    </row>
    <row r="600">
      <c r="A600" s="9" t="str">
        <f>IFERROR(__xludf.DUMMYFUNCTION("""COMPUTED_VALUE"""),"""")</f>
        <v>"</v>
      </c>
      <c r="B600" s="9" t="s">
        <v>609</v>
      </c>
      <c r="C600" s="9" t="str">
        <f>IFERROR(__xludf.DUMMYFUNCTION("""COMPUTED_VALUE"""),""":""")</f>
        <v>":"</v>
      </c>
      <c r="D600" s="24">
        <v>6.2005979458241782E18</v>
      </c>
      <c r="E600" s="9" t="str">
        <f>IFERROR(__xludf.DUMMYFUNCTION("""COMPUTED_VALUE"""),""",")</f>
        <v>",</v>
      </c>
    </row>
    <row r="601">
      <c r="A601" s="9" t="str">
        <f>IFERROR(__xludf.DUMMYFUNCTION("""COMPUTED_VALUE"""),"""")</f>
        <v>"</v>
      </c>
      <c r="B601" s="9" t="s">
        <v>610</v>
      </c>
      <c r="C601" s="9" t="str">
        <f>IFERROR(__xludf.DUMMYFUNCTION("""COMPUTED_VALUE"""),""":""")</f>
        <v>":"</v>
      </c>
      <c r="D601" s="24">
        <v>2.0248888511809958E19</v>
      </c>
      <c r="E601" s="9" t="str">
        <f>IFERROR(__xludf.DUMMYFUNCTION("""COMPUTED_VALUE"""),""",")</f>
        <v>",</v>
      </c>
    </row>
    <row r="602">
      <c r="A602" s="9" t="str">
        <f>IFERROR(__xludf.DUMMYFUNCTION("""COMPUTED_VALUE"""),"""")</f>
        <v>"</v>
      </c>
      <c r="B602" s="9" t="s">
        <v>611</v>
      </c>
      <c r="C602" s="9" t="str">
        <f>IFERROR(__xludf.DUMMYFUNCTION("""COMPUTED_VALUE"""),""":""")</f>
        <v>":"</v>
      </c>
      <c r="D602" s="24">
        <v>2.63249638450178E19</v>
      </c>
      <c r="E602" s="9" t="str">
        <f>IFERROR(__xludf.DUMMYFUNCTION("""COMPUTED_VALUE"""),""",")</f>
        <v>",</v>
      </c>
    </row>
    <row r="603">
      <c r="A603" s="9" t="str">
        <f>IFERROR(__xludf.DUMMYFUNCTION("""COMPUTED_VALUE"""),"""")</f>
        <v>"</v>
      </c>
      <c r="B603" s="9" t="s">
        <v>612</v>
      </c>
      <c r="C603" s="9" t="str">
        <f>IFERROR(__xludf.DUMMYFUNCTION("""COMPUTED_VALUE"""),""":""")</f>
        <v>":"</v>
      </c>
      <c r="D603" s="24">
        <v>6.0304607825935688E18</v>
      </c>
      <c r="E603" s="9" t="str">
        <f>IFERROR(__xludf.DUMMYFUNCTION("""COMPUTED_VALUE"""),""",")</f>
        <v>",</v>
      </c>
    </row>
    <row r="604">
      <c r="A604" s="9" t="str">
        <f>IFERROR(__xludf.DUMMYFUNCTION("""COMPUTED_VALUE"""),"""")</f>
        <v>"</v>
      </c>
      <c r="B604" s="9" t="s">
        <v>613</v>
      </c>
      <c r="C604" s="9" t="str">
        <f>IFERROR(__xludf.DUMMYFUNCTION("""COMPUTED_VALUE"""),""":""")</f>
        <v>":"</v>
      </c>
      <c r="D604" s="24">
        <v>6.2005979458241782E18</v>
      </c>
      <c r="E604" s="9" t="str">
        <f>IFERROR(__xludf.DUMMYFUNCTION("""COMPUTED_VALUE"""),""",")</f>
        <v>",</v>
      </c>
    </row>
    <row r="605">
      <c r="A605" s="9" t="str">
        <f>IFERROR(__xludf.DUMMYFUNCTION("""COMPUTED_VALUE"""),"""")</f>
        <v>"</v>
      </c>
      <c r="B605" s="9" t="s">
        <v>614</v>
      </c>
      <c r="C605" s="9" t="str">
        <f>IFERROR(__xludf.DUMMYFUNCTION("""COMPUTED_VALUE"""),""":""")</f>
        <v>":"</v>
      </c>
      <c r="D605" s="24">
        <v>6.1292296260638003E18</v>
      </c>
      <c r="E605" s="9" t="str">
        <f>IFERROR(__xludf.DUMMYFUNCTION("""COMPUTED_VALUE"""),""",")</f>
        <v>",</v>
      </c>
    </row>
    <row r="606">
      <c r="A606" s="9" t="str">
        <f>IFERROR(__xludf.DUMMYFUNCTION("""COMPUTED_VALUE"""),"""")</f>
        <v>"</v>
      </c>
      <c r="B606" s="9" t="s">
        <v>615</v>
      </c>
      <c r="C606" s="9" t="str">
        <f>IFERROR(__xludf.DUMMYFUNCTION("""COMPUTED_VALUE"""),""":""")</f>
        <v>":"</v>
      </c>
      <c r="D606" s="24">
        <v>6.2005979458241782E18</v>
      </c>
      <c r="E606" s="9" t="str">
        <f>IFERROR(__xludf.DUMMYFUNCTION("""COMPUTED_VALUE"""),""",")</f>
        <v>",</v>
      </c>
    </row>
    <row r="607">
      <c r="A607" s="9" t="str">
        <f>IFERROR(__xludf.DUMMYFUNCTION("""COMPUTED_VALUE"""),"""")</f>
        <v>"</v>
      </c>
      <c r="B607" s="9" t="s">
        <v>616</v>
      </c>
      <c r="C607" s="9" t="str">
        <f>IFERROR(__xludf.DUMMYFUNCTION("""COMPUTED_VALUE"""),""":""")</f>
        <v>":"</v>
      </c>
      <c r="D607" s="24">
        <v>4.1736184523253335E18</v>
      </c>
      <c r="E607" s="9" t="str">
        <f>IFERROR(__xludf.DUMMYFUNCTION("""COMPUTED_VALUE"""),""",")</f>
        <v>",</v>
      </c>
    </row>
    <row r="608">
      <c r="A608" s="9" t="str">
        <f>IFERROR(__xludf.DUMMYFUNCTION("""COMPUTED_VALUE"""),"""")</f>
        <v>"</v>
      </c>
      <c r="B608" s="9" t="s">
        <v>617</v>
      </c>
      <c r="C608" s="9" t="str">
        <f>IFERROR(__xludf.DUMMYFUNCTION("""COMPUTED_VALUE"""),""":""")</f>
        <v>":"</v>
      </c>
      <c r="D608" s="24">
        <v>6.9692446598046495E18</v>
      </c>
      <c r="E608" s="9" t="str">
        <f>IFERROR(__xludf.DUMMYFUNCTION("""COMPUTED_VALUE"""),""",")</f>
        <v>",</v>
      </c>
    </row>
    <row r="609">
      <c r="A609" s="9" t="str">
        <f>IFERROR(__xludf.DUMMYFUNCTION("""COMPUTED_VALUE"""),"""")</f>
        <v>"</v>
      </c>
      <c r="B609" s="9" t="s">
        <v>618</v>
      </c>
      <c r="C609" s="9" t="str">
        <f>IFERROR(__xludf.DUMMYFUNCTION("""COMPUTED_VALUE"""),""":""")</f>
        <v>":"</v>
      </c>
      <c r="D609" s="24">
        <v>2.0248888511809958E19</v>
      </c>
      <c r="E609" s="9" t="str">
        <f>IFERROR(__xludf.DUMMYFUNCTION("""COMPUTED_VALUE"""),""",")</f>
        <v>",</v>
      </c>
    </row>
    <row r="610">
      <c r="A610" s="9" t="str">
        <f>IFERROR(__xludf.DUMMYFUNCTION("""COMPUTED_VALUE"""),"""")</f>
        <v>"</v>
      </c>
      <c r="B610" s="9" t="s">
        <v>619</v>
      </c>
      <c r="C610" s="9" t="str">
        <f>IFERROR(__xludf.DUMMYFUNCTION("""COMPUTED_VALUE"""),""":""")</f>
        <v>":"</v>
      </c>
      <c r="D610" s="24">
        <v>8.1981032411956224E17</v>
      </c>
      <c r="E610" s="9" t="str">
        <f>IFERROR(__xludf.DUMMYFUNCTION("""COMPUTED_VALUE"""),""",")</f>
        <v>",</v>
      </c>
    </row>
    <row r="611">
      <c r="A611" s="9" t="str">
        <f>IFERROR(__xludf.DUMMYFUNCTION("""COMPUTED_VALUE"""),"""")</f>
        <v>"</v>
      </c>
      <c r="B611" s="9" t="s">
        <v>620</v>
      </c>
      <c r="C611" s="9" t="str">
        <f>IFERROR(__xludf.DUMMYFUNCTION("""COMPUTED_VALUE"""),""":""")</f>
        <v>":"</v>
      </c>
      <c r="D611" s="24">
        <v>2.0248888511809958E19</v>
      </c>
      <c r="E611" s="9" t="str">
        <f>IFERROR(__xludf.DUMMYFUNCTION("""COMPUTED_VALUE"""),""",")</f>
        <v>",</v>
      </c>
    </row>
    <row r="612">
      <c r="A612" s="9" t="str">
        <f>IFERROR(__xludf.DUMMYFUNCTION("""COMPUTED_VALUE"""),"""")</f>
        <v>"</v>
      </c>
      <c r="B612" s="9" t="s">
        <v>621</v>
      </c>
      <c r="C612" s="9" t="str">
        <f>IFERROR(__xludf.DUMMYFUNCTION("""COMPUTED_VALUE"""),""":""")</f>
        <v>":"</v>
      </c>
      <c r="D612" s="24">
        <v>6.2005979458241782E18</v>
      </c>
      <c r="E612" s="9" t="str">
        <f>IFERROR(__xludf.DUMMYFUNCTION("""COMPUTED_VALUE"""),""",")</f>
        <v>",</v>
      </c>
    </row>
    <row r="613">
      <c r="A613" s="9" t="str">
        <f>IFERROR(__xludf.DUMMYFUNCTION("""COMPUTED_VALUE"""),"""")</f>
        <v>"</v>
      </c>
      <c r="B613" s="9" t="s">
        <v>622</v>
      </c>
      <c r="C613" s="9" t="str">
        <f>IFERROR(__xludf.DUMMYFUNCTION("""COMPUTED_VALUE"""),""":""")</f>
        <v>":"</v>
      </c>
      <c r="D613" s="24">
        <v>5.8651509581118894E18</v>
      </c>
      <c r="E613" s="9" t="str">
        <f>IFERROR(__xludf.DUMMYFUNCTION("""COMPUTED_VALUE"""),""",")</f>
        <v>",</v>
      </c>
    </row>
    <row r="614">
      <c r="A614" s="9" t="str">
        <f>IFERROR(__xludf.DUMMYFUNCTION("""COMPUTED_VALUE"""),"""")</f>
        <v>"</v>
      </c>
      <c r="B614" s="9" t="s">
        <v>623</v>
      </c>
      <c r="C614" s="9" t="str">
        <f>IFERROR(__xludf.DUMMYFUNCTION("""COMPUTED_VALUE"""),""":""")</f>
        <v>":"</v>
      </c>
      <c r="D614" s="24">
        <v>6.2005979458241782E18</v>
      </c>
      <c r="E614" s="9" t="str">
        <f>IFERROR(__xludf.DUMMYFUNCTION("""COMPUTED_VALUE"""),""",")</f>
        <v>",</v>
      </c>
    </row>
    <row r="615">
      <c r="A615" s="9" t="str">
        <f>IFERROR(__xludf.DUMMYFUNCTION("""COMPUTED_VALUE"""),"""")</f>
        <v>"</v>
      </c>
      <c r="B615" s="9" t="s">
        <v>624</v>
      </c>
      <c r="C615" s="9" t="str">
        <f>IFERROR(__xludf.DUMMYFUNCTION("""COMPUTED_VALUE"""),""":""")</f>
        <v>":"</v>
      </c>
      <c r="D615" s="24">
        <v>9.2459829019318E18</v>
      </c>
      <c r="E615" s="9" t="str">
        <f>IFERROR(__xludf.DUMMYFUNCTION("""COMPUTED_VALUE"""),""",")</f>
        <v>",</v>
      </c>
    </row>
    <row r="616">
      <c r="A616" s="9" t="str">
        <f>IFERROR(__xludf.DUMMYFUNCTION("""COMPUTED_VALUE"""),"""")</f>
        <v>"</v>
      </c>
      <c r="B616" s="9" t="s">
        <v>625</v>
      </c>
      <c r="C616" s="9" t="str">
        <f>IFERROR(__xludf.DUMMYFUNCTION("""COMPUTED_VALUE"""),""":""")</f>
        <v>":"</v>
      </c>
      <c r="D616" s="24">
        <v>5.4887904836953989E18</v>
      </c>
      <c r="E616" s="9" t="str">
        <f>IFERROR(__xludf.DUMMYFUNCTION("""COMPUTED_VALUE"""),""",")</f>
        <v>",</v>
      </c>
    </row>
    <row r="617">
      <c r="A617" s="9" t="str">
        <f>IFERROR(__xludf.DUMMYFUNCTION("""COMPUTED_VALUE"""),"""")</f>
        <v>"</v>
      </c>
      <c r="B617" s="9" t="s">
        <v>626</v>
      </c>
      <c r="C617" s="9" t="str">
        <f>IFERROR(__xludf.DUMMYFUNCTION("""COMPUTED_VALUE"""),""":""")</f>
        <v>":"</v>
      </c>
      <c r="D617" s="24">
        <v>2.8599036054436E19</v>
      </c>
      <c r="E617" s="9" t="str">
        <f>IFERROR(__xludf.DUMMYFUNCTION("""COMPUTED_VALUE"""),""",")</f>
        <v>",</v>
      </c>
    </row>
    <row r="618">
      <c r="A618" s="9" t="str">
        <f>IFERROR(__xludf.DUMMYFUNCTION("""COMPUTED_VALUE"""),"""")</f>
        <v>"</v>
      </c>
      <c r="B618" s="9" t="s">
        <v>627</v>
      </c>
      <c r="C618" s="9" t="str">
        <f>IFERROR(__xludf.DUMMYFUNCTION("""COMPUTED_VALUE"""),""":""")</f>
        <v>":"</v>
      </c>
      <c r="D618" s="24">
        <v>7.8580608630061783E18</v>
      </c>
      <c r="E618" s="9" t="str">
        <f>IFERROR(__xludf.DUMMYFUNCTION("""COMPUTED_VALUE"""),""",")</f>
        <v>",</v>
      </c>
    </row>
    <row r="619">
      <c r="A619" s="9" t="str">
        <f>IFERROR(__xludf.DUMMYFUNCTION("""COMPUTED_VALUE"""),"""")</f>
        <v>"</v>
      </c>
      <c r="B619" s="9" t="s">
        <v>628</v>
      </c>
      <c r="C619" s="9" t="str">
        <f>IFERROR(__xludf.DUMMYFUNCTION("""COMPUTED_VALUE"""),""":""")</f>
        <v>":"</v>
      </c>
      <c r="D619" s="24">
        <v>2.0404185152563614E19</v>
      </c>
      <c r="E619" s="9" t="str">
        <f>IFERROR(__xludf.DUMMYFUNCTION("""COMPUTED_VALUE"""),""",")</f>
        <v>",</v>
      </c>
    </row>
    <row r="620">
      <c r="A620" s="9" t="str">
        <f>IFERROR(__xludf.DUMMYFUNCTION("""COMPUTED_VALUE"""),"""")</f>
        <v>"</v>
      </c>
      <c r="B620" s="9" t="s">
        <v>629</v>
      </c>
      <c r="C620" s="9" t="str">
        <f>IFERROR(__xludf.DUMMYFUNCTION("""COMPUTED_VALUE"""),""":""")</f>
        <v>":"</v>
      </c>
      <c r="D620" s="24">
        <v>5.8357844285820232E18</v>
      </c>
      <c r="E620" s="9" t="str">
        <f>IFERROR(__xludf.DUMMYFUNCTION("""COMPUTED_VALUE"""),""",")</f>
        <v>",</v>
      </c>
    </row>
    <row r="621">
      <c r="A621" s="9" t="str">
        <f>IFERROR(__xludf.DUMMYFUNCTION("""COMPUTED_VALUE"""),"""")</f>
        <v>"</v>
      </c>
      <c r="B621" s="9" t="s">
        <v>630</v>
      </c>
      <c r="C621" s="9" t="str">
        <f>IFERROR(__xludf.DUMMYFUNCTION("""COMPUTED_VALUE"""),""":""")</f>
        <v>":"</v>
      </c>
      <c r="D621" s="24">
        <v>6.2005979458241782E18</v>
      </c>
      <c r="E621" s="9" t="str">
        <f>IFERROR(__xludf.DUMMYFUNCTION("""COMPUTED_VALUE"""),""",")</f>
        <v>",</v>
      </c>
    </row>
    <row r="622">
      <c r="A622" s="9" t="str">
        <f>IFERROR(__xludf.DUMMYFUNCTION("""COMPUTED_VALUE"""),"""")</f>
        <v>"</v>
      </c>
      <c r="B622" s="9" t="s">
        <v>631</v>
      </c>
      <c r="C622" s="9" t="str">
        <f>IFERROR(__xludf.DUMMYFUNCTION("""COMPUTED_VALUE"""),""":""")</f>
        <v>":"</v>
      </c>
      <c r="D622" s="24">
        <v>6.2005979458241782E18</v>
      </c>
      <c r="E622" s="9" t="str">
        <f>IFERROR(__xludf.DUMMYFUNCTION("""COMPUTED_VALUE"""),""",")</f>
        <v>",</v>
      </c>
    </row>
    <row r="623">
      <c r="A623" s="9" t="str">
        <f>IFERROR(__xludf.DUMMYFUNCTION("""COMPUTED_VALUE"""),"""")</f>
        <v>"</v>
      </c>
      <c r="B623" s="9" t="s">
        <v>632</v>
      </c>
      <c r="C623" s="9" t="str">
        <f>IFERROR(__xludf.DUMMYFUNCTION("""COMPUTED_VALUE"""),""":""")</f>
        <v>":"</v>
      </c>
      <c r="D623" s="24">
        <v>6.369371685785305E19</v>
      </c>
      <c r="E623" s="9" t="str">
        <f>IFERROR(__xludf.DUMMYFUNCTION("""COMPUTED_VALUE"""),""",")</f>
        <v>",</v>
      </c>
    </row>
    <row r="624">
      <c r="A624" s="9" t="str">
        <f>IFERROR(__xludf.DUMMYFUNCTION("""COMPUTED_VALUE"""),"""")</f>
        <v>"</v>
      </c>
      <c r="B624" s="9" t="s">
        <v>633</v>
      </c>
      <c r="C624" s="9" t="str">
        <f>IFERROR(__xludf.DUMMYFUNCTION("""COMPUTED_VALUE"""),""":""")</f>
        <v>":"</v>
      </c>
      <c r="D624" s="24">
        <v>5.1523378952935782E18</v>
      </c>
      <c r="E624" s="9" t="str">
        <f>IFERROR(__xludf.DUMMYFUNCTION("""COMPUTED_VALUE"""),""",")</f>
        <v>",</v>
      </c>
    </row>
    <row r="625">
      <c r="A625" s="9" t="str">
        <f>IFERROR(__xludf.DUMMYFUNCTION("""COMPUTED_VALUE"""),"""")</f>
        <v>"</v>
      </c>
      <c r="B625" s="9" t="s">
        <v>634</v>
      </c>
      <c r="C625" s="9" t="str">
        <f>IFERROR(__xludf.DUMMYFUNCTION("""COMPUTED_VALUE"""),""":""")</f>
        <v>":"</v>
      </c>
      <c r="D625" s="24">
        <v>2.0248888511809958E19</v>
      </c>
      <c r="E625" s="9" t="str">
        <f>IFERROR(__xludf.DUMMYFUNCTION("""COMPUTED_VALUE"""),""",")</f>
        <v>",</v>
      </c>
    </row>
    <row r="626">
      <c r="A626" s="9" t="str">
        <f>IFERROR(__xludf.DUMMYFUNCTION("""COMPUTED_VALUE"""),"""")</f>
        <v>"</v>
      </c>
      <c r="B626" s="9" t="s">
        <v>635</v>
      </c>
      <c r="C626" s="9" t="str">
        <f>IFERROR(__xludf.DUMMYFUNCTION("""COMPUTED_VALUE"""),""":""")</f>
        <v>":"</v>
      </c>
      <c r="D626" s="24">
        <v>2.0248888511809958E19</v>
      </c>
      <c r="E626" s="9" t="str">
        <f>IFERROR(__xludf.DUMMYFUNCTION("""COMPUTED_VALUE"""),""",")</f>
        <v>",</v>
      </c>
    </row>
    <row r="627">
      <c r="A627" s="9" t="str">
        <f>IFERROR(__xludf.DUMMYFUNCTION("""COMPUTED_VALUE"""),"""")</f>
        <v>"</v>
      </c>
      <c r="B627" s="9" t="s">
        <v>636</v>
      </c>
      <c r="C627" s="9" t="str">
        <f>IFERROR(__xludf.DUMMYFUNCTION("""COMPUTED_VALUE"""),""":""")</f>
        <v>":"</v>
      </c>
      <c r="D627" s="24">
        <v>1.36522114559987558E18</v>
      </c>
      <c r="E627" s="9" t="str">
        <f>IFERROR(__xludf.DUMMYFUNCTION("""COMPUTED_VALUE"""),""",")</f>
        <v>",</v>
      </c>
    </row>
    <row r="628">
      <c r="A628" s="9" t="str">
        <f>IFERROR(__xludf.DUMMYFUNCTION("""COMPUTED_VALUE"""),"""")</f>
        <v>"</v>
      </c>
      <c r="B628" s="9" t="s">
        <v>637</v>
      </c>
      <c r="C628" s="9" t="str">
        <f>IFERROR(__xludf.DUMMYFUNCTION("""COMPUTED_VALUE"""),""":""")</f>
        <v>":"</v>
      </c>
      <c r="D628" s="24">
        <v>5.4601255765327995E18</v>
      </c>
      <c r="E628" s="9" t="str">
        <f>IFERROR(__xludf.DUMMYFUNCTION("""COMPUTED_VALUE"""),""",")</f>
        <v>",</v>
      </c>
    </row>
    <row r="629">
      <c r="A629" s="9" t="str">
        <f>IFERROR(__xludf.DUMMYFUNCTION("""COMPUTED_VALUE"""),"""")</f>
        <v>"</v>
      </c>
      <c r="B629" s="9" t="s">
        <v>638</v>
      </c>
      <c r="C629" s="9" t="str">
        <f>IFERROR(__xludf.DUMMYFUNCTION("""COMPUTED_VALUE"""),""":""")</f>
        <v>":"</v>
      </c>
      <c r="D629" s="24">
        <v>6.2005979458241782E18</v>
      </c>
      <c r="E629" s="9" t="str">
        <f>IFERROR(__xludf.DUMMYFUNCTION("""COMPUTED_VALUE"""),""",")</f>
        <v>",</v>
      </c>
    </row>
    <row r="630">
      <c r="A630" s="9" t="str">
        <f>IFERROR(__xludf.DUMMYFUNCTION("""COMPUTED_VALUE"""),"""")</f>
        <v>"</v>
      </c>
      <c r="B630" s="9" t="s">
        <v>639</v>
      </c>
      <c r="C630" s="9" t="str">
        <f>IFERROR(__xludf.DUMMYFUNCTION("""COMPUTED_VALUE"""),""":""")</f>
        <v>":"</v>
      </c>
      <c r="D630" s="24">
        <v>1.62652848568259994E18</v>
      </c>
      <c r="E630" s="9" t="str">
        <f>IFERROR(__xludf.DUMMYFUNCTION("""COMPUTED_VALUE"""),""",")</f>
        <v>",</v>
      </c>
    </row>
    <row r="631">
      <c r="A631" s="9" t="str">
        <f>IFERROR(__xludf.DUMMYFUNCTION("""COMPUTED_VALUE"""),"""")</f>
        <v>"</v>
      </c>
      <c r="B631" s="9" t="s">
        <v>640</v>
      </c>
      <c r="C631" s="9" t="str">
        <f>IFERROR(__xludf.DUMMYFUNCTION("""COMPUTED_VALUE"""),""":""")</f>
        <v>":"</v>
      </c>
      <c r="D631" s="24">
        <v>2.6302458451601514E19</v>
      </c>
      <c r="E631" s="9" t="str">
        <f>IFERROR(__xludf.DUMMYFUNCTION("""COMPUTED_VALUE"""),""",")</f>
        <v>",</v>
      </c>
    </row>
    <row r="632">
      <c r="A632" s="9" t="str">
        <f>IFERROR(__xludf.DUMMYFUNCTION("""COMPUTED_VALUE"""),"""")</f>
        <v>"</v>
      </c>
      <c r="B632" s="9" t="s">
        <v>641</v>
      </c>
      <c r="C632" s="9" t="str">
        <f>IFERROR(__xludf.DUMMYFUNCTION("""COMPUTED_VALUE"""),""":""")</f>
        <v>":"</v>
      </c>
      <c r="D632" s="24">
        <v>6.2005979458241782E18</v>
      </c>
      <c r="E632" s="9" t="str">
        <f>IFERROR(__xludf.DUMMYFUNCTION("""COMPUTED_VALUE"""),""",")</f>
        <v>",</v>
      </c>
    </row>
    <row r="633">
      <c r="A633" s="9" t="str">
        <f>IFERROR(__xludf.DUMMYFUNCTION("""COMPUTED_VALUE"""),"""")</f>
        <v>"</v>
      </c>
      <c r="B633" s="9" t="s">
        <v>642</v>
      </c>
      <c r="C633" s="9" t="str">
        <f>IFERROR(__xludf.DUMMYFUNCTION("""COMPUTED_VALUE"""),""":""")</f>
        <v>":"</v>
      </c>
      <c r="D633" s="24">
        <v>6.2005979458241782E18</v>
      </c>
      <c r="E633" s="9" t="str">
        <f>IFERROR(__xludf.DUMMYFUNCTION("""COMPUTED_VALUE"""),""",")</f>
        <v>",</v>
      </c>
    </row>
    <row r="634">
      <c r="A634" s="9" t="str">
        <f>IFERROR(__xludf.DUMMYFUNCTION("""COMPUTED_VALUE"""),"""")</f>
        <v>"</v>
      </c>
      <c r="B634" s="9" t="s">
        <v>643</v>
      </c>
      <c r="C634" s="9" t="str">
        <f>IFERROR(__xludf.DUMMYFUNCTION("""COMPUTED_VALUE"""),""":""")</f>
        <v>":"</v>
      </c>
      <c r="D634" s="24">
        <v>1.2936881065508107E20</v>
      </c>
      <c r="E634" s="9" t="str">
        <f>IFERROR(__xludf.DUMMYFUNCTION("""COMPUTED_VALUE"""),""",")</f>
        <v>",</v>
      </c>
    </row>
    <row r="635">
      <c r="A635" s="9" t="str">
        <f>IFERROR(__xludf.DUMMYFUNCTION("""COMPUTED_VALUE"""),"""")</f>
        <v>"</v>
      </c>
      <c r="B635" s="9" t="s">
        <v>644</v>
      </c>
      <c r="C635" s="9" t="str">
        <f>IFERROR(__xludf.DUMMYFUNCTION("""COMPUTED_VALUE"""),""":""")</f>
        <v>":"</v>
      </c>
      <c r="D635" s="24">
        <v>6.2005979458241782E18</v>
      </c>
      <c r="E635" s="9" t="str">
        <f>IFERROR(__xludf.DUMMYFUNCTION("""COMPUTED_VALUE"""),""",")</f>
        <v>",</v>
      </c>
    </row>
    <row r="636">
      <c r="A636" s="9" t="str">
        <f>IFERROR(__xludf.DUMMYFUNCTION("""COMPUTED_VALUE"""),"""")</f>
        <v>"</v>
      </c>
      <c r="B636" s="9" t="s">
        <v>645</v>
      </c>
      <c r="C636" s="9" t="str">
        <f>IFERROR(__xludf.DUMMYFUNCTION("""COMPUTED_VALUE"""),""":""")</f>
        <v>":"</v>
      </c>
      <c r="D636" s="24">
        <v>2.0248888511809958E19</v>
      </c>
      <c r="E636" s="9" t="str">
        <f>IFERROR(__xludf.DUMMYFUNCTION("""COMPUTED_VALUE"""),""",")</f>
        <v>",</v>
      </c>
    </row>
    <row r="637">
      <c r="A637" s="9" t="str">
        <f>IFERROR(__xludf.DUMMYFUNCTION("""COMPUTED_VALUE"""),"""")</f>
        <v>"</v>
      </c>
      <c r="B637" s="9" t="s">
        <v>646</v>
      </c>
      <c r="C637" s="9" t="str">
        <f>IFERROR(__xludf.DUMMYFUNCTION("""COMPUTED_VALUE"""),""":""")</f>
        <v>":"</v>
      </c>
      <c r="D637" s="24">
        <v>6.2005979458241782E18</v>
      </c>
      <c r="E637" s="9" t="str">
        <f>IFERROR(__xludf.DUMMYFUNCTION("""COMPUTED_VALUE"""),""",")</f>
        <v>",</v>
      </c>
    </row>
    <row r="638">
      <c r="A638" s="9" t="str">
        <f>IFERROR(__xludf.DUMMYFUNCTION("""COMPUTED_VALUE"""),"""")</f>
        <v>"</v>
      </c>
      <c r="B638" s="9" t="s">
        <v>647</v>
      </c>
      <c r="C638" s="9" t="str">
        <f>IFERROR(__xludf.DUMMYFUNCTION("""COMPUTED_VALUE"""),""":""")</f>
        <v>":"</v>
      </c>
      <c r="D638" s="24">
        <v>6.2005979458241782E18</v>
      </c>
      <c r="E638" s="9" t="str">
        <f>IFERROR(__xludf.DUMMYFUNCTION("""COMPUTED_VALUE"""),""",")</f>
        <v>",</v>
      </c>
    </row>
    <row r="639">
      <c r="A639" s="9" t="str">
        <f>IFERROR(__xludf.DUMMYFUNCTION("""COMPUTED_VALUE"""),"""")</f>
        <v>"</v>
      </c>
      <c r="B639" s="9" t="s">
        <v>648</v>
      </c>
      <c r="C639" s="9" t="str">
        <f>IFERROR(__xludf.DUMMYFUNCTION("""COMPUTED_VALUE"""),""":""")</f>
        <v>":"</v>
      </c>
      <c r="D639" s="24">
        <v>2.0248888511809958E19</v>
      </c>
      <c r="E639" s="9" t="str">
        <f>IFERROR(__xludf.DUMMYFUNCTION("""COMPUTED_VALUE"""),""",")</f>
        <v>",</v>
      </c>
    </row>
    <row r="640">
      <c r="A640" s="9" t="str">
        <f>IFERROR(__xludf.DUMMYFUNCTION("""COMPUTED_VALUE"""),"""")</f>
        <v>"</v>
      </c>
      <c r="B640" s="9" t="s">
        <v>649</v>
      </c>
      <c r="C640" s="9" t="str">
        <f>IFERROR(__xludf.DUMMYFUNCTION("""COMPUTED_VALUE"""),""":""")</f>
        <v>":"</v>
      </c>
      <c r="D640" s="24">
        <v>7.829732866089928E19</v>
      </c>
      <c r="E640" s="9" t="str">
        <f>IFERROR(__xludf.DUMMYFUNCTION("""COMPUTED_VALUE"""),""",")</f>
        <v>",</v>
      </c>
    </row>
    <row r="641">
      <c r="A641" s="9" t="str">
        <f>IFERROR(__xludf.DUMMYFUNCTION("""COMPUTED_VALUE"""),"""")</f>
        <v>"</v>
      </c>
      <c r="B641" s="9" t="s">
        <v>650</v>
      </c>
      <c r="C641" s="9" t="str">
        <f>IFERROR(__xludf.DUMMYFUNCTION("""COMPUTED_VALUE"""),""":""")</f>
        <v>":"</v>
      </c>
      <c r="D641" s="24">
        <v>6.2005979458241782E18</v>
      </c>
      <c r="E641" s="9" t="str">
        <f>IFERROR(__xludf.DUMMYFUNCTION("""COMPUTED_VALUE"""),""",")</f>
        <v>",</v>
      </c>
    </row>
    <row r="642">
      <c r="A642" s="9" t="str">
        <f>IFERROR(__xludf.DUMMYFUNCTION("""COMPUTED_VALUE"""),"""")</f>
        <v>"</v>
      </c>
      <c r="B642" s="9" t="s">
        <v>651</v>
      </c>
      <c r="C642" s="9" t="str">
        <f>IFERROR(__xludf.DUMMYFUNCTION("""COMPUTED_VALUE"""),""":""")</f>
        <v>":"</v>
      </c>
      <c r="D642" s="24">
        <v>2.0248888511809958E19</v>
      </c>
      <c r="E642" s="9" t="str">
        <f>IFERROR(__xludf.DUMMYFUNCTION("""COMPUTED_VALUE"""),""",")</f>
        <v>",</v>
      </c>
    </row>
    <row r="643">
      <c r="A643" s="9" t="str">
        <f>IFERROR(__xludf.DUMMYFUNCTION("""COMPUTED_VALUE"""),"""")</f>
        <v>"</v>
      </c>
      <c r="B643" s="9" t="s">
        <v>652</v>
      </c>
      <c r="C643" s="9" t="str">
        <f>IFERROR(__xludf.DUMMYFUNCTION("""COMPUTED_VALUE"""),""":""")</f>
        <v>":"</v>
      </c>
      <c r="D643" s="24">
        <v>1.37967291337939328E18</v>
      </c>
      <c r="E643" s="9" t="str">
        <f>IFERROR(__xludf.DUMMYFUNCTION("""COMPUTED_VALUE"""),""",")</f>
        <v>",</v>
      </c>
    </row>
    <row r="644">
      <c r="A644" s="9" t="str">
        <f>IFERROR(__xludf.DUMMYFUNCTION("""COMPUTED_VALUE"""),"""")</f>
        <v>"</v>
      </c>
      <c r="B644" s="9" t="s">
        <v>653</v>
      </c>
      <c r="C644" s="9" t="str">
        <f>IFERROR(__xludf.DUMMYFUNCTION("""COMPUTED_VALUE"""),""":""")</f>
        <v>":"</v>
      </c>
      <c r="D644" s="24">
        <v>2.3191200687208444E19</v>
      </c>
      <c r="E644" s="9" t="str">
        <f>IFERROR(__xludf.DUMMYFUNCTION("""COMPUTED_VALUE"""),""",")</f>
        <v>",</v>
      </c>
    </row>
    <row r="645">
      <c r="A645" s="9" t="str">
        <f>IFERROR(__xludf.DUMMYFUNCTION("""COMPUTED_VALUE"""),"""")</f>
        <v>"</v>
      </c>
      <c r="B645" s="9" t="s">
        <v>654</v>
      </c>
      <c r="C645" s="9" t="str">
        <f>IFERROR(__xludf.DUMMYFUNCTION("""COMPUTED_VALUE"""),""":""")</f>
        <v>":"</v>
      </c>
      <c r="D645" s="24">
        <v>3.7399243793256673E18</v>
      </c>
      <c r="E645" s="9" t="str">
        <f>IFERROR(__xludf.DUMMYFUNCTION("""COMPUTED_VALUE"""),""",")</f>
        <v>",</v>
      </c>
    </row>
    <row r="646">
      <c r="A646" s="9" t="str">
        <f>IFERROR(__xludf.DUMMYFUNCTION("""COMPUTED_VALUE"""),"""")</f>
        <v>"</v>
      </c>
      <c r="B646" s="9" t="s">
        <v>655</v>
      </c>
      <c r="C646" s="9" t="str">
        <f>IFERROR(__xludf.DUMMYFUNCTION("""COMPUTED_VALUE"""),""":""")</f>
        <v>":"</v>
      </c>
      <c r="D646" s="24">
        <v>6.2005979458241782E18</v>
      </c>
      <c r="E646" s="9" t="str">
        <f>IFERROR(__xludf.DUMMYFUNCTION("""COMPUTED_VALUE"""),""",")</f>
        <v>",</v>
      </c>
    </row>
    <row r="647">
      <c r="A647" s="9" t="str">
        <f>IFERROR(__xludf.DUMMYFUNCTION("""COMPUTED_VALUE"""),"""")</f>
        <v>"</v>
      </c>
      <c r="B647" s="9" t="s">
        <v>656</v>
      </c>
      <c r="C647" s="9" t="str">
        <f>IFERROR(__xludf.DUMMYFUNCTION("""COMPUTED_VALUE"""),""":""")</f>
        <v>":"</v>
      </c>
      <c r="D647" s="24">
        <v>6.2005979458241782E18</v>
      </c>
      <c r="E647" s="9" t="str">
        <f>IFERROR(__xludf.DUMMYFUNCTION("""COMPUTED_VALUE"""),""",")</f>
        <v>",</v>
      </c>
    </row>
    <row r="648">
      <c r="A648" s="9" t="str">
        <f>IFERROR(__xludf.DUMMYFUNCTION("""COMPUTED_VALUE"""),"""")</f>
        <v>"</v>
      </c>
      <c r="B648" s="9" t="s">
        <v>657</v>
      </c>
      <c r="C648" s="9" t="str">
        <f>IFERROR(__xludf.DUMMYFUNCTION("""COMPUTED_VALUE"""),""":""")</f>
        <v>":"</v>
      </c>
      <c r="D648" s="24">
        <v>6.2005979458241782E18</v>
      </c>
      <c r="E648" s="9" t="str">
        <f>IFERROR(__xludf.DUMMYFUNCTION("""COMPUTED_VALUE"""),""",")</f>
        <v>",</v>
      </c>
    </row>
    <row r="649">
      <c r="A649" s="9" t="str">
        <f>IFERROR(__xludf.DUMMYFUNCTION("""COMPUTED_VALUE"""),"""")</f>
        <v>"</v>
      </c>
      <c r="B649" s="9" t="s">
        <v>658</v>
      </c>
      <c r="C649" s="9" t="str">
        <f>IFERROR(__xludf.DUMMYFUNCTION("""COMPUTED_VALUE"""),""":""")</f>
        <v>":"</v>
      </c>
      <c r="D649" s="24">
        <v>2.0248888511809958E19</v>
      </c>
      <c r="E649" s="9" t="str">
        <f>IFERROR(__xludf.DUMMYFUNCTION("""COMPUTED_VALUE"""),""",")</f>
        <v>",</v>
      </c>
    </row>
    <row r="650">
      <c r="A650" s="9" t="str">
        <f>IFERROR(__xludf.DUMMYFUNCTION("""COMPUTED_VALUE"""),"""")</f>
        <v>"</v>
      </c>
      <c r="B650" s="9" t="s">
        <v>659</v>
      </c>
      <c r="C650" s="9" t="str">
        <f>IFERROR(__xludf.DUMMYFUNCTION("""COMPUTED_VALUE"""),""":""")</f>
        <v>":"</v>
      </c>
      <c r="D650" s="24">
        <v>5.659334277997373E19</v>
      </c>
      <c r="E650" s="9" t="str">
        <f>IFERROR(__xludf.DUMMYFUNCTION("""COMPUTED_VALUE"""),""",")</f>
        <v>",</v>
      </c>
    </row>
    <row r="651">
      <c r="A651" s="9" t="str">
        <f>IFERROR(__xludf.DUMMYFUNCTION("""COMPUTED_VALUE"""),"""")</f>
        <v>"</v>
      </c>
      <c r="B651" s="9" t="s">
        <v>660</v>
      </c>
      <c r="C651" s="9" t="str">
        <f>IFERROR(__xludf.DUMMYFUNCTION("""COMPUTED_VALUE"""),""":""")</f>
        <v>":"</v>
      </c>
      <c r="D651" s="24">
        <v>6.8678795775825344E17</v>
      </c>
      <c r="E651" s="9" t="str">
        <f>IFERROR(__xludf.DUMMYFUNCTION("""COMPUTED_VALUE"""),""",")</f>
        <v>",</v>
      </c>
    </row>
    <row r="652">
      <c r="A652" s="9" t="str">
        <f>IFERROR(__xludf.DUMMYFUNCTION("""COMPUTED_VALUE"""),"""")</f>
        <v>"</v>
      </c>
      <c r="B652" s="9" t="s">
        <v>661</v>
      </c>
      <c r="C652" s="9" t="str">
        <f>IFERROR(__xludf.DUMMYFUNCTION("""COMPUTED_VALUE"""),""":""")</f>
        <v>":"</v>
      </c>
      <c r="D652" s="24">
        <v>5.5663557004713339E18</v>
      </c>
      <c r="E652" s="9" t="str">
        <f>IFERROR(__xludf.DUMMYFUNCTION("""COMPUTED_VALUE"""),""",")</f>
        <v>",</v>
      </c>
    </row>
    <row r="653">
      <c r="A653" s="9" t="str">
        <f>IFERROR(__xludf.DUMMYFUNCTION("""COMPUTED_VALUE"""),"""")</f>
        <v>"</v>
      </c>
      <c r="B653" s="9" t="s">
        <v>662</v>
      </c>
      <c r="C653" s="9" t="str">
        <f>IFERROR(__xludf.DUMMYFUNCTION("""COMPUTED_VALUE"""),""":""")</f>
        <v>":"</v>
      </c>
      <c r="D653" s="24">
        <v>5.8112777878690232E18</v>
      </c>
      <c r="E653" s="9" t="str">
        <f>IFERROR(__xludf.DUMMYFUNCTION("""COMPUTED_VALUE"""),""",")</f>
        <v>",</v>
      </c>
    </row>
    <row r="654">
      <c r="A654" s="9" t="str">
        <f>IFERROR(__xludf.DUMMYFUNCTION("""COMPUTED_VALUE"""),"""")</f>
        <v>"</v>
      </c>
      <c r="B654" s="9" t="s">
        <v>663</v>
      </c>
      <c r="C654" s="9" t="str">
        <f>IFERROR(__xludf.DUMMYFUNCTION("""COMPUTED_VALUE"""),""":""")</f>
        <v>":"</v>
      </c>
      <c r="D654" s="24">
        <v>3.5064297692917715E19</v>
      </c>
      <c r="E654" s="9" t="str">
        <f>IFERROR(__xludf.DUMMYFUNCTION("""COMPUTED_VALUE"""),""",")</f>
        <v>",</v>
      </c>
    </row>
    <row r="655">
      <c r="A655" s="9" t="str">
        <f>IFERROR(__xludf.DUMMYFUNCTION("""COMPUTED_VALUE"""),"""")</f>
        <v>"</v>
      </c>
      <c r="B655" s="9" t="s">
        <v>664</v>
      </c>
      <c r="C655" s="9" t="str">
        <f>IFERROR(__xludf.DUMMYFUNCTION("""COMPUTED_VALUE"""),""":""")</f>
        <v>":"</v>
      </c>
      <c r="D655" s="24">
        <v>6.2005979458241782E18</v>
      </c>
      <c r="E655" s="9" t="str">
        <f>IFERROR(__xludf.DUMMYFUNCTION("""COMPUTED_VALUE"""),""",")</f>
        <v>",</v>
      </c>
    </row>
    <row r="656">
      <c r="A656" s="9" t="str">
        <f>IFERROR(__xludf.DUMMYFUNCTION("""COMPUTED_VALUE"""),"""")</f>
        <v>"</v>
      </c>
      <c r="B656" s="9" t="s">
        <v>665</v>
      </c>
      <c r="C656" s="9" t="str">
        <f>IFERROR(__xludf.DUMMYFUNCTION("""COMPUTED_VALUE"""),""":""")</f>
        <v>":"</v>
      </c>
      <c r="D656" s="24">
        <v>6.2005979458241782E18</v>
      </c>
      <c r="E656" s="9" t="str">
        <f>IFERROR(__xludf.DUMMYFUNCTION("""COMPUTED_VALUE"""),""",")</f>
        <v>",</v>
      </c>
    </row>
    <row r="657">
      <c r="A657" s="9" t="str">
        <f>IFERROR(__xludf.DUMMYFUNCTION("""COMPUTED_VALUE"""),"""")</f>
        <v>"</v>
      </c>
      <c r="B657" s="9" t="s">
        <v>666</v>
      </c>
      <c r="C657" s="9" t="str">
        <f>IFERROR(__xludf.DUMMYFUNCTION("""COMPUTED_VALUE"""),""":""")</f>
        <v>":"</v>
      </c>
      <c r="D657" s="24">
        <v>2.9500964235646669E18</v>
      </c>
      <c r="E657" s="9" t="str">
        <f>IFERROR(__xludf.DUMMYFUNCTION("""COMPUTED_VALUE"""),""",")</f>
        <v>",</v>
      </c>
    </row>
    <row r="658">
      <c r="A658" s="9" t="str">
        <f>IFERROR(__xludf.DUMMYFUNCTION("""COMPUTED_VALUE"""),"""")</f>
        <v>"</v>
      </c>
      <c r="B658" s="9" t="s">
        <v>667</v>
      </c>
      <c r="C658" s="9" t="str">
        <f>IFERROR(__xludf.DUMMYFUNCTION("""COMPUTED_VALUE"""),""":""")</f>
        <v>":"</v>
      </c>
      <c r="D658" s="24">
        <v>2.0248888511809958E19</v>
      </c>
      <c r="E658" s="9" t="str">
        <f>IFERROR(__xludf.DUMMYFUNCTION("""COMPUTED_VALUE"""),""",")</f>
        <v>",</v>
      </c>
    </row>
    <row r="659">
      <c r="A659" s="9" t="str">
        <f>IFERROR(__xludf.DUMMYFUNCTION("""COMPUTED_VALUE"""),"""")</f>
        <v>"</v>
      </c>
      <c r="B659" s="9" t="s">
        <v>668</v>
      </c>
      <c r="C659" s="9" t="str">
        <f>IFERROR(__xludf.DUMMYFUNCTION("""COMPUTED_VALUE"""),""":""")</f>
        <v>":"</v>
      </c>
      <c r="D659" s="24">
        <v>2.6138147267521446E19</v>
      </c>
      <c r="E659" s="9" t="str">
        <f>IFERROR(__xludf.DUMMYFUNCTION("""COMPUTED_VALUE"""),""",")</f>
        <v>",</v>
      </c>
    </row>
    <row r="660">
      <c r="A660" s="9" t="str">
        <f>IFERROR(__xludf.DUMMYFUNCTION("""COMPUTED_VALUE"""),"""")</f>
        <v>"</v>
      </c>
      <c r="B660" s="9" t="s">
        <v>669</v>
      </c>
      <c r="C660" s="9" t="str">
        <f>IFERROR(__xludf.DUMMYFUNCTION("""COMPUTED_VALUE"""),""":""")</f>
        <v>":"</v>
      </c>
      <c r="D660" s="24">
        <v>2.197851019102867E19</v>
      </c>
      <c r="E660" s="9" t="str">
        <f>IFERROR(__xludf.DUMMYFUNCTION("""COMPUTED_VALUE"""),""",")</f>
        <v>",</v>
      </c>
    </row>
    <row r="661">
      <c r="A661" s="9" t="str">
        <f>IFERROR(__xludf.DUMMYFUNCTION("""COMPUTED_VALUE"""),"""")</f>
        <v>"</v>
      </c>
      <c r="B661" s="9" t="s">
        <v>670</v>
      </c>
      <c r="C661" s="9" t="str">
        <f>IFERROR(__xludf.DUMMYFUNCTION("""COMPUTED_VALUE"""),""":""")</f>
        <v>":"</v>
      </c>
      <c r="D661" s="24">
        <v>6.2005979458241782E18</v>
      </c>
      <c r="E661" s="9" t="str">
        <f>IFERROR(__xludf.DUMMYFUNCTION("""COMPUTED_VALUE"""),""",")</f>
        <v>",</v>
      </c>
    </row>
    <row r="662">
      <c r="A662" s="9" t="str">
        <f>IFERROR(__xludf.DUMMYFUNCTION("""COMPUTED_VALUE"""),"""")</f>
        <v>"</v>
      </c>
      <c r="B662" s="9" t="s">
        <v>671</v>
      </c>
      <c r="C662" s="9" t="str">
        <f>IFERROR(__xludf.DUMMYFUNCTION("""COMPUTED_VALUE"""),""":""")</f>
        <v>":"</v>
      </c>
      <c r="D662" s="24">
        <v>3.6680006919815623E19</v>
      </c>
      <c r="E662" s="9" t="str">
        <f>IFERROR(__xludf.DUMMYFUNCTION("""COMPUTED_VALUE"""),""",")</f>
        <v>",</v>
      </c>
    </row>
    <row r="663">
      <c r="A663" s="9" t="str">
        <f>IFERROR(__xludf.DUMMYFUNCTION("""COMPUTED_VALUE"""),"""")</f>
        <v>"</v>
      </c>
      <c r="B663" s="9" t="s">
        <v>672</v>
      </c>
      <c r="C663" s="9" t="str">
        <f>IFERROR(__xludf.DUMMYFUNCTION("""COMPUTED_VALUE"""),""":""")</f>
        <v>":"</v>
      </c>
      <c r="D663" s="24">
        <v>1.01341193043002E19</v>
      </c>
      <c r="E663" s="9" t="str">
        <f>IFERROR(__xludf.DUMMYFUNCTION("""COMPUTED_VALUE"""),""",")</f>
        <v>",</v>
      </c>
    </row>
    <row r="664">
      <c r="A664" s="9" t="str">
        <f>IFERROR(__xludf.DUMMYFUNCTION("""COMPUTED_VALUE"""),"""")</f>
        <v>"</v>
      </c>
      <c r="B664" s="9" t="s">
        <v>673</v>
      </c>
      <c r="C664" s="9" t="str">
        <f>IFERROR(__xludf.DUMMYFUNCTION("""COMPUTED_VALUE"""),""":""")</f>
        <v>":"</v>
      </c>
      <c r="D664" s="24">
        <v>2.0248888511809958E19</v>
      </c>
      <c r="E664" s="9" t="str">
        <f>IFERROR(__xludf.DUMMYFUNCTION("""COMPUTED_VALUE"""),""",")</f>
        <v>",</v>
      </c>
    </row>
    <row r="665">
      <c r="A665" s="9" t="str">
        <f>IFERROR(__xludf.DUMMYFUNCTION("""COMPUTED_VALUE"""),"""")</f>
        <v>"</v>
      </c>
      <c r="B665" s="9" t="s">
        <v>674</v>
      </c>
      <c r="C665" s="9" t="str">
        <f>IFERROR(__xludf.DUMMYFUNCTION("""COMPUTED_VALUE"""),""":""")</f>
        <v>":"</v>
      </c>
      <c r="D665" s="24">
        <v>5.453155227440796E19</v>
      </c>
      <c r="E665" s="9" t="str">
        <f>IFERROR(__xludf.DUMMYFUNCTION("""COMPUTED_VALUE"""),""",")</f>
        <v>",</v>
      </c>
    </row>
    <row r="666">
      <c r="A666" s="9" t="str">
        <f>IFERROR(__xludf.DUMMYFUNCTION("""COMPUTED_VALUE"""),"""")</f>
        <v>"</v>
      </c>
      <c r="B666" s="9" t="s">
        <v>675</v>
      </c>
      <c r="C666" s="9" t="str">
        <f>IFERROR(__xludf.DUMMYFUNCTION("""COMPUTED_VALUE"""),""":""")</f>
        <v>":"</v>
      </c>
      <c r="D666" s="24">
        <v>2.4144778642670894E18</v>
      </c>
      <c r="E666" s="9" t="str">
        <f>IFERROR(__xludf.DUMMYFUNCTION("""COMPUTED_VALUE"""),""",")</f>
        <v>",</v>
      </c>
    </row>
    <row r="667">
      <c r="A667" s="9" t="str">
        <f>IFERROR(__xludf.DUMMYFUNCTION("""COMPUTED_VALUE"""),"""")</f>
        <v>"</v>
      </c>
      <c r="B667" s="9" t="s">
        <v>676</v>
      </c>
      <c r="C667" s="9" t="str">
        <f>IFERROR(__xludf.DUMMYFUNCTION("""COMPUTED_VALUE"""),""":""")</f>
        <v>":"</v>
      </c>
      <c r="D667" s="24">
        <v>7.8080481441786839E18</v>
      </c>
      <c r="E667" s="9" t="str">
        <f>IFERROR(__xludf.DUMMYFUNCTION("""COMPUTED_VALUE"""),""",")</f>
        <v>",</v>
      </c>
    </row>
    <row r="668">
      <c r="A668" s="9" t="str">
        <f>IFERROR(__xludf.DUMMYFUNCTION("""COMPUTED_VALUE"""),"""")</f>
        <v>"</v>
      </c>
      <c r="B668" s="9" t="s">
        <v>677</v>
      </c>
      <c r="C668" s="9" t="str">
        <f>IFERROR(__xludf.DUMMYFUNCTION("""COMPUTED_VALUE"""),""":""")</f>
        <v>":"</v>
      </c>
      <c r="D668" s="24">
        <v>2.0248888511809958E19</v>
      </c>
      <c r="E668" s="9" t="str">
        <f>IFERROR(__xludf.DUMMYFUNCTION("""COMPUTED_VALUE"""),""",")</f>
        <v>",</v>
      </c>
    </row>
    <row r="669">
      <c r="A669" s="9" t="str">
        <f>IFERROR(__xludf.DUMMYFUNCTION("""COMPUTED_VALUE"""),"""")</f>
        <v>"</v>
      </c>
      <c r="B669" s="9" t="s">
        <v>678</v>
      </c>
      <c r="C669" s="9" t="str">
        <f>IFERROR(__xludf.DUMMYFUNCTION("""COMPUTED_VALUE"""),""":""")</f>
        <v>":"</v>
      </c>
      <c r="D669" s="24">
        <v>2.7350538227830886E18</v>
      </c>
      <c r="E669" s="9" t="str">
        <f>IFERROR(__xludf.DUMMYFUNCTION("""COMPUTED_VALUE"""),""",")</f>
        <v>",</v>
      </c>
    </row>
    <row r="670">
      <c r="A670" s="9" t="str">
        <f>IFERROR(__xludf.DUMMYFUNCTION("""COMPUTED_VALUE"""),"""")</f>
        <v>"</v>
      </c>
      <c r="B670" s="9" t="s">
        <v>679</v>
      </c>
      <c r="C670" s="9" t="str">
        <f>IFERROR(__xludf.DUMMYFUNCTION("""COMPUTED_VALUE"""),""":""")</f>
        <v>":"</v>
      </c>
      <c r="D670" s="24">
        <v>6.2005979458241782E18</v>
      </c>
      <c r="E670" s="9" t="str">
        <f>IFERROR(__xludf.DUMMYFUNCTION("""COMPUTED_VALUE"""),""",")</f>
        <v>",</v>
      </c>
    </row>
    <row r="671">
      <c r="A671" s="9" t="str">
        <f>IFERROR(__xludf.DUMMYFUNCTION("""COMPUTED_VALUE"""),"""")</f>
        <v>"</v>
      </c>
      <c r="B671" s="9" t="s">
        <v>680</v>
      </c>
      <c r="C671" s="9" t="str">
        <f>IFERROR(__xludf.DUMMYFUNCTION("""COMPUTED_VALUE"""),""":""")</f>
        <v>":"</v>
      </c>
      <c r="D671" s="24">
        <v>3.905088131416417E19</v>
      </c>
      <c r="E671" s="9" t="str">
        <f>IFERROR(__xludf.DUMMYFUNCTION("""COMPUTED_VALUE"""),""",")</f>
        <v>",</v>
      </c>
    </row>
    <row r="672">
      <c r="A672" s="9" t="str">
        <f>IFERROR(__xludf.DUMMYFUNCTION("""COMPUTED_VALUE"""),"""")</f>
        <v>"</v>
      </c>
      <c r="B672" s="9" t="s">
        <v>681</v>
      </c>
      <c r="C672" s="9" t="str">
        <f>IFERROR(__xludf.DUMMYFUNCTION("""COMPUTED_VALUE"""),""":""")</f>
        <v>":"</v>
      </c>
      <c r="D672" s="24">
        <v>5.6769981613036452E18</v>
      </c>
      <c r="E672" s="9" t="str">
        <f>IFERROR(__xludf.DUMMYFUNCTION("""COMPUTED_VALUE"""),""",")</f>
        <v>",</v>
      </c>
    </row>
    <row r="673">
      <c r="A673" s="9" t="str">
        <f>IFERROR(__xludf.DUMMYFUNCTION("""COMPUTED_VALUE"""),"""")</f>
        <v>"</v>
      </c>
      <c r="B673" s="9" t="s">
        <v>682</v>
      </c>
      <c r="C673" s="9" t="str">
        <f>IFERROR(__xludf.DUMMYFUNCTION("""COMPUTED_VALUE"""),""":""")</f>
        <v>":"</v>
      </c>
      <c r="D673" s="24">
        <v>6.2005979458241782E18</v>
      </c>
      <c r="E673" s="9" t="str">
        <f>IFERROR(__xludf.DUMMYFUNCTION("""COMPUTED_VALUE"""),""",")</f>
        <v>",</v>
      </c>
    </row>
    <row r="674">
      <c r="A674" s="9" t="str">
        <f>IFERROR(__xludf.DUMMYFUNCTION("""COMPUTED_VALUE"""),"""")</f>
        <v>"</v>
      </c>
      <c r="B674" s="9" t="s">
        <v>683</v>
      </c>
      <c r="C674" s="9" t="str">
        <f>IFERROR(__xludf.DUMMYFUNCTION("""COMPUTED_VALUE"""),""":""")</f>
        <v>":"</v>
      </c>
      <c r="D674" s="24">
        <v>1.1539472737099205E19</v>
      </c>
      <c r="E674" s="9" t="str">
        <f>IFERROR(__xludf.DUMMYFUNCTION("""COMPUTED_VALUE"""),""",")</f>
        <v>",</v>
      </c>
    </row>
    <row r="675">
      <c r="A675" s="9" t="str">
        <f>IFERROR(__xludf.DUMMYFUNCTION("""COMPUTED_VALUE"""),"""")</f>
        <v>"</v>
      </c>
      <c r="B675" s="9" t="s">
        <v>684</v>
      </c>
      <c r="C675" s="9" t="str">
        <f>IFERROR(__xludf.DUMMYFUNCTION("""COMPUTED_VALUE"""),""":""")</f>
        <v>":"</v>
      </c>
      <c r="D675" s="24">
        <v>4.186013319686582E19</v>
      </c>
      <c r="E675" s="9" t="str">
        <f>IFERROR(__xludf.DUMMYFUNCTION("""COMPUTED_VALUE"""),""",")</f>
        <v>",</v>
      </c>
    </row>
    <row r="676">
      <c r="A676" s="9" t="str">
        <f>IFERROR(__xludf.DUMMYFUNCTION("""COMPUTED_VALUE"""),"""")</f>
        <v>"</v>
      </c>
      <c r="B676" s="9" t="s">
        <v>685</v>
      </c>
      <c r="C676" s="9" t="str">
        <f>IFERROR(__xludf.DUMMYFUNCTION("""COMPUTED_VALUE"""),""":""")</f>
        <v>":"</v>
      </c>
      <c r="D676" s="24">
        <v>2.0248888511809958E19</v>
      </c>
      <c r="E676" s="9" t="str">
        <f>IFERROR(__xludf.DUMMYFUNCTION("""COMPUTED_VALUE"""),""",")</f>
        <v>",</v>
      </c>
    </row>
    <row r="677">
      <c r="A677" s="9" t="str">
        <f>IFERROR(__xludf.DUMMYFUNCTION("""COMPUTED_VALUE"""),"""")</f>
        <v>"</v>
      </c>
      <c r="B677" s="9" t="s">
        <v>686</v>
      </c>
      <c r="C677" s="9" t="str">
        <f>IFERROR(__xludf.DUMMYFUNCTION("""COMPUTED_VALUE"""),""":""")</f>
        <v>":"</v>
      </c>
      <c r="D677" s="24">
        <v>6.2005979458241782E18</v>
      </c>
      <c r="E677" s="9" t="str">
        <f>IFERROR(__xludf.DUMMYFUNCTION("""COMPUTED_VALUE"""),""",")</f>
        <v>",</v>
      </c>
    </row>
    <row r="678">
      <c r="A678" s="9" t="str">
        <f>IFERROR(__xludf.DUMMYFUNCTION("""COMPUTED_VALUE"""),"""")</f>
        <v>"</v>
      </c>
      <c r="B678" s="9" t="s">
        <v>687</v>
      </c>
      <c r="C678" s="9" t="str">
        <f>IFERROR(__xludf.DUMMYFUNCTION("""COMPUTED_VALUE"""),""":""")</f>
        <v>":"</v>
      </c>
      <c r="D678" s="24">
        <v>5.8468702680425554E18</v>
      </c>
      <c r="E678" s="9" t="str">
        <f>IFERROR(__xludf.DUMMYFUNCTION("""COMPUTED_VALUE"""),""",")</f>
        <v>",</v>
      </c>
    </row>
    <row r="679">
      <c r="A679" s="9" t="str">
        <f>IFERROR(__xludf.DUMMYFUNCTION("""COMPUTED_VALUE"""),"""")</f>
        <v>"</v>
      </c>
      <c r="B679" s="9" t="s">
        <v>688</v>
      </c>
      <c r="C679" s="9" t="str">
        <f>IFERROR(__xludf.DUMMYFUNCTION("""COMPUTED_VALUE"""),""":""")</f>
        <v>":"</v>
      </c>
      <c r="D679" s="24">
        <v>6.2005979458241782E18</v>
      </c>
      <c r="E679" s="9" t="str">
        <f>IFERROR(__xludf.DUMMYFUNCTION("""COMPUTED_VALUE"""),""",")</f>
        <v>",</v>
      </c>
    </row>
    <row r="680">
      <c r="A680" s="9" t="str">
        <f>IFERROR(__xludf.DUMMYFUNCTION("""COMPUTED_VALUE"""),"""")</f>
        <v>"</v>
      </c>
      <c r="B680" s="9" t="s">
        <v>689</v>
      </c>
      <c r="C680" s="9" t="str">
        <f>IFERROR(__xludf.DUMMYFUNCTION("""COMPUTED_VALUE"""),""":""")</f>
        <v>":"</v>
      </c>
      <c r="D680" s="24">
        <v>2.0248888511809958E19</v>
      </c>
      <c r="E680" s="9" t="str">
        <f>IFERROR(__xludf.DUMMYFUNCTION("""COMPUTED_VALUE"""),""",")</f>
        <v>",</v>
      </c>
    </row>
    <row r="681">
      <c r="A681" s="9" t="str">
        <f>IFERROR(__xludf.DUMMYFUNCTION("""COMPUTED_VALUE"""),"""")</f>
        <v>"</v>
      </c>
      <c r="B681" s="9" t="s">
        <v>690</v>
      </c>
      <c r="C681" s="9" t="str">
        <f>IFERROR(__xludf.DUMMYFUNCTION("""COMPUTED_VALUE"""),""":""")</f>
        <v>":"</v>
      </c>
      <c r="D681" s="24">
        <v>3.3682300755811336E19</v>
      </c>
      <c r="E681" s="9" t="str">
        <f>IFERROR(__xludf.DUMMYFUNCTION("""COMPUTED_VALUE"""),""",")</f>
        <v>",</v>
      </c>
    </row>
    <row r="682">
      <c r="A682" s="9" t="str">
        <f>IFERROR(__xludf.DUMMYFUNCTION("""COMPUTED_VALUE"""),"""")</f>
        <v>"</v>
      </c>
      <c r="B682" s="9" t="s">
        <v>691</v>
      </c>
      <c r="C682" s="9" t="str">
        <f>IFERROR(__xludf.DUMMYFUNCTION("""COMPUTED_VALUE"""),""":""")</f>
        <v>":"</v>
      </c>
      <c r="D682" s="24">
        <v>2.8936716240233824E19</v>
      </c>
      <c r="E682" s="9" t="str">
        <f>IFERROR(__xludf.DUMMYFUNCTION("""COMPUTED_VALUE"""),""",")</f>
        <v>",</v>
      </c>
    </row>
    <row r="683">
      <c r="A683" s="9" t="str">
        <f>IFERROR(__xludf.DUMMYFUNCTION("""COMPUTED_VALUE"""),"""")</f>
        <v>"</v>
      </c>
      <c r="B683" s="9" t="s">
        <v>692</v>
      </c>
      <c r="C683" s="9" t="str">
        <f>IFERROR(__xludf.DUMMYFUNCTION("""COMPUTED_VALUE"""),""":""")</f>
        <v>":"</v>
      </c>
      <c r="D683" s="24">
        <v>6.2005979458241782E18</v>
      </c>
      <c r="E683" s="9" t="str">
        <f>IFERROR(__xludf.DUMMYFUNCTION("""COMPUTED_VALUE"""),""",")</f>
        <v>",</v>
      </c>
    </row>
    <row r="684">
      <c r="A684" s="9" t="str">
        <f>IFERROR(__xludf.DUMMYFUNCTION("""COMPUTED_VALUE"""),"""")</f>
        <v>"</v>
      </c>
      <c r="B684" s="9" t="s">
        <v>693</v>
      </c>
      <c r="C684" s="9" t="str">
        <f>IFERROR(__xludf.DUMMYFUNCTION("""COMPUTED_VALUE"""),""":""")</f>
        <v>":"</v>
      </c>
      <c r="D684" s="24">
        <v>6.2005979458241782E18</v>
      </c>
      <c r="E684" s="9" t="str">
        <f>IFERROR(__xludf.DUMMYFUNCTION("""COMPUTED_VALUE"""),""",")</f>
        <v>",</v>
      </c>
    </row>
    <row r="685">
      <c r="A685" s="9" t="str">
        <f>IFERROR(__xludf.DUMMYFUNCTION("""COMPUTED_VALUE"""),"""")</f>
        <v>"</v>
      </c>
      <c r="B685" s="9" t="s">
        <v>694</v>
      </c>
      <c r="C685" s="9" t="str">
        <f>IFERROR(__xludf.DUMMYFUNCTION("""COMPUTED_VALUE"""),""":""")</f>
        <v>":"</v>
      </c>
      <c r="D685" s="24">
        <v>4.1607929775017108E18</v>
      </c>
      <c r="E685" s="9" t="str">
        <f>IFERROR(__xludf.DUMMYFUNCTION("""COMPUTED_VALUE"""),""",")</f>
        <v>",</v>
      </c>
    </row>
    <row r="686">
      <c r="A686" s="9" t="str">
        <f>IFERROR(__xludf.DUMMYFUNCTION("""COMPUTED_VALUE"""),"""")</f>
        <v>"</v>
      </c>
      <c r="B686" s="9" t="s">
        <v>695</v>
      </c>
      <c r="C686" s="9" t="str">
        <f>IFERROR(__xludf.DUMMYFUNCTION("""COMPUTED_VALUE"""),""":""")</f>
        <v>":"</v>
      </c>
      <c r="D686" s="24">
        <v>5.9961944482361774E18</v>
      </c>
      <c r="E686" s="9" t="str">
        <f>IFERROR(__xludf.DUMMYFUNCTION("""COMPUTED_VALUE"""),""",")</f>
        <v>",</v>
      </c>
    </row>
    <row r="687">
      <c r="A687" s="9" t="str">
        <f>IFERROR(__xludf.DUMMYFUNCTION("""COMPUTED_VALUE"""),"""")</f>
        <v>"</v>
      </c>
      <c r="B687" s="9" t="s">
        <v>696</v>
      </c>
      <c r="C687" s="9" t="str">
        <f>IFERROR(__xludf.DUMMYFUNCTION("""COMPUTED_VALUE"""),""":""")</f>
        <v>":"</v>
      </c>
      <c r="D687" s="24">
        <v>6.2005979458241782E18</v>
      </c>
      <c r="E687" s="9" t="str">
        <f>IFERROR(__xludf.DUMMYFUNCTION("""COMPUTED_VALUE"""),""",")</f>
        <v>",</v>
      </c>
    </row>
    <row r="688">
      <c r="A688" s="9" t="str">
        <f>IFERROR(__xludf.DUMMYFUNCTION("""COMPUTED_VALUE"""),"""")</f>
        <v>"</v>
      </c>
      <c r="B688" s="9" t="s">
        <v>697</v>
      </c>
      <c r="C688" s="9" t="str">
        <f>IFERROR(__xludf.DUMMYFUNCTION("""COMPUTED_VALUE"""),""":""")</f>
        <v>":"</v>
      </c>
      <c r="D688" s="24">
        <v>2.0241683689628644E20</v>
      </c>
      <c r="E688" s="9" t="str">
        <f>IFERROR(__xludf.DUMMYFUNCTION("""COMPUTED_VALUE"""),""",")</f>
        <v>",</v>
      </c>
    </row>
    <row r="689">
      <c r="A689" s="9" t="str">
        <f>IFERROR(__xludf.DUMMYFUNCTION("""COMPUTED_VALUE"""),"""")</f>
        <v>"</v>
      </c>
      <c r="B689" s="9" t="s">
        <v>698</v>
      </c>
      <c r="C689" s="9" t="str">
        <f>IFERROR(__xludf.DUMMYFUNCTION("""COMPUTED_VALUE"""),""":""")</f>
        <v>":"</v>
      </c>
      <c r="D689" s="24">
        <v>6.2005979458241782E18</v>
      </c>
      <c r="E689" s="9" t="str">
        <f>IFERROR(__xludf.DUMMYFUNCTION("""COMPUTED_VALUE"""),""",")</f>
        <v>",</v>
      </c>
    </row>
    <row r="690">
      <c r="A690" s="9" t="str">
        <f>IFERROR(__xludf.DUMMYFUNCTION("""COMPUTED_VALUE"""),"""")</f>
        <v>"</v>
      </c>
      <c r="B690" s="9" t="s">
        <v>699</v>
      </c>
      <c r="C690" s="9" t="str">
        <f>IFERROR(__xludf.DUMMYFUNCTION("""COMPUTED_VALUE"""),""":""")</f>
        <v>":"</v>
      </c>
      <c r="D690" s="24">
        <v>2.0257536468866798E19</v>
      </c>
      <c r="E690" s="9" t="str">
        <f>IFERROR(__xludf.DUMMYFUNCTION("""COMPUTED_VALUE"""),""",")</f>
        <v>",</v>
      </c>
    </row>
    <row r="691">
      <c r="A691" s="9" t="str">
        <f>IFERROR(__xludf.DUMMYFUNCTION("""COMPUTED_VALUE"""),"""")</f>
        <v>"</v>
      </c>
      <c r="B691" s="9" t="s">
        <v>700</v>
      </c>
      <c r="C691" s="9" t="str">
        <f>IFERROR(__xludf.DUMMYFUNCTION("""COMPUTED_VALUE"""),""":""")</f>
        <v>":"</v>
      </c>
      <c r="D691" s="24">
        <v>6.2005979458241782E18</v>
      </c>
      <c r="E691" s="9" t="str">
        <f>IFERROR(__xludf.DUMMYFUNCTION("""COMPUTED_VALUE"""),""",")</f>
        <v>",</v>
      </c>
    </row>
    <row r="692">
      <c r="A692" s="9" t="str">
        <f>IFERROR(__xludf.DUMMYFUNCTION("""COMPUTED_VALUE"""),"""")</f>
        <v>"</v>
      </c>
      <c r="B692" s="9" t="s">
        <v>701</v>
      </c>
      <c r="C692" s="9" t="str">
        <f>IFERROR(__xludf.DUMMYFUNCTION("""COMPUTED_VALUE"""),""":""")</f>
        <v>":"</v>
      </c>
      <c r="D692" s="24">
        <v>6.2005979458241782E18</v>
      </c>
      <c r="E692" s="9" t="str">
        <f>IFERROR(__xludf.DUMMYFUNCTION("""COMPUTED_VALUE"""),""",")</f>
        <v>",</v>
      </c>
    </row>
    <row r="693">
      <c r="A693" s="9" t="str">
        <f>IFERROR(__xludf.DUMMYFUNCTION("""COMPUTED_VALUE"""),"""")</f>
        <v>"</v>
      </c>
      <c r="B693" s="9" t="s">
        <v>702</v>
      </c>
      <c r="C693" s="9" t="str">
        <f>IFERROR(__xludf.DUMMYFUNCTION("""COMPUTED_VALUE"""),""":""")</f>
        <v>":"</v>
      </c>
      <c r="D693" s="24">
        <v>4.4417015426583112E18</v>
      </c>
      <c r="E693" s="9" t="str">
        <f>IFERROR(__xludf.DUMMYFUNCTION("""COMPUTED_VALUE"""),""",")</f>
        <v>",</v>
      </c>
    </row>
    <row r="694">
      <c r="A694" s="9" t="str">
        <f>IFERROR(__xludf.DUMMYFUNCTION("""COMPUTED_VALUE"""),"""")</f>
        <v>"</v>
      </c>
      <c r="B694" s="9" t="s">
        <v>703</v>
      </c>
      <c r="C694" s="9" t="str">
        <f>IFERROR(__xludf.DUMMYFUNCTION("""COMPUTED_VALUE"""),""":""")</f>
        <v>":"</v>
      </c>
      <c r="D694" s="24">
        <v>8.4410264926004672E17</v>
      </c>
      <c r="E694" s="9" t="str">
        <f>IFERROR(__xludf.DUMMYFUNCTION("""COMPUTED_VALUE"""),""",")</f>
        <v>",</v>
      </c>
    </row>
    <row r="695">
      <c r="A695" s="9" t="str">
        <f>IFERROR(__xludf.DUMMYFUNCTION("""COMPUTED_VALUE"""),"""")</f>
        <v>"</v>
      </c>
      <c r="B695" s="9" t="s">
        <v>704</v>
      </c>
      <c r="C695" s="9" t="str">
        <f>IFERROR(__xludf.DUMMYFUNCTION("""COMPUTED_VALUE"""),""":""")</f>
        <v>":"</v>
      </c>
      <c r="D695" s="24">
        <v>2.295902132660249E19</v>
      </c>
      <c r="E695" s="9" t="str">
        <f>IFERROR(__xludf.DUMMYFUNCTION("""COMPUTED_VALUE"""),""",")</f>
        <v>",</v>
      </c>
    </row>
    <row r="696">
      <c r="A696" s="9" t="str">
        <f>IFERROR(__xludf.DUMMYFUNCTION("""COMPUTED_VALUE"""),"""")</f>
        <v>"</v>
      </c>
      <c r="B696" s="9" t="s">
        <v>705</v>
      </c>
      <c r="C696" s="9" t="str">
        <f>IFERROR(__xludf.DUMMYFUNCTION("""COMPUTED_VALUE"""),""":""")</f>
        <v>":"</v>
      </c>
      <c r="D696" s="24">
        <v>2.08646476578927104E17</v>
      </c>
      <c r="E696" s="9" t="str">
        <f>IFERROR(__xludf.DUMMYFUNCTION("""COMPUTED_VALUE"""),""",")</f>
        <v>",</v>
      </c>
    </row>
    <row r="697">
      <c r="A697" s="9" t="str">
        <f>IFERROR(__xludf.DUMMYFUNCTION("""COMPUTED_VALUE"""),"""")</f>
        <v>"</v>
      </c>
      <c r="B697" s="9" t="s">
        <v>706</v>
      </c>
      <c r="C697" s="9" t="str">
        <f>IFERROR(__xludf.DUMMYFUNCTION("""COMPUTED_VALUE"""),""":""")</f>
        <v>":"</v>
      </c>
      <c r="D697" s="24">
        <v>6.2005979458241782E18</v>
      </c>
      <c r="E697" s="9" t="str">
        <f>IFERROR(__xludf.DUMMYFUNCTION("""COMPUTED_VALUE"""),""",")</f>
        <v>",</v>
      </c>
    </row>
    <row r="698">
      <c r="A698" s="9" t="str">
        <f>IFERROR(__xludf.DUMMYFUNCTION("""COMPUTED_VALUE"""),"""")</f>
        <v>"</v>
      </c>
      <c r="B698" s="9" t="s">
        <v>707</v>
      </c>
      <c r="C698" s="9" t="str">
        <f>IFERROR(__xludf.DUMMYFUNCTION("""COMPUTED_VALUE"""),""":""")</f>
        <v>":"</v>
      </c>
      <c r="D698" s="24">
        <v>2.0248888511809958E19</v>
      </c>
      <c r="E698" s="9" t="str">
        <f>IFERROR(__xludf.DUMMYFUNCTION("""COMPUTED_VALUE"""),""",")</f>
        <v>",</v>
      </c>
    </row>
    <row r="699">
      <c r="A699" s="9" t="str">
        <f>IFERROR(__xludf.DUMMYFUNCTION("""COMPUTED_VALUE"""),"""")</f>
        <v>"</v>
      </c>
      <c r="B699" s="9" t="s">
        <v>708</v>
      </c>
      <c r="C699" s="9" t="str">
        <f>IFERROR(__xludf.DUMMYFUNCTION("""COMPUTED_VALUE"""),""":""")</f>
        <v>":"</v>
      </c>
      <c r="D699" s="24">
        <v>6.2784338996451287E18</v>
      </c>
      <c r="E699" s="9" t="str">
        <f>IFERROR(__xludf.DUMMYFUNCTION("""COMPUTED_VALUE"""),""",")</f>
        <v>",</v>
      </c>
    </row>
    <row r="700">
      <c r="A700" s="9" t="str">
        <f>IFERROR(__xludf.DUMMYFUNCTION("""COMPUTED_VALUE"""),"""")</f>
        <v>"</v>
      </c>
      <c r="B700" s="9" t="s">
        <v>709</v>
      </c>
      <c r="C700" s="9" t="str">
        <f>IFERROR(__xludf.DUMMYFUNCTION("""COMPUTED_VALUE"""),""":""")</f>
        <v>":"</v>
      </c>
      <c r="D700" s="24">
        <v>5.8021197943278449E18</v>
      </c>
      <c r="E700" s="9" t="str">
        <f>IFERROR(__xludf.DUMMYFUNCTION("""COMPUTED_VALUE"""),""",")</f>
        <v>",</v>
      </c>
    </row>
    <row r="701">
      <c r="A701" s="9" t="str">
        <f>IFERROR(__xludf.DUMMYFUNCTION("""COMPUTED_VALUE"""),"""")</f>
        <v>"</v>
      </c>
      <c r="B701" s="9" t="s">
        <v>710</v>
      </c>
      <c r="C701" s="9" t="str">
        <f>IFERROR(__xludf.DUMMYFUNCTION("""COMPUTED_VALUE"""),""":""")</f>
        <v>":"</v>
      </c>
      <c r="D701" s="24">
        <v>2.0248888511809958E19</v>
      </c>
      <c r="E701" s="9" t="str">
        <f>IFERROR(__xludf.DUMMYFUNCTION("""COMPUTED_VALUE"""),""",")</f>
        <v>",</v>
      </c>
    </row>
    <row r="702">
      <c r="A702" s="9" t="str">
        <f>IFERROR(__xludf.DUMMYFUNCTION("""COMPUTED_VALUE"""),"""")</f>
        <v>"</v>
      </c>
      <c r="B702" s="9" t="s">
        <v>711</v>
      </c>
      <c r="C702" s="9" t="str">
        <f>IFERROR(__xludf.DUMMYFUNCTION("""COMPUTED_VALUE"""),""":""")</f>
        <v>":"</v>
      </c>
      <c r="D702" s="24">
        <v>2.9542807908964385E19</v>
      </c>
      <c r="E702" s="9" t="str">
        <f>IFERROR(__xludf.DUMMYFUNCTION("""COMPUTED_VALUE"""),""",")</f>
        <v>",</v>
      </c>
    </row>
    <row r="703">
      <c r="A703" s="9" t="str">
        <f>IFERROR(__xludf.DUMMYFUNCTION("""COMPUTED_VALUE"""),"""")</f>
        <v>"</v>
      </c>
      <c r="B703" s="9" t="s">
        <v>712</v>
      </c>
      <c r="C703" s="9" t="str">
        <f>IFERROR(__xludf.DUMMYFUNCTION("""COMPUTED_VALUE"""),""":""")</f>
        <v>":"</v>
      </c>
      <c r="D703" s="24">
        <v>6.071857014703956E18</v>
      </c>
      <c r="E703" s="9" t="str">
        <f>IFERROR(__xludf.DUMMYFUNCTION("""COMPUTED_VALUE"""),""",")</f>
        <v>",</v>
      </c>
    </row>
    <row r="704">
      <c r="A704" s="9" t="str">
        <f>IFERROR(__xludf.DUMMYFUNCTION("""COMPUTED_VALUE"""),"""")</f>
        <v>"</v>
      </c>
      <c r="B704" s="9" t="s">
        <v>713</v>
      </c>
      <c r="C704" s="9" t="str">
        <f>IFERROR(__xludf.DUMMYFUNCTION("""COMPUTED_VALUE"""),""":""")</f>
        <v>":"</v>
      </c>
      <c r="D704" s="24">
        <v>6.2005979458241782E18</v>
      </c>
      <c r="E704" s="9" t="str">
        <f>IFERROR(__xludf.DUMMYFUNCTION("""COMPUTED_VALUE"""),""",")</f>
        <v>",</v>
      </c>
    </row>
    <row r="705">
      <c r="A705" s="9" t="str">
        <f>IFERROR(__xludf.DUMMYFUNCTION("""COMPUTED_VALUE"""),"""")</f>
        <v>"</v>
      </c>
      <c r="B705" s="9" t="s">
        <v>714</v>
      </c>
      <c r="C705" s="9" t="str">
        <f>IFERROR(__xludf.DUMMYFUNCTION("""COMPUTED_VALUE"""),""":""")</f>
        <v>":"</v>
      </c>
      <c r="D705" s="24">
        <v>1.0535391748088867E19</v>
      </c>
      <c r="E705" s="9" t="str">
        <f>IFERROR(__xludf.DUMMYFUNCTION("""COMPUTED_VALUE"""),""",")</f>
        <v>",</v>
      </c>
    </row>
    <row r="706">
      <c r="A706" s="9" t="str">
        <f>IFERROR(__xludf.DUMMYFUNCTION("""COMPUTED_VALUE"""),"""")</f>
        <v>"</v>
      </c>
      <c r="B706" s="9" t="s">
        <v>715</v>
      </c>
      <c r="C706" s="9" t="str">
        <f>IFERROR(__xludf.DUMMYFUNCTION("""COMPUTED_VALUE"""),""":""")</f>
        <v>":"</v>
      </c>
      <c r="D706" s="24">
        <v>1.02797870099750451E18</v>
      </c>
      <c r="E706" s="9" t="str">
        <f>IFERROR(__xludf.DUMMYFUNCTION("""COMPUTED_VALUE"""),""",")</f>
        <v>",</v>
      </c>
    </row>
    <row r="707">
      <c r="A707" s="9" t="str">
        <f>IFERROR(__xludf.DUMMYFUNCTION("""COMPUTED_VALUE"""),"""")</f>
        <v>"</v>
      </c>
      <c r="B707" s="9" t="s">
        <v>716</v>
      </c>
      <c r="C707" s="9" t="str">
        <f>IFERROR(__xludf.DUMMYFUNCTION("""COMPUTED_VALUE"""),""":""")</f>
        <v>":"</v>
      </c>
      <c r="D707" s="24">
        <v>6.6329957986664315E18</v>
      </c>
      <c r="E707" s="9" t="str">
        <f>IFERROR(__xludf.DUMMYFUNCTION("""COMPUTED_VALUE"""),""",")</f>
        <v>",</v>
      </c>
    </row>
    <row r="708">
      <c r="A708" s="9" t="str">
        <f>IFERROR(__xludf.DUMMYFUNCTION("""COMPUTED_VALUE"""),"""")</f>
        <v>"</v>
      </c>
      <c r="B708" s="9" t="s">
        <v>717</v>
      </c>
      <c r="C708" s="9" t="str">
        <f>IFERROR(__xludf.DUMMYFUNCTION("""COMPUTED_VALUE"""),""":""")</f>
        <v>":"</v>
      </c>
      <c r="D708" s="24">
        <v>4.3425040448694006E18</v>
      </c>
      <c r="E708" s="9" t="str">
        <f>IFERROR(__xludf.DUMMYFUNCTION("""COMPUTED_VALUE"""),""",")</f>
        <v>",</v>
      </c>
    </row>
    <row r="709">
      <c r="A709" s="9" t="str">
        <f>IFERROR(__xludf.DUMMYFUNCTION("""COMPUTED_VALUE"""),"""")</f>
        <v>"</v>
      </c>
      <c r="B709" s="9" t="s">
        <v>718</v>
      </c>
      <c r="C709" s="9" t="str">
        <f>IFERROR(__xludf.DUMMYFUNCTION("""COMPUTED_VALUE"""),""":""")</f>
        <v>":"</v>
      </c>
      <c r="D709" s="24">
        <v>8.3625872100354499E18</v>
      </c>
      <c r="E709" s="9" t="str">
        <f>IFERROR(__xludf.DUMMYFUNCTION("""COMPUTED_VALUE"""),""",")</f>
        <v>",</v>
      </c>
    </row>
    <row r="710">
      <c r="A710" s="9" t="str">
        <f>IFERROR(__xludf.DUMMYFUNCTION("""COMPUTED_VALUE"""),"""")</f>
        <v>"</v>
      </c>
      <c r="B710" s="9" t="s">
        <v>719</v>
      </c>
      <c r="C710" s="9" t="str">
        <f>IFERROR(__xludf.DUMMYFUNCTION("""COMPUTED_VALUE"""),""":""")</f>
        <v>":"</v>
      </c>
      <c r="D710" s="24">
        <v>6.2005979458241782E18</v>
      </c>
      <c r="E710" s="9" t="str">
        <f>IFERROR(__xludf.DUMMYFUNCTION("""COMPUTED_VALUE"""),""",")</f>
        <v>",</v>
      </c>
    </row>
    <row r="711">
      <c r="A711" s="9" t="str">
        <f>IFERROR(__xludf.DUMMYFUNCTION("""COMPUTED_VALUE"""),"""")</f>
        <v>"</v>
      </c>
      <c r="B711" s="9" t="s">
        <v>720</v>
      </c>
      <c r="C711" s="9" t="str">
        <f>IFERROR(__xludf.DUMMYFUNCTION("""COMPUTED_VALUE"""),""":""")</f>
        <v>":"</v>
      </c>
      <c r="D711" s="24">
        <v>6.1314713831024886E18</v>
      </c>
      <c r="E711" s="9" t="str">
        <f>IFERROR(__xludf.DUMMYFUNCTION("""COMPUTED_VALUE"""),""",")</f>
        <v>",</v>
      </c>
    </row>
    <row r="712">
      <c r="A712" s="9" t="str">
        <f>IFERROR(__xludf.DUMMYFUNCTION("""COMPUTED_VALUE"""),"""")</f>
        <v>"</v>
      </c>
      <c r="B712" s="9" t="s">
        <v>721</v>
      </c>
      <c r="C712" s="9" t="str">
        <f>IFERROR(__xludf.DUMMYFUNCTION("""COMPUTED_VALUE"""),""":""")</f>
        <v>":"</v>
      </c>
      <c r="D712" s="24">
        <v>2.197847992317897E19</v>
      </c>
      <c r="E712" s="9" t="str">
        <f>IFERROR(__xludf.DUMMYFUNCTION("""COMPUTED_VALUE"""),""",")</f>
        <v>",</v>
      </c>
    </row>
    <row r="713">
      <c r="A713" s="9" t="str">
        <f>IFERROR(__xludf.DUMMYFUNCTION("""COMPUTED_VALUE"""),"""")</f>
        <v>"</v>
      </c>
      <c r="B713" s="9" t="s">
        <v>722</v>
      </c>
      <c r="C713" s="9" t="str">
        <f>IFERROR(__xludf.DUMMYFUNCTION("""COMPUTED_VALUE"""),""":""")</f>
        <v>":"</v>
      </c>
      <c r="D713" s="24">
        <v>2.2843275628863468E19</v>
      </c>
      <c r="E713" s="9" t="str">
        <f>IFERROR(__xludf.DUMMYFUNCTION("""COMPUTED_VALUE"""),""",")</f>
        <v>",</v>
      </c>
    </row>
    <row r="714">
      <c r="A714" s="9" t="str">
        <f>IFERROR(__xludf.DUMMYFUNCTION("""COMPUTED_VALUE"""),"""")</f>
        <v>"</v>
      </c>
      <c r="B714" s="9" t="s">
        <v>723</v>
      </c>
      <c r="C714" s="9" t="str">
        <f>IFERROR(__xludf.DUMMYFUNCTION("""COMPUTED_VALUE"""),""":""")</f>
        <v>":"</v>
      </c>
      <c r="D714" s="24">
        <v>2.285192358592031E19</v>
      </c>
      <c r="E714" s="9" t="str">
        <f>IFERROR(__xludf.DUMMYFUNCTION("""COMPUTED_VALUE"""),""",")</f>
        <v>",</v>
      </c>
    </row>
    <row r="715">
      <c r="A715" s="9" t="str">
        <f>IFERROR(__xludf.DUMMYFUNCTION("""COMPUTED_VALUE"""),"""")</f>
        <v>"</v>
      </c>
      <c r="B715" s="9" t="s">
        <v>724</v>
      </c>
      <c r="C715" s="9" t="str">
        <f>IFERROR(__xludf.DUMMYFUNCTION("""COMPUTED_VALUE"""),""":""")</f>
        <v>":"</v>
      </c>
      <c r="D715" s="24">
        <v>5.8178362655763548E18</v>
      </c>
      <c r="E715" s="9" t="str">
        <f>IFERROR(__xludf.DUMMYFUNCTION("""COMPUTED_VALUE"""),""",")</f>
        <v>",</v>
      </c>
    </row>
    <row r="716">
      <c r="A716" s="9" t="str">
        <f>IFERROR(__xludf.DUMMYFUNCTION("""COMPUTED_VALUE"""),"""")</f>
        <v>"</v>
      </c>
      <c r="B716" s="9" t="s">
        <v>725</v>
      </c>
      <c r="C716" s="9" t="str">
        <f>IFERROR(__xludf.DUMMYFUNCTION("""COMPUTED_VALUE"""),""":""")</f>
        <v>":"</v>
      </c>
      <c r="D716" s="24">
        <v>2.1992424143006855E19</v>
      </c>
      <c r="E716" s="9" t="str">
        <f>IFERROR(__xludf.DUMMYFUNCTION("""COMPUTED_VALUE"""),""",")</f>
        <v>",</v>
      </c>
    </row>
    <row r="717">
      <c r="A717" s="9" t="str">
        <f>IFERROR(__xludf.DUMMYFUNCTION("""COMPUTED_VALUE"""),"""")</f>
        <v>"</v>
      </c>
      <c r="B717" s="9" t="s">
        <v>726</v>
      </c>
      <c r="C717" s="9" t="str">
        <f>IFERROR(__xludf.DUMMYFUNCTION("""COMPUTED_VALUE"""),""":""")</f>
        <v>":"</v>
      </c>
      <c r="D717" s="24">
        <v>2.0248888511809958E19</v>
      </c>
      <c r="E717" s="9" t="str">
        <f>IFERROR(__xludf.DUMMYFUNCTION("""COMPUTED_VALUE"""),""",")</f>
        <v>",</v>
      </c>
    </row>
    <row r="718">
      <c r="A718" s="9" t="str">
        <f>IFERROR(__xludf.DUMMYFUNCTION("""COMPUTED_VALUE"""),"""")</f>
        <v>"</v>
      </c>
      <c r="B718" s="9" t="s">
        <v>727</v>
      </c>
      <c r="C718" s="9" t="str">
        <f>IFERROR(__xludf.DUMMYFUNCTION("""COMPUTED_VALUE"""),""":""")</f>
        <v>":"</v>
      </c>
      <c r="D718" s="24">
        <v>2.0248888511809958E19</v>
      </c>
      <c r="E718" s="9" t="str">
        <f>IFERROR(__xludf.DUMMYFUNCTION("""COMPUTED_VALUE"""),""",")</f>
        <v>",</v>
      </c>
    </row>
    <row r="719">
      <c r="A719" s="9" t="str">
        <f>IFERROR(__xludf.DUMMYFUNCTION("""COMPUTED_VALUE"""),"""")</f>
        <v>"</v>
      </c>
      <c r="B719" s="9" t="s">
        <v>728</v>
      </c>
      <c r="C719" s="9" t="str">
        <f>IFERROR(__xludf.DUMMYFUNCTION("""COMPUTED_VALUE"""),""":""")</f>
        <v>":"</v>
      </c>
      <c r="D719" s="24">
        <v>2.0248888511809958E19</v>
      </c>
      <c r="E719" s="9" t="str">
        <f>IFERROR(__xludf.DUMMYFUNCTION("""COMPUTED_VALUE"""),""",")</f>
        <v>",</v>
      </c>
    </row>
    <row r="720">
      <c r="A720" s="9" t="str">
        <f>IFERROR(__xludf.DUMMYFUNCTION("""COMPUTED_VALUE"""),"""")</f>
        <v>"</v>
      </c>
      <c r="B720" s="9" t="s">
        <v>729</v>
      </c>
      <c r="C720" s="9" t="str">
        <f>IFERROR(__xludf.DUMMYFUNCTION("""COMPUTED_VALUE"""),""":""")</f>
        <v>":"</v>
      </c>
      <c r="D720" s="24">
        <v>1.932814487055833E19</v>
      </c>
      <c r="E720" s="9" t="str">
        <f>IFERROR(__xludf.DUMMYFUNCTION("""COMPUTED_VALUE"""),""",")</f>
        <v>",</v>
      </c>
    </row>
    <row r="721">
      <c r="A721" s="9" t="str">
        <f>IFERROR(__xludf.DUMMYFUNCTION("""COMPUTED_VALUE"""),"""")</f>
        <v>"</v>
      </c>
      <c r="B721" s="9" t="s">
        <v>730</v>
      </c>
      <c r="C721" s="9" t="str">
        <f>IFERROR(__xludf.DUMMYFUNCTION("""COMPUTED_VALUE"""),""":""")</f>
        <v>":"</v>
      </c>
      <c r="D721" s="24">
        <v>2.0248888511809958E19</v>
      </c>
      <c r="E721" s="9" t="str">
        <f>IFERROR(__xludf.DUMMYFUNCTION("""COMPUTED_VALUE"""),""",")</f>
        <v>",</v>
      </c>
    </row>
    <row r="722">
      <c r="A722" s="9" t="str">
        <f>IFERROR(__xludf.DUMMYFUNCTION("""COMPUTED_VALUE"""),"""")</f>
        <v>"</v>
      </c>
      <c r="B722" s="9" t="s">
        <v>731</v>
      </c>
      <c r="C722" s="9" t="str">
        <f>IFERROR(__xludf.DUMMYFUNCTION("""COMPUTED_VALUE"""),""":""")</f>
        <v>":"</v>
      </c>
      <c r="D722" s="24">
        <v>6.2005979458241782E18</v>
      </c>
      <c r="E722" s="9" t="str">
        <f>IFERROR(__xludf.DUMMYFUNCTION("""COMPUTED_VALUE"""),""",")</f>
        <v>",</v>
      </c>
    </row>
    <row r="723">
      <c r="A723" s="9" t="str">
        <f>IFERROR(__xludf.DUMMYFUNCTION("""COMPUTED_VALUE"""),"""")</f>
        <v>"</v>
      </c>
      <c r="B723" s="9" t="s">
        <v>732</v>
      </c>
      <c r="C723" s="9" t="str">
        <f>IFERROR(__xludf.DUMMYFUNCTION("""COMPUTED_VALUE"""),""":""")</f>
        <v>":"</v>
      </c>
      <c r="D723" s="24">
        <v>2.626216920257164E19</v>
      </c>
      <c r="E723" s="9" t="str">
        <f>IFERROR(__xludf.DUMMYFUNCTION("""COMPUTED_VALUE"""),""",")</f>
        <v>",</v>
      </c>
    </row>
    <row r="724">
      <c r="A724" s="9" t="str">
        <f>IFERROR(__xludf.DUMMYFUNCTION("""COMPUTED_VALUE"""),"""")</f>
        <v>"</v>
      </c>
      <c r="B724" s="9" t="s">
        <v>733</v>
      </c>
      <c r="C724" s="9" t="str">
        <f>IFERROR(__xludf.DUMMYFUNCTION("""COMPUTED_VALUE"""),""":""")</f>
        <v>":"</v>
      </c>
      <c r="D724" s="24">
        <v>6.2005979458241782E18</v>
      </c>
      <c r="E724" s="9" t="str">
        <f>IFERROR(__xludf.DUMMYFUNCTION("""COMPUTED_VALUE"""),""",")</f>
        <v>",</v>
      </c>
    </row>
    <row r="725">
      <c r="A725" s="9" t="str">
        <f>IFERROR(__xludf.DUMMYFUNCTION("""COMPUTED_VALUE"""),"""")</f>
        <v>"</v>
      </c>
      <c r="B725" s="9" t="s">
        <v>734</v>
      </c>
      <c r="C725" s="9" t="str">
        <f>IFERROR(__xludf.DUMMYFUNCTION("""COMPUTED_VALUE"""),""":""")</f>
        <v>":"</v>
      </c>
      <c r="D725" s="24">
        <v>2.0767074098656113E19</v>
      </c>
      <c r="E725" s="9" t="str">
        <f>IFERROR(__xludf.DUMMYFUNCTION("""COMPUTED_VALUE"""),""",")</f>
        <v>",</v>
      </c>
    </row>
    <row r="726">
      <c r="A726" s="9" t="str">
        <f>IFERROR(__xludf.DUMMYFUNCTION("""COMPUTED_VALUE"""),"""")</f>
        <v>"</v>
      </c>
      <c r="B726" s="9" t="s">
        <v>735</v>
      </c>
      <c r="C726" s="9" t="str">
        <f>IFERROR(__xludf.DUMMYFUNCTION("""COMPUTED_VALUE"""),""":""")</f>
        <v>":"</v>
      </c>
      <c r="D726" s="24">
        <v>4.7939408393516667E18</v>
      </c>
      <c r="E726" s="9" t="str">
        <f>IFERROR(__xludf.DUMMYFUNCTION("""COMPUTED_VALUE"""),""",")</f>
        <v>",</v>
      </c>
    </row>
    <row r="727">
      <c r="A727" s="9" t="str">
        <f>IFERROR(__xludf.DUMMYFUNCTION("""COMPUTED_VALUE"""),"""")</f>
        <v>"</v>
      </c>
      <c r="B727" s="9" t="s">
        <v>736</v>
      </c>
      <c r="C727" s="9" t="str">
        <f>IFERROR(__xludf.DUMMYFUNCTION("""COMPUTED_VALUE"""),""":""")</f>
        <v>":"</v>
      </c>
      <c r="D727" s="24">
        <v>6.2005979458241782E18</v>
      </c>
      <c r="E727" s="9" t="str">
        <f>IFERROR(__xludf.DUMMYFUNCTION("""COMPUTED_VALUE"""),""",")</f>
        <v>",</v>
      </c>
    </row>
    <row r="728">
      <c r="A728" s="9" t="str">
        <f>IFERROR(__xludf.DUMMYFUNCTION("""COMPUTED_VALUE"""),"""")</f>
        <v>"</v>
      </c>
      <c r="B728" s="9" t="s">
        <v>737</v>
      </c>
      <c r="C728" s="9" t="str">
        <f>IFERROR(__xludf.DUMMYFUNCTION("""COMPUTED_VALUE"""),""":""")</f>
        <v>":"</v>
      </c>
      <c r="D728" s="24">
        <v>6.1578780088580628E18</v>
      </c>
      <c r="E728" s="9" t="str">
        <f>IFERROR(__xludf.DUMMYFUNCTION("""COMPUTED_VALUE"""),""",")</f>
        <v>",</v>
      </c>
    </row>
    <row r="729">
      <c r="A729" s="9" t="str">
        <f>IFERROR(__xludf.DUMMYFUNCTION("""COMPUTED_VALUE"""),"""")</f>
        <v>"</v>
      </c>
      <c r="B729" s="9" t="s">
        <v>738</v>
      </c>
      <c r="C729" s="9" t="str">
        <f>IFERROR(__xludf.DUMMYFUNCTION("""COMPUTED_VALUE"""),""":""")</f>
        <v>":"</v>
      </c>
      <c r="D729" s="24">
        <v>6.2005979458241782E18</v>
      </c>
      <c r="E729" s="9" t="str">
        <f>IFERROR(__xludf.DUMMYFUNCTION("""COMPUTED_VALUE"""),""",")</f>
        <v>",</v>
      </c>
    </row>
    <row r="730">
      <c r="A730" s="9" t="str">
        <f>IFERROR(__xludf.DUMMYFUNCTION("""COMPUTED_VALUE"""),"""")</f>
        <v>"</v>
      </c>
      <c r="B730" s="9" t="s">
        <v>739</v>
      </c>
      <c r="C730" s="9" t="str">
        <f>IFERROR(__xludf.DUMMYFUNCTION("""COMPUTED_VALUE"""),""":""")</f>
        <v>":"</v>
      </c>
      <c r="D730" s="24">
        <v>3.043726393397525E19</v>
      </c>
      <c r="E730" s="9" t="str">
        <f>IFERROR(__xludf.DUMMYFUNCTION("""COMPUTED_VALUE"""),""",")</f>
        <v>",</v>
      </c>
    </row>
    <row r="731">
      <c r="A731" s="9" t="str">
        <f>IFERROR(__xludf.DUMMYFUNCTION("""COMPUTED_VALUE"""),"""")</f>
        <v>"</v>
      </c>
      <c r="B731" s="9" t="s">
        <v>740</v>
      </c>
      <c r="C731" s="9" t="str">
        <f>IFERROR(__xludf.DUMMYFUNCTION("""COMPUTED_VALUE"""),""":""")</f>
        <v>":"</v>
      </c>
      <c r="D731" s="24">
        <v>1.1605537092180488E19</v>
      </c>
      <c r="E731" s="9" t="str">
        <f>IFERROR(__xludf.DUMMYFUNCTION("""COMPUTED_VALUE"""),""",")</f>
        <v>",</v>
      </c>
    </row>
    <row r="732">
      <c r="A732" s="9" t="str">
        <f>IFERROR(__xludf.DUMMYFUNCTION("""COMPUTED_VALUE"""),"""")</f>
        <v>"</v>
      </c>
      <c r="B732" s="9" t="s">
        <v>741</v>
      </c>
      <c r="C732" s="9" t="str">
        <f>IFERROR(__xludf.DUMMYFUNCTION("""COMPUTED_VALUE"""),""":""")</f>
        <v>":"</v>
      </c>
      <c r="D732" s="24">
        <v>1.315039337198298E19</v>
      </c>
      <c r="E732" s="9" t="str">
        <f>IFERROR(__xludf.DUMMYFUNCTION("""COMPUTED_VALUE"""),""",")</f>
        <v>",</v>
      </c>
    </row>
    <row r="733">
      <c r="A733" s="9" t="str">
        <f>IFERROR(__xludf.DUMMYFUNCTION("""COMPUTED_VALUE"""),"""")</f>
        <v>"</v>
      </c>
      <c r="B733" s="9" t="s">
        <v>742</v>
      </c>
      <c r="C733" s="9" t="str">
        <f>IFERROR(__xludf.DUMMYFUNCTION("""COMPUTED_VALUE"""),""":""")</f>
        <v>":"</v>
      </c>
      <c r="D733" s="24">
        <v>2.0248888511809958E19</v>
      </c>
      <c r="E733" s="9" t="str">
        <f>IFERROR(__xludf.DUMMYFUNCTION("""COMPUTED_VALUE"""),""",")</f>
        <v>",</v>
      </c>
    </row>
    <row r="734">
      <c r="A734" s="9" t="str">
        <f>IFERROR(__xludf.DUMMYFUNCTION("""COMPUTED_VALUE"""),"""")</f>
        <v>"</v>
      </c>
      <c r="B734" s="9" t="s">
        <v>743</v>
      </c>
      <c r="C734" s="9" t="str">
        <f>IFERROR(__xludf.DUMMYFUNCTION("""COMPUTED_VALUE"""),""":""")</f>
        <v>":"</v>
      </c>
      <c r="D734" s="24">
        <v>2.1983322779122156E19</v>
      </c>
      <c r="E734" s="9" t="str">
        <f>IFERROR(__xludf.DUMMYFUNCTION("""COMPUTED_VALUE"""),""",")</f>
        <v>",</v>
      </c>
    </row>
    <row r="735">
      <c r="A735" s="9" t="str">
        <f>IFERROR(__xludf.DUMMYFUNCTION("""COMPUTED_VALUE"""),"""")</f>
        <v>"</v>
      </c>
      <c r="B735" s="9" t="s">
        <v>744</v>
      </c>
      <c r="C735" s="9" t="str">
        <f>IFERROR(__xludf.DUMMYFUNCTION("""COMPUTED_VALUE"""),""":""")</f>
        <v>":"</v>
      </c>
      <c r="D735" s="24">
        <v>6.2005979458241782E18</v>
      </c>
      <c r="E735" s="9" t="str">
        <f>IFERROR(__xludf.DUMMYFUNCTION("""COMPUTED_VALUE"""),""",")</f>
        <v>",</v>
      </c>
    </row>
    <row r="736">
      <c r="A736" s="9" t="str">
        <f>IFERROR(__xludf.DUMMYFUNCTION("""COMPUTED_VALUE"""),"""")</f>
        <v>"</v>
      </c>
      <c r="B736" s="9" t="s">
        <v>745</v>
      </c>
      <c r="C736" s="9" t="str">
        <f>IFERROR(__xludf.DUMMYFUNCTION("""COMPUTED_VALUE"""),""":""")</f>
        <v>":"</v>
      </c>
      <c r="D736" s="24">
        <v>6.2005979458241782E18</v>
      </c>
      <c r="E736" s="9" t="str">
        <f>IFERROR(__xludf.DUMMYFUNCTION("""COMPUTED_VALUE"""),""",")</f>
        <v>",</v>
      </c>
    </row>
    <row r="737">
      <c r="A737" s="9" t="str">
        <f>IFERROR(__xludf.DUMMYFUNCTION("""COMPUTED_VALUE"""),"""")</f>
        <v>"</v>
      </c>
      <c r="B737" s="9" t="s">
        <v>746</v>
      </c>
      <c r="C737" s="9" t="str">
        <f>IFERROR(__xludf.DUMMYFUNCTION("""COMPUTED_VALUE"""),""":""")</f>
        <v>":"</v>
      </c>
      <c r="D737" s="24">
        <v>6.2005979458241782E18</v>
      </c>
      <c r="E737" s="9" t="str">
        <f>IFERROR(__xludf.DUMMYFUNCTION("""COMPUTED_VALUE"""),""",")</f>
        <v>",</v>
      </c>
    </row>
    <row r="738">
      <c r="A738" s="9" t="str">
        <f>IFERROR(__xludf.DUMMYFUNCTION("""COMPUTED_VALUE"""),"""")</f>
        <v>"</v>
      </c>
      <c r="B738" s="9" t="s">
        <v>747</v>
      </c>
      <c r="C738" s="9" t="str">
        <f>IFERROR(__xludf.DUMMYFUNCTION("""COMPUTED_VALUE"""),""":""")</f>
        <v>":"</v>
      </c>
      <c r="D738" s="24">
        <v>1.1127557660118223E19</v>
      </c>
      <c r="E738" s="9" t="str">
        <f>IFERROR(__xludf.DUMMYFUNCTION("""COMPUTED_VALUE"""),""",")</f>
        <v>",</v>
      </c>
    </row>
    <row r="739">
      <c r="A739" s="9" t="str">
        <f>IFERROR(__xludf.DUMMYFUNCTION("""COMPUTED_VALUE"""),"""")</f>
        <v>"</v>
      </c>
      <c r="B739" s="9" t="s">
        <v>748</v>
      </c>
      <c r="C739" s="9" t="str">
        <f>IFERROR(__xludf.DUMMYFUNCTION("""COMPUTED_VALUE"""),""":""")</f>
        <v>":"</v>
      </c>
      <c r="D739" s="24">
        <v>2.0248888511809958E19</v>
      </c>
      <c r="E739" s="9" t="str">
        <f>IFERROR(__xludf.DUMMYFUNCTION("""COMPUTED_VALUE"""),""",")</f>
        <v>",</v>
      </c>
    </row>
    <row r="740">
      <c r="A740" s="9" t="str">
        <f>IFERROR(__xludf.DUMMYFUNCTION("""COMPUTED_VALUE"""),"""")</f>
        <v>"</v>
      </c>
      <c r="B740" s="9" t="s">
        <v>749</v>
      </c>
      <c r="C740" s="9" t="str">
        <f>IFERROR(__xludf.DUMMYFUNCTION("""COMPUTED_VALUE"""),""":""")</f>
        <v>":"</v>
      </c>
      <c r="D740" s="24">
        <v>3.814535050396429E19</v>
      </c>
      <c r="E740" s="9" t="str">
        <f>IFERROR(__xludf.DUMMYFUNCTION("""COMPUTED_VALUE"""),""",")</f>
        <v>",</v>
      </c>
    </row>
    <row r="741">
      <c r="A741" s="9" t="str">
        <f>IFERROR(__xludf.DUMMYFUNCTION("""COMPUTED_VALUE"""),"""")</f>
        <v>"</v>
      </c>
      <c r="B741" s="9" t="s">
        <v>750</v>
      </c>
      <c r="C741" s="9" t="str">
        <f>IFERROR(__xludf.DUMMYFUNCTION("""COMPUTED_VALUE"""),""":""")</f>
        <v>":"</v>
      </c>
      <c r="D741" s="24">
        <v>5.9602008592207913E18</v>
      </c>
      <c r="E741" s="9" t="str">
        <f>IFERROR(__xludf.DUMMYFUNCTION("""COMPUTED_VALUE"""),""",")</f>
        <v>",</v>
      </c>
    </row>
    <row r="742">
      <c r="A742" s="9" t="str">
        <f>IFERROR(__xludf.DUMMYFUNCTION("""COMPUTED_VALUE"""),"""")</f>
        <v>"</v>
      </c>
      <c r="B742" s="9" t="s">
        <v>751</v>
      </c>
      <c r="C742" s="9" t="str">
        <f>IFERROR(__xludf.DUMMYFUNCTION("""COMPUTED_VALUE"""),""":""")</f>
        <v>":"</v>
      </c>
      <c r="D742" s="24">
        <v>5.6637010263026668E18</v>
      </c>
      <c r="E742" s="9" t="str">
        <f>IFERROR(__xludf.DUMMYFUNCTION("""COMPUTED_VALUE"""),""",")</f>
        <v>",</v>
      </c>
    </row>
    <row r="743">
      <c r="A743" s="9" t="str">
        <f>IFERROR(__xludf.DUMMYFUNCTION("""COMPUTED_VALUE"""),"""")</f>
        <v>"</v>
      </c>
      <c r="B743" s="9" t="s">
        <v>752</v>
      </c>
      <c r="C743" s="9" t="str">
        <f>IFERROR(__xludf.DUMMYFUNCTION("""COMPUTED_VALUE"""),""":""")</f>
        <v>":"</v>
      </c>
      <c r="D743" s="24">
        <v>1.1222266877190085E19</v>
      </c>
      <c r="E743" s="9" t="str">
        <f>IFERROR(__xludf.DUMMYFUNCTION("""COMPUTED_VALUE"""),""",")</f>
        <v>",</v>
      </c>
    </row>
    <row r="744">
      <c r="A744" s="9" t="str">
        <f>IFERROR(__xludf.DUMMYFUNCTION("""COMPUTED_VALUE"""),"""")</f>
        <v>"</v>
      </c>
      <c r="B744" s="9" t="s">
        <v>753</v>
      </c>
      <c r="C744" s="9" t="str">
        <f>IFERROR(__xludf.DUMMYFUNCTION("""COMPUTED_VALUE"""),""":""")</f>
        <v>":"</v>
      </c>
      <c r="D744" s="24">
        <v>2.0248888511809958E19</v>
      </c>
      <c r="E744" s="9" t="str">
        <f>IFERROR(__xludf.DUMMYFUNCTION("""COMPUTED_VALUE"""),""",")</f>
        <v>",</v>
      </c>
    </row>
    <row r="745">
      <c r="A745" s="9" t="str">
        <f>IFERROR(__xludf.DUMMYFUNCTION("""COMPUTED_VALUE"""),"""")</f>
        <v>"</v>
      </c>
      <c r="B745" s="9" t="s">
        <v>754</v>
      </c>
      <c r="C745" s="9" t="str">
        <f>IFERROR(__xludf.DUMMYFUNCTION("""COMPUTED_VALUE"""),""":""")</f>
        <v>":"</v>
      </c>
      <c r="D745" s="24">
        <v>4.195540211726587E19</v>
      </c>
      <c r="E745" s="9" t="str">
        <f>IFERROR(__xludf.DUMMYFUNCTION("""COMPUTED_VALUE"""),""",")</f>
        <v>",</v>
      </c>
    </row>
    <row r="746">
      <c r="A746" s="9" t="str">
        <f>IFERROR(__xludf.DUMMYFUNCTION("""COMPUTED_VALUE"""),"""")</f>
        <v>"</v>
      </c>
      <c r="B746" s="9" t="s">
        <v>755</v>
      </c>
      <c r="C746" s="9" t="str">
        <f>IFERROR(__xludf.DUMMYFUNCTION("""COMPUTED_VALUE"""),""":""")</f>
        <v>":"</v>
      </c>
      <c r="D746" s="24">
        <v>2.068128636465221E19</v>
      </c>
      <c r="E746" s="9" t="str">
        <f>IFERROR(__xludf.DUMMYFUNCTION("""COMPUTED_VALUE"""),""",")</f>
        <v>",</v>
      </c>
    </row>
    <row r="747">
      <c r="A747" s="9" t="str">
        <f>IFERROR(__xludf.DUMMYFUNCTION("""COMPUTED_VALUE"""),"""")</f>
        <v>"</v>
      </c>
      <c r="B747" s="9" t="s">
        <v>756</v>
      </c>
      <c r="C747" s="9" t="str">
        <f>IFERROR(__xludf.DUMMYFUNCTION("""COMPUTED_VALUE"""),""":""")</f>
        <v>":"</v>
      </c>
      <c r="D747" s="24">
        <v>6.2005979458241782E18</v>
      </c>
      <c r="E747" s="9" t="str">
        <f>IFERROR(__xludf.DUMMYFUNCTION("""COMPUTED_VALUE"""),""",")</f>
        <v>",</v>
      </c>
    </row>
    <row r="748">
      <c r="A748" s="9" t="str">
        <f>IFERROR(__xludf.DUMMYFUNCTION("""COMPUTED_VALUE"""),"""")</f>
        <v>"</v>
      </c>
      <c r="B748" s="9" t="s">
        <v>757</v>
      </c>
      <c r="C748" s="9" t="str">
        <f>IFERROR(__xludf.DUMMYFUNCTION("""COMPUTED_VALUE"""),""":""")</f>
        <v>":"</v>
      </c>
      <c r="D748" s="24">
        <v>2.0248888511809958E19</v>
      </c>
      <c r="E748" s="9" t="str">
        <f>IFERROR(__xludf.DUMMYFUNCTION("""COMPUTED_VALUE"""),""",")</f>
        <v>",</v>
      </c>
    </row>
    <row r="749">
      <c r="A749" s="9" t="str">
        <f>IFERROR(__xludf.DUMMYFUNCTION("""COMPUTED_VALUE"""),"""")</f>
        <v>"</v>
      </c>
      <c r="B749" s="9" t="s">
        <v>758</v>
      </c>
      <c r="C749" s="9" t="str">
        <f>IFERROR(__xludf.DUMMYFUNCTION("""COMPUTED_VALUE"""),""":""")</f>
        <v>":"</v>
      </c>
      <c r="D749" s="24">
        <v>1.8219911458401761E19</v>
      </c>
      <c r="E749" s="9" t="str">
        <f>IFERROR(__xludf.DUMMYFUNCTION("""COMPUTED_VALUE"""),""",")</f>
        <v>",</v>
      </c>
    </row>
    <row r="750">
      <c r="A750" s="9" t="str">
        <f>IFERROR(__xludf.DUMMYFUNCTION("""COMPUTED_VALUE"""),"""")</f>
        <v>"</v>
      </c>
      <c r="B750" s="9" t="s">
        <v>759</v>
      </c>
      <c r="C750" s="9" t="str">
        <f>IFERROR(__xludf.DUMMYFUNCTION("""COMPUTED_VALUE"""),""":""")</f>
        <v>":"</v>
      </c>
      <c r="D750" s="24">
        <v>5.8570394949856451E18</v>
      </c>
      <c r="E750" s="9" t="str">
        <f>IFERROR(__xludf.DUMMYFUNCTION("""COMPUTED_VALUE"""),""",")</f>
        <v>",</v>
      </c>
    </row>
    <row r="751">
      <c r="A751" s="9" t="str">
        <f>IFERROR(__xludf.DUMMYFUNCTION("""COMPUTED_VALUE"""),"""")</f>
        <v>"</v>
      </c>
      <c r="B751" s="9" t="s">
        <v>760</v>
      </c>
      <c r="C751" s="9" t="str">
        <f>IFERROR(__xludf.DUMMYFUNCTION("""COMPUTED_VALUE"""),""":""")</f>
        <v>":"</v>
      </c>
      <c r="D751" s="24">
        <v>3.4004758688085115E18</v>
      </c>
      <c r="E751" s="9" t="str">
        <f>IFERROR(__xludf.DUMMYFUNCTION("""COMPUTED_VALUE"""),""",")</f>
        <v>",</v>
      </c>
    </row>
    <row r="752">
      <c r="A752" s="9" t="str">
        <f>IFERROR(__xludf.DUMMYFUNCTION("""COMPUTED_VALUE"""),"""")</f>
        <v>"</v>
      </c>
      <c r="B752" s="9" t="s">
        <v>761</v>
      </c>
      <c r="C752" s="9" t="str">
        <f>IFERROR(__xludf.DUMMYFUNCTION("""COMPUTED_VALUE"""),""":""")</f>
        <v>":"</v>
      </c>
      <c r="D752" s="24">
        <v>2.0248888511809958E19</v>
      </c>
      <c r="E752" s="9" t="str">
        <f>IFERROR(__xludf.DUMMYFUNCTION("""COMPUTED_VALUE"""),""",")</f>
        <v>",</v>
      </c>
    </row>
    <row r="753">
      <c r="A753" s="9" t="str">
        <f>IFERROR(__xludf.DUMMYFUNCTION("""COMPUTED_VALUE"""),"""")</f>
        <v>"</v>
      </c>
      <c r="B753" s="9" t="s">
        <v>762</v>
      </c>
      <c r="C753" s="9" t="str">
        <f>IFERROR(__xludf.DUMMYFUNCTION("""COMPUTED_VALUE"""),""":""")</f>
        <v>":"</v>
      </c>
      <c r="D753" s="24">
        <v>6.2005979458241782E18</v>
      </c>
      <c r="E753" s="9" t="str">
        <f>IFERROR(__xludf.DUMMYFUNCTION("""COMPUTED_VALUE"""),""",")</f>
        <v>",</v>
      </c>
    </row>
    <row r="754">
      <c r="A754" s="9" t="str">
        <f>IFERROR(__xludf.DUMMYFUNCTION("""COMPUTED_VALUE"""),"""")</f>
        <v>"</v>
      </c>
      <c r="B754" s="9" t="s">
        <v>763</v>
      </c>
      <c r="C754" s="9" t="str">
        <f>IFERROR(__xludf.DUMMYFUNCTION("""COMPUTED_VALUE"""),""":""")</f>
        <v>":"</v>
      </c>
      <c r="D754" s="24">
        <v>2.8053879652627999E18</v>
      </c>
      <c r="E754" s="9" t="str">
        <f>IFERROR(__xludf.DUMMYFUNCTION("""COMPUTED_VALUE"""),""",")</f>
        <v>",</v>
      </c>
    </row>
    <row r="755">
      <c r="A755" s="9" t="str">
        <f>IFERROR(__xludf.DUMMYFUNCTION("""COMPUTED_VALUE"""),"""")</f>
        <v>"</v>
      </c>
      <c r="B755" s="9" t="s">
        <v>764</v>
      </c>
      <c r="C755" s="9" t="str">
        <f>IFERROR(__xludf.DUMMYFUNCTION("""COMPUTED_VALUE"""),""":""")</f>
        <v>":"</v>
      </c>
      <c r="D755" s="24">
        <v>2.2843275628863468E19</v>
      </c>
      <c r="E755" s="9" t="str">
        <f>IFERROR(__xludf.DUMMYFUNCTION("""COMPUTED_VALUE"""),""",")</f>
        <v>",</v>
      </c>
    </row>
    <row r="756">
      <c r="A756" s="9" t="str">
        <f>IFERROR(__xludf.DUMMYFUNCTION("""COMPUTED_VALUE"""),"""")</f>
        <v>"</v>
      </c>
      <c r="B756" s="9" t="s">
        <v>765</v>
      </c>
      <c r="C756" s="9" t="str">
        <f>IFERROR(__xludf.DUMMYFUNCTION("""COMPUTED_VALUE"""),""":""")</f>
        <v>":"</v>
      </c>
      <c r="D756" s="24">
        <v>5.5304078737801114E18</v>
      </c>
      <c r="E756" s="9" t="str">
        <f>IFERROR(__xludf.DUMMYFUNCTION("""COMPUTED_VALUE"""),""",")</f>
        <v>",</v>
      </c>
    </row>
    <row r="757">
      <c r="A757" s="9" t="str">
        <f>IFERROR(__xludf.DUMMYFUNCTION("""COMPUTED_VALUE"""),"""")</f>
        <v>"</v>
      </c>
      <c r="B757" s="9" t="s">
        <v>766</v>
      </c>
      <c r="C757" s="9" t="str">
        <f>IFERROR(__xludf.DUMMYFUNCTION("""COMPUTED_VALUE"""),""":""")</f>
        <v>":"</v>
      </c>
      <c r="D757" s="24">
        <v>6.2005979458241782E18</v>
      </c>
      <c r="E757" s="9" t="str">
        <f>IFERROR(__xludf.DUMMYFUNCTION("""COMPUTED_VALUE"""),""",")</f>
        <v>",</v>
      </c>
    </row>
    <row r="758">
      <c r="A758" s="9" t="str">
        <f>IFERROR(__xludf.DUMMYFUNCTION("""COMPUTED_VALUE"""),"""")</f>
        <v>"</v>
      </c>
      <c r="B758" s="9" t="s">
        <v>767</v>
      </c>
      <c r="C758" s="9" t="str">
        <f>IFERROR(__xludf.DUMMYFUNCTION("""COMPUTED_VALUE"""),""":""")</f>
        <v>":"</v>
      </c>
      <c r="D758" s="24">
        <v>6.2005979458241782E18</v>
      </c>
      <c r="E758" s="9" t="str">
        <f>IFERROR(__xludf.DUMMYFUNCTION("""COMPUTED_VALUE"""),""",")</f>
        <v>",</v>
      </c>
    </row>
    <row r="759">
      <c r="A759" s="9" t="str">
        <f>IFERROR(__xludf.DUMMYFUNCTION("""COMPUTED_VALUE"""),"""")</f>
        <v>"</v>
      </c>
      <c r="B759" s="9" t="s">
        <v>768</v>
      </c>
      <c r="C759" s="9" t="str">
        <f>IFERROR(__xludf.DUMMYFUNCTION("""COMPUTED_VALUE"""),""":""")</f>
        <v>":"</v>
      </c>
      <c r="D759" s="24">
        <v>4.8399354058981325E17</v>
      </c>
      <c r="E759" s="9" t="str">
        <f>IFERROR(__xludf.DUMMYFUNCTION("""COMPUTED_VALUE"""),""",")</f>
        <v>",</v>
      </c>
    </row>
    <row r="760">
      <c r="A760" s="9" t="str">
        <f>IFERROR(__xludf.DUMMYFUNCTION("""COMPUTED_VALUE"""),"""")</f>
        <v>"</v>
      </c>
      <c r="B760" s="9" t="s">
        <v>769</v>
      </c>
      <c r="C760" s="9" t="str">
        <f>IFERROR(__xludf.DUMMYFUNCTION("""COMPUTED_VALUE"""),""":""")</f>
        <v>":"</v>
      </c>
      <c r="D760" s="24">
        <v>2.6221395995166444E18</v>
      </c>
      <c r="E760" s="9" t="str">
        <f>IFERROR(__xludf.DUMMYFUNCTION("""COMPUTED_VALUE"""),""",")</f>
        <v>",</v>
      </c>
    </row>
    <row r="761">
      <c r="A761" s="9" t="str">
        <f>IFERROR(__xludf.DUMMYFUNCTION("""COMPUTED_VALUE"""),"""")</f>
        <v>"</v>
      </c>
      <c r="B761" s="9" t="s">
        <v>770</v>
      </c>
      <c r="C761" s="9" t="str">
        <f>IFERROR(__xludf.DUMMYFUNCTION("""COMPUTED_VALUE"""),""":""")</f>
        <v>":"</v>
      </c>
      <c r="D761" s="24">
        <v>6.2005979458241782E18</v>
      </c>
      <c r="E761" s="9" t="str">
        <f>IFERROR(__xludf.DUMMYFUNCTION("""COMPUTED_VALUE"""),""",")</f>
        <v>",</v>
      </c>
    </row>
    <row r="762">
      <c r="A762" s="9" t="str">
        <f>IFERROR(__xludf.DUMMYFUNCTION("""COMPUTED_VALUE"""),"""")</f>
        <v>"</v>
      </c>
      <c r="B762" s="9" t="s">
        <v>771</v>
      </c>
      <c r="C762" s="9" t="str">
        <f>IFERROR(__xludf.DUMMYFUNCTION("""COMPUTED_VALUE"""),""":""")</f>
        <v>":"</v>
      </c>
      <c r="D762" s="24">
        <v>6.2005979458241782E18</v>
      </c>
      <c r="E762" s="9" t="str">
        <f>IFERROR(__xludf.DUMMYFUNCTION("""COMPUTED_VALUE"""),""",")</f>
        <v>",</v>
      </c>
    </row>
    <row r="763">
      <c r="A763" s="9" t="str">
        <f>IFERROR(__xludf.DUMMYFUNCTION("""COMPUTED_VALUE"""),"""")</f>
        <v>"</v>
      </c>
      <c r="B763" s="9" t="s">
        <v>772</v>
      </c>
      <c r="C763" s="9" t="str">
        <f>IFERROR(__xludf.DUMMYFUNCTION("""COMPUTED_VALUE"""),""":""")</f>
        <v>":"</v>
      </c>
      <c r="D763" s="24">
        <v>6.2005979458241782E18</v>
      </c>
      <c r="E763" s="9" t="str">
        <f>IFERROR(__xludf.DUMMYFUNCTION("""COMPUTED_VALUE"""),""",")</f>
        <v>",</v>
      </c>
    </row>
    <row r="764">
      <c r="A764" s="9" t="str">
        <f>IFERROR(__xludf.DUMMYFUNCTION("""COMPUTED_VALUE"""),"""")</f>
        <v>"</v>
      </c>
      <c r="B764" s="9" t="s">
        <v>773</v>
      </c>
      <c r="C764" s="9" t="str">
        <f>IFERROR(__xludf.DUMMYFUNCTION("""COMPUTED_VALUE"""),""":""")</f>
        <v>":"</v>
      </c>
      <c r="D764" s="24">
        <v>6.2005979458241782E18</v>
      </c>
      <c r="E764" s="9" t="str">
        <f>IFERROR(__xludf.DUMMYFUNCTION("""COMPUTED_VALUE"""),""",")</f>
        <v>",</v>
      </c>
    </row>
    <row r="765">
      <c r="A765" s="9" t="str">
        <f>IFERROR(__xludf.DUMMYFUNCTION("""COMPUTED_VALUE"""),"""")</f>
        <v>"</v>
      </c>
      <c r="B765" s="9" t="s">
        <v>774</v>
      </c>
      <c r="C765" s="9" t="str">
        <f>IFERROR(__xludf.DUMMYFUNCTION("""COMPUTED_VALUE"""),""":""")</f>
        <v>":"</v>
      </c>
      <c r="D765" s="24">
        <v>6.2005979458241782E18</v>
      </c>
      <c r="E765" s="9" t="str">
        <f>IFERROR(__xludf.DUMMYFUNCTION("""COMPUTED_VALUE"""),""",")</f>
        <v>",</v>
      </c>
    </row>
    <row r="766">
      <c r="A766" s="9" t="str">
        <f>IFERROR(__xludf.DUMMYFUNCTION("""COMPUTED_VALUE"""),"""")</f>
        <v>"</v>
      </c>
      <c r="B766" s="9" t="s">
        <v>775</v>
      </c>
      <c r="C766" s="9" t="str">
        <f>IFERROR(__xludf.DUMMYFUNCTION("""COMPUTED_VALUE"""),""":""")</f>
        <v>":"</v>
      </c>
      <c r="D766" s="24">
        <v>5.9576774716628449E18</v>
      </c>
      <c r="E766" s="9" t="str">
        <f>IFERROR(__xludf.DUMMYFUNCTION("""COMPUTED_VALUE"""),""",")</f>
        <v>",</v>
      </c>
    </row>
    <row r="767">
      <c r="A767" s="9" t="str">
        <f>IFERROR(__xludf.DUMMYFUNCTION("""COMPUTED_VALUE"""),"""")</f>
        <v>"</v>
      </c>
      <c r="B767" s="9" t="s">
        <v>776</v>
      </c>
      <c r="C767" s="9" t="str">
        <f>IFERROR(__xludf.DUMMYFUNCTION("""COMPUTED_VALUE"""),""":""")</f>
        <v>":"</v>
      </c>
      <c r="D767" s="24">
        <v>6.2005979458241782E18</v>
      </c>
      <c r="E767" s="9" t="str">
        <f>IFERROR(__xludf.DUMMYFUNCTION("""COMPUTED_VALUE"""),""",")</f>
        <v>",</v>
      </c>
    </row>
    <row r="768">
      <c r="A768" s="9" t="str">
        <f>IFERROR(__xludf.DUMMYFUNCTION("""COMPUTED_VALUE"""),"""")</f>
        <v>"</v>
      </c>
      <c r="B768" s="9" t="s">
        <v>777</v>
      </c>
      <c r="C768" s="9" t="str">
        <f>IFERROR(__xludf.DUMMYFUNCTION("""COMPUTED_VALUE"""),""":""")</f>
        <v>":"</v>
      </c>
      <c r="D768" s="24">
        <v>6.2005979458241782E18</v>
      </c>
      <c r="E768" s="9" t="str">
        <f>IFERROR(__xludf.DUMMYFUNCTION("""COMPUTED_VALUE"""),""",")</f>
        <v>",</v>
      </c>
    </row>
    <row r="769">
      <c r="A769" s="9" t="str">
        <f>IFERROR(__xludf.DUMMYFUNCTION("""COMPUTED_VALUE"""),"""")</f>
        <v>"</v>
      </c>
      <c r="B769" s="9" t="s">
        <v>778</v>
      </c>
      <c r="C769" s="9" t="str">
        <f>IFERROR(__xludf.DUMMYFUNCTION("""COMPUTED_VALUE"""),""":""")</f>
        <v>":"</v>
      </c>
      <c r="D769" s="24">
        <v>2.0248888511809958E19</v>
      </c>
      <c r="E769" s="9" t="str">
        <f>IFERROR(__xludf.DUMMYFUNCTION("""COMPUTED_VALUE"""),""",")</f>
        <v>",</v>
      </c>
    </row>
    <row r="770">
      <c r="A770" s="9" t="str">
        <f>IFERROR(__xludf.DUMMYFUNCTION("""COMPUTED_VALUE"""),"""")</f>
        <v>"</v>
      </c>
      <c r="B770" s="9" t="s">
        <v>779</v>
      </c>
      <c r="C770" s="9" t="str">
        <f>IFERROR(__xludf.DUMMYFUNCTION("""COMPUTED_VALUE"""),""":""")</f>
        <v>":"</v>
      </c>
      <c r="D770" s="24">
        <v>6.2005979458241782E18</v>
      </c>
      <c r="E770" s="9" t="str">
        <f>IFERROR(__xludf.DUMMYFUNCTION("""COMPUTED_VALUE"""),""",")</f>
        <v>",</v>
      </c>
    </row>
    <row r="771">
      <c r="A771" s="9" t="str">
        <f>IFERROR(__xludf.DUMMYFUNCTION("""COMPUTED_VALUE"""),"""")</f>
        <v>"</v>
      </c>
      <c r="B771" s="9" t="s">
        <v>780</v>
      </c>
      <c r="C771" s="9" t="str">
        <f>IFERROR(__xludf.DUMMYFUNCTION("""COMPUTED_VALUE"""),""":""")</f>
        <v>":"</v>
      </c>
      <c r="D771" s="24">
        <v>2.6311106408658354E19</v>
      </c>
      <c r="E771" s="9" t="str">
        <f>IFERROR(__xludf.DUMMYFUNCTION("""COMPUTED_VALUE"""),""",")</f>
        <v>",</v>
      </c>
    </row>
    <row r="772">
      <c r="A772" s="9" t="str">
        <f>IFERROR(__xludf.DUMMYFUNCTION("""COMPUTED_VALUE"""),"""")</f>
        <v>"</v>
      </c>
      <c r="B772" s="9" t="s">
        <v>781</v>
      </c>
      <c r="C772" s="9" t="str">
        <f>IFERROR(__xludf.DUMMYFUNCTION("""COMPUTED_VALUE"""),""":""")</f>
        <v>":"</v>
      </c>
      <c r="D772" s="24">
        <v>6.2005979458241782E18</v>
      </c>
      <c r="E772" s="9" t="str">
        <f>IFERROR(__xludf.DUMMYFUNCTION("""COMPUTED_VALUE"""),""",")</f>
        <v>",</v>
      </c>
    </row>
    <row r="773">
      <c r="A773" s="9" t="str">
        <f>IFERROR(__xludf.DUMMYFUNCTION("""COMPUTED_VALUE"""),"""")</f>
        <v>"</v>
      </c>
      <c r="B773" s="9" t="s">
        <v>782</v>
      </c>
      <c r="C773" s="9" t="str">
        <f>IFERROR(__xludf.DUMMYFUNCTION("""COMPUTED_VALUE"""),""":""")</f>
        <v>":"</v>
      </c>
      <c r="D773" s="24">
        <v>2.0248888511809958E19</v>
      </c>
      <c r="E773" s="9" t="str">
        <f>IFERROR(__xludf.DUMMYFUNCTION("""COMPUTED_VALUE"""),""",")</f>
        <v>",</v>
      </c>
    </row>
    <row r="774">
      <c r="A774" s="9" t="str">
        <f>IFERROR(__xludf.DUMMYFUNCTION("""COMPUTED_VALUE"""),"""")</f>
        <v>"</v>
      </c>
      <c r="B774" s="9" t="s">
        <v>783</v>
      </c>
      <c r="C774" s="9" t="str">
        <f>IFERROR(__xludf.DUMMYFUNCTION("""COMPUTED_VALUE"""),""":""")</f>
        <v>":"</v>
      </c>
      <c r="D774" s="24">
        <v>2.034401603943525E19</v>
      </c>
      <c r="E774" s="9" t="str">
        <f>IFERROR(__xludf.DUMMYFUNCTION("""COMPUTED_VALUE"""),""",")</f>
        <v>",</v>
      </c>
    </row>
    <row r="775">
      <c r="A775" s="9" t="str">
        <f>IFERROR(__xludf.DUMMYFUNCTION("""COMPUTED_VALUE"""),"""")</f>
        <v>"</v>
      </c>
      <c r="B775" s="9" t="s">
        <v>784</v>
      </c>
      <c r="C775" s="9" t="str">
        <f>IFERROR(__xludf.DUMMYFUNCTION("""COMPUTED_VALUE"""),""":""")</f>
        <v>":"</v>
      </c>
      <c r="D775" s="24">
        <v>1.3224743228817068E19</v>
      </c>
      <c r="E775" s="9" t="str">
        <f>IFERROR(__xludf.DUMMYFUNCTION("""COMPUTED_VALUE"""),""",")</f>
        <v>",</v>
      </c>
    </row>
    <row r="776">
      <c r="A776" s="9" t="str">
        <f>IFERROR(__xludf.DUMMYFUNCTION("""COMPUTED_VALUE"""),"""")</f>
        <v>"</v>
      </c>
      <c r="B776" s="9" t="s">
        <v>785</v>
      </c>
      <c r="C776" s="9" t="str">
        <f>IFERROR(__xludf.DUMMYFUNCTION("""COMPUTED_VALUE"""),""":""")</f>
        <v>":"</v>
      </c>
      <c r="D776" s="24">
        <v>2.895738126805295E19</v>
      </c>
      <c r="E776" s="9" t="str">
        <f>IFERROR(__xludf.DUMMYFUNCTION("""COMPUTED_VALUE"""),""",")</f>
        <v>",</v>
      </c>
    </row>
    <row r="777">
      <c r="A777" s="9" t="str">
        <f>IFERROR(__xludf.DUMMYFUNCTION("""COMPUTED_VALUE"""),"""")</f>
        <v>"</v>
      </c>
      <c r="B777" s="9" t="s">
        <v>786</v>
      </c>
      <c r="C777" s="9" t="str">
        <f>IFERROR(__xludf.DUMMYFUNCTION("""COMPUTED_VALUE"""),""":""")</f>
        <v>":"</v>
      </c>
      <c r="D777" s="24">
        <v>6.2005979458241782E18</v>
      </c>
      <c r="E777" s="9" t="str">
        <f>IFERROR(__xludf.DUMMYFUNCTION("""COMPUTED_VALUE"""),""",")</f>
        <v>",</v>
      </c>
    </row>
    <row r="778">
      <c r="A778" s="9" t="str">
        <f>IFERROR(__xludf.DUMMYFUNCTION("""COMPUTED_VALUE"""),"""")</f>
        <v>"</v>
      </c>
      <c r="B778" s="9" t="s">
        <v>787</v>
      </c>
      <c r="C778" s="9" t="str">
        <f>IFERROR(__xludf.DUMMYFUNCTION("""COMPUTED_VALUE"""),""":""")</f>
        <v>":"</v>
      </c>
      <c r="D778" s="24">
        <v>6.4426928831647887E18</v>
      </c>
      <c r="E778" s="9" t="str">
        <f>IFERROR(__xludf.DUMMYFUNCTION("""COMPUTED_VALUE"""),""",")</f>
        <v>",</v>
      </c>
    </row>
    <row r="779">
      <c r="A779" s="9" t="str">
        <f>IFERROR(__xludf.DUMMYFUNCTION("""COMPUTED_VALUE"""),"""")</f>
        <v>"</v>
      </c>
      <c r="B779" s="9" t="s">
        <v>788</v>
      </c>
      <c r="C779" s="9" t="str">
        <f>IFERROR(__xludf.DUMMYFUNCTION("""COMPUTED_VALUE"""),""":""")</f>
        <v>":"</v>
      </c>
      <c r="D779" s="24">
        <v>2.1160656267624215E19</v>
      </c>
      <c r="E779" s="9" t="str">
        <f>IFERROR(__xludf.DUMMYFUNCTION("""COMPUTED_VALUE"""),""",")</f>
        <v>",</v>
      </c>
    </row>
    <row r="780">
      <c r="A780" s="9" t="str">
        <f>IFERROR(__xludf.DUMMYFUNCTION("""COMPUTED_VALUE"""),"""")</f>
        <v>"</v>
      </c>
      <c r="B780" s="9" t="s">
        <v>789</v>
      </c>
      <c r="C780" s="9" t="str">
        <f>IFERROR(__xludf.DUMMYFUNCTION("""COMPUTED_VALUE"""),""":""")</f>
        <v>":"</v>
      </c>
      <c r="D780" s="24">
        <v>2.0248888511809958E19</v>
      </c>
      <c r="E780" s="9" t="str">
        <f>IFERROR(__xludf.DUMMYFUNCTION("""COMPUTED_VALUE"""),""",")</f>
        <v>",</v>
      </c>
    </row>
    <row r="781">
      <c r="A781" s="9" t="str">
        <f>IFERROR(__xludf.DUMMYFUNCTION("""COMPUTED_VALUE"""),"""")</f>
        <v>"</v>
      </c>
      <c r="B781" s="9" t="s">
        <v>790</v>
      </c>
      <c r="C781" s="9" t="str">
        <f>IFERROR(__xludf.DUMMYFUNCTION("""COMPUTED_VALUE"""),""":""")</f>
        <v>":"</v>
      </c>
      <c r="D781" s="24">
        <v>6.2005979458241782E18</v>
      </c>
      <c r="E781" s="9" t="str">
        <f>IFERROR(__xludf.DUMMYFUNCTION("""COMPUTED_VALUE"""),""",")</f>
        <v>",</v>
      </c>
    </row>
    <row r="782">
      <c r="A782" s="9" t="str">
        <f>IFERROR(__xludf.DUMMYFUNCTION("""COMPUTED_VALUE"""),"""")</f>
        <v>"</v>
      </c>
      <c r="B782" s="9" t="s">
        <v>791</v>
      </c>
      <c r="C782" s="9" t="str">
        <f>IFERROR(__xludf.DUMMYFUNCTION("""COMPUTED_VALUE"""),""":""")</f>
        <v>":"</v>
      </c>
      <c r="D782" s="24">
        <v>6.2005979458241782E18</v>
      </c>
      <c r="E782" s="9" t="str">
        <f>IFERROR(__xludf.DUMMYFUNCTION("""COMPUTED_VALUE"""),""",")</f>
        <v>",</v>
      </c>
    </row>
    <row r="783">
      <c r="A783" s="9" t="str">
        <f>IFERROR(__xludf.DUMMYFUNCTION("""COMPUTED_VALUE"""),"""")</f>
        <v>"</v>
      </c>
      <c r="B783" s="9" t="s">
        <v>792</v>
      </c>
      <c r="C783" s="9" t="str">
        <f>IFERROR(__xludf.DUMMYFUNCTION("""COMPUTED_VALUE"""),""":""")</f>
        <v>":"</v>
      </c>
      <c r="D783" s="24">
        <v>6.2005979458241782E18</v>
      </c>
      <c r="E783" s="9" t="str">
        <f>IFERROR(__xludf.DUMMYFUNCTION("""COMPUTED_VALUE"""),""",")</f>
        <v>",</v>
      </c>
    </row>
    <row r="784">
      <c r="A784" s="9" t="str">
        <f>IFERROR(__xludf.DUMMYFUNCTION("""COMPUTED_VALUE"""),"""")</f>
        <v>"</v>
      </c>
      <c r="B784" s="9" t="s">
        <v>793</v>
      </c>
      <c r="C784" s="9" t="str">
        <f>IFERROR(__xludf.DUMMYFUNCTION("""COMPUTED_VALUE"""),""":""")</f>
        <v>":"</v>
      </c>
      <c r="D784" s="24">
        <v>6.1216722295766446E18</v>
      </c>
      <c r="E784" s="9" t="str">
        <f>IFERROR(__xludf.DUMMYFUNCTION("""COMPUTED_VALUE"""),""",")</f>
        <v>",</v>
      </c>
    </row>
    <row r="785">
      <c r="A785" s="9" t="str">
        <f>IFERROR(__xludf.DUMMYFUNCTION("""COMPUTED_VALUE"""),"""")</f>
        <v>"</v>
      </c>
      <c r="B785" s="9" t="s">
        <v>794</v>
      </c>
      <c r="C785" s="9" t="str">
        <f>IFERROR(__xludf.DUMMYFUNCTION("""COMPUTED_VALUE"""),""":""")</f>
        <v>":"</v>
      </c>
      <c r="D785" s="24">
        <v>2.0248888511809958E19</v>
      </c>
      <c r="E785" s="9" t="str">
        <f>IFERROR(__xludf.DUMMYFUNCTION("""COMPUTED_VALUE"""),""",")</f>
        <v>",</v>
      </c>
    </row>
    <row r="786">
      <c r="A786" s="9" t="str">
        <f>IFERROR(__xludf.DUMMYFUNCTION("""COMPUTED_VALUE"""),"""")</f>
        <v>"</v>
      </c>
      <c r="B786" s="9" t="s">
        <v>795</v>
      </c>
      <c r="C786" s="9" t="str">
        <f>IFERROR(__xludf.DUMMYFUNCTION("""COMPUTED_VALUE"""),""":""")</f>
        <v>":"</v>
      </c>
      <c r="D786" s="24">
        <v>3.2644913441459779E18</v>
      </c>
      <c r="E786" s="9" t="str">
        <f>IFERROR(__xludf.DUMMYFUNCTION("""COMPUTED_VALUE"""),""",")</f>
        <v>",</v>
      </c>
    </row>
    <row r="787">
      <c r="A787" s="9" t="str">
        <f>IFERROR(__xludf.DUMMYFUNCTION("""COMPUTED_VALUE"""),"""")</f>
        <v>"</v>
      </c>
      <c r="B787" s="9" t="s">
        <v>796</v>
      </c>
      <c r="C787" s="9" t="str">
        <f>IFERROR(__xludf.DUMMYFUNCTION("""COMPUTED_VALUE"""),""":""")</f>
        <v>":"</v>
      </c>
      <c r="D787" s="24">
        <v>5.7611441230962227E18</v>
      </c>
      <c r="E787" s="9" t="str">
        <f>IFERROR(__xludf.DUMMYFUNCTION("""COMPUTED_VALUE"""),""",")</f>
        <v>",</v>
      </c>
    </row>
    <row r="788">
      <c r="A788" s="9" t="str">
        <f>IFERROR(__xludf.DUMMYFUNCTION("""COMPUTED_VALUE"""),"""")</f>
        <v>"</v>
      </c>
      <c r="B788" s="9" t="s">
        <v>797</v>
      </c>
      <c r="C788" s="9" t="str">
        <f>IFERROR(__xludf.DUMMYFUNCTION("""COMPUTED_VALUE"""),""":""")</f>
        <v>":"</v>
      </c>
      <c r="D788" s="24">
        <v>2.2739500144181334E19</v>
      </c>
      <c r="E788" s="9" t="str">
        <f>IFERROR(__xludf.DUMMYFUNCTION("""COMPUTED_VALUE"""),""",")</f>
        <v>",</v>
      </c>
    </row>
    <row r="789">
      <c r="A789" s="9" t="str">
        <f>IFERROR(__xludf.DUMMYFUNCTION("""COMPUTED_VALUE"""),"""")</f>
        <v>"</v>
      </c>
      <c r="B789" s="9" t="s">
        <v>798</v>
      </c>
      <c r="C789" s="9" t="str">
        <f>IFERROR(__xludf.DUMMYFUNCTION("""COMPUTED_VALUE"""),""":""")</f>
        <v>":"</v>
      </c>
      <c r="D789" s="24">
        <v>5.5318621162038671E18</v>
      </c>
      <c r="E789" s="9" t="str">
        <f>IFERROR(__xludf.DUMMYFUNCTION("""COMPUTED_VALUE"""),""",")</f>
        <v>",</v>
      </c>
    </row>
    <row r="790">
      <c r="A790" s="9" t="str">
        <f>IFERROR(__xludf.DUMMYFUNCTION("""COMPUTED_VALUE"""),"""")</f>
        <v>"</v>
      </c>
      <c r="B790" s="9" t="s">
        <v>799</v>
      </c>
      <c r="C790" s="9" t="str">
        <f>IFERROR(__xludf.DUMMYFUNCTION("""COMPUTED_VALUE"""),""":""")</f>
        <v>":"</v>
      </c>
      <c r="D790" s="24">
        <v>2.437598837477407E19</v>
      </c>
      <c r="E790" s="9" t="str">
        <f>IFERROR(__xludf.DUMMYFUNCTION("""COMPUTED_VALUE"""),""",")</f>
        <v>",</v>
      </c>
    </row>
    <row r="791">
      <c r="A791" s="9" t="str">
        <f>IFERROR(__xludf.DUMMYFUNCTION("""COMPUTED_VALUE"""),"""")</f>
        <v>"</v>
      </c>
      <c r="B791" s="9" t="s">
        <v>800</v>
      </c>
      <c r="C791" s="9" t="str">
        <f>IFERROR(__xludf.DUMMYFUNCTION("""COMPUTED_VALUE"""),""":""")</f>
        <v>":"</v>
      </c>
      <c r="D791" s="24">
        <v>2.662212347328933E19</v>
      </c>
      <c r="E791" s="9" t="str">
        <f>IFERROR(__xludf.DUMMYFUNCTION("""COMPUTED_VALUE"""),""",")</f>
        <v>",</v>
      </c>
    </row>
    <row r="792">
      <c r="A792" s="9" t="str">
        <f>IFERROR(__xludf.DUMMYFUNCTION("""COMPUTED_VALUE"""),"""")</f>
        <v>"</v>
      </c>
      <c r="B792" s="9" t="s">
        <v>801</v>
      </c>
      <c r="C792" s="9" t="str">
        <f>IFERROR(__xludf.DUMMYFUNCTION("""COMPUTED_VALUE"""),""":""")</f>
        <v>":"</v>
      </c>
      <c r="D792" s="24">
        <v>6.2005979458241782E18</v>
      </c>
      <c r="E792" s="9" t="str">
        <f>IFERROR(__xludf.DUMMYFUNCTION("""COMPUTED_VALUE"""),""",")</f>
        <v>",</v>
      </c>
    </row>
    <row r="793">
      <c r="A793" s="9" t="str">
        <f>IFERROR(__xludf.DUMMYFUNCTION("""COMPUTED_VALUE"""),"""")</f>
        <v>"</v>
      </c>
      <c r="B793" s="9" t="s">
        <v>802</v>
      </c>
      <c r="C793" s="9" t="str">
        <f>IFERROR(__xludf.DUMMYFUNCTION("""COMPUTED_VALUE"""),""":""")</f>
        <v>":"</v>
      </c>
      <c r="D793" s="24">
        <v>2.0248888511809958E19</v>
      </c>
      <c r="E793" s="9" t="str">
        <f>IFERROR(__xludf.DUMMYFUNCTION("""COMPUTED_VALUE"""),""",")</f>
        <v>",</v>
      </c>
    </row>
    <row r="794">
      <c r="A794" s="9" t="str">
        <f>IFERROR(__xludf.DUMMYFUNCTION("""COMPUTED_VALUE"""),"""")</f>
        <v>"</v>
      </c>
      <c r="B794" s="9" t="s">
        <v>803</v>
      </c>
      <c r="C794" s="9" t="str">
        <f>IFERROR(__xludf.DUMMYFUNCTION("""COMPUTED_VALUE"""),""":""")</f>
        <v>":"</v>
      </c>
      <c r="D794" s="24">
        <v>6.2005979458241782E18</v>
      </c>
      <c r="E794" s="9" t="str">
        <f>IFERROR(__xludf.DUMMYFUNCTION("""COMPUTED_VALUE"""),""",")</f>
        <v>",</v>
      </c>
    </row>
    <row r="795">
      <c r="A795" s="9" t="str">
        <f>IFERROR(__xludf.DUMMYFUNCTION("""COMPUTED_VALUE"""),"""")</f>
        <v>"</v>
      </c>
      <c r="B795" s="9" t="s">
        <v>804</v>
      </c>
      <c r="C795" s="9" t="str">
        <f>IFERROR(__xludf.DUMMYFUNCTION("""COMPUTED_VALUE"""),""":""")</f>
        <v>":"</v>
      </c>
      <c r="D795" s="24">
        <v>2.198090135115489E19</v>
      </c>
      <c r="E795" s="9" t="str">
        <f>IFERROR(__xludf.DUMMYFUNCTION("""COMPUTED_VALUE"""),""",")</f>
        <v>",</v>
      </c>
    </row>
    <row r="796">
      <c r="A796" s="9" t="str">
        <f>IFERROR(__xludf.DUMMYFUNCTION("""COMPUTED_VALUE"""),"""")</f>
        <v>"</v>
      </c>
      <c r="B796" s="9" t="s">
        <v>805</v>
      </c>
      <c r="C796" s="9" t="str">
        <f>IFERROR(__xludf.DUMMYFUNCTION("""COMPUTED_VALUE"""),""":""")</f>
        <v>":"</v>
      </c>
      <c r="D796" s="24">
        <v>5.6219021274304E18</v>
      </c>
      <c r="E796" s="9" t="str">
        <f>IFERROR(__xludf.DUMMYFUNCTION("""COMPUTED_VALUE"""),""",")</f>
        <v>",</v>
      </c>
    </row>
    <row r="797">
      <c r="A797" s="9" t="str">
        <f>IFERROR(__xludf.DUMMYFUNCTION("""COMPUTED_VALUE"""),"""")</f>
        <v>"</v>
      </c>
      <c r="B797" s="9" t="s">
        <v>806</v>
      </c>
      <c r="C797" s="9" t="str">
        <f>IFERROR(__xludf.DUMMYFUNCTION("""COMPUTED_VALUE"""),""":""")</f>
        <v>":"</v>
      </c>
      <c r="D797" s="24">
        <v>6.2005979458241782E18</v>
      </c>
      <c r="E797" s="9" t="str">
        <f>IFERROR(__xludf.DUMMYFUNCTION("""COMPUTED_VALUE"""),""",")</f>
        <v>",</v>
      </c>
    </row>
    <row r="798">
      <c r="A798" s="9" t="str">
        <f>IFERROR(__xludf.DUMMYFUNCTION("""COMPUTED_VALUE"""),"""")</f>
        <v>"</v>
      </c>
      <c r="B798" s="9" t="s">
        <v>807</v>
      </c>
      <c r="C798" s="9" t="str">
        <f>IFERROR(__xludf.DUMMYFUNCTION("""COMPUTED_VALUE"""),""":""")</f>
        <v>":"</v>
      </c>
      <c r="D798" s="24">
        <v>6.2005979458241782E18</v>
      </c>
      <c r="E798" s="9" t="str">
        <f>IFERROR(__xludf.DUMMYFUNCTION("""COMPUTED_VALUE"""),""",")</f>
        <v>",</v>
      </c>
    </row>
    <row r="799">
      <c r="A799" s="9" t="str">
        <f>IFERROR(__xludf.DUMMYFUNCTION("""COMPUTED_VALUE"""),"""")</f>
        <v>"</v>
      </c>
      <c r="B799" s="9" t="s">
        <v>808</v>
      </c>
      <c r="C799" s="9" t="str">
        <f>IFERROR(__xludf.DUMMYFUNCTION("""COMPUTED_VALUE"""),""":""")</f>
        <v>":"</v>
      </c>
      <c r="D799" s="24">
        <v>2.0248888511809958E19</v>
      </c>
      <c r="E799" s="9" t="str">
        <f>IFERROR(__xludf.DUMMYFUNCTION("""COMPUTED_VALUE"""),""",")</f>
        <v>",</v>
      </c>
    </row>
    <row r="800">
      <c r="A800" s="9" t="str">
        <f>IFERROR(__xludf.DUMMYFUNCTION("""COMPUTED_VALUE"""),"""")</f>
        <v>"</v>
      </c>
      <c r="B800" s="9" t="s">
        <v>809</v>
      </c>
      <c r="C800" s="9" t="str">
        <f>IFERROR(__xludf.DUMMYFUNCTION("""COMPUTED_VALUE"""),""":""")</f>
        <v>":"</v>
      </c>
      <c r="D800" s="24">
        <v>2.0248888511809958E19</v>
      </c>
      <c r="E800" s="9" t="str">
        <f>IFERROR(__xludf.DUMMYFUNCTION("""COMPUTED_VALUE"""),""",")</f>
        <v>",</v>
      </c>
    </row>
    <row r="801">
      <c r="A801" s="9" t="str">
        <f>IFERROR(__xludf.DUMMYFUNCTION("""COMPUTED_VALUE"""),"""")</f>
        <v>"</v>
      </c>
      <c r="B801" s="9" t="s">
        <v>810</v>
      </c>
      <c r="C801" s="9" t="str">
        <f>IFERROR(__xludf.DUMMYFUNCTION("""COMPUTED_VALUE"""),""":""")</f>
        <v>":"</v>
      </c>
      <c r="D801" s="24">
        <v>6.2005979458241782E18</v>
      </c>
      <c r="E801" s="9" t="str">
        <f>IFERROR(__xludf.DUMMYFUNCTION("""COMPUTED_VALUE"""),""",")</f>
        <v>",</v>
      </c>
    </row>
    <row r="802">
      <c r="A802" s="9" t="str">
        <f>IFERROR(__xludf.DUMMYFUNCTION("""COMPUTED_VALUE"""),"""")</f>
        <v>"</v>
      </c>
      <c r="B802" s="9" t="s">
        <v>811</v>
      </c>
      <c r="C802" s="9" t="str">
        <f>IFERROR(__xludf.DUMMYFUNCTION("""COMPUTED_VALUE"""),""":""")</f>
        <v>":"</v>
      </c>
      <c r="D802" s="24">
        <v>2.0248888511809958E19</v>
      </c>
      <c r="E802" s="9" t="str">
        <f>IFERROR(__xludf.DUMMYFUNCTION("""COMPUTED_VALUE"""),""",")</f>
        <v>",</v>
      </c>
    </row>
    <row r="803">
      <c r="A803" s="9" t="str">
        <f>IFERROR(__xludf.DUMMYFUNCTION("""COMPUTED_VALUE"""),"""")</f>
        <v>"</v>
      </c>
      <c r="B803" s="9" t="s">
        <v>812</v>
      </c>
      <c r="C803" s="9" t="str">
        <f>IFERROR(__xludf.DUMMYFUNCTION("""COMPUTED_VALUE"""),""":""")</f>
        <v>":"</v>
      </c>
      <c r="D803" s="24">
        <v>2.0248888511809958E19</v>
      </c>
      <c r="E803" s="9" t="str">
        <f>IFERROR(__xludf.DUMMYFUNCTION("""COMPUTED_VALUE"""),""",")</f>
        <v>",</v>
      </c>
    </row>
    <row r="804">
      <c r="A804" s="9" t="str">
        <f>IFERROR(__xludf.DUMMYFUNCTION("""COMPUTED_VALUE"""),"""")</f>
        <v>"</v>
      </c>
      <c r="B804" s="9" t="s">
        <v>813</v>
      </c>
      <c r="C804" s="9" t="str">
        <f>IFERROR(__xludf.DUMMYFUNCTION("""COMPUTED_VALUE"""),""":""")</f>
        <v>":"</v>
      </c>
      <c r="D804" s="24">
        <v>5.937847333931266E18</v>
      </c>
      <c r="E804" s="9" t="str">
        <f>IFERROR(__xludf.DUMMYFUNCTION("""COMPUTED_VALUE"""),""",")</f>
        <v>",</v>
      </c>
    </row>
    <row r="805">
      <c r="A805" s="9" t="str">
        <f>IFERROR(__xludf.DUMMYFUNCTION("""COMPUTED_VALUE"""),"""")</f>
        <v>"</v>
      </c>
      <c r="B805" s="9" t="s">
        <v>814</v>
      </c>
      <c r="C805" s="9" t="str">
        <f>IFERROR(__xludf.DUMMYFUNCTION("""COMPUTED_VALUE"""),""":""")</f>
        <v>":"</v>
      </c>
      <c r="D805" s="24">
        <v>2.0248888511809958E19</v>
      </c>
      <c r="E805" s="9" t="str">
        <f>IFERROR(__xludf.DUMMYFUNCTION("""COMPUTED_VALUE"""),""",")</f>
        <v>",</v>
      </c>
    </row>
    <row r="806">
      <c r="A806" s="9" t="str">
        <f>IFERROR(__xludf.DUMMYFUNCTION("""COMPUTED_VALUE"""),"""")</f>
        <v>"</v>
      </c>
      <c r="B806" s="9" t="s">
        <v>815</v>
      </c>
      <c r="C806" s="9" t="str">
        <f>IFERROR(__xludf.DUMMYFUNCTION("""COMPUTED_VALUE"""),""":""")</f>
        <v>":"</v>
      </c>
      <c r="D806" s="24">
        <v>2.0248888511809958E19</v>
      </c>
      <c r="E806" s="9" t="str">
        <f>IFERROR(__xludf.DUMMYFUNCTION("""COMPUTED_VALUE"""),""",")</f>
        <v>",</v>
      </c>
    </row>
    <row r="807">
      <c r="A807" s="9" t="str">
        <f>IFERROR(__xludf.DUMMYFUNCTION("""COMPUTED_VALUE"""),"""")</f>
        <v>"</v>
      </c>
      <c r="B807" s="9" t="s">
        <v>816</v>
      </c>
      <c r="C807" s="9" t="str">
        <f>IFERROR(__xludf.DUMMYFUNCTION("""COMPUTED_VALUE"""),""":""")</f>
        <v>":"</v>
      </c>
      <c r="D807" s="24">
        <v>3.0840434877464223E18</v>
      </c>
      <c r="E807" s="9" t="str">
        <f>IFERROR(__xludf.DUMMYFUNCTION("""COMPUTED_VALUE"""),""",")</f>
        <v>",</v>
      </c>
    </row>
    <row r="808">
      <c r="A808" s="9" t="str">
        <f>IFERROR(__xludf.DUMMYFUNCTION("""COMPUTED_VALUE"""),"""")</f>
        <v>"</v>
      </c>
      <c r="B808" s="9" t="s">
        <v>817</v>
      </c>
      <c r="C808" s="9" t="str">
        <f>IFERROR(__xludf.DUMMYFUNCTION("""COMPUTED_VALUE"""),""":""")</f>
        <v>":"</v>
      </c>
      <c r="D808" s="24">
        <v>6.443640838247018E19</v>
      </c>
      <c r="E808" s="9" t="str">
        <f>IFERROR(__xludf.DUMMYFUNCTION("""COMPUTED_VALUE"""),""",")</f>
        <v>",</v>
      </c>
    </row>
    <row r="809">
      <c r="A809" s="9" t="str">
        <f>IFERROR(__xludf.DUMMYFUNCTION("""COMPUTED_VALUE"""),"""")</f>
        <v>"</v>
      </c>
      <c r="B809" s="9" t="s">
        <v>818</v>
      </c>
      <c r="C809" s="9" t="str">
        <f>IFERROR(__xludf.DUMMYFUNCTION("""COMPUTED_VALUE"""),""":""")</f>
        <v>":"</v>
      </c>
      <c r="D809" s="24">
        <v>5.7372676330131118E18</v>
      </c>
      <c r="E809" s="9" t="str">
        <f>IFERROR(__xludf.DUMMYFUNCTION("""COMPUTED_VALUE"""),""",")</f>
        <v>",</v>
      </c>
    </row>
    <row r="810">
      <c r="A810" s="9" t="str">
        <f>IFERROR(__xludf.DUMMYFUNCTION("""COMPUTED_VALUE"""),"""")</f>
        <v>"</v>
      </c>
      <c r="B810" s="9" t="s">
        <v>819</v>
      </c>
      <c r="C810" s="9" t="str">
        <f>IFERROR(__xludf.DUMMYFUNCTION("""COMPUTED_VALUE"""),""":""")</f>
        <v>":"</v>
      </c>
      <c r="D810" s="24">
        <v>1.9479337173057245E19</v>
      </c>
      <c r="E810" s="9" t="str">
        <f>IFERROR(__xludf.DUMMYFUNCTION("""COMPUTED_VALUE"""),""",")</f>
        <v>",</v>
      </c>
    </row>
    <row r="811">
      <c r="A811" s="9" t="str">
        <f>IFERROR(__xludf.DUMMYFUNCTION("""COMPUTED_VALUE"""),"""")</f>
        <v>"</v>
      </c>
      <c r="B811" s="9" t="s">
        <v>820</v>
      </c>
      <c r="C811" s="9" t="str">
        <f>IFERROR(__xludf.DUMMYFUNCTION("""COMPUTED_VALUE"""),""":""")</f>
        <v>":"</v>
      </c>
      <c r="D811" s="24">
        <v>2.0266184425923645E19</v>
      </c>
      <c r="E811" s="9" t="str">
        <f>IFERROR(__xludf.DUMMYFUNCTION("""COMPUTED_VALUE"""),""",")</f>
        <v>",</v>
      </c>
    </row>
    <row r="812">
      <c r="A812" s="9" t="str">
        <f>IFERROR(__xludf.DUMMYFUNCTION("""COMPUTED_VALUE"""),"""")</f>
        <v>"</v>
      </c>
      <c r="B812" s="9" t="s">
        <v>821</v>
      </c>
      <c r="C812" s="9" t="str">
        <f>IFERROR(__xludf.DUMMYFUNCTION("""COMPUTED_VALUE"""),""":""")</f>
        <v>":"</v>
      </c>
      <c r="D812" s="24">
        <v>2.0248888511809958E19</v>
      </c>
      <c r="E812" s="9" t="str">
        <f>IFERROR(__xludf.DUMMYFUNCTION("""COMPUTED_VALUE"""),""",")</f>
        <v>",</v>
      </c>
    </row>
    <row r="813">
      <c r="A813" s="9" t="str">
        <f>IFERROR(__xludf.DUMMYFUNCTION("""COMPUTED_VALUE"""),"""")</f>
        <v>"</v>
      </c>
      <c r="B813" s="9" t="s">
        <v>822</v>
      </c>
      <c r="C813" s="9" t="str">
        <f>IFERROR(__xludf.DUMMYFUNCTION("""COMPUTED_VALUE"""),""":""")</f>
        <v>":"</v>
      </c>
      <c r="D813" s="24">
        <v>5.5636232588310897E18</v>
      </c>
      <c r="E813" s="9" t="str">
        <f>IFERROR(__xludf.DUMMYFUNCTION("""COMPUTED_VALUE"""),""",")</f>
        <v>",</v>
      </c>
    </row>
    <row r="814">
      <c r="A814" s="9" t="str">
        <f>IFERROR(__xludf.DUMMYFUNCTION("""COMPUTED_VALUE"""),"""")</f>
        <v>"</v>
      </c>
      <c r="B814" s="9" t="s">
        <v>823</v>
      </c>
      <c r="C814" s="9" t="str">
        <f>IFERROR(__xludf.DUMMYFUNCTION("""COMPUTED_VALUE"""),""":""")</f>
        <v>":"</v>
      </c>
      <c r="D814" s="24">
        <v>2.0506597632103936E19</v>
      </c>
      <c r="E814" s="9" t="str">
        <f>IFERROR(__xludf.DUMMYFUNCTION("""COMPUTED_VALUE"""),""",")</f>
        <v>",</v>
      </c>
    </row>
    <row r="815">
      <c r="A815" s="9" t="str">
        <f>IFERROR(__xludf.DUMMYFUNCTION("""COMPUTED_VALUE"""),"""")</f>
        <v>"</v>
      </c>
      <c r="B815" s="9" t="s">
        <v>824</v>
      </c>
      <c r="C815" s="9" t="str">
        <f>IFERROR(__xludf.DUMMYFUNCTION("""COMPUTED_VALUE"""),""":""")</f>
        <v>":"</v>
      </c>
      <c r="D815" s="24">
        <v>5.355031170180222E18</v>
      </c>
      <c r="E815" s="9" t="str">
        <f>IFERROR(__xludf.DUMMYFUNCTION("""COMPUTED_VALUE"""),""",")</f>
        <v>",</v>
      </c>
    </row>
    <row r="816">
      <c r="A816" s="9" t="str">
        <f>IFERROR(__xludf.DUMMYFUNCTION("""COMPUTED_VALUE"""),"""")</f>
        <v>"</v>
      </c>
      <c r="B816" s="9" t="s">
        <v>825</v>
      </c>
      <c r="C816" s="9" t="str">
        <f>IFERROR(__xludf.DUMMYFUNCTION("""COMPUTED_VALUE"""),""":""")</f>
        <v>":"</v>
      </c>
      <c r="D816" s="24">
        <v>6.2005979458241782E18</v>
      </c>
      <c r="E816" s="9" t="str">
        <f>IFERROR(__xludf.DUMMYFUNCTION("""COMPUTED_VALUE"""),""",")</f>
        <v>",</v>
      </c>
    </row>
    <row r="817">
      <c r="A817" s="9" t="str">
        <f>IFERROR(__xludf.DUMMYFUNCTION("""COMPUTED_VALUE"""),"""")</f>
        <v>"</v>
      </c>
      <c r="B817" s="9" t="s">
        <v>826</v>
      </c>
      <c r="C817" s="9" t="str">
        <f>IFERROR(__xludf.DUMMYFUNCTION("""COMPUTED_VALUE"""),""":""")</f>
        <v>":"</v>
      </c>
      <c r="D817" s="24">
        <v>9.182401844061822E18</v>
      </c>
      <c r="E817" s="9" t="str">
        <f>IFERROR(__xludf.DUMMYFUNCTION("""COMPUTED_VALUE"""),""",")</f>
        <v>",</v>
      </c>
    </row>
    <row r="818">
      <c r="A818" s="9" t="str">
        <f>IFERROR(__xludf.DUMMYFUNCTION("""COMPUTED_VALUE"""),"""")</f>
        <v>"</v>
      </c>
      <c r="B818" s="9" t="s">
        <v>827</v>
      </c>
      <c r="C818" s="9" t="str">
        <f>IFERROR(__xludf.DUMMYFUNCTION("""COMPUTED_VALUE"""),""":""")</f>
        <v>":"</v>
      </c>
      <c r="D818" s="24">
        <v>6.2005979458241782E18</v>
      </c>
      <c r="E818" s="9" t="str">
        <f>IFERROR(__xludf.DUMMYFUNCTION("""COMPUTED_VALUE"""),""",")</f>
        <v>",</v>
      </c>
    </row>
    <row r="819">
      <c r="A819" s="9" t="str">
        <f>IFERROR(__xludf.DUMMYFUNCTION("""COMPUTED_VALUE"""),"""")</f>
        <v>"</v>
      </c>
      <c r="B819" s="9" t="s">
        <v>828</v>
      </c>
      <c r="C819" s="9" t="str">
        <f>IFERROR(__xludf.DUMMYFUNCTION("""COMPUTED_VALUE"""),""":""")</f>
        <v>":"</v>
      </c>
      <c r="D819" s="24">
        <v>2.6075171891598003E18</v>
      </c>
      <c r="E819" s="9" t="str">
        <f>IFERROR(__xludf.DUMMYFUNCTION("""COMPUTED_VALUE"""),""",")</f>
        <v>",</v>
      </c>
    </row>
    <row r="820">
      <c r="A820" s="9" t="str">
        <f>IFERROR(__xludf.DUMMYFUNCTION("""COMPUTED_VALUE"""),"""")</f>
        <v>"</v>
      </c>
      <c r="B820" s="9" t="s">
        <v>829</v>
      </c>
      <c r="C820" s="9" t="str">
        <f>IFERROR(__xludf.DUMMYFUNCTION("""COMPUTED_VALUE"""),""":""")</f>
        <v>":"</v>
      </c>
      <c r="D820" s="24">
        <v>2.8743725846255334E18</v>
      </c>
      <c r="E820" s="9" t="str">
        <f>IFERROR(__xludf.DUMMYFUNCTION("""COMPUTED_VALUE"""),""",")</f>
        <v>",</v>
      </c>
    </row>
    <row r="821">
      <c r="A821" s="9" t="str">
        <f>IFERROR(__xludf.DUMMYFUNCTION("""COMPUTED_VALUE"""),"""")</f>
        <v>"</v>
      </c>
      <c r="B821" s="9" t="s">
        <v>830</v>
      </c>
      <c r="C821" s="9" t="str">
        <f>IFERROR(__xludf.DUMMYFUNCTION("""COMPUTED_VALUE"""),""":""")</f>
        <v>":"</v>
      </c>
      <c r="D821" s="24">
        <v>6.1951247736306217E18</v>
      </c>
      <c r="E821" s="9" t="str">
        <f>IFERROR(__xludf.DUMMYFUNCTION("""COMPUTED_VALUE"""),""",")</f>
        <v>",</v>
      </c>
    </row>
    <row r="822">
      <c r="A822" s="9" t="str">
        <f>IFERROR(__xludf.DUMMYFUNCTION("""COMPUTED_VALUE"""),"""")</f>
        <v>"</v>
      </c>
      <c r="B822" s="9" t="s">
        <v>831</v>
      </c>
      <c r="C822" s="9" t="str">
        <f>IFERROR(__xludf.DUMMYFUNCTION("""COMPUTED_VALUE"""),""":""")</f>
        <v>":"</v>
      </c>
      <c r="D822" s="24">
        <v>2.0248888511809958E19</v>
      </c>
      <c r="E822" s="9" t="str">
        <f>IFERROR(__xludf.DUMMYFUNCTION("""COMPUTED_VALUE"""),""",")</f>
        <v>",</v>
      </c>
    </row>
    <row r="823">
      <c r="A823" s="9" t="str">
        <f>IFERROR(__xludf.DUMMYFUNCTION("""COMPUTED_VALUE"""),"""")</f>
        <v>"</v>
      </c>
      <c r="B823" s="9" t="s">
        <v>832</v>
      </c>
      <c r="C823" s="9" t="str">
        <f>IFERROR(__xludf.DUMMYFUNCTION("""COMPUTED_VALUE"""),""":""")</f>
        <v>":"</v>
      </c>
      <c r="D823" s="24">
        <v>3.9783651017080668E18</v>
      </c>
      <c r="E823" s="9" t="str">
        <f>IFERROR(__xludf.DUMMYFUNCTION("""COMPUTED_VALUE"""),""",")</f>
        <v>",</v>
      </c>
    </row>
    <row r="824">
      <c r="A824" s="9" t="str">
        <f>IFERROR(__xludf.DUMMYFUNCTION("""COMPUTED_VALUE"""),"""")</f>
        <v>"</v>
      </c>
      <c r="B824" s="9" t="s">
        <v>833</v>
      </c>
      <c r="C824" s="9" t="str">
        <f>IFERROR(__xludf.DUMMYFUNCTION("""COMPUTED_VALUE"""),""":""")</f>
        <v>":"</v>
      </c>
      <c r="D824" s="24">
        <v>6.2005979458241782E18</v>
      </c>
      <c r="E824" s="9" t="str">
        <f>IFERROR(__xludf.DUMMYFUNCTION("""COMPUTED_VALUE"""),""",")</f>
        <v>",</v>
      </c>
    </row>
    <row r="825">
      <c r="A825" s="9" t="str">
        <f>IFERROR(__xludf.DUMMYFUNCTION("""COMPUTED_VALUE"""),"""")</f>
        <v>"</v>
      </c>
      <c r="B825" s="9" t="s">
        <v>834</v>
      </c>
      <c r="C825" s="9" t="str">
        <f>IFERROR(__xludf.DUMMYFUNCTION("""COMPUTED_VALUE"""),""":""")</f>
        <v>":"</v>
      </c>
      <c r="D825" s="24">
        <v>6.2005979458241782E18</v>
      </c>
      <c r="E825" s="9" t="str">
        <f>IFERROR(__xludf.DUMMYFUNCTION("""COMPUTED_VALUE"""),""",")</f>
        <v>",</v>
      </c>
    </row>
    <row r="826">
      <c r="A826" s="9" t="str">
        <f>IFERROR(__xludf.DUMMYFUNCTION("""COMPUTED_VALUE"""),"""")</f>
        <v>"</v>
      </c>
      <c r="B826" s="9" t="s">
        <v>835</v>
      </c>
      <c r="C826" s="9" t="str">
        <f>IFERROR(__xludf.DUMMYFUNCTION("""COMPUTED_VALUE"""),""":""")</f>
        <v>":"</v>
      </c>
      <c r="D826" s="24">
        <v>6.6329957986664315E18</v>
      </c>
      <c r="E826" s="9" t="str">
        <f>IFERROR(__xludf.DUMMYFUNCTION("""COMPUTED_VALUE"""),""",")</f>
        <v>",</v>
      </c>
    </row>
    <row r="827">
      <c r="A827" s="9" t="str">
        <f>IFERROR(__xludf.DUMMYFUNCTION("""COMPUTED_VALUE"""),"""")</f>
        <v>"</v>
      </c>
      <c r="B827" s="9" t="s">
        <v>836</v>
      </c>
      <c r="C827" s="9" t="str">
        <f>IFERROR(__xludf.DUMMYFUNCTION("""COMPUTED_VALUE"""),""":""")</f>
        <v>":"</v>
      </c>
      <c r="D827" s="24">
        <v>6.2005979458241782E18</v>
      </c>
      <c r="E827" s="9" t="str">
        <f>IFERROR(__xludf.DUMMYFUNCTION("""COMPUTED_VALUE"""),""",")</f>
        <v>",</v>
      </c>
    </row>
    <row r="828">
      <c r="A828" s="9" t="str">
        <f>IFERROR(__xludf.DUMMYFUNCTION("""COMPUTED_VALUE"""),"""")</f>
        <v>"</v>
      </c>
      <c r="B828" s="9" t="s">
        <v>837</v>
      </c>
      <c r="C828" s="9" t="str">
        <f>IFERROR(__xludf.DUMMYFUNCTION("""COMPUTED_VALUE"""),""":""")</f>
        <v>":"</v>
      </c>
      <c r="D828" s="24">
        <v>1.0019563412632111E19</v>
      </c>
      <c r="E828" s="9" t="str">
        <f>IFERROR(__xludf.DUMMYFUNCTION("""COMPUTED_VALUE"""),""",")</f>
        <v>",</v>
      </c>
    </row>
    <row r="829">
      <c r="A829" s="9" t="str">
        <f>IFERROR(__xludf.DUMMYFUNCTION("""COMPUTED_VALUE"""),"""")</f>
        <v>"</v>
      </c>
      <c r="B829" s="9" t="s">
        <v>838</v>
      </c>
      <c r="C829" s="9" t="str">
        <f>IFERROR(__xludf.DUMMYFUNCTION("""COMPUTED_VALUE"""),""":""")</f>
        <v>":"</v>
      </c>
      <c r="D829" s="24">
        <v>3.3500166314415437E20</v>
      </c>
      <c r="E829" s="9" t="str">
        <f>IFERROR(__xludf.DUMMYFUNCTION("""COMPUTED_VALUE"""),""",")</f>
        <v>",</v>
      </c>
    </row>
    <row r="830">
      <c r="A830" s="9" t="str">
        <f>IFERROR(__xludf.DUMMYFUNCTION("""COMPUTED_VALUE"""),"""")</f>
        <v>"</v>
      </c>
      <c r="B830" s="9" t="s">
        <v>839</v>
      </c>
      <c r="C830" s="9" t="str">
        <f>IFERROR(__xludf.DUMMYFUNCTION("""COMPUTED_VALUE"""),""":""")</f>
        <v>":"</v>
      </c>
      <c r="D830" s="24">
        <v>3.625330684407978E18</v>
      </c>
      <c r="E830" s="9" t="str">
        <f>IFERROR(__xludf.DUMMYFUNCTION("""COMPUTED_VALUE"""),""",")</f>
        <v>",</v>
      </c>
    </row>
    <row r="831">
      <c r="A831" s="9" t="str">
        <f>IFERROR(__xludf.DUMMYFUNCTION("""COMPUTED_VALUE"""),"""")</f>
        <v>"</v>
      </c>
      <c r="B831" s="9" t="s">
        <v>840</v>
      </c>
      <c r="C831" s="9" t="str">
        <f>IFERROR(__xludf.DUMMYFUNCTION("""COMPUTED_VALUE"""),""":""")</f>
        <v>":"</v>
      </c>
      <c r="D831" s="24">
        <v>2.1199020714881167E19</v>
      </c>
      <c r="E831" s="9" t="str">
        <f>IFERROR(__xludf.DUMMYFUNCTION("""COMPUTED_VALUE"""),""",")</f>
        <v>",</v>
      </c>
    </row>
    <row r="832">
      <c r="A832" s="9" t="str">
        <f>IFERROR(__xludf.DUMMYFUNCTION("""COMPUTED_VALUE"""),"""")</f>
        <v>"</v>
      </c>
      <c r="B832" s="9" t="s">
        <v>841</v>
      </c>
      <c r="C832" s="9" t="str">
        <f>IFERROR(__xludf.DUMMYFUNCTION("""COMPUTED_VALUE"""),""":""")</f>
        <v>":"</v>
      </c>
      <c r="D832" s="24">
        <v>6.2005979458241782E18</v>
      </c>
      <c r="E832" s="9" t="str">
        <f>IFERROR(__xludf.DUMMYFUNCTION("""COMPUTED_VALUE"""),""",")</f>
        <v>",</v>
      </c>
    </row>
    <row r="833">
      <c r="A833" s="9" t="str">
        <f>IFERROR(__xludf.DUMMYFUNCTION("""COMPUTED_VALUE"""),"""")</f>
        <v>"</v>
      </c>
      <c r="B833" s="9" t="s">
        <v>842</v>
      </c>
      <c r="C833" s="9" t="str">
        <f>IFERROR(__xludf.DUMMYFUNCTION("""COMPUTED_VALUE"""),""":""")</f>
        <v>":"</v>
      </c>
      <c r="D833" s="24">
        <v>2.6302458451601514E19</v>
      </c>
      <c r="E833" s="9" t="str">
        <f>IFERROR(__xludf.DUMMYFUNCTION("""COMPUTED_VALUE"""),""",")</f>
        <v>",</v>
      </c>
    </row>
    <row r="834">
      <c r="A834" s="9" t="str">
        <f>IFERROR(__xludf.DUMMYFUNCTION("""COMPUTED_VALUE"""),"""")</f>
        <v>"</v>
      </c>
      <c r="B834" s="9" t="s">
        <v>843</v>
      </c>
      <c r="C834" s="9" t="str">
        <f>IFERROR(__xludf.DUMMYFUNCTION("""COMPUTED_VALUE"""),""":""")</f>
        <v>":"</v>
      </c>
      <c r="D834" s="24">
        <v>6.0345687883369779E18</v>
      </c>
      <c r="E834" s="9" t="str">
        <f>IFERROR(__xludf.DUMMYFUNCTION("""COMPUTED_VALUE"""),""",")</f>
        <v>",</v>
      </c>
    </row>
    <row r="835">
      <c r="A835" s="9" t="str">
        <f>IFERROR(__xludf.DUMMYFUNCTION("""COMPUTED_VALUE"""),"""")</f>
        <v>"</v>
      </c>
      <c r="B835" s="9" t="s">
        <v>844</v>
      </c>
      <c r="C835" s="9" t="str">
        <f>IFERROR(__xludf.DUMMYFUNCTION("""COMPUTED_VALUE"""),""":""")</f>
        <v>":"</v>
      </c>
      <c r="D835" s="24">
        <v>3.9771017580301553E18</v>
      </c>
      <c r="E835" s="9" t="str">
        <f>IFERROR(__xludf.DUMMYFUNCTION("""COMPUTED_VALUE"""),""",")</f>
        <v>",</v>
      </c>
    </row>
    <row r="836">
      <c r="A836" s="9" t="str">
        <f>IFERROR(__xludf.DUMMYFUNCTION("""COMPUTED_VALUE"""),"""")</f>
        <v>"</v>
      </c>
      <c r="B836" s="9" t="s">
        <v>845</v>
      </c>
      <c r="C836" s="9" t="str">
        <f>IFERROR(__xludf.DUMMYFUNCTION("""COMPUTED_VALUE"""),""":""")</f>
        <v>":"</v>
      </c>
      <c r="D836" s="24">
        <v>6.2005979458241782E18</v>
      </c>
      <c r="E836" s="9" t="str">
        <f>IFERROR(__xludf.DUMMYFUNCTION("""COMPUTED_VALUE"""),""",")</f>
        <v>",</v>
      </c>
    </row>
    <row r="837">
      <c r="A837" s="9" t="str">
        <f>IFERROR(__xludf.DUMMYFUNCTION("""COMPUTED_VALUE"""),"""")</f>
        <v>"</v>
      </c>
      <c r="B837" s="9" t="s">
        <v>846</v>
      </c>
      <c r="C837" s="9" t="str">
        <f>IFERROR(__xludf.DUMMYFUNCTION("""COMPUTED_VALUE"""),""":""")</f>
        <v>":"</v>
      </c>
      <c r="D837" s="24">
        <v>2.8747539718094275E18</v>
      </c>
      <c r="E837" s="9" t="str">
        <f>IFERROR(__xludf.DUMMYFUNCTION("""COMPUTED_VALUE"""),""",")</f>
        <v>",</v>
      </c>
    </row>
    <row r="838">
      <c r="A838" s="9" t="str">
        <f>IFERROR(__xludf.DUMMYFUNCTION("""COMPUTED_VALUE"""),"""")</f>
        <v>"</v>
      </c>
      <c r="B838" s="9" t="s">
        <v>847</v>
      </c>
      <c r="C838" s="9" t="str">
        <f>IFERROR(__xludf.DUMMYFUNCTION("""COMPUTED_VALUE"""),""":""")</f>
        <v>":"</v>
      </c>
      <c r="D838" s="24">
        <v>6.2005979458241782E18</v>
      </c>
      <c r="E838" s="9" t="str">
        <f>IFERROR(__xludf.DUMMYFUNCTION("""COMPUTED_VALUE"""),""",")</f>
        <v>",</v>
      </c>
    </row>
    <row r="839">
      <c r="A839" s="9" t="str">
        <f>IFERROR(__xludf.DUMMYFUNCTION("""COMPUTED_VALUE"""),"""")</f>
        <v>"</v>
      </c>
      <c r="B839" s="9" t="s">
        <v>848</v>
      </c>
      <c r="C839" s="9" t="str">
        <f>IFERROR(__xludf.DUMMYFUNCTION("""COMPUTED_VALUE"""),""":""")</f>
        <v>":"</v>
      </c>
      <c r="D839" s="24">
        <v>2.0248888511809958E19</v>
      </c>
      <c r="E839" s="9" t="str">
        <f>IFERROR(__xludf.DUMMYFUNCTION("""COMPUTED_VALUE"""),""",")</f>
        <v>",</v>
      </c>
    </row>
    <row r="840">
      <c r="A840" s="9" t="str">
        <f>IFERROR(__xludf.DUMMYFUNCTION("""COMPUTED_VALUE"""),"""")</f>
        <v>"</v>
      </c>
      <c r="B840" s="9" t="s">
        <v>849</v>
      </c>
      <c r="C840" s="9" t="str">
        <f>IFERROR(__xludf.DUMMYFUNCTION("""COMPUTED_VALUE"""),""":""")</f>
        <v>":"</v>
      </c>
      <c r="D840" s="24">
        <v>6.2005979458241782E18</v>
      </c>
      <c r="E840" s="9" t="str">
        <f>IFERROR(__xludf.DUMMYFUNCTION("""COMPUTED_VALUE"""),""",")</f>
        <v>",</v>
      </c>
    </row>
    <row r="841">
      <c r="A841" s="9" t="str">
        <f>IFERROR(__xludf.DUMMYFUNCTION("""COMPUTED_VALUE"""),"""")</f>
        <v>"</v>
      </c>
      <c r="B841" s="9" t="s">
        <v>850</v>
      </c>
      <c r="C841" s="9" t="str">
        <f>IFERROR(__xludf.DUMMYFUNCTION("""COMPUTED_VALUE"""),""":""")</f>
        <v>":"</v>
      </c>
      <c r="D841" s="24">
        <v>6.2005979458241782E18</v>
      </c>
      <c r="E841" s="9" t="str">
        <f>IFERROR(__xludf.DUMMYFUNCTION("""COMPUTED_VALUE"""),""",")</f>
        <v>",</v>
      </c>
    </row>
    <row r="842">
      <c r="A842" s="9" t="str">
        <f>IFERROR(__xludf.DUMMYFUNCTION("""COMPUTED_VALUE"""),"""")</f>
        <v>"</v>
      </c>
      <c r="B842" s="9" t="s">
        <v>851</v>
      </c>
      <c r="C842" s="9" t="str">
        <f>IFERROR(__xludf.DUMMYFUNCTION("""COMPUTED_VALUE"""),""":""")</f>
        <v>":"</v>
      </c>
      <c r="D842" s="24">
        <v>1.7866656690533913E19</v>
      </c>
      <c r="E842" s="9" t="str">
        <f>IFERROR(__xludf.DUMMYFUNCTION("""COMPUTED_VALUE"""),""",")</f>
        <v>",</v>
      </c>
    </row>
    <row r="843">
      <c r="A843" s="9" t="str">
        <f>IFERROR(__xludf.DUMMYFUNCTION("""COMPUTED_VALUE"""),"""")</f>
        <v>"</v>
      </c>
      <c r="B843" s="9" t="s">
        <v>852</v>
      </c>
      <c r="C843" s="9" t="str">
        <f>IFERROR(__xludf.DUMMYFUNCTION("""COMPUTED_VALUE"""),""":""")</f>
        <v>":"</v>
      </c>
      <c r="D843" s="24">
        <v>1.981910312363442E19</v>
      </c>
      <c r="E843" s="9" t="str">
        <f>IFERROR(__xludf.DUMMYFUNCTION("""COMPUTED_VALUE"""),""",")</f>
        <v>",</v>
      </c>
    </row>
    <row r="844">
      <c r="A844" s="9" t="str">
        <f>IFERROR(__xludf.DUMMYFUNCTION("""COMPUTED_VALUE"""),"""")</f>
        <v>"</v>
      </c>
      <c r="B844" s="9" t="s">
        <v>853</v>
      </c>
      <c r="C844" s="9" t="str">
        <f>IFERROR(__xludf.DUMMYFUNCTION("""COMPUTED_VALUE"""),""":""")</f>
        <v>":"</v>
      </c>
      <c r="D844" s="24">
        <v>2.0248888511809958E19</v>
      </c>
      <c r="E844" s="9" t="str">
        <f>IFERROR(__xludf.DUMMYFUNCTION("""COMPUTED_VALUE"""),""",")</f>
        <v>",</v>
      </c>
    </row>
    <row r="845">
      <c r="A845" s="9" t="str">
        <f>IFERROR(__xludf.DUMMYFUNCTION("""COMPUTED_VALUE"""),"""")</f>
        <v>"</v>
      </c>
      <c r="B845" s="9" t="s">
        <v>854</v>
      </c>
      <c r="C845" s="9" t="str">
        <f>IFERROR(__xludf.DUMMYFUNCTION("""COMPUTED_VALUE"""),""":""")</f>
        <v>":"</v>
      </c>
      <c r="D845" s="24">
        <v>6.2005979458241782E18</v>
      </c>
      <c r="E845" s="9" t="str">
        <f>IFERROR(__xludf.DUMMYFUNCTION("""COMPUTED_VALUE"""),""",")</f>
        <v>",</v>
      </c>
    </row>
    <row r="846">
      <c r="A846" s="9" t="str">
        <f>IFERROR(__xludf.DUMMYFUNCTION("""COMPUTED_VALUE"""),"""")</f>
        <v>"</v>
      </c>
      <c r="B846" s="9" t="s">
        <v>855</v>
      </c>
      <c r="C846" s="9" t="str">
        <f>IFERROR(__xludf.DUMMYFUNCTION("""COMPUTED_VALUE"""),""":""")</f>
        <v>":"</v>
      </c>
      <c r="D846" s="24">
        <v>2.037860786766263E19</v>
      </c>
      <c r="E846" s="9" t="str">
        <f>IFERROR(__xludf.DUMMYFUNCTION("""COMPUTED_VALUE"""),""",")</f>
        <v>",</v>
      </c>
    </row>
    <row r="847">
      <c r="A847" s="9" t="str">
        <f>IFERROR(__xludf.DUMMYFUNCTION("""COMPUTED_VALUE"""),"""")</f>
        <v>"</v>
      </c>
      <c r="B847" s="9" t="s">
        <v>856</v>
      </c>
      <c r="C847" s="9" t="str">
        <f>IFERROR(__xludf.DUMMYFUNCTION("""COMPUTED_VALUE"""),""":""")</f>
        <v>":"</v>
      </c>
      <c r="D847" s="24">
        <v>2.5272992256015557E19</v>
      </c>
      <c r="E847" s="9" t="str">
        <f>IFERROR(__xludf.DUMMYFUNCTION("""COMPUTED_VALUE"""),""",")</f>
        <v>",</v>
      </c>
    </row>
    <row r="848">
      <c r="A848" s="9" t="str">
        <f>IFERROR(__xludf.DUMMYFUNCTION("""COMPUTED_VALUE"""),"""")</f>
        <v>"</v>
      </c>
      <c r="B848" s="9" t="s">
        <v>857</v>
      </c>
      <c r="C848" s="9" t="str">
        <f>IFERROR(__xludf.DUMMYFUNCTION("""COMPUTED_VALUE"""),""":""")</f>
        <v>":"</v>
      </c>
      <c r="D848" s="24">
        <v>4.556019014824001E18</v>
      </c>
      <c r="E848" s="9" t="str">
        <f>IFERROR(__xludf.DUMMYFUNCTION("""COMPUTED_VALUE"""),""",")</f>
        <v>",</v>
      </c>
    </row>
    <row r="849">
      <c r="A849" s="9" t="str">
        <f>IFERROR(__xludf.DUMMYFUNCTION("""COMPUTED_VALUE"""),"""")</f>
        <v>"</v>
      </c>
      <c r="B849" s="9" t="s">
        <v>858</v>
      </c>
      <c r="C849" s="9" t="str">
        <f>IFERROR(__xludf.DUMMYFUNCTION("""COMPUTED_VALUE"""),""":""")</f>
        <v>":"</v>
      </c>
      <c r="D849" s="24">
        <v>6.2005979458241782E18</v>
      </c>
      <c r="E849" s="9" t="str">
        <f>IFERROR(__xludf.DUMMYFUNCTION("""COMPUTED_VALUE"""),""",")</f>
        <v>",</v>
      </c>
    </row>
    <row r="850">
      <c r="A850" s="9" t="str">
        <f>IFERROR(__xludf.DUMMYFUNCTION("""COMPUTED_VALUE"""),"""")</f>
        <v>"</v>
      </c>
      <c r="B850" s="9" t="s">
        <v>859</v>
      </c>
      <c r="C850" s="9" t="str">
        <f>IFERROR(__xludf.DUMMYFUNCTION("""COMPUTED_VALUE"""),""":""")</f>
        <v>":"</v>
      </c>
      <c r="D850" s="24">
        <v>4.4551544753271777E18</v>
      </c>
      <c r="E850" s="9" t="str">
        <f>IFERROR(__xludf.DUMMYFUNCTION("""COMPUTED_VALUE"""),""",")</f>
        <v>",</v>
      </c>
    </row>
    <row r="851">
      <c r="A851" s="9" t="str">
        <f>IFERROR(__xludf.DUMMYFUNCTION("""COMPUTED_VALUE"""),"""")</f>
        <v>"</v>
      </c>
      <c r="B851" s="9" t="s">
        <v>860</v>
      </c>
      <c r="C851" s="9" t="str">
        <f>IFERROR(__xludf.DUMMYFUNCTION("""COMPUTED_VALUE"""),""":""")</f>
        <v>":"</v>
      </c>
      <c r="D851" s="24">
        <v>7.5265091864709775E18</v>
      </c>
      <c r="E851" s="9" t="str">
        <f>IFERROR(__xludf.DUMMYFUNCTION("""COMPUTED_VALUE"""),""",")</f>
        <v>",</v>
      </c>
    </row>
    <row r="852">
      <c r="A852" s="9" t="str">
        <f>IFERROR(__xludf.DUMMYFUNCTION("""COMPUTED_VALUE"""),"""")</f>
        <v>"</v>
      </c>
      <c r="B852" s="9" t="s">
        <v>861</v>
      </c>
      <c r="C852" s="9" t="str">
        <f>IFERROR(__xludf.DUMMYFUNCTION("""COMPUTED_VALUE"""),""":""")</f>
        <v>":"</v>
      </c>
      <c r="D852" s="24">
        <v>5.2526668681442007E18</v>
      </c>
      <c r="E852" s="9" t="str">
        <f>IFERROR(__xludf.DUMMYFUNCTION("""COMPUTED_VALUE"""),""",")</f>
        <v>",</v>
      </c>
    </row>
    <row r="853">
      <c r="A853" s="9" t="str">
        <f>IFERROR(__xludf.DUMMYFUNCTION("""COMPUTED_VALUE"""),"""")</f>
        <v>"</v>
      </c>
      <c r="B853" s="9" t="s">
        <v>862</v>
      </c>
      <c r="C853" s="9" t="str">
        <f>IFERROR(__xludf.DUMMYFUNCTION("""COMPUTED_VALUE"""),""":""")</f>
        <v>":"</v>
      </c>
      <c r="D853" s="24">
        <v>6.2005979458241782E18</v>
      </c>
      <c r="E853" s="9" t="str">
        <f>IFERROR(__xludf.DUMMYFUNCTION("""COMPUTED_VALUE"""),""",")</f>
        <v>",</v>
      </c>
    </row>
    <row r="854">
      <c r="A854" s="9" t="str">
        <f>IFERROR(__xludf.DUMMYFUNCTION("""COMPUTED_VALUE"""),"""")</f>
        <v>"</v>
      </c>
      <c r="B854" s="9" t="s">
        <v>863</v>
      </c>
      <c r="C854" s="9" t="str">
        <f>IFERROR(__xludf.DUMMYFUNCTION("""COMPUTED_VALUE"""),""":""")</f>
        <v>":"</v>
      </c>
      <c r="D854" s="24">
        <v>5.0214838923005327E18</v>
      </c>
      <c r="E854" s="9" t="str">
        <f>IFERROR(__xludf.DUMMYFUNCTION("""COMPUTED_VALUE"""),""",")</f>
        <v>",</v>
      </c>
    </row>
    <row r="855">
      <c r="A855" s="9" t="str">
        <f>IFERROR(__xludf.DUMMYFUNCTION("""COMPUTED_VALUE"""),"""")</f>
        <v>"</v>
      </c>
      <c r="B855" s="9" t="s">
        <v>864</v>
      </c>
      <c r="C855" s="9" t="str">
        <f>IFERROR(__xludf.DUMMYFUNCTION("""COMPUTED_VALUE"""),""":""")</f>
        <v>":"</v>
      </c>
      <c r="D855" s="24">
        <v>5.8345314101123779E18</v>
      </c>
      <c r="E855" s="9" t="str">
        <f>IFERROR(__xludf.DUMMYFUNCTION("""COMPUTED_VALUE"""),""",")</f>
        <v>",</v>
      </c>
    </row>
    <row r="856">
      <c r="A856" s="9" t="str">
        <f>IFERROR(__xludf.DUMMYFUNCTION("""COMPUTED_VALUE"""),"""")</f>
        <v>"</v>
      </c>
      <c r="B856" s="9" t="s">
        <v>865</v>
      </c>
      <c r="C856" s="9" t="str">
        <f>IFERROR(__xludf.DUMMYFUNCTION("""COMPUTED_VALUE"""),""":""")</f>
        <v>":"</v>
      </c>
      <c r="D856" s="24">
        <v>6.2005979458241782E18</v>
      </c>
      <c r="E856" s="9" t="str">
        <f>IFERROR(__xludf.DUMMYFUNCTION("""COMPUTED_VALUE"""),""",")</f>
        <v>",</v>
      </c>
    </row>
    <row r="857">
      <c r="A857" s="9" t="str">
        <f>IFERROR(__xludf.DUMMYFUNCTION("""COMPUTED_VALUE"""),"""")</f>
        <v>"</v>
      </c>
      <c r="B857" s="9" t="s">
        <v>866</v>
      </c>
      <c r="C857" s="9" t="str">
        <f>IFERROR(__xludf.DUMMYFUNCTION("""COMPUTED_VALUE"""),""":""")</f>
        <v>":"</v>
      </c>
      <c r="D857" s="24">
        <v>2.0248888511809958E19</v>
      </c>
      <c r="E857" s="9" t="str">
        <f>IFERROR(__xludf.DUMMYFUNCTION("""COMPUTED_VALUE"""),""",")</f>
        <v>",</v>
      </c>
    </row>
    <row r="858">
      <c r="A858" s="9" t="str">
        <f>IFERROR(__xludf.DUMMYFUNCTION("""COMPUTED_VALUE"""),"""")</f>
        <v>"</v>
      </c>
      <c r="B858" s="9" t="s">
        <v>867</v>
      </c>
      <c r="C858" s="9" t="str">
        <f>IFERROR(__xludf.DUMMYFUNCTION("""COMPUTED_VALUE"""),""":""")</f>
        <v>":"</v>
      </c>
      <c r="D858" s="24">
        <v>6.2005979458241782E18</v>
      </c>
      <c r="E858" s="9" t="str">
        <f>IFERROR(__xludf.DUMMYFUNCTION("""COMPUTED_VALUE"""),""",")</f>
        <v>",</v>
      </c>
    </row>
    <row r="859">
      <c r="A859" s="9" t="str">
        <f>IFERROR(__xludf.DUMMYFUNCTION("""COMPUTED_VALUE"""),"""")</f>
        <v>"</v>
      </c>
      <c r="B859" s="9" t="s">
        <v>868</v>
      </c>
      <c r="C859" s="9" t="str">
        <f>IFERROR(__xludf.DUMMYFUNCTION("""COMPUTED_VALUE"""),""":""")</f>
        <v>":"</v>
      </c>
      <c r="D859" s="24">
        <v>1.5275896339341443E19</v>
      </c>
      <c r="E859" s="9" t="str">
        <f>IFERROR(__xludf.DUMMYFUNCTION("""COMPUTED_VALUE"""),""",")</f>
        <v>",</v>
      </c>
    </row>
    <row r="860">
      <c r="A860" s="9" t="str">
        <f>IFERROR(__xludf.DUMMYFUNCTION("""COMPUTED_VALUE"""),"""")</f>
        <v>"</v>
      </c>
      <c r="B860" s="9" t="s">
        <v>869</v>
      </c>
      <c r="C860" s="9" t="str">
        <f>IFERROR(__xludf.DUMMYFUNCTION("""COMPUTED_VALUE"""),""":""")</f>
        <v>":"</v>
      </c>
      <c r="D860" s="24">
        <v>3.2889853631934003E18</v>
      </c>
      <c r="E860" s="9" t="str">
        <f>IFERROR(__xludf.DUMMYFUNCTION("""COMPUTED_VALUE"""),""",")</f>
        <v>",</v>
      </c>
    </row>
    <row r="861">
      <c r="A861" s="9" t="str">
        <f>IFERROR(__xludf.DUMMYFUNCTION("""COMPUTED_VALUE"""),"""")</f>
        <v>"</v>
      </c>
      <c r="B861" s="9" t="s">
        <v>870</v>
      </c>
      <c r="C861" s="9" t="str">
        <f>IFERROR(__xludf.DUMMYFUNCTION("""COMPUTED_VALUE"""),""":""")</f>
        <v>":"</v>
      </c>
      <c r="D861" s="24">
        <v>6.246449350231554E18</v>
      </c>
      <c r="E861" s="9" t="str">
        <f>IFERROR(__xludf.DUMMYFUNCTION("""COMPUTED_VALUE"""),""",")</f>
        <v>",</v>
      </c>
    </row>
    <row r="862">
      <c r="A862" s="9" t="str">
        <f>IFERROR(__xludf.DUMMYFUNCTION("""COMPUTED_VALUE"""),"""")</f>
        <v>"</v>
      </c>
      <c r="B862" s="9" t="s">
        <v>871</v>
      </c>
      <c r="C862" s="9" t="str">
        <f>IFERROR(__xludf.DUMMYFUNCTION("""COMPUTED_VALUE"""),""":""")</f>
        <v>":"</v>
      </c>
      <c r="D862" s="24">
        <v>5.909584007562308E19</v>
      </c>
      <c r="E862" s="9" t="str">
        <f>IFERROR(__xludf.DUMMYFUNCTION("""COMPUTED_VALUE"""),""",")</f>
        <v>",</v>
      </c>
    </row>
    <row r="863">
      <c r="A863" s="9" t="str">
        <f>IFERROR(__xludf.DUMMYFUNCTION("""COMPUTED_VALUE"""),"""")</f>
        <v>"</v>
      </c>
      <c r="B863" s="9" t="s">
        <v>872</v>
      </c>
      <c r="C863" s="9" t="str">
        <f>IFERROR(__xludf.DUMMYFUNCTION("""COMPUTED_VALUE"""),""":""")</f>
        <v>":"</v>
      </c>
      <c r="D863" s="24">
        <v>5.5097439048324659E18</v>
      </c>
      <c r="E863" s="9" t="str">
        <f>IFERROR(__xludf.DUMMYFUNCTION("""COMPUTED_VALUE"""),""",")</f>
        <v>",</v>
      </c>
    </row>
    <row r="864">
      <c r="A864" s="9" t="str">
        <f>IFERROR(__xludf.DUMMYFUNCTION("""COMPUTED_VALUE"""),"""")</f>
        <v>"</v>
      </c>
      <c r="B864" s="9" t="s">
        <v>873</v>
      </c>
      <c r="C864" s="9" t="str">
        <f>IFERROR(__xludf.DUMMYFUNCTION("""COMPUTED_VALUE"""),""":""")</f>
        <v>":"</v>
      </c>
      <c r="D864" s="24">
        <v>4.1003249795302231E18</v>
      </c>
      <c r="E864" s="9" t="str">
        <f>IFERROR(__xludf.DUMMYFUNCTION("""COMPUTED_VALUE"""),""",")</f>
        <v>",</v>
      </c>
    </row>
    <row r="865">
      <c r="A865" s="9" t="str">
        <f>IFERROR(__xludf.DUMMYFUNCTION("""COMPUTED_VALUE"""),"""")</f>
        <v>"</v>
      </c>
      <c r="B865" s="9" t="s">
        <v>874</v>
      </c>
      <c r="C865" s="9" t="str">
        <f>IFERROR(__xludf.DUMMYFUNCTION("""COMPUTED_VALUE"""),""":""")</f>
        <v>":"</v>
      </c>
      <c r="D865" s="24">
        <v>4.6494768119917107E18</v>
      </c>
      <c r="E865" s="9" t="str">
        <f>IFERROR(__xludf.DUMMYFUNCTION("""COMPUTED_VALUE"""),""",")</f>
        <v>",</v>
      </c>
    </row>
    <row r="866">
      <c r="A866" s="9" t="str">
        <f>IFERROR(__xludf.DUMMYFUNCTION("""COMPUTED_VALUE"""),"""")</f>
        <v>"</v>
      </c>
      <c r="B866" s="9" t="s">
        <v>875</v>
      </c>
      <c r="C866" s="9" t="str">
        <f>IFERROR(__xludf.DUMMYFUNCTION("""COMPUTED_VALUE"""),""":""")</f>
        <v>":"</v>
      </c>
      <c r="D866" s="24">
        <v>5.6069396576557783E18</v>
      </c>
      <c r="E866" s="9" t="str">
        <f>IFERROR(__xludf.DUMMYFUNCTION("""COMPUTED_VALUE"""),""",")</f>
        <v>",</v>
      </c>
    </row>
    <row r="867">
      <c r="A867" s="9" t="str">
        <f>IFERROR(__xludf.DUMMYFUNCTION("""COMPUTED_VALUE"""),"""")</f>
        <v>"</v>
      </c>
      <c r="B867" s="9" t="s">
        <v>876</v>
      </c>
      <c r="C867" s="9" t="str">
        <f>IFERROR(__xludf.DUMMYFUNCTION("""COMPUTED_VALUE"""),""":""")</f>
        <v>":"</v>
      </c>
      <c r="D867" s="24">
        <v>6.2005979458241782E18</v>
      </c>
      <c r="E867" s="9" t="str">
        <f>IFERROR(__xludf.DUMMYFUNCTION("""COMPUTED_VALUE"""),""",")</f>
        <v>",</v>
      </c>
    </row>
    <row r="868">
      <c r="A868" s="9" t="str">
        <f>IFERROR(__xludf.DUMMYFUNCTION("""COMPUTED_VALUE"""),"""")</f>
        <v>"</v>
      </c>
      <c r="B868" s="9" t="s">
        <v>877</v>
      </c>
      <c r="C868" s="9" t="str">
        <f>IFERROR(__xludf.DUMMYFUNCTION("""COMPUTED_VALUE"""),""":""")</f>
        <v>":"</v>
      </c>
      <c r="D868" s="24">
        <v>6.1799747491533998E18</v>
      </c>
      <c r="E868" s="9" t="str">
        <f>IFERROR(__xludf.DUMMYFUNCTION("""COMPUTED_VALUE"""),""",")</f>
        <v>",</v>
      </c>
    </row>
    <row r="869">
      <c r="A869" s="9" t="str">
        <f>IFERROR(__xludf.DUMMYFUNCTION("""COMPUTED_VALUE"""),"""")</f>
        <v>"</v>
      </c>
      <c r="B869" s="9" t="s">
        <v>878</v>
      </c>
      <c r="C869" s="9" t="str">
        <f>IFERROR(__xludf.DUMMYFUNCTION("""COMPUTED_VALUE"""),""":""")</f>
        <v>":"</v>
      </c>
      <c r="D869" s="24">
        <v>2.0248888511809958E19</v>
      </c>
      <c r="E869" s="9" t="str">
        <f>IFERROR(__xludf.DUMMYFUNCTION("""COMPUTED_VALUE"""),""",")</f>
        <v>",</v>
      </c>
    </row>
    <row r="870">
      <c r="A870" s="9" t="str">
        <f>IFERROR(__xludf.DUMMYFUNCTION("""COMPUTED_VALUE"""),"""")</f>
        <v>"</v>
      </c>
      <c r="B870" s="9" t="s">
        <v>879</v>
      </c>
      <c r="C870" s="9" t="str">
        <f>IFERROR(__xludf.DUMMYFUNCTION("""COMPUTED_VALUE"""),""":""")</f>
        <v>":"</v>
      </c>
      <c r="D870" s="24">
        <v>7.9301893571931935E18</v>
      </c>
      <c r="E870" s="9" t="str">
        <f>IFERROR(__xludf.DUMMYFUNCTION("""COMPUTED_VALUE"""),""",")</f>
        <v>",</v>
      </c>
    </row>
    <row r="871">
      <c r="A871" s="9" t="str">
        <f>IFERROR(__xludf.DUMMYFUNCTION("""COMPUTED_VALUE"""),"""")</f>
        <v>"</v>
      </c>
      <c r="B871" s="9" t="s">
        <v>880</v>
      </c>
      <c r="C871" s="9" t="str">
        <f>IFERROR(__xludf.DUMMYFUNCTION("""COMPUTED_VALUE"""),""":""")</f>
        <v>":"</v>
      </c>
      <c r="D871" s="24">
        <v>5.4520858073424886E18</v>
      </c>
      <c r="E871" s="9" t="str">
        <f>IFERROR(__xludf.DUMMYFUNCTION("""COMPUTED_VALUE"""),""",")</f>
        <v>",</v>
      </c>
    </row>
    <row r="872">
      <c r="A872" s="9" t="str">
        <f>IFERROR(__xludf.DUMMYFUNCTION("""COMPUTED_VALUE"""),"""")</f>
        <v>"</v>
      </c>
      <c r="B872" s="9" t="s">
        <v>881</v>
      </c>
      <c r="C872" s="9" t="str">
        <f>IFERROR(__xludf.DUMMYFUNCTION("""COMPUTED_VALUE"""),""":""")</f>
        <v>":"</v>
      </c>
      <c r="D872" s="24">
        <v>2.101777307837375E19</v>
      </c>
      <c r="E872" s="9" t="str">
        <f>IFERROR(__xludf.DUMMYFUNCTION("""COMPUTED_VALUE"""),""",")</f>
        <v>",</v>
      </c>
    </row>
    <row r="873">
      <c r="A873" s="9" t="str">
        <f>IFERROR(__xludf.DUMMYFUNCTION("""COMPUTED_VALUE"""),"""")</f>
        <v>"</v>
      </c>
      <c r="B873" s="9" t="s">
        <v>882</v>
      </c>
      <c r="C873" s="9" t="str">
        <f>IFERROR(__xludf.DUMMYFUNCTION("""COMPUTED_VALUE"""),""":""")</f>
        <v>":"</v>
      </c>
      <c r="D873" s="24">
        <v>6.2005979458241782E18</v>
      </c>
      <c r="E873" s="9" t="str">
        <f>IFERROR(__xludf.DUMMYFUNCTION("""COMPUTED_VALUE"""),""",")</f>
        <v>",</v>
      </c>
    </row>
    <row r="874">
      <c r="A874" s="9" t="str">
        <f>IFERROR(__xludf.DUMMYFUNCTION("""COMPUTED_VALUE"""),"""")</f>
        <v>"</v>
      </c>
      <c r="B874" s="9" t="s">
        <v>883</v>
      </c>
      <c r="C874" s="9" t="str">
        <f>IFERROR(__xludf.DUMMYFUNCTION("""COMPUTED_VALUE"""),""":""")</f>
        <v>":"</v>
      </c>
      <c r="D874" s="24">
        <v>2.7002942973205955E19</v>
      </c>
      <c r="E874" s="9" t="str">
        <f>IFERROR(__xludf.DUMMYFUNCTION("""COMPUTED_VALUE"""),""",")</f>
        <v>",</v>
      </c>
    </row>
    <row r="875">
      <c r="A875" s="9" t="str">
        <f>IFERROR(__xludf.DUMMYFUNCTION("""COMPUTED_VALUE"""),"""")</f>
        <v>"</v>
      </c>
      <c r="B875" s="9" t="s">
        <v>884</v>
      </c>
      <c r="C875" s="9" t="str">
        <f>IFERROR(__xludf.DUMMYFUNCTION("""COMPUTED_VALUE"""),""":""")</f>
        <v>":"</v>
      </c>
      <c r="D875" s="24">
        <v>3.4952048852748517E19</v>
      </c>
      <c r="E875" s="9" t="str">
        <f>IFERROR(__xludf.DUMMYFUNCTION("""COMPUTED_VALUE"""),""",")</f>
        <v>",</v>
      </c>
    </row>
    <row r="876">
      <c r="A876" s="9" t="str">
        <f>IFERROR(__xludf.DUMMYFUNCTION("""COMPUTED_VALUE"""),"""")</f>
        <v>"</v>
      </c>
      <c r="B876" s="9" t="s">
        <v>885</v>
      </c>
      <c r="C876" s="9" t="str">
        <f>IFERROR(__xludf.DUMMYFUNCTION("""COMPUTED_VALUE"""),""":""")</f>
        <v>":"</v>
      </c>
      <c r="D876" s="24">
        <v>6.2005979458241782E18</v>
      </c>
      <c r="E876" s="9" t="str">
        <f>IFERROR(__xludf.DUMMYFUNCTION("""COMPUTED_VALUE"""),""",")</f>
        <v>",</v>
      </c>
    </row>
    <row r="877">
      <c r="A877" s="9" t="str">
        <f>IFERROR(__xludf.DUMMYFUNCTION("""COMPUTED_VALUE"""),"""")</f>
        <v>"</v>
      </c>
      <c r="B877" s="9" t="s">
        <v>886</v>
      </c>
      <c r="C877" s="9" t="str">
        <f>IFERROR(__xludf.DUMMYFUNCTION("""COMPUTED_VALUE"""),""":""")</f>
        <v>":"</v>
      </c>
      <c r="D877" s="24">
        <v>1.6110806210468493E19</v>
      </c>
      <c r="E877" s="9" t="str">
        <f>IFERROR(__xludf.DUMMYFUNCTION("""COMPUTED_VALUE"""),""",")</f>
        <v>",</v>
      </c>
    </row>
    <row r="878">
      <c r="A878" s="9" t="str">
        <f>IFERROR(__xludf.DUMMYFUNCTION("""COMPUTED_VALUE"""),"""")</f>
        <v>"</v>
      </c>
      <c r="B878" s="9" t="s">
        <v>887</v>
      </c>
      <c r="C878" s="9" t="str">
        <f>IFERROR(__xludf.DUMMYFUNCTION("""COMPUTED_VALUE"""),""":""")</f>
        <v>":"</v>
      </c>
      <c r="D878" s="24">
        <v>9.0102560590213335E18</v>
      </c>
      <c r="E878" s="9" t="str">
        <f>IFERROR(__xludf.DUMMYFUNCTION("""COMPUTED_VALUE"""),""",")</f>
        <v>",</v>
      </c>
    </row>
    <row r="879">
      <c r="A879" s="9" t="str">
        <f>IFERROR(__xludf.DUMMYFUNCTION("""COMPUTED_VALUE"""),"""")</f>
        <v>"</v>
      </c>
      <c r="B879" s="9" t="s">
        <v>888</v>
      </c>
      <c r="C879" s="9" t="str">
        <f>IFERROR(__xludf.DUMMYFUNCTION("""COMPUTED_VALUE"""),""":""")</f>
        <v>":"</v>
      </c>
      <c r="D879" s="24">
        <v>4.838283455095907E19</v>
      </c>
      <c r="E879" s="9" t="str">
        <f>IFERROR(__xludf.DUMMYFUNCTION("""COMPUTED_VALUE"""),""",")</f>
        <v>",</v>
      </c>
    </row>
    <row r="880">
      <c r="A880" s="9" t="str">
        <f>IFERROR(__xludf.DUMMYFUNCTION("""COMPUTED_VALUE"""),"""")</f>
        <v>"</v>
      </c>
      <c r="B880" s="9" t="s">
        <v>889</v>
      </c>
      <c r="C880" s="9" t="str">
        <f>IFERROR(__xludf.DUMMYFUNCTION("""COMPUTED_VALUE"""),""":""")</f>
        <v>":"</v>
      </c>
      <c r="D880" s="24">
        <v>6.1412497343136891E18</v>
      </c>
      <c r="E880" s="9" t="str">
        <f>IFERROR(__xludf.DUMMYFUNCTION("""COMPUTED_VALUE"""),""",")</f>
        <v>",</v>
      </c>
    </row>
    <row r="881">
      <c r="A881" s="9" t="str">
        <f>IFERROR(__xludf.DUMMYFUNCTION("""COMPUTED_VALUE"""),"""")</f>
        <v>"</v>
      </c>
      <c r="B881" s="9" t="s">
        <v>890</v>
      </c>
      <c r="C881" s="9" t="str">
        <f>IFERROR(__xludf.DUMMYFUNCTION("""COMPUTED_VALUE"""),""":""")</f>
        <v>":"</v>
      </c>
      <c r="D881" s="24">
        <v>2.73058183738524416E17</v>
      </c>
      <c r="E881" s="9" t="str">
        <f>IFERROR(__xludf.DUMMYFUNCTION("""COMPUTED_VALUE"""),""",")</f>
        <v>",</v>
      </c>
    </row>
    <row r="882">
      <c r="A882" s="9" t="str">
        <f>IFERROR(__xludf.DUMMYFUNCTION("""COMPUTED_VALUE"""),"""")</f>
        <v>"</v>
      </c>
      <c r="B882" s="9" t="s">
        <v>891</v>
      </c>
      <c r="C882" s="9" t="str">
        <f>IFERROR(__xludf.DUMMYFUNCTION("""COMPUTED_VALUE"""),""":""")</f>
        <v>":"</v>
      </c>
      <c r="D882" s="24">
        <v>5.4438091594988667E18</v>
      </c>
      <c r="E882" s="9" t="str">
        <f>IFERROR(__xludf.DUMMYFUNCTION("""COMPUTED_VALUE"""),""",")</f>
        <v>",</v>
      </c>
    </row>
    <row r="883">
      <c r="A883" s="9" t="str">
        <f>IFERROR(__xludf.DUMMYFUNCTION("""COMPUTED_VALUE"""),"""")</f>
        <v>"</v>
      </c>
      <c r="B883" s="9" t="s">
        <v>892</v>
      </c>
      <c r="C883" s="9" t="str">
        <f>IFERROR(__xludf.DUMMYFUNCTION("""COMPUTED_VALUE"""),""":""")</f>
        <v>":"</v>
      </c>
      <c r="D883" s="24">
        <v>1.49611638340960026E18</v>
      </c>
      <c r="E883" s="9" t="str">
        <f>IFERROR(__xludf.DUMMYFUNCTION("""COMPUTED_VALUE"""),""",")</f>
        <v>",</v>
      </c>
    </row>
    <row r="884">
      <c r="A884" s="9" t="str">
        <f>IFERROR(__xludf.DUMMYFUNCTION("""COMPUTED_VALUE"""),"""")</f>
        <v>"</v>
      </c>
      <c r="B884" s="9" t="s">
        <v>893</v>
      </c>
      <c r="C884" s="9" t="str">
        <f>IFERROR(__xludf.DUMMYFUNCTION("""COMPUTED_VALUE"""),""":""")</f>
        <v>":"</v>
      </c>
      <c r="D884" s="24">
        <v>2.4802391783296666E18</v>
      </c>
      <c r="E884" s="9" t="str">
        <f>IFERROR(__xludf.DUMMYFUNCTION("""COMPUTED_VALUE"""),""",")</f>
        <v>",</v>
      </c>
    </row>
    <row r="885">
      <c r="A885" s="9" t="str">
        <f>IFERROR(__xludf.DUMMYFUNCTION("""COMPUTED_VALUE"""),"""")</f>
        <v>"</v>
      </c>
      <c r="B885" s="9" t="s">
        <v>894</v>
      </c>
      <c r="C885" s="9" t="str">
        <f>IFERROR(__xludf.DUMMYFUNCTION("""COMPUTED_VALUE"""),""":""")</f>
        <v>":"</v>
      </c>
      <c r="D885" s="24">
        <v>6.1992897714342892E18</v>
      </c>
      <c r="E885" s="9" t="str">
        <f>IFERROR(__xludf.DUMMYFUNCTION("""COMPUTED_VALUE"""),""",")</f>
        <v>",</v>
      </c>
    </row>
    <row r="886">
      <c r="A886" s="9" t="str">
        <f>IFERROR(__xludf.DUMMYFUNCTION("""COMPUTED_VALUE"""),"""")</f>
        <v>"</v>
      </c>
      <c r="B886" s="9" t="s">
        <v>895</v>
      </c>
      <c r="C886" s="9" t="str">
        <f>IFERROR(__xludf.DUMMYFUNCTION("""COMPUTED_VALUE"""),""":""")</f>
        <v>":"</v>
      </c>
      <c r="D886" s="24">
        <v>5.1805724643048888E18</v>
      </c>
      <c r="E886" s="9" t="str">
        <f>IFERROR(__xludf.DUMMYFUNCTION("""COMPUTED_VALUE"""),""",")</f>
        <v>",</v>
      </c>
    </row>
    <row r="887">
      <c r="A887" s="9" t="str">
        <f>IFERROR(__xludf.DUMMYFUNCTION("""COMPUTED_VALUE"""),"""")</f>
        <v>"</v>
      </c>
      <c r="B887" s="9" t="s">
        <v>896</v>
      </c>
      <c r="C887" s="9" t="str">
        <f>IFERROR(__xludf.DUMMYFUNCTION("""COMPUTED_VALUE"""),""":""")</f>
        <v>":"</v>
      </c>
      <c r="D887" s="24">
        <v>5.7045501101582449E18</v>
      </c>
      <c r="E887" s="9" t="str">
        <f>IFERROR(__xludf.DUMMYFUNCTION("""COMPUTED_VALUE"""),""",")</f>
        <v>",</v>
      </c>
    </row>
    <row r="888">
      <c r="A888" s="9" t="str">
        <f>IFERROR(__xludf.DUMMYFUNCTION("""COMPUTED_VALUE"""),"""")</f>
        <v>"</v>
      </c>
      <c r="B888" s="9" t="s">
        <v>897</v>
      </c>
      <c r="C888" s="9" t="str">
        <f>IFERROR(__xludf.DUMMYFUNCTION("""COMPUTED_VALUE"""),""":""")</f>
        <v>":"</v>
      </c>
      <c r="D888" s="24">
        <v>9.1724156547656899E18</v>
      </c>
      <c r="E888" s="9" t="str">
        <f>IFERROR(__xludf.DUMMYFUNCTION("""COMPUTED_VALUE"""),""",")</f>
        <v>",</v>
      </c>
    </row>
    <row r="889">
      <c r="A889" s="9" t="str">
        <f>IFERROR(__xludf.DUMMYFUNCTION("""COMPUTED_VALUE"""),"""")</f>
        <v>"</v>
      </c>
      <c r="B889" s="9" t="s">
        <v>898</v>
      </c>
      <c r="C889" s="9" t="str">
        <f>IFERROR(__xludf.DUMMYFUNCTION("""COMPUTED_VALUE"""),""":""")</f>
        <v>":"</v>
      </c>
      <c r="D889" s="24">
        <v>1.66992538411947571E18</v>
      </c>
      <c r="E889" s="9" t="str">
        <f>IFERROR(__xludf.DUMMYFUNCTION("""COMPUTED_VALUE"""),""",")</f>
        <v>",</v>
      </c>
    </row>
    <row r="890">
      <c r="A890" s="9" t="str">
        <f>IFERROR(__xludf.DUMMYFUNCTION("""COMPUTED_VALUE"""),"""")</f>
        <v>"</v>
      </c>
      <c r="B890" s="9" t="s">
        <v>899</v>
      </c>
      <c r="C890" s="9" t="str">
        <f>IFERROR(__xludf.DUMMYFUNCTION("""COMPUTED_VALUE"""),""":""")</f>
        <v>":"</v>
      </c>
      <c r="D890" s="24">
        <v>2.1383333817092665E19</v>
      </c>
      <c r="E890" s="9" t="str">
        <f>IFERROR(__xludf.DUMMYFUNCTION("""COMPUTED_VALUE"""),""",")</f>
        <v>",</v>
      </c>
    </row>
    <row r="891">
      <c r="A891" s="9" t="str">
        <f>IFERROR(__xludf.DUMMYFUNCTION("""COMPUTED_VALUE"""),"""")</f>
        <v>"</v>
      </c>
      <c r="B891" s="9" t="s">
        <v>900</v>
      </c>
      <c r="C891" s="9" t="str">
        <f>IFERROR(__xludf.DUMMYFUNCTION("""COMPUTED_VALUE"""),""":""")</f>
        <v>":"</v>
      </c>
      <c r="D891" s="24">
        <v>1.2155095545180934E19</v>
      </c>
      <c r="E891" s="9" t="str">
        <f>IFERROR(__xludf.DUMMYFUNCTION("""COMPUTED_VALUE"""),""",")</f>
        <v>",</v>
      </c>
    </row>
    <row r="892">
      <c r="A892" s="9" t="str">
        <f>IFERROR(__xludf.DUMMYFUNCTION("""COMPUTED_VALUE"""),"""")</f>
        <v>"</v>
      </c>
      <c r="B892" s="9" t="s">
        <v>901</v>
      </c>
      <c r="C892" s="9" t="str">
        <f>IFERROR(__xludf.DUMMYFUNCTION("""COMPUTED_VALUE"""),""":""")</f>
        <v>":"</v>
      </c>
      <c r="D892" s="24">
        <v>2.0248888511809958E19</v>
      </c>
      <c r="E892" s="9" t="str">
        <f>IFERROR(__xludf.DUMMYFUNCTION("""COMPUTED_VALUE"""),""",")</f>
        <v>",</v>
      </c>
    </row>
    <row r="893">
      <c r="A893" s="9" t="str">
        <f>IFERROR(__xludf.DUMMYFUNCTION("""COMPUTED_VALUE"""),"""")</f>
        <v>"</v>
      </c>
      <c r="B893" s="9" t="s">
        <v>902</v>
      </c>
      <c r="C893" s="9" t="str">
        <f>IFERROR(__xludf.DUMMYFUNCTION("""COMPUTED_VALUE"""),""":""")</f>
        <v>":"</v>
      </c>
      <c r="D893" s="24">
        <v>2.1870405978500702E19</v>
      </c>
      <c r="E893" s="9" t="str">
        <f>IFERROR(__xludf.DUMMYFUNCTION("""COMPUTED_VALUE"""),""",")</f>
        <v>",</v>
      </c>
    </row>
    <row r="894">
      <c r="A894" s="9" t="str">
        <f>IFERROR(__xludf.DUMMYFUNCTION("""COMPUTED_VALUE"""),"""")</f>
        <v>"</v>
      </c>
      <c r="B894" s="9" t="s">
        <v>903</v>
      </c>
      <c r="C894" s="9" t="str">
        <f>IFERROR(__xludf.DUMMYFUNCTION("""COMPUTED_VALUE"""),""":""")</f>
        <v>":"</v>
      </c>
      <c r="D894" s="24">
        <v>3.4044047343497114E18</v>
      </c>
      <c r="E894" s="9" t="str">
        <f>IFERROR(__xludf.DUMMYFUNCTION("""COMPUTED_VALUE"""),""",")</f>
        <v>",</v>
      </c>
    </row>
    <row r="895">
      <c r="A895" s="9" t="str">
        <f>IFERROR(__xludf.DUMMYFUNCTION("""COMPUTED_VALUE"""),"""")</f>
        <v>"</v>
      </c>
      <c r="B895" s="9" t="s">
        <v>904</v>
      </c>
      <c r="C895" s="9" t="str">
        <f>IFERROR(__xludf.DUMMYFUNCTION("""COMPUTED_VALUE"""),""":""")</f>
        <v>":"</v>
      </c>
      <c r="D895" s="24">
        <v>6.2005979458241782E18</v>
      </c>
      <c r="E895" s="9" t="str">
        <f>IFERROR(__xludf.DUMMYFUNCTION("""COMPUTED_VALUE"""),""",")</f>
        <v>",</v>
      </c>
    </row>
    <row r="896">
      <c r="A896" s="9" t="str">
        <f>IFERROR(__xludf.DUMMYFUNCTION("""COMPUTED_VALUE"""),"""")</f>
        <v>"</v>
      </c>
      <c r="B896" s="9" t="s">
        <v>905</v>
      </c>
      <c r="C896" s="9" t="str">
        <f>IFERROR(__xludf.DUMMYFUNCTION("""COMPUTED_VALUE"""),""":""")</f>
        <v>":"</v>
      </c>
      <c r="D896" s="24">
        <v>6.2005979458241782E18</v>
      </c>
      <c r="E896" s="9" t="str">
        <f>IFERROR(__xludf.DUMMYFUNCTION("""COMPUTED_VALUE"""),""",")</f>
        <v>",</v>
      </c>
    </row>
    <row r="897">
      <c r="A897" s="9" t="str">
        <f>IFERROR(__xludf.DUMMYFUNCTION("""COMPUTED_VALUE"""),"""")</f>
        <v>"</v>
      </c>
      <c r="B897" s="9" t="s">
        <v>906</v>
      </c>
      <c r="C897" s="9" t="str">
        <f>IFERROR(__xludf.DUMMYFUNCTION("""COMPUTED_VALUE"""),""":""")</f>
        <v>":"</v>
      </c>
      <c r="D897" s="24">
        <v>2.0248888511809958E19</v>
      </c>
      <c r="E897" s="9" t="str">
        <f>IFERROR(__xludf.DUMMYFUNCTION("""COMPUTED_VALUE"""),""",")</f>
        <v>",</v>
      </c>
    </row>
    <row r="898">
      <c r="A898" s="9" t="str">
        <f>IFERROR(__xludf.DUMMYFUNCTION("""COMPUTED_VALUE"""),"""")</f>
        <v>"</v>
      </c>
      <c r="B898" s="9" t="s">
        <v>907</v>
      </c>
      <c r="C898" s="9" t="str">
        <f>IFERROR(__xludf.DUMMYFUNCTION("""COMPUTED_VALUE"""),""":""")</f>
        <v>":"</v>
      </c>
      <c r="D898" s="24">
        <v>6.2005979458241782E18</v>
      </c>
      <c r="E898" s="9" t="str">
        <f>IFERROR(__xludf.DUMMYFUNCTION("""COMPUTED_VALUE"""),""",")</f>
        <v>",</v>
      </c>
    </row>
    <row r="899">
      <c r="A899" s="9" t="str">
        <f>IFERROR(__xludf.DUMMYFUNCTION("""COMPUTED_VALUE"""),"""")</f>
        <v>"</v>
      </c>
      <c r="B899" s="9" t="s">
        <v>908</v>
      </c>
      <c r="C899" s="9" t="str">
        <f>IFERROR(__xludf.DUMMYFUNCTION("""COMPUTED_VALUE"""),""":""")</f>
        <v>":"</v>
      </c>
      <c r="D899" s="24">
        <v>5.3254403118105334E18</v>
      </c>
      <c r="E899" s="9" t="str">
        <f>IFERROR(__xludf.DUMMYFUNCTION("""COMPUTED_VALUE"""),""",")</f>
        <v>",</v>
      </c>
    </row>
    <row r="900">
      <c r="A900" s="9" t="str">
        <f>IFERROR(__xludf.DUMMYFUNCTION("""COMPUTED_VALUE"""),"""")</f>
        <v>"</v>
      </c>
      <c r="B900" s="9" t="s">
        <v>909</v>
      </c>
      <c r="C900" s="9" t="str">
        <f>IFERROR(__xludf.DUMMYFUNCTION("""COMPUTED_VALUE"""),""":""")</f>
        <v>":"</v>
      </c>
      <c r="D900" s="24">
        <v>6.2005979458241782E18</v>
      </c>
      <c r="E900" s="9" t="str">
        <f>IFERROR(__xludf.DUMMYFUNCTION("""COMPUTED_VALUE"""),""",")</f>
        <v>",</v>
      </c>
    </row>
    <row r="901">
      <c r="A901" s="9" t="str">
        <f>IFERROR(__xludf.DUMMYFUNCTION("""COMPUTED_VALUE"""),"""")</f>
        <v>"</v>
      </c>
      <c r="B901" s="9" t="s">
        <v>910</v>
      </c>
      <c r="C901" s="9" t="str">
        <f>IFERROR(__xludf.DUMMYFUNCTION("""COMPUTED_VALUE"""),""":""")</f>
        <v>":"</v>
      </c>
      <c r="D901" s="24">
        <v>2.0954525518736544E19</v>
      </c>
      <c r="E901" s="9" t="str">
        <f>IFERROR(__xludf.DUMMYFUNCTION("""COMPUTED_VALUE"""),""",")</f>
        <v>",</v>
      </c>
    </row>
    <row r="902">
      <c r="A902" s="9" t="str">
        <f>IFERROR(__xludf.DUMMYFUNCTION("""COMPUTED_VALUE"""),"""")</f>
        <v>"</v>
      </c>
      <c r="B902" s="9" t="s">
        <v>911</v>
      </c>
      <c r="C902" s="9" t="str">
        <f>IFERROR(__xludf.DUMMYFUNCTION("""COMPUTED_VALUE"""),""":""")</f>
        <v>":"</v>
      </c>
      <c r="D902" s="24">
        <v>4.9228804541868452E18</v>
      </c>
      <c r="E902" s="9" t="str">
        <f>IFERROR(__xludf.DUMMYFUNCTION("""COMPUTED_VALUE"""),""",")</f>
        <v>",</v>
      </c>
    </row>
    <row r="903">
      <c r="A903" s="9" t="str">
        <f>IFERROR(__xludf.DUMMYFUNCTION("""COMPUTED_VALUE"""),"""")</f>
        <v>"</v>
      </c>
      <c r="B903" s="9" t="s">
        <v>912</v>
      </c>
      <c r="C903" s="9" t="str">
        <f>IFERROR(__xludf.DUMMYFUNCTION("""COMPUTED_VALUE"""),""":""")</f>
        <v>":"</v>
      </c>
      <c r="D903" s="24">
        <v>2.0248888511809958E19</v>
      </c>
      <c r="E903" s="9" t="str">
        <f>IFERROR(__xludf.DUMMYFUNCTION("""COMPUTED_VALUE"""),""",")</f>
        <v>",</v>
      </c>
    </row>
    <row r="904">
      <c r="A904" s="9" t="str">
        <f>IFERROR(__xludf.DUMMYFUNCTION("""COMPUTED_VALUE"""),"""")</f>
        <v>"</v>
      </c>
      <c r="B904" s="9" t="s">
        <v>913</v>
      </c>
      <c r="C904" s="9" t="str">
        <f>IFERROR(__xludf.DUMMYFUNCTION("""COMPUTED_VALUE"""),""":""")</f>
        <v>":"</v>
      </c>
      <c r="D904" s="24">
        <v>1.9763919108671664E19</v>
      </c>
      <c r="E904" s="9" t="str">
        <f>IFERROR(__xludf.DUMMYFUNCTION("""COMPUTED_VALUE"""),""",")</f>
        <v>",</v>
      </c>
    </row>
    <row r="905">
      <c r="A905" s="9" t="str">
        <f>IFERROR(__xludf.DUMMYFUNCTION("""COMPUTED_VALUE"""),"""")</f>
        <v>"</v>
      </c>
      <c r="B905" s="9" t="s">
        <v>914</v>
      </c>
      <c r="C905" s="9" t="str">
        <f>IFERROR(__xludf.DUMMYFUNCTION("""COMPUTED_VALUE"""),""":""")</f>
        <v>":"</v>
      </c>
      <c r="D905" s="24">
        <v>2.0248888511809958E19</v>
      </c>
      <c r="E905" s="9" t="str">
        <f>IFERROR(__xludf.DUMMYFUNCTION("""COMPUTED_VALUE"""),""",")</f>
        <v>",</v>
      </c>
    </row>
    <row r="906">
      <c r="A906" s="9" t="str">
        <f>IFERROR(__xludf.DUMMYFUNCTION("""COMPUTED_VALUE"""),"""")</f>
        <v>"</v>
      </c>
      <c r="B906" s="9" t="s">
        <v>915</v>
      </c>
      <c r="C906" s="9" t="str">
        <f>IFERROR(__xludf.DUMMYFUNCTION("""COMPUTED_VALUE"""),""":""")</f>
        <v>":"</v>
      </c>
      <c r="D906" s="24">
        <v>6.5595980306022154E18</v>
      </c>
      <c r="E906" s="9" t="str">
        <f>IFERROR(__xludf.DUMMYFUNCTION("""COMPUTED_VALUE"""),""",")</f>
        <v>",</v>
      </c>
    </row>
    <row r="907">
      <c r="A907" s="9" t="str">
        <f>IFERROR(__xludf.DUMMYFUNCTION("""COMPUTED_VALUE"""),"""")</f>
        <v>"</v>
      </c>
      <c r="B907" s="9" t="s">
        <v>916</v>
      </c>
      <c r="C907" s="9" t="str">
        <f>IFERROR(__xludf.DUMMYFUNCTION("""COMPUTED_VALUE"""),""":""")</f>
        <v>":"</v>
      </c>
      <c r="D907" s="24">
        <v>2.0248888511809958E19</v>
      </c>
      <c r="E907" s="9" t="str">
        <f>IFERROR(__xludf.DUMMYFUNCTION("""COMPUTED_VALUE"""),""",")</f>
        <v>",</v>
      </c>
    </row>
    <row r="908">
      <c r="A908" s="9" t="str">
        <f>IFERROR(__xludf.DUMMYFUNCTION("""COMPUTED_VALUE"""),"""")</f>
        <v>"</v>
      </c>
      <c r="B908" s="9" t="s">
        <v>917</v>
      </c>
      <c r="C908" s="9" t="str">
        <f>IFERROR(__xludf.DUMMYFUNCTION("""COMPUTED_VALUE"""),""":""")</f>
        <v>":"</v>
      </c>
      <c r="D908" s="24">
        <v>6.2005979458241782E18</v>
      </c>
      <c r="E908" s="9" t="str">
        <f>IFERROR(__xludf.DUMMYFUNCTION("""COMPUTED_VALUE"""),""",")</f>
        <v>",</v>
      </c>
    </row>
    <row r="909">
      <c r="A909" s="9" t="str">
        <f>IFERROR(__xludf.DUMMYFUNCTION("""COMPUTED_VALUE"""),"""")</f>
        <v>"</v>
      </c>
      <c r="B909" s="9" t="s">
        <v>918</v>
      </c>
      <c r="C909" s="9" t="str">
        <f>IFERROR(__xludf.DUMMYFUNCTION("""COMPUTED_VALUE"""),""":""")</f>
        <v>":"</v>
      </c>
      <c r="D909" s="24">
        <v>2.0248888511809958E19</v>
      </c>
      <c r="E909" s="9" t="str">
        <f>IFERROR(__xludf.DUMMYFUNCTION("""COMPUTED_VALUE"""),""",")</f>
        <v>",</v>
      </c>
    </row>
    <row r="910">
      <c r="A910" s="9" t="str">
        <f>IFERROR(__xludf.DUMMYFUNCTION("""COMPUTED_VALUE"""),"""")</f>
        <v>"</v>
      </c>
      <c r="B910" s="9" t="s">
        <v>919</v>
      </c>
      <c r="C910" s="9" t="str">
        <f>IFERROR(__xludf.DUMMYFUNCTION("""COMPUTED_VALUE"""),""":""")</f>
        <v>":"</v>
      </c>
      <c r="D910" s="24">
        <v>6.2005979458241782E18</v>
      </c>
      <c r="E910" s="9" t="str">
        <f>IFERROR(__xludf.DUMMYFUNCTION("""COMPUTED_VALUE"""),""",")</f>
        <v>",</v>
      </c>
    </row>
    <row r="911">
      <c r="A911" s="9" t="str">
        <f>IFERROR(__xludf.DUMMYFUNCTION("""COMPUTED_VALUE"""),"""")</f>
        <v>"</v>
      </c>
      <c r="B911" s="9" t="s">
        <v>920</v>
      </c>
      <c r="C911" s="9" t="str">
        <f>IFERROR(__xludf.DUMMYFUNCTION("""COMPUTED_VALUE"""),""":""")</f>
        <v>":"</v>
      </c>
      <c r="D911" s="24">
        <v>4.5276099738224886E18</v>
      </c>
      <c r="E911" s="9" t="str">
        <f>IFERROR(__xludf.DUMMYFUNCTION("""COMPUTED_VALUE"""),""",")</f>
        <v>",</v>
      </c>
    </row>
    <row r="912">
      <c r="A912" s="9" t="str">
        <f>IFERROR(__xludf.DUMMYFUNCTION("""COMPUTED_VALUE"""),"""")</f>
        <v>"</v>
      </c>
      <c r="B912" s="9" t="s">
        <v>921</v>
      </c>
      <c r="C912" s="9" t="str">
        <f>IFERROR(__xludf.DUMMYFUNCTION("""COMPUTED_VALUE"""),""":""")</f>
        <v>":"</v>
      </c>
      <c r="D912" s="24">
        <v>6.1898589565311775E18</v>
      </c>
      <c r="E912" s="9" t="str">
        <f>IFERROR(__xludf.DUMMYFUNCTION("""COMPUTED_VALUE"""),""",")</f>
        <v>",</v>
      </c>
    </row>
    <row r="913">
      <c r="A913" s="9" t="str">
        <f>IFERROR(__xludf.DUMMYFUNCTION("""COMPUTED_VALUE"""),"""")</f>
        <v>"</v>
      </c>
      <c r="B913" s="9" t="s">
        <v>922</v>
      </c>
      <c r="C913" s="9" t="str">
        <f>IFERROR(__xludf.DUMMYFUNCTION("""COMPUTED_VALUE"""),""":""")</f>
        <v>":"</v>
      </c>
      <c r="D913" s="24">
        <v>2.442624778567933E19</v>
      </c>
      <c r="E913" s="9" t="str">
        <f>IFERROR(__xludf.DUMMYFUNCTION("""COMPUTED_VALUE"""),""",")</f>
        <v>",</v>
      </c>
    </row>
    <row r="914">
      <c r="A914" s="9" t="str">
        <f>IFERROR(__xludf.DUMMYFUNCTION("""COMPUTED_VALUE"""),"""")</f>
        <v>"</v>
      </c>
      <c r="B914" s="9" t="s">
        <v>923</v>
      </c>
      <c r="C914" s="9" t="str">
        <f>IFERROR(__xludf.DUMMYFUNCTION("""COMPUTED_VALUE"""),""":""")</f>
        <v>":"</v>
      </c>
      <c r="D914" s="24">
        <v>6.2005979458241782E18</v>
      </c>
      <c r="E914" s="9" t="str">
        <f>IFERROR(__xludf.DUMMYFUNCTION("""COMPUTED_VALUE"""),""",")</f>
        <v>",</v>
      </c>
    </row>
    <row r="915">
      <c r="A915" s="9" t="str">
        <f>IFERROR(__xludf.DUMMYFUNCTION("""COMPUTED_VALUE"""),"""")</f>
        <v>"</v>
      </c>
      <c r="B915" s="9" t="s">
        <v>924</v>
      </c>
      <c r="C915" s="9" t="str">
        <f>IFERROR(__xludf.DUMMYFUNCTION("""COMPUTED_VALUE"""),""":""")</f>
        <v>":"</v>
      </c>
      <c r="D915" s="24">
        <v>1.1224215091154928E17</v>
      </c>
      <c r="E915" s="9" t="str">
        <f>IFERROR(__xludf.DUMMYFUNCTION("""COMPUTED_VALUE"""),""",")</f>
        <v>",</v>
      </c>
    </row>
    <row r="916">
      <c r="A916" s="9" t="str">
        <f>IFERROR(__xludf.DUMMYFUNCTION("""COMPUTED_VALUE"""),"""")</f>
        <v>"</v>
      </c>
      <c r="B916" s="9" t="s">
        <v>925</v>
      </c>
      <c r="C916" s="9" t="str">
        <f>IFERROR(__xludf.DUMMYFUNCTION("""COMPUTED_VALUE"""),""":""")</f>
        <v>":"</v>
      </c>
      <c r="D916" s="24">
        <v>6.1620433186344888E18</v>
      </c>
      <c r="E916" s="9" t="str">
        <f>IFERROR(__xludf.DUMMYFUNCTION("""COMPUTED_VALUE"""),""",")</f>
        <v>",</v>
      </c>
    </row>
    <row r="917">
      <c r="A917" s="9" t="str">
        <f>IFERROR(__xludf.DUMMYFUNCTION("""COMPUTED_VALUE"""),"""")</f>
        <v>"</v>
      </c>
      <c r="B917" s="9" t="s">
        <v>926</v>
      </c>
      <c r="C917" s="9" t="str">
        <f>IFERROR(__xludf.DUMMYFUNCTION("""COMPUTED_VALUE"""),""":""")</f>
        <v>":"</v>
      </c>
      <c r="D917" s="24">
        <v>4.895674307595689E18</v>
      </c>
      <c r="E917" s="9" t="str">
        <f>IFERROR(__xludf.DUMMYFUNCTION("""COMPUTED_VALUE"""),""",")</f>
        <v>",</v>
      </c>
    </row>
    <row r="918">
      <c r="A918" s="9" t="str">
        <f>IFERROR(__xludf.DUMMYFUNCTION("""COMPUTED_VALUE"""),"""")</f>
        <v>"</v>
      </c>
      <c r="B918" s="9" t="s">
        <v>927</v>
      </c>
      <c r="C918" s="9" t="str">
        <f>IFERROR(__xludf.DUMMYFUNCTION("""COMPUTED_VALUE"""),""":""")</f>
        <v>":"</v>
      </c>
      <c r="D918" s="24">
        <v>6.2005979458241782E18</v>
      </c>
      <c r="E918" s="9" t="str">
        <f>IFERROR(__xludf.DUMMYFUNCTION("""COMPUTED_VALUE"""),""",")</f>
        <v>",</v>
      </c>
    </row>
    <row r="919">
      <c r="A919" s="9" t="str">
        <f>IFERROR(__xludf.DUMMYFUNCTION("""COMPUTED_VALUE"""),"""")</f>
        <v>"</v>
      </c>
      <c r="B919" s="9" t="s">
        <v>928</v>
      </c>
      <c r="C919" s="9" t="str">
        <f>IFERROR(__xludf.DUMMYFUNCTION("""COMPUTED_VALUE"""),""":""")</f>
        <v>":"</v>
      </c>
      <c r="D919" s="24">
        <v>5.9340354663218668E18</v>
      </c>
      <c r="E919" s="9" t="str">
        <f>IFERROR(__xludf.DUMMYFUNCTION("""COMPUTED_VALUE"""),""",")</f>
        <v>",</v>
      </c>
    </row>
    <row r="920">
      <c r="A920" s="9" t="str">
        <f>IFERROR(__xludf.DUMMYFUNCTION("""COMPUTED_VALUE"""),"""")</f>
        <v>"</v>
      </c>
      <c r="B920" s="9" t="s">
        <v>929</v>
      </c>
      <c r="C920" s="9" t="str">
        <f>IFERROR(__xludf.DUMMYFUNCTION("""COMPUTED_VALUE"""),""":""")</f>
        <v>":"</v>
      </c>
      <c r="D920" s="24">
        <v>1.0812784467055155E19</v>
      </c>
      <c r="E920" s="9" t="str">
        <f>IFERROR(__xludf.DUMMYFUNCTION("""COMPUTED_VALUE"""),""",")</f>
        <v>",</v>
      </c>
    </row>
    <row r="921">
      <c r="A921" s="9" t="str">
        <f>IFERROR(__xludf.DUMMYFUNCTION("""COMPUTED_VALUE"""),"""")</f>
        <v>"</v>
      </c>
      <c r="B921" s="9" t="s">
        <v>930</v>
      </c>
      <c r="C921" s="9" t="str">
        <f>IFERROR(__xludf.DUMMYFUNCTION("""COMPUTED_VALUE"""),""":""")</f>
        <v>":"</v>
      </c>
      <c r="D921" s="24">
        <v>2.05975065530419302E18</v>
      </c>
      <c r="E921" s="9" t="str">
        <f>IFERROR(__xludf.DUMMYFUNCTION("""COMPUTED_VALUE"""),""",")</f>
        <v>",</v>
      </c>
    </row>
    <row r="922">
      <c r="A922" s="9" t="str">
        <f>IFERROR(__xludf.DUMMYFUNCTION("""COMPUTED_VALUE"""),"""")</f>
        <v>"</v>
      </c>
      <c r="B922" s="9" t="s">
        <v>931</v>
      </c>
      <c r="C922" s="9" t="str">
        <f>IFERROR(__xludf.DUMMYFUNCTION("""COMPUTED_VALUE"""),""":""")</f>
        <v>":"</v>
      </c>
      <c r="D922" s="24">
        <v>2.30677785131792E19</v>
      </c>
      <c r="E922" s="9" t="str">
        <f>IFERROR(__xludf.DUMMYFUNCTION("""COMPUTED_VALUE"""),""",")</f>
        <v>",</v>
      </c>
    </row>
    <row r="923">
      <c r="A923" s="9" t="str">
        <f>IFERROR(__xludf.DUMMYFUNCTION("""COMPUTED_VALUE"""),"""")</f>
        <v>"</v>
      </c>
      <c r="B923" s="9" t="s">
        <v>932</v>
      </c>
      <c r="C923" s="9" t="str">
        <f>IFERROR(__xludf.DUMMYFUNCTION("""COMPUTED_VALUE"""),""":""")</f>
        <v>":"</v>
      </c>
      <c r="D923" s="24">
        <v>2.00632290311542912E18</v>
      </c>
      <c r="E923" s="9" t="str">
        <f>IFERROR(__xludf.DUMMYFUNCTION("""COMPUTED_VALUE"""),""",")</f>
        <v>",</v>
      </c>
    </row>
    <row r="924">
      <c r="A924" s="9" t="str">
        <f>IFERROR(__xludf.DUMMYFUNCTION("""COMPUTED_VALUE"""),"""")</f>
        <v>"</v>
      </c>
      <c r="B924" s="9" t="s">
        <v>933</v>
      </c>
      <c r="C924" s="9" t="str">
        <f>IFERROR(__xludf.DUMMYFUNCTION("""COMPUTED_VALUE"""),""":""")</f>
        <v>":"</v>
      </c>
      <c r="D924" s="24">
        <v>2.798881007768629E19</v>
      </c>
      <c r="E924" s="9" t="str">
        <f>IFERROR(__xludf.DUMMYFUNCTION("""COMPUTED_VALUE"""),""",")</f>
        <v>",</v>
      </c>
    </row>
    <row r="925">
      <c r="A925" s="9" t="str">
        <f>IFERROR(__xludf.DUMMYFUNCTION("""COMPUTED_VALUE"""),"""")</f>
        <v>"</v>
      </c>
      <c r="B925" s="9" t="s">
        <v>934</v>
      </c>
      <c r="C925" s="9" t="str">
        <f>IFERROR(__xludf.DUMMYFUNCTION("""COMPUTED_VALUE"""),""":""")</f>
        <v>":"</v>
      </c>
      <c r="D925" s="24">
        <v>6.2005979458241782E18</v>
      </c>
      <c r="E925" s="9" t="str">
        <f>IFERROR(__xludf.DUMMYFUNCTION("""COMPUTED_VALUE"""),""",")</f>
        <v>",</v>
      </c>
    </row>
    <row r="926">
      <c r="A926" s="9" t="str">
        <f>IFERROR(__xludf.DUMMYFUNCTION("""COMPUTED_VALUE"""),"""")</f>
        <v>"</v>
      </c>
      <c r="B926" s="9" t="s">
        <v>935</v>
      </c>
      <c r="C926" s="9" t="str">
        <f>IFERROR(__xludf.DUMMYFUNCTION("""COMPUTED_VALUE"""),""":""")</f>
        <v>":"</v>
      </c>
      <c r="D926" s="24">
        <v>6.2005979458241782E18</v>
      </c>
      <c r="E926" s="9" t="str">
        <f>IFERROR(__xludf.DUMMYFUNCTION("""COMPUTED_VALUE"""),""",")</f>
        <v>",</v>
      </c>
    </row>
    <row r="927">
      <c r="A927" s="9" t="str">
        <f>IFERROR(__xludf.DUMMYFUNCTION("""COMPUTED_VALUE"""),"""")</f>
        <v>"</v>
      </c>
      <c r="B927" s="9" t="s">
        <v>936</v>
      </c>
      <c r="C927" s="9" t="str">
        <f>IFERROR(__xludf.DUMMYFUNCTION("""COMPUTED_VALUE"""),""":""")</f>
        <v>":"</v>
      </c>
      <c r="D927" s="24">
        <v>4.4421364782871777E18</v>
      </c>
      <c r="E927" s="9" t="str">
        <f>IFERROR(__xludf.DUMMYFUNCTION("""COMPUTED_VALUE"""),""",")</f>
        <v>",</v>
      </c>
    </row>
    <row r="928">
      <c r="A928" s="9" t="str">
        <f>IFERROR(__xludf.DUMMYFUNCTION("""COMPUTED_VALUE"""),"""")</f>
        <v>"</v>
      </c>
      <c r="B928" s="9" t="s">
        <v>937</v>
      </c>
      <c r="C928" s="9" t="str">
        <f>IFERROR(__xludf.DUMMYFUNCTION("""COMPUTED_VALUE"""),""":""")</f>
        <v>":"</v>
      </c>
      <c r="D928" s="24">
        <v>7.9185949025099776E18</v>
      </c>
      <c r="E928" s="9" t="str">
        <f>IFERROR(__xludf.DUMMYFUNCTION("""COMPUTED_VALUE"""),""",")</f>
        <v>",</v>
      </c>
    </row>
    <row r="929">
      <c r="A929" s="9" t="str">
        <f>IFERROR(__xludf.DUMMYFUNCTION("""COMPUTED_VALUE"""),"""")</f>
        <v>"</v>
      </c>
      <c r="B929" s="9" t="s">
        <v>938</v>
      </c>
      <c r="C929" s="9" t="str">
        <f>IFERROR(__xludf.DUMMYFUNCTION("""COMPUTED_VALUE"""),""":""")</f>
        <v>":"</v>
      </c>
      <c r="D929" s="24">
        <v>6.2005979458241782E18</v>
      </c>
      <c r="E929" s="9" t="str">
        <f>IFERROR(__xludf.DUMMYFUNCTION("""COMPUTED_VALUE"""),""",")</f>
        <v>",</v>
      </c>
    </row>
    <row r="930">
      <c r="A930" s="9" t="str">
        <f>IFERROR(__xludf.DUMMYFUNCTION("""COMPUTED_VALUE"""),"""")</f>
        <v>"</v>
      </c>
      <c r="B930" s="9" t="s">
        <v>939</v>
      </c>
      <c r="C930" s="9" t="str">
        <f>IFERROR(__xludf.DUMMYFUNCTION("""COMPUTED_VALUE"""),""":""")</f>
        <v>":"</v>
      </c>
      <c r="D930" s="24">
        <v>6.2005979458241782E18</v>
      </c>
      <c r="E930" s="9" t="str">
        <f>IFERROR(__xludf.DUMMYFUNCTION("""COMPUTED_VALUE"""),""",")</f>
        <v>",</v>
      </c>
    </row>
    <row r="931">
      <c r="A931" s="9" t="str">
        <f>IFERROR(__xludf.DUMMYFUNCTION("""COMPUTED_VALUE"""),"""")</f>
        <v>"</v>
      </c>
      <c r="B931" s="9" t="s">
        <v>940</v>
      </c>
      <c r="C931" s="9" t="str">
        <f>IFERROR(__xludf.DUMMYFUNCTION("""COMPUTED_VALUE"""),""":""")</f>
        <v>":"</v>
      </c>
      <c r="D931" s="24">
        <v>2.1243890813802234E19</v>
      </c>
      <c r="E931" s="9" t="str">
        <f>IFERROR(__xludf.DUMMYFUNCTION("""COMPUTED_VALUE"""),""",")</f>
        <v>",</v>
      </c>
    </row>
    <row r="932">
      <c r="A932" s="9" t="str">
        <f>IFERROR(__xludf.DUMMYFUNCTION("""COMPUTED_VALUE"""),"""")</f>
        <v>"</v>
      </c>
      <c r="B932" s="9" t="s">
        <v>941</v>
      </c>
      <c r="C932" s="9" t="str">
        <f>IFERROR(__xludf.DUMMYFUNCTION("""COMPUTED_VALUE"""),""":""")</f>
        <v>":"</v>
      </c>
      <c r="D932" s="24">
        <v>2.6333672461301465E19</v>
      </c>
      <c r="E932" s="9" t="str">
        <f>IFERROR(__xludf.DUMMYFUNCTION("""COMPUTED_VALUE"""),""",")</f>
        <v>",</v>
      </c>
    </row>
    <row r="933">
      <c r="A933" s="9" t="str">
        <f>IFERROR(__xludf.DUMMYFUNCTION("""COMPUTED_VALUE"""),"""")</f>
        <v>"</v>
      </c>
      <c r="B933" s="9" t="s">
        <v>942</v>
      </c>
      <c r="C933" s="9" t="str">
        <f>IFERROR(__xludf.DUMMYFUNCTION("""COMPUTED_VALUE"""),""":""")</f>
        <v>":"</v>
      </c>
      <c r="D933" s="24">
        <v>6.2005979458241782E18</v>
      </c>
      <c r="E933" s="9" t="str">
        <f>IFERROR(__xludf.DUMMYFUNCTION("""COMPUTED_VALUE"""),""",")</f>
        <v>",</v>
      </c>
    </row>
    <row r="934">
      <c r="A934" s="9" t="str">
        <f>IFERROR(__xludf.DUMMYFUNCTION("""COMPUTED_VALUE"""),"""")</f>
        <v>"</v>
      </c>
      <c r="B934" s="9" t="s">
        <v>943</v>
      </c>
      <c r="C934" s="9" t="str">
        <f>IFERROR(__xludf.DUMMYFUNCTION("""COMPUTED_VALUE"""),""":""")</f>
        <v>":"</v>
      </c>
      <c r="D934" s="24">
        <v>4.1760931986929111E18</v>
      </c>
      <c r="E934" s="9" t="str">
        <f>IFERROR(__xludf.DUMMYFUNCTION("""COMPUTED_VALUE"""),""",")</f>
        <v>",</v>
      </c>
    </row>
    <row r="935">
      <c r="A935" s="9" t="str">
        <f>IFERROR(__xludf.DUMMYFUNCTION("""COMPUTED_VALUE"""),"""")</f>
        <v>"</v>
      </c>
      <c r="B935" s="9" t="s">
        <v>944</v>
      </c>
      <c r="C935" s="9" t="str">
        <f>IFERROR(__xludf.DUMMYFUNCTION("""COMPUTED_VALUE"""),""":""")</f>
        <v>":"</v>
      </c>
      <c r="D935" s="24">
        <v>2.160076643131303E19</v>
      </c>
      <c r="E935" s="9" t="str">
        <f>IFERROR(__xludf.DUMMYFUNCTION("""COMPUTED_VALUE"""),""",")</f>
        <v>",</v>
      </c>
    </row>
    <row r="936">
      <c r="A936" s="9" t="str">
        <f>IFERROR(__xludf.DUMMYFUNCTION("""COMPUTED_VALUE"""),"""")</f>
        <v>"</v>
      </c>
      <c r="B936" s="9" t="s">
        <v>945</v>
      </c>
      <c r="C936" s="9" t="str">
        <f>IFERROR(__xludf.DUMMYFUNCTION("""COMPUTED_VALUE"""),""":""")</f>
        <v>":"</v>
      </c>
      <c r="D936" s="24">
        <v>2.0248888511809958E19</v>
      </c>
      <c r="E936" s="9" t="str">
        <f>IFERROR(__xludf.DUMMYFUNCTION("""COMPUTED_VALUE"""),""",")</f>
        <v>",</v>
      </c>
    </row>
    <row r="937">
      <c r="A937" s="9" t="str">
        <f>IFERROR(__xludf.DUMMYFUNCTION("""COMPUTED_VALUE"""),"""")</f>
        <v>"</v>
      </c>
      <c r="B937" s="9" t="s">
        <v>946</v>
      </c>
      <c r="C937" s="9" t="str">
        <f>IFERROR(__xludf.DUMMYFUNCTION("""COMPUTED_VALUE"""),""":""")</f>
        <v>":"</v>
      </c>
      <c r="D937" s="24">
        <v>2.0248888511809958E19</v>
      </c>
      <c r="E937" s="9" t="str">
        <f>IFERROR(__xludf.DUMMYFUNCTION("""COMPUTED_VALUE"""),""",")</f>
        <v>",</v>
      </c>
    </row>
    <row r="938">
      <c r="A938" s="9" t="str">
        <f>IFERROR(__xludf.DUMMYFUNCTION("""COMPUTED_VALUE"""),"""")</f>
        <v>"</v>
      </c>
      <c r="B938" s="9" t="s">
        <v>947</v>
      </c>
      <c r="C938" s="9" t="str">
        <f>IFERROR(__xludf.DUMMYFUNCTION("""COMPUTED_VALUE"""),""":""")</f>
        <v>":"</v>
      </c>
      <c r="D938" s="24">
        <v>4.5897741339376666E18</v>
      </c>
      <c r="E938" s="9" t="str">
        <f>IFERROR(__xludf.DUMMYFUNCTION("""COMPUTED_VALUE"""),""",")</f>
        <v>",</v>
      </c>
    </row>
    <row r="939">
      <c r="A939" s="9" t="str">
        <f>IFERROR(__xludf.DUMMYFUNCTION("""COMPUTED_VALUE"""),"""")</f>
        <v>"</v>
      </c>
      <c r="B939" s="9" t="s">
        <v>948</v>
      </c>
      <c r="C939" s="9" t="str">
        <f>IFERROR(__xludf.DUMMYFUNCTION("""COMPUTED_VALUE"""),""":""")</f>
        <v>":"</v>
      </c>
      <c r="D939" s="24">
        <v>6.2005979458241782E18</v>
      </c>
      <c r="E939" s="9" t="str">
        <f>IFERROR(__xludf.DUMMYFUNCTION("""COMPUTED_VALUE"""),""",")</f>
        <v>",</v>
      </c>
    </row>
    <row r="940">
      <c r="A940" s="9" t="str">
        <f>IFERROR(__xludf.DUMMYFUNCTION("""COMPUTED_VALUE"""),"""")</f>
        <v>"</v>
      </c>
      <c r="B940" s="9" t="s">
        <v>949</v>
      </c>
      <c r="C940" s="9" t="str">
        <f>IFERROR(__xludf.DUMMYFUNCTION("""COMPUTED_VALUE"""),""":""")</f>
        <v>":"</v>
      </c>
      <c r="D940" s="24">
        <v>2.0248888511809958E19</v>
      </c>
      <c r="E940" s="9" t="str">
        <f>IFERROR(__xludf.DUMMYFUNCTION("""COMPUTED_VALUE"""),""",")</f>
        <v>",</v>
      </c>
    </row>
    <row r="941">
      <c r="A941" s="9" t="str">
        <f>IFERROR(__xludf.DUMMYFUNCTION("""COMPUTED_VALUE"""),"""")</f>
        <v>"</v>
      </c>
      <c r="B941" s="9" t="s">
        <v>950</v>
      </c>
      <c r="C941" s="9" t="str">
        <f>IFERROR(__xludf.DUMMYFUNCTION("""COMPUTED_VALUE"""),""":""")</f>
        <v>":"</v>
      </c>
      <c r="D941" s="24">
        <v>2.0248888511809958E19</v>
      </c>
      <c r="E941" s="9" t="str">
        <f>IFERROR(__xludf.DUMMYFUNCTION("""COMPUTED_VALUE"""),""",")</f>
        <v>",</v>
      </c>
    </row>
    <row r="942">
      <c r="A942" s="9" t="str">
        <f>IFERROR(__xludf.DUMMYFUNCTION("""COMPUTED_VALUE"""),"""")</f>
        <v>"</v>
      </c>
      <c r="B942" s="9" t="s">
        <v>951</v>
      </c>
      <c r="C942" s="9" t="str">
        <f>IFERROR(__xludf.DUMMYFUNCTION("""COMPUTED_VALUE"""),""":""")</f>
        <v>":"</v>
      </c>
      <c r="D942" s="24">
        <v>9.0102560590213335E18</v>
      </c>
      <c r="E942" s="9" t="str">
        <f>IFERROR(__xludf.DUMMYFUNCTION("""COMPUTED_VALUE"""),""",")</f>
        <v>",</v>
      </c>
    </row>
    <row r="943">
      <c r="A943" s="9" t="str">
        <f>IFERROR(__xludf.DUMMYFUNCTION("""COMPUTED_VALUE"""),"""")</f>
        <v>"</v>
      </c>
      <c r="B943" s="9" t="s">
        <v>952</v>
      </c>
      <c r="C943" s="9" t="str">
        <f>IFERROR(__xludf.DUMMYFUNCTION("""COMPUTED_VALUE"""),""":""")</f>
        <v>":"</v>
      </c>
      <c r="D943" s="24">
        <v>2.6323559466820202E19</v>
      </c>
      <c r="E943" s="9" t="str">
        <f>IFERROR(__xludf.DUMMYFUNCTION("""COMPUTED_VALUE"""),""",")</f>
        <v>",</v>
      </c>
    </row>
    <row r="944">
      <c r="A944" s="9" t="str">
        <f>IFERROR(__xludf.DUMMYFUNCTION("""COMPUTED_VALUE"""),"""")</f>
        <v>"</v>
      </c>
      <c r="B944" s="9" t="s">
        <v>953</v>
      </c>
      <c r="C944" s="9" t="str">
        <f>IFERROR(__xludf.DUMMYFUNCTION("""COMPUTED_VALUE"""),""":""")</f>
        <v>":"</v>
      </c>
      <c r="D944" s="24">
        <v>1.3915240699520379E19</v>
      </c>
      <c r="E944" s="9" t="str">
        <f>IFERROR(__xludf.DUMMYFUNCTION("""COMPUTED_VALUE"""),""",")</f>
        <v>",</v>
      </c>
    </row>
    <row r="945">
      <c r="A945" s="9" t="str">
        <f>IFERROR(__xludf.DUMMYFUNCTION("""COMPUTED_VALUE"""),"""")</f>
        <v>"</v>
      </c>
      <c r="B945" s="9" t="s">
        <v>954</v>
      </c>
      <c r="C945" s="9" t="str">
        <f>IFERROR(__xludf.DUMMYFUNCTION("""COMPUTED_VALUE"""),""":""")</f>
        <v>":"</v>
      </c>
      <c r="D945" s="24">
        <v>5.6023260273923564E18</v>
      </c>
      <c r="E945" s="9" t="str">
        <f>IFERROR(__xludf.DUMMYFUNCTION("""COMPUTED_VALUE"""),""",")</f>
        <v>",</v>
      </c>
    </row>
    <row r="946">
      <c r="A946" s="9" t="str">
        <f>IFERROR(__xludf.DUMMYFUNCTION("""COMPUTED_VALUE"""),"""")</f>
        <v>"</v>
      </c>
      <c r="B946" s="9" t="s">
        <v>955</v>
      </c>
      <c r="C946" s="9" t="str">
        <f>IFERROR(__xludf.DUMMYFUNCTION("""COMPUTED_VALUE"""),""":""")</f>
        <v>":"</v>
      </c>
      <c r="D946" s="24">
        <v>6.2005979458241782E18</v>
      </c>
      <c r="E946" s="9" t="str">
        <f>IFERROR(__xludf.DUMMYFUNCTION("""COMPUTED_VALUE"""),""",")</f>
        <v>",</v>
      </c>
    </row>
    <row r="947">
      <c r="A947" s="9" t="str">
        <f>IFERROR(__xludf.DUMMYFUNCTION("""COMPUTED_VALUE"""),"""")</f>
        <v>"</v>
      </c>
      <c r="B947" s="9" t="s">
        <v>956</v>
      </c>
      <c r="C947" s="9" t="str">
        <f>IFERROR(__xludf.DUMMYFUNCTION("""COMPUTED_VALUE"""),""":""")</f>
        <v>":"</v>
      </c>
      <c r="D947" s="24">
        <v>1.353115920847134E19</v>
      </c>
      <c r="E947" s="9" t="str">
        <f>IFERROR(__xludf.DUMMYFUNCTION("""COMPUTED_VALUE"""),""",")</f>
        <v>",</v>
      </c>
    </row>
    <row r="948">
      <c r="A948" s="9" t="str">
        <f>IFERROR(__xludf.DUMMYFUNCTION("""COMPUTED_VALUE"""),"""")</f>
        <v>"</v>
      </c>
      <c r="B948" s="9" t="s">
        <v>957</v>
      </c>
      <c r="C948" s="9" t="str">
        <f>IFERROR(__xludf.DUMMYFUNCTION("""COMPUTED_VALUE"""),""":""")</f>
        <v>":"</v>
      </c>
      <c r="D948" s="24">
        <v>2.0248888511809958E19</v>
      </c>
      <c r="E948" s="9" t="str">
        <f>IFERROR(__xludf.DUMMYFUNCTION("""COMPUTED_VALUE"""),""",")</f>
        <v>",</v>
      </c>
    </row>
    <row r="949">
      <c r="A949" s="9" t="str">
        <f>IFERROR(__xludf.DUMMYFUNCTION("""COMPUTED_VALUE"""),"""")</f>
        <v>"</v>
      </c>
      <c r="B949" s="9" t="s">
        <v>958</v>
      </c>
      <c r="C949" s="9" t="str">
        <f>IFERROR(__xludf.DUMMYFUNCTION("""COMPUTED_VALUE"""),""":""")</f>
        <v>":"</v>
      </c>
      <c r="D949" s="24">
        <v>1.7636860406801482E19</v>
      </c>
      <c r="E949" s="9" t="str">
        <f>IFERROR(__xludf.DUMMYFUNCTION("""COMPUTED_VALUE"""),""",")</f>
        <v>",</v>
      </c>
    </row>
    <row r="950">
      <c r="A950" s="9" t="str">
        <f>IFERROR(__xludf.DUMMYFUNCTION("""COMPUTED_VALUE"""),"""")</f>
        <v>"</v>
      </c>
      <c r="B950" s="9" t="s">
        <v>959</v>
      </c>
      <c r="C950" s="9" t="str">
        <f>IFERROR(__xludf.DUMMYFUNCTION("""COMPUTED_VALUE"""),""":""")</f>
        <v>":"</v>
      </c>
      <c r="D950" s="24">
        <v>2.6302458451601514E19</v>
      </c>
      <c r="E950" s="9" t="str">
        <f>IFERROR(__xludf.DUMMYFUNCTION("""COMPUTED_VALUE"""),""",")</f>
        <v>",</v>
      </c>
    </row>
    <row r="951">
      <c r="A951" s="9" t="str">
        <f>IFERROR(__xludf.DUMMYFUNCTION("""COMPUTED_VALUE"""),"""")</f>
        <v>"</v>
      </c>
      <c r="B951" s="9" t="s">
        <v>960</v>
      </c>
      <c r="C951" s="9" t="str">
        <f>IFERROR(__xludf.DUMMYFUNCTION("""COMPUTED_VALUE"""),""":""")</f>
        <v>":"</v>
      </c>
      <c r="D951" s="24">
        <v>2.068128636465221E19</v>
      </c>
      <c r="E951" s="9" t="str">
        <f>IFERROR(__xludf.DUMMYFUNCTION("""COMPUTED_VALUE"""),""",")</f>
        <v>",</v>
      </c>
    </row>
    <row r="952">
      <c r="A952" s="9" t="str">
        <f>IFERROR(__xludf.DUMMYFUNCTION("""COMPUTED_VALUE"""),"""")</f>
        <v>"</v>
      </c>
      <c r="B952" s="9" t="s">
        <v>961</v>
      </c>
      <c r="C952" s="9" t="str">
        <f>IFERROR(__xludf.DUMMYFUNCTION("""COMPUTED_VALUE"""),""":""")</f>
        <v>":"</v>
      </c>
      <c r="D952" s="24">
        <v>5.5115092610184223E18</v>
      </c>
      <c r="E952" s="9" t="str">
        <f>IFERROR(__xludf.DUMMYFUNCTION("""COMPUTED_VALUE"""),""",")</f>
        <v>",</v>
      </c>
    </row>
    <row r="953">
      <c r="A953" s="9" t="str">
        <f>IFERROR(__xludf.DUMMYFUNCTION("""COMPUTED_VALUE"""),"""")</f>
        <v>"</v>
      </c>
      <c r="B953" s="9" t="s">
        <v>962</v>
      </c>
      <c r="C953" s="9" t="str">
        <f>IFERROR(__xludf.DUMMYFUNCTION("""COMPUTED_VALUE"""),""":""")</f>
        <v>":"</v>
      </c>
      <c r="D953" s="24">
        <v>6.2005979458241782E18</v>
      </c>
      <c r="E953" s="9" t="str">
        <f>IFERROR(__xludf.DUMMYFUNCTION("""COMPUTED_VALUE"""),""",")</f>
        <v>",</v>
      </c>
    </row>
    <row r="954">
      <c r="A954" s="9" t="str">
        <f>IFERROR(__xludf.DUMMYFUNCTION("""COMPUTED_VALUE"""),"""")</f>
        <v>"</v>
      </c>
      <c r="B954" s="9" t="s">
        <v>963</v>
      </c>
      <c r="C954" s="9" t="str">
        <f>IFERROR(__xludf.DUMMYFUNCTION("""COMPUTED_VALUE"""),""":""")</f>
        <v>":"</v>
      </c>
      <c r="D954" s="24">
        <v>3.4352953865415776E17</v>
      </c>
      <c r="E954" s="9" t="str">
        <f>IFERROR(__xludf.DUMMYFUNCTION("""COMPUTED_VALUE"""),""",")</f>
        <v>",</v>
      </c>
    </row>
    <row r="955">
      <c r="A955" s="9" t="str">
        <f>IFERROR(__xludf.DUMMYFUNCTION("""COMPUTED_VALUE"""),"""")</f>
        <v>"</v>
      </c>
      <c r="B955" s="9" t="s">
        <v>964</v>
      </c>
      <c r="C955" s="9" t="str">
        <f>IFERROR(__xludf.DUMMYFUNCTION("""COMPUTED_VALUE"""),""":""")</f>
        <v>":"</v>
      </c>
      <c r="D955" s="24">
        <v>2.1015496441214337E19</v>
      </c>
      <c r="E955" s="9" t="str">
        <f>IFERROR(__xludf.DUMMYFUNCTION("""COMPUTED_VALUE"""),""",")</f>
        <v>",</v>
      </c>
    </row>
    <row r="956">
      <c r="A956" s="9" t="str">
        <f>IFERROR(__xludf.DUMMYFUNCTION("""COMPUTED_VALUE"""),"""")</f>
        <v>"</v>
      </c>
      <c r="B956" s="9" t="s">
        <v>965</v>
      </c>
      <c r="C956" s="9" t="str">
        <f>IFERROR(__xludf.DUMMYFUNCTION("""COMPUTED_VALUE"""),""":""")</f>
        <v>":"</v>
      </c>
      <c r="D956" s="24">
        <v>6.2005979458241782E18</v>
      </c>
      <c r="E956" s="9" t="str">
        <f>IFERROR(__xludf.DUMMYFUNCTION("""COMPUTED_VALUE"""),""",")</f>
        <v>",</v>
      </c>
    </row>
    <row r="957">
      <c r="A957" s="9" t="str">
        <f>IFERROR(__xludf.DUMMYFUNCTION("""COMPUTED_VALUE"""),"""")</f>
        <v>"</v>
      </c>
      <c r="B957" s="9" t="s">
        <v>966</v>
      </c>
      <c r="C957" s="9" t="str">
        <f>IFERROR(__xludf.DUMMYFUNCTION("""COMPUTED_VALUE"""),""":""")</f>
        <v>":"</v>
      </c>
      <c r="D957" s="24">
        <v>6.2005979458241782E18</v>
      </c>
      <c r="E957" s="9" t="str">
        <f>IFERROR(__xludf.DUMMYFUNCTION("""COMPUTED_VALUE"""),""",")</f>
        <v>",</v>
      </c>
    </row>
    <row r="958">
      <c r="A958" s="9" t="str">
        <f>IFERROR(__xludf.DUMMYFUNCTION("""COMPUTED_VALUE"""),"""")</f>
        <v>"</v>
      </c>
      <c r="B958" s="9" t="s">
        <v>967</v>
      </c>
      <c r="C958" s="9" t="str">
        <f>IFERROR(__xludf.DUMMYFUNCTION("""COMPUTED_VALUE"""),""":""")</f>
        <v>":"</v>
      </c>
      <c r="D958" s="24">
        <v>1.42567392440579994E18</v>
      </c>
      <c r="E958" s="9" t="str">
        <f>IFERROR(__xludf.DUMMYFUNCTION("""COMPUTED_VALUE"""),""",")</f>
        <v>",</v>
      </c>
    </row>
    <row r="959">
      <c r="A959" s="9" t="str">
        <f>IFERROR(__xludf.DUMMYFUNCTION("""COMPUTED_VALUE"""),"""")</f>
        <v>"</v>
      </c>
      <c r="B959" s="9" t="s">
        <v>968</v>
      </c>
      <c r="C959" s="9" t="str">
        <f>IFERROR(__xludf.DUMMYFUNCTION("""COMPUTED_VALUE"""),""":""")</f>
        <v>":"</v>
      </c>
      <c r="D959" s="24">
        <v>2.6862579066523556E18</v>
      </c>
      <c r="E959" s="9" t="str">
        <f>IFERROR(__xludf.DUMMYFUNCTION("""COMPUTED_VALUE"""),""",")</f>
        <v>",</v>
      </c>
    </row>
    <row r="960">
      <c r="A960" s="9" t="str">
        <f>IFERROR(__xludf.DUMMYFUNCTION("""COMPUTED_VALUE"""),"""")</f>
        <v>"</v>
      </c>
      <c r="B960" s="9" t="s">
        <v>969</v>
      </c>
      <c r="C960" s="9" t="str">
        <f>IFERROR(__xludf.DUMMYFUNCTION("""COMPUTED_VALUE"""),""":""")</f>
        <v>":"</v>
      </c>
      <c r="D960" s="24">
        <v>2.2843275628863468E19</v>
      </c>
      <c r="E960" s="9" t="str">
        <f>IFERROR(__xludf.DUMMYFUNCTION("""COMPUTED_VALUE"""),""",")</f>
        <v>",</v>
      </c>
    </row>
    <row r="961">
      <c r="A961" s="9" t="str">
        <f>IFERROR(__xludf.DUMMYFUNCTION("""COMPUTED_VALUE"""),"""")</f>
        <v>"</v>
      </c>
      <c r="B961" s="9" t="s">
        <v>970</v>
      </c>
      <c r="C961" s="9" t="str">
        <f>IFERROR(__xludf.DUMMYFUNCTION("""COMPUTED_VALUE"""),""":""")</f>
        <v>":"</v>
      </c>
      <c r="D961" s="24">
        <v>3.754480262550011E19</v>
      </c>
      <c r="E961" s="9" t="str">
        <f>IFERROR(__xludf.DUMMYFUNCTION("""COMPUTED_VALUE"""),""",")</f>
        <v>",</v>
      </c>
    </row>
    <row r="962">
      <c r="A962" s="9" t="str">
        <f>IFERROR(__xludf.DUMMYFUNCTION("""COMPUTED_VALUE"""),"""")</f>
        <v>"</v>
      </c>
      <c r="B962" s="9" t="s">
        <v>971</v>
      </c>
      <c r="C962" s="9" t="str">
        <f>IFERROR(__xludf.DUMMYFUNCTION("""COMPUTED_VALUE"""),""":""")</f>
        <v>":"</v>
      </c>
      <c r="D962" s="24">
        <v>6.1687833643491553E18</v>
      </c>
      <c r="E962" s="9" t="str">
        <f>IFERROR(__xludf.DUMMYFUNCTION("""COMPUTED_VALUE"""),""",")</f>
        <v>",</v>
      </c>
    </row>
    <row r="963">
      <c r="A963" s="9" t="str">
        <f>IFERROR(__xludf.DUMMYFUNCTION("""COMPUTED_VALUE"""),"""")</f>
        <v>"</v>
      </c>
      <c r="B963" s="9" t="s">
        <v>972</v>
      </c>
      <c r="C963" s="9" t="str">
        <f>IFERROR(__xludf.DUMMYFUNCTION("""COMPUTED_VALUE"""),""":""")</f>
        <v>":"</v>
      </c>
      <c r="D963" s="24">
        <v>4.630898411931178E18</v>
      </c>
      <c r="E963" s="9" t="str">
        <f>IFERROR(__xludf.DUMMYFUNCTION("""COMPUTED_VALUE"""),""",")</f>
        <v>",</v>
      </c>
    </row>
    <row r="964">
      <c r="A964" s="9" t="str">
        <f>IFERROR(__xludf.DUMMYFUNCTION("""COMPUTED_VALUE"""),"""")</f>
        <v>"</v>
      </c>
      <c r="B964" s="9" t="s">
        <v>973</v>
      </c>
      <c r="C964" s="9" t="str">
        <f>IFERROR(__xludf.DUMMYFUNCTION("""COMPUTED_VALUE"""),""":""")</f>
        <v>":"</v>
      </c>
      <c r="D964" s="24">
        <v>8.9652269897512438E18</v>
      </c>
      <c r="E964" s="9" t="str">
        <f>IFERROR(__xludf.DUMMYFUNCTION("""COMPUTED_VALUE"""),""",")</f>
        <v>",</v>
      </c>
    </row>
    <row r="965">
      <c r="A965" s="9" t="str">
        <f>IFERROR(__xludf.DUMMYFUNCTION("""COMPUTED_VALUE"""),"""")</f>
        <v>"</v>
      </c>
      <c r="B965" s="9" t="s">
        <v>974</v>
      </c>
      <c r="C965" s="9" t="str">
        <f>IFERROR(__xludf.DUMMYFUNCTION("""COMPUTED_VALUE"""),""":""")</f>
        <v>":"</v>
      </c>
      <c r="D965" s="24">
        <v>6.2005979458241782E18</v>
      </c>
      <c r="E965" s="9" t="str">
        <f>IFERROR(__xludf.DUMMYFUNCTION("""COMPUTED_VALUE"""),""",")</f>
        <v>",</v>
      </c>
    </row>
    <row r="966">
      <c r="A966" s="9" t="str">
        <f>IFERROR(__xludf.DUMMYFUNCTION("""COMPUTED_VALUE"""),"""")</f>
        <v>"</v>
      </c>
      <c r="B966" s="9" t="s">
        <v>975</v>
      </c>
      <c r="C966" s="9" t="str">
        <f>IFERROR(__xludf.DUMMYFUNCTION("""COMPUTED_VALUE"""),""":""")</f>
        <v>":"</v>
      </c>
      <c r="D966" s="24">
        <v>4.7124544388263782E18</v>
      </c>
      <c r="E966" s="9" t="str">
        <f>IFERROR(__xludf.DUMMYFUNCTION("""COMPUTED_VALUE"""),""",")</f>
        <v>",</v>
      </c>
    </row>
    <row r="967">
      <c r="A967" s="9" t="str">
        <f>IFERROR(__xludf.DUMMYFUNCTION("""COMPUTED_VALUE"""),"""")</f>
        <v>"</v>
      </c>
      <c r="B967" s="9" t="s">
        <v>976</v>
      </c>
      <c r="C967" s="9" t="str">
        <f>IFERROR(__xludf.DUMMYFUNCTION("""COMPUTED_VALUE"""),""":""")</f>
        <v>":"</v>
      </c>
      <c r="D967" s="24">
        <v>6.2005979458241782E18</v>
      </c>
      <c r="E967" s="9" t="str">
        <f>IFERROR(__xludf.DUMMYFUNCTION("""COMPUTED_VALUE"""),""",")</f>
        <v>",</v>
      </c>
    </row>
    <row r="968">
      <c r="A968" s="9" t="str">
        <f>IFERROR(__xludf.DUMMYFUNCTION("""COMPUTED_VALUE"""),"""")</f>
        <v>"</v>
      </c>
      <c r="B968" s="9" t="s">
        <v>977</v>
      </c>
      <c r="C968" s="9" t="str">
        <f>IFERROR(__xludf.DUMMYFUNCTION("""COMPUTED_VALUE"""),""":""")</f>
        <v>":"</v>
      </c>
      <c r="D968" s="24">
        <v>5.7338757658726441E18</v>
      </c>
      <c r="E968" s="9" t="str">
        <f>IFERROR(__xludf.DUMMYFUNCTION("""COMPUTED_VALUE"""),""",")</f>
        <v>",</v>
      </c>
    </row>
    <row r="969">
      <c r="A969" s="9" t="str">
        <f>IFERROR(__xludf.DUMMYFUNCTION("""COMPUTED_VALUE"""),"""")</f>
        <v>"</v>
      </c>
      <c r="B969" s="9" t="s">
        <v>978</v>
      </c>
      <c r="C969" s="9" t="str">
        <f>IFERROR(__xludf.DUMMYFUNCTION("""COMPUTED_VALUE"""),""":""")</f>
        <v>":"</v>
      </c>
      <c r="D969" s="24">
        <v>5.7331103033481779E18</v>
      </c>
      <c r="E969" s="9" t="str">
        <f>IFERROR(__xludf.DUMMYFUNCTION("""COMPUTED_VALUE"""),""",")</f>
        <v>",</v>
      </c>
    </row>
    <row r="970">
      <c r="A970" s="9" t="str">
        <f>IFERROR(__xludf.DUMMYFUNCTION("""COMPUTED_VALUE"""),"""")</f>
        <v>"</v>
      </c>
      <c r="B970" s="9" t="s">
        <v>979</v>
      </c>
      <c r="C970" s="9" t="str">
        <f>IFERROR(__xludf.DUMMYFUNCTION("""COMPUTED_VALUE"""),""":""")</f>
        <v>":"</v>
      </c>
      <c r="D970" s="24">
        <v>6.2005979458241782E18</v>
      </c>
      <c r="E970" s="9" t="str">
        <f>IFERROR(__xludf.DUMMYFUNCTION("""COMPUTED_VALUE"""),""",")</f>
        <v>",</v>
      </c>
    </row>
    <row r="971">
      <c r="A971" s="9" t="str">
        <f>IFERROR(__xludf.DUMMYFUNCTION("""COMPUTED_VALUE"""),"""")</f>
        <v>"</v>
      </c>
      <c r="B971" s="9" t="s">
        <v>980</v>
      </c>
      <c r="C971" s="9" t="str">
        <f>IFERROR(__xludf.DUMMYFUNCTION("""COMPUTED_VALUE"""),""":""")</f>
        <v>":"</v>
      </c>
      <c r="D971" s="24">
        <v>6.2005979458241782E18</v>
      </c>
      <c r="E971" s="9" t="str">
        <f>IFERROR(__xludf.DUMMYFUNCTION("""COMPUTED_VALUE"""),""",")</f>
        <v>",</v>
      </c>
    </row>
    <row r="972">
      <c r="A972" s="9" t="str">
        <f>IFERROR(__xludf.DUMMYFUNCTION("""COMPUTED_VALUE"""),"""")</f>
        <v>"</v>
      </c>
      <c r="B972" s="9" t="s">
        <v>981</v>
      </c>
      <c r="C972" s="9" t="str">
        <f>IFERROR(__xludf.DUMMYFUNCTION("""COMPUTED_VALUE"""),""":""")</f>
        <v>":"</v>
      </c>
      <c r="D972" s="24">
        <v>1.52126625295911117E18</v>
      </c>
      <c r="E972" s="9" t="str">
        <f>IFERROR(__xludf.DUMMYFUNCTION("""COMPUTED_VALUE"""),""",")</f>
        <v>",</v>
      </c>
    </row>
    <row r="973">
      <c r="A973" s="9" t="str">
        <f>IFERROR(__xludf.DUMMYFUNCTION("""COMPUTED_VALUE"""),"""")</f>
        <v>"</v>
      </c>
      <c r="B973" s="9" t="s">
        <v>982</v>
      </c>
      <c r="C973" s="9" t="str">
        <f>IFERROR(__xludf.DUMMYFUNCTION("""COMPUTED_VALUE"""),""":""")</f>
        <v>":"</v>
      </c>
      <c r="D973" s="24">
        <v>6.2005979458241782E18</v>
      </c>
      <c r="E973" s="9" t="str">
        <f>IFERROR(__xludf.DUMMYFUNCTION("""COMPUTED_VALUE"""),""",")</f>
        <v>",</v>
      </c>
    </row>
    <row r="974">
      <c r="A974" s="9" t="str">
        <f>IFERROR(__xludf.DUMMYFUNCTION("""COMPUTED_VALUE"""),"""")</f>
        <v>"</v>
      </c>
      <c r="B974" s="9" t="s">
        <v>983</v>
      </c>
      <c r="C974" s="9" t="str">
        <f>IFERROR(__xludf.DUMMYFUNCTION("""COMPUTED_VALUE"""),""":""")</f>
        <v>":"</v>
      </c>
      <c r="D974" s="24">
        <v>1.588767671022109E19</v>
      </c>
      <c r="E974" s="9" t="str">
        <f>IFERROR(__xludf.DUMMYFUNCTION("""COMPUTED_VALUE"""),""",")</f>
        <v>",</v>
      </c>
    </row>
    <row r="975">
      <c r="A975" s="9" t="str">
        <f>IFERROR(__xludf.DUMMYFUNCTION("""COMPUTED_VALUE"""),"""")</f>
        <v>"</v>
      </c>
      <c r="B975" s="9" t="s">
        <v>984</v>
      </c>
      <c r="C975" s="9" t="str">
        <f>IFERROR(__xludf.DUMMYFUNCTION("""COMPUTED_VALUE"""),""":""")</f>
        <v>":"</v>
      </c>
      <c r="D975" s="24">
        <v>7.8127929343125801E18</v>
      </c>
      <c r="E975" s="9" t="str">
        <f>IFERROR(__xludf.DUMMYFUNCTION("""COMPUTED_VALUE"""),""",")</f>
        <v>",</v>
      </c>
    </row>
    <row r="976">
      <c r="A976" s="9" t="str">
        <f>IFERROR(__xludf.DUMMYFUNCTION("""COMPUTED_VALUE"""),"""")</f>
        <v>"</v>
      </c>
      <c r="B976" s="9" t="s">
        <v>985</v>
      </c>
      <c r="C976" s="9" t="str">
        <f>IFERROR(__xludf.DUMMYFUNCTION("""COMPUTED_VALUE"""),""":""")</f>
        <v>":"</v>
      </c>
      <c r="D976" s="24">
        <v>3.2408212317485662E19</v>
      </c>
      <c r="E976" s="9" t="str">
        <f>IFERROR(__xludf.DUMMYFUNCTION("""COMPUTED_VALUE"""),""",")</f>
        <v>",</v>
      </c>
    </row>
    <row r="977">
      <c r="A977" s="9" t="str">
        <f>IFERROR(__xludf.DUMMYFUNCTION("""COMPUTED_VALUE"""),"""")</f>
        <v>"</v>
      </c>
      <c r="B977" s="9" t="s">
        <v>986</v>
      </c>
      <c r="C977" s="9" t="str">
        <f>IFERROR(__xludf.DUMMYFUNCTION("""COMPUTED_VALUE"""),""":""")</f>
        <v>":"</v>
      </c>
      <c r="D977" s="24">
        <v>2.2861005635509555E19</v>
      </c>
      <c r="E977" s="9" t="str">
        <f>IFERROR(__xludf.DUMMYFUNCTION("""COMPUTED_VALUE"""),""",")</f>
        <v>",</v>
      </c>
    </row>
    <row r="978">
      <c r="A978" s="9" t="str">
        <f>IFERROR(__xludf.DUMMYFUNCTION("""COMPUTED_VALUE"""),"""")</f>
        <v>"</v>
      </c>
      <c r="B978" s="9" t="s">
        <v>987</v>
      </c>
      <c r="C978" s="9" t="str">
        <f>IFERROR(__xludf.DUMMYFUNCTION("""COMPUTED_VALUE"""),""":""")</f>
        <v>":"</v>
      </c>
      <c r="D978" s="24">
        <v>6.2005979458241782E18</v>
      </c>
      <c r="E978" s="9" t="str">
        <f>IFERROR(__xludf.DUMMYFUNCTION("""COMPUTED_VALUE"""),""",")</f>
        <v>",</v>
      </c>
    </row>
    <row r="979">
      <c r="A979" s="9" t="str">
        <f>IFERROR(__xludf.DUMMYFUNCTION("""COMPUTED_VALUE"""),"""")</f>
        <v>"</v>
      </c>
      <c r="B979" s="9" t="s">
        <v>988</v>
      </c>
      <c r="C979" s="9" t="str">
        <f>IFERROR(__xludf.DUMMYFUNCTION("""COMPUTED_VALUE"""),""":""")</f>
        <v>":"</v>
      </c>
      <c r="D979" s="24">
        <v>6.1385864020733553E18</v>
      </c>
      <c r="E979" s="9" t="str">
        <f>IFERROR(__xludf.DUMMYFUNCTION("""COMPUTED_VALUE"""),""",")</f>
        <v>",</v>
      </c>
    </row>
    <row r="980">
      <c r="A980" s="9" t="str">
        <f>IFERROR(__xludf.DUMMYFUNCTION("""COMPUTED_VALUE"""),"""")</f>
        <v>"</v>
      </c>
      <c r="B980" s="9" t="s">
        <v>989</v>
      </c>
      <c r="C980" s="9" t="str">
        <f>IFERROR(__xludf.DUMMYFUNCTION("""COMPUTED_VALUE"""),""":""")</f>
        <v>":"</v>
      </c>
      <c r="D980" s="24">
        <v>1.0416851384096152E20</v>
      </c>
      <c r="E980" s="9" t="str">
        <f>IFERROR(__xludf.DUMMYFUNCTION("""COMPUTED_VALUE"""),""",")</f>
        <v>",</v>
      </c>
    </row>
    <row r="981">
      <c r="A981" s="9" t="str">
        <f>IFERROR(__xludf.DUMMYFUNCTION("""COMPUTED_VALUE"""),"""")</f>
        <v>"</v>
      </c>
      <c r="B981" s="9" t="s">
        <v>990</v>
      </c>
      <c r="C981" s="9" t="str">
        <f>IFERROR(__xludf.DUMMYFUNCTION("""COMPUTED_VALUE"""),""":""")</f>
        <v>":"</v>
      </c>
      <c r="D981" s="24">
        <v>2.432946020564369E19</v>
      </c>
      <c r="E981" s="9" t="str">
        <f>IFERROR(__xludf.DUMMYFUNCTION("""COMPUTED_VALUE"""),""",")</f>
        <v>",</v>
      </c>
    </row>
    <row r="982">
      <c r="A982" s="9" t="str">
        <f>IFERROR(__xludf.DUMMYFUNCTION("""COMPUTED_VALUE"""),"""")</f>
        <v>"</v>
      </c>
      <c r="B982" s="9" t="s">
        <v>991</v>
      </c>
      <c r="C982" s="9" t="str">
        <f>IFERROR(__xludf.DUMMYFUNCTION("""COMPUTED_VALUE"""),""":""")</f>
        <v>":"</v>
      </c>
      <c r="D982" s="24">
        <v>6.2005979458241782E18</v>
      </c>
      <c r="E982" s="9" t="str">
        <f>IFERROR(__xludf.DUMMYFUNCTION("""COMPUTED_VALUE"""),""",")</f>
        <v>",</v>
      </c>
    </row>
    <row r="983">
      <c r="A983" s="9" t="str">
        <f>IFERROR(__xludf.DUMMYFUNCTION("""COMPUTED_VALUE"""),"""")</f>
        <v>"</v>
      </c>
      <c r="B983" s="9" t="s">
        <v>992</v>
      </c>
      <c r="C983" s="9" t="str">
        <f>IFERROR(__xludf.DUMMYFUNCTION("""COMPUTED_VALUE"""),""":""")</f>
        <v>":"</v>
      </c>
      <c r="D983" s="24">
        <v>6.2005979458241782E18</v>
      </c>
      <c r="E983" s="9" t="str">
        <f>IFERROR(__xludf.DUMMYFUNCTION("""COMPUTED_VALUE"""),""",")</f>
        <v>",</v>
      </c>
    </row>
    <row r="984">
      <c r="A984" s="9" t="str">
        <f>IFERROR(__xludf.DUMMYFUNCTION("""COMPUTED_VALUE"""),"""")</f>
        <v>"</v>
      </c>
      <c r="B984" s="9" t="s">
        <v>993</v>
      </c>
      <c r="C984" s="9" t="str">
        <f>IFERROR(__xludf.DUMMYFUNCTION("""COMPUTED_VALUE"""),""":""")</f>
        <v>":"</v>
      </c>
      <c r="D984" s="24">
        <v>6.2005979458241782E18</v>
      </c>
      <c r="E984" s="9" t="str">
        <f>IFERROR(__xludf.DUMMYFUNCTION("""COMPUTED_VALUE"""),""",")</f>
        <v>",</v>
      </c>
    </row>
    <row r="985">
      <c r="A985" s="9" t="str">
        <f>IFERROR(__xludf.DUMMYFUNCTION("""COMPUTED_VALUE"""),"""")</f>
        <v>"</v>
      </c>
      <c r="B985" s="9" t="s">
        <v>994</v>
      </c>
      <c r="C985" s="9" t="str">
        <f>IFERROR(__xludf.DUMMYFUNCTION("""COMPUTED_VALUE"""),""":""")</f>
        <v>":"</v>
      </c>
      <c r="D985" s="24">
        <v>6.2005979458241782E18</v>
      </c>
      <c r="E985" s="9" t="str">
        <f>IFERROR(__xludf.DUMMYFUNCTION("""COMPUTED_VALUE"""),""",")</f>
        <v>",</v>
      </c>
    </row>
    <row r="986">
      <c r="A986" s="9" t="str">
        <f>IFERROR(__xludf.DUMMYFUNCTION("""COMPUTED_VALUE"""),"""")</f>
        <v>"</v>
      </c>
      <c r="B986" s="9" t="s">
        <v>995</v>
      </c>
      <c r="C986" s="9" t="str">
        <f>IFERROR(__xludf.DUMMYFUNCTION("""COMPUTED_VALUE"""),""":""")</f>
        <v>":"</v>
      </c>
      <c r="D986" s="24">
        <v>1.9647526000784355E19</v>
      </c>
      <c r="E986" s="9" t="str">
        <f>IFERROR(__xludf.DUMMYFUNCTION("""COMPUTED_VALUE"""),""",")</f>
        <v>",</v>
      </c>
    </row>
    <row r="987">
      <c r="A987" s="9" t="str">
        <f>IFERROR(__xludf.DUMMYFUNCTION("""COMPUTED_VALUE"""),"""")</f>
        <v>"</v>
      </c>
      <c r="B987" s="9" t="s">
        <v>996</v>
      </c>
      <c r="C987" s="9" t="str">
        <f>IFERROR(__xludf.DUMMYFUNCTION("""COMPUTED_VALUE"""),""":""")</f>
        <v>":"</v>
      </c>
      <c r="D987" s="24">
        <v>4.0919649051768448E18</v>
      </c>
      <c r="E987" s="9" t="str">
        <f>IFERROR(__xludf.DUMMYFUNCTION("""COMPUTED_VALUE"""),""",")</f>
        <v>",</v>
      </c>
    </row>
    <row r="988">
      <c r="A988" s="9" t="str">
        <f>IFERROR(__xludf.DUMMYFUNCTION("""COMPUTED_VALUE"""),"""")</f>
        <v>"</v>
      </c>
      <c r="B988" s="9" t="s">
        <v>997</v>
      </c>
      <c r="C988" s="9" t="str">
        <f>IFERROR(__xludf.DUMMYFUNCTION("""COMPUTED_VALUE"""),""":""")</f>
        <v>":"</v>
      </c>
      <c r="D988" s="24">
        <v>6.2005979458241782E18</v>
      </c>
      <c r="E988" s="9" t="str">
        <f>IFERROR(__xludf.DUMMYFUNCTION("""COMPUTED_VALUE"""),""",")</f>
        <v>",</v>
      </c>
    </row>
    <row r="989">
      <c r="A989" s="9" t="str">
        <f>IFERROR(__xludf.DUMMYFUNCTION("""COMPUTED_VALUE"""),"""")</f>
        <v>"</v>
      </c>
      <c r="B989" s="9" t="s">
        <v>998</v>
      </c>
      <c r="C989" s="9" t="str">
        <f>IFERROR(__xludf.DUMMYFUNCTION("""COMPUTED_VALUE"""),""":""")</f>
        <v>":"</v>
      </c>
      <c r="D989" s="24">
        <v>5.341309994130644E18</v>
      </c>
      <c r="E989" s="9" t="str">
        <f>IFERROR(__xludf.DUMMYFUNCTION("""COMPUTED_VALUE"""),""",")</f>
        <v>",</v>
      </c>
    </row>
    <row r="990">
      <c r="A990" s="9" t="str">
        <f>IFERROR(__xludf.DUMMYFUNCTION("""COMPUTED_VALUE"""),"""")</f>
        <v>"</v>
      </c>
      <c r="B990" s="9" t="s">
        <v>999</v>
      </c>
      <c r="C990" s="9" t="str">
        <f>IFERROR(__xludf.DUMMYFUNCTION("""COMPUTED_VALUE"""),""":""")</f>
        <v>":"</v>
      </c>
      <c r="D990" s="24">
        <v>2.3766119156661555E18</v>
      </c>
      <c r="E990" s="9" t="str">
        <f>IFERROR(__xludf.DUMMYFUNCTION("""COMPUTED_VALUE"""),""",")</f>
        <v>",</v>
      </c>
    </row>
    <row r="991">
      <c r="A991" s="9" t="str">
        <f>IFERROR(__xludf.DUMMYFUNCTION("""COMPUTED_VALUE"""),"""")</f>
        <v>"</v>
      </c>
      <c r="B991" s="9" t="s">
        <v>1000</v>
      </c>
      <c r="C991" s="9" t="str">
        <f>IFERROR(__xludf.DUMMYFUNCTION("""COMPUTED_VALUE"""),""":""")</f>
        <v>":"</v>
      </c>
      <c r="D991" s="24">
        <v>2.0196353680289223E19</v>
      </c>
      <c r="E991" s="9" t="str">
        <f>IFERROR(__xludf.DUMMYFUNCTION("""COMPUTED_VALUE"""),""",")</f>
        <v>",</v>
      </c>
    </row>
    <row r="992">
      <c r="A992" s="9" t="str">
        <f>IFERROR(__xludf.DUMMYFUNCTION("""COMPUTED_VALUE"""),"""")</f>
        <v>"</v>
      </c>
      <c r="B992" s="9" t="s">
        <v>1001</v>
      </c>
      <c r="C992" s="9" t="str">
        <f>IFERROR(__xludf.DUMMYFUNCTION("""COMPUTED_VALUE"""),""":""")</f>
        <v>":"</v>
      </c>
      <c r="D992" s="24">
        <v>2.032492038678484E19</v>
      </c>
      <c r="E992" s="9" t="str">
        <f>IFERROR(__xludf.DUMMYFUNCTION("""COMPUTED_VALUE"""),""",")</f>
        <v>",</v>
      </c>
    </row>
    <row r="993">
      <c r="A993" s="9" t="str">
        <f>IFERROR(__xludf.DUMMYFUNCTION("""COMPUTED_VALUE"""),"""")</f>
        <v>"</v>
      </c>
      <c r="B993" s="9" t="s">
        <v>1002</v>
      </c>
      <c r="C993" s="9" t="str">
        <f>IFERROR(__xludf.DUMMYFUNCTION("""COMPUTED_VALUE"""),""":""")</f>
        <v>":"</v>
      </c>
      <c r="D993" s="24">
        <v>5.4175012128601989E18</v>
      </c>
      <c r="E993" s="9" t="str">
        <f>IFERROR(__xludf.DUMMYFUNCTION("""COMPUTED_VALUE"""),""",")</f>
        <v>",</v>
      </c>
    </row>
    <row r="994">
      <c r="A994" s="9" t="str">
        <f>IFERROR(__xludf.DUMMYFUNCTION("""COMPUTED_VALUE"""),"""")</f>
        <v>"</v>
      </c>
      <c r="B994" s="9" t="s">
        <v>1003</v>
      </c>
      <c r="C994" s="9" t="str">
        <f>IFERROR(__xludf.DUMMYFUNCTION("""COMPUTED_VALUE"""),""":""")</f>
        <v>":"</v>
      </c>
      <c r="D994" s="24">
        <v>2.0248888511809958E19</v>
      </c>
      <c r="E994" s="9" t="str">
        <f>IFERROR(__xludf.DUMMYFUNCTION("""COMPUTED_VALUE"""),""",")</f>
        <v>",</v>
      </c>
    </row>
    <row r="995">
      <c r="A995" s="9" t="str">
        <f>IFERROR(__xludf.DUMMYFUNCTION("""COMPUTED_VALUE"""),"""")</f>
        <v>"</v>
      </c>
      <c r="B995" s="9" t="s">
        <v>1004</v>
      </c>
      <c r="C995" s="9" t="str">
        <f>IFERROR(__xludf.DUMMYFUNCTION("""COMPUTED_VALUE"""),""":""")</f>
        <v>":"</v>
      </c>
      <c r="D995" s="24">
        <v>3.463604808330422E19</v>
      </c>
      <c r="E995" s="9" t="str">
        <f>IFERROR(__xludf.DUMMYFUNCTION("""COMPUTED_VALUE"""),""",")</f>
        <v>",</v>
      </c>
    </row>
    <row r="996">
      <c r="A996" s="9" t="str">
        <f>IFERROR(__xludf.DUMMYFUNCTION("""COMPUTED_VALUE"""),"""")</f>
        <v>"</v>
      </c>
      <c r="B996" s="9" t="s">
        <v>1005</v>
      </c>
      <c r="C996" s="9" t="str">
        <f>IFERROR(__xludf.DUMMYFUNCTION("""COMPUTED_VALUE"""),""":""")</f>
        <v>":"</v>
      </c>
      <c r="D996" s="24">
        <v>4.114009240303911E19</v>
      </c>
      <c r="E996" s="9" t="str">
        <f>IFERROR(__xludf.DUMMYFUNCTION("""COMPUTED_VALUE"""),""",")</f>
        <v>",</v>
      </c>
    </row>
    <row r="997">
      <c r="A997" s="9" t="str">
        <f>IFERROR(__xludf.DUMMYFUNCTION("""COMPUTED_VALUE"""),"""")</f>
        <v>"</v>
      </c>
      <c r="B997" s="9" t="s">
        <v>1006</v>
      </c>
      <c r="C997" s="9" t="str">
        <f>IFERROR(__xludf.DUMMYFUNCTION("""COMPUTED_VALUE"""),""":""")</f>
        <v>":"</v>
      </c>
      <c r="D997" s="24">
        <v>1.9397686389299802E19</v>
      </c>
      <c r="E997" s="9" t="str">
        <f>IFERROR(__xludf.DUMMYFUNCTION("""COMPUTED_VALUE"""),""",")</f>
        <v>",</v>
      </c>
    </row>
    <row r="998">
      <c r="A998" s="9" t="str">
        <f>IFERROR(__xludf.DUMMYFUNCTION("""COMPUTED_VALUE"""),"""")</f>
        <v>"</v>
      </c>
      <c r="B998" s="9" t="s">
        <v>1007</v>
      </c>
      <c r="C998" s="9" t="str">
        <f>IFERROR(__xludf.DUMMYFUNCTION("""COMPUTED_VALUE"""),""":""")</f>
        <v>":"</v>
      </c>
      <c r="D998" s="24">
        <v>2.0248888511809958E19</v>
      </c>
      <c r="E998" s="9" t="str">
        <f>IFERROR(__xludf.DUMMYFUNCTION("""COMPUTED_VALUE"""),""",")</f>
        <v>",</v>
      </c>
    </row>
    <row r="999">
      <c r="A999" s="9" t="str">
        <f>IFERROR(__xludf.DUMMYFUNCTION("""COMPUTED_VALUE"""),"""")</f>
        <v>"</v>
      </c>
      <c r="B999" s="9" t="s">
        <v>1008</v>
      </c>
      <c r="C999" s="9" t="str">
        <f>IFERROR(__xludf.DUMMYFUNCTION("""COMPUTED_VALUE"""),""":""")</f>
        <v>":"</v>
      </c>
      <c r="D999" s="24">
        <v>1.181991417221849E19</v>
      </c>
      <c r="E999" s="9" t="str">
        <f>IFERROR(__xludf.DUMMYFUNCTION("""COMPUTED_VALUE"""),""",")</f>
        <v>",</v>
      </c>
    </row>
    <row r="1000">
      <c r="A1000" s="9" t="str">
        <f>IFERROR(__xludf.DUMMYFUNCTION("""COMPUTED_VALUE"""),"""")</f>
        <v>"</v>
      </c>
      <c r="B1000" s="9" t="s">
        <v>1009</v>
      </c>
      <c r="C1000" s="9" t="str">
        <f>IFERROR(__xludf.DUMMYFUNCTION("""COMPUTED_VALUE"""),""":""")</f>
        <v>":"</v>
      </c>
      <c r="D1000" s="24">
        <v>2.0248888511809958E19</v>
      </c>
      <c r="E1000" s="9" t="str">
        <f>IFERROR(__xludf.DUMMYFUNCTION("""COMPUTED_VALUE"""),""",")</f>
        <v>",</v>
      </c>
    </row>
    <row r="1001">
      <c r="A1001" s="9" t="str">
        <f>IFERROR(__xludf.DUMMYFUNCTION("""COMPUTED_VALUE"""),"""")</f>
        <v>"</v>
      </c>
      <c r="B1001" s="9" t="s">
        <v>1010</v>
      </c>
      <c r="C1001" s="9" t="str">
        <f>IFERROR(__xludf.DUMMYFUNCTION("""COMPUTED_VALUE"""),""":""")</f>
        <v>":"</v>
      </c>
      <c r="D1001" s="24">
        <v>2.5469092126605263E19</v>
      </c>
      <c r="E1001" s="9" t="str">
        <f>IFERROR(__xludf.DUMMYFUNCTION("""COMPUTED_VALUE"""),""",")</f>
        <v>",</v>
      </c>
    </row>
    <row r="1002">
      <c r="A1002" s="9" t="str">
        <f>IFERROR(__xludf.DUMMYFUNCTION("""COMPUTED_VALUE"""),"""")</f>
        <v>"</v>
      </c>
      <c r="B1002" s="9" t="s">
        <v>1011</v>
      </c>
      <c r="C1002" s="9" t="str">
        <f>IFERROR(__xludf.DUMMYFUNCTION("""COMPUTED_VALUE"""),""":""")</f>
        <v>":"</v>
      </c>
      <c r="D1002" s="24">
        <v>5.8959175568887562E18</v>
      </c>
      <c r="E1002" s="9" t="str">
        <f>IFERROR(__xludf.DUMMYFUNCTION("""COMPUTED_VALUE"""),""",")</f>
        <v>",</v>
      </c>
    </row>
    <row r="1003">
      <c r="A1003" s="9" t="str">
        <f>IFERROR(__xludf.DUMMYFUNCTION("""COMPUTED_VALUE"""),"""")</f>
        <v>"</v>
      </c>
      <c r="B1003" s="9" t="s">
        <v>1012</v>
      </c>
      <c r="C1003" s="9" t="str">
        <f>IFERROR(__xludf.DUMMYFUNCTION("""COMPUTED_VALUE"""),""":""")</f>
        <v>":"</v>
      </c>
      <c r="D1003" s="24">
        <v>2.0248888511809958E19</v>
      </c>
      <c r="E1003" s="9" t="str">
        <f>IFERROR(__xludf.DUMMYFUNCTION("""COMPUTED_VALUE"""),""",")</f>
        <v>",</v>
      </c>
    </row>
    <row r="1004">
      <c r="A1004" s="9" t="str">
        <f>IFERROR(__xludf.DUMMYFUNCTION("""COMPUTED_VALUE"""),"""")</f>
        <v>"</v>
      </c>
      <c r="B1004" s="9" t="s">
        <v>1013</v>
      </c>
      <c r="C1004" s="9" t="str">
        <f>IFERROR(__xludf.DUMMYFUNCTION("""COMPUTED_VALUE"""),""":""")</f>
        <v>":"</v>
      </c>
      <c r="D1004" s="24">
        <v>6.2005979458241782E18</v>
      </c>
      <c r="E1004" s="9" t="str">
        <f>IFERROR(__xludf.DUMMYFUNCTION("""COMPUTED_VALUE"""),""",")</f>
        <v>",</v>
      </c>
    </row>
    <row r="1005">
      <c r="A1005" s="9" t="str">
        <f>IFERROR(__xludf.DUMMYFUNCTION("""COMPUTED_VALUE"""),"""")</f>
        <v>"</v>
      </c>
      <c r="B1005" s="9" t="s">
        <v>1014</v>
      </c>
      <c r="C1005" s="9" t="str">
        <f>IFERROR(__xludf.DUMMYFUNCTION("""COMPUTED_VALUE"""),""":""")</f>
        <v>":"</v>
      </c>
      <c r="D1005" s="24">
        <v>4.1123368657755996E18</v>
      </c>
      <c r="E1005" s="9" t="str">
        <f>IFERROR(__xludf.DUMMYFUNCTION("""COMPUTED_VALUE"""),""",")</f>
        <v>",</v>
      </c>
    </row>
    <row r="1006">
      <c r="A1006" s="9" t="str">
        <f>IFERROR(__xludf.DUMMYFUNCTION("""COMPUTED_VALUE"""),"""")</f>
        <v>"</v>
      </c>
      <c r="B1006" s="9" t="s">
        <v>1015</v>
      </c>
      <c r="C1006" s="9" t="str">
        <f>IFERROR(__xludf.DUMMYFUNCTION("""COMPUTED_VALUE"""),""":""")</f>
        <v>":"</v>
      </c>
      <c r="D1006" s="24">
        <v>6.2005979458241782E18</v>
      </c>
      <c r="E1006" s="9" t="str">
        <f>IFERROR(__xludf.DUMMYFUNCTION("""COMPUTED_VALUE"""),""",")</f>
        <v>",</v>
      </c>
    </row>
    <row r="1007">
      <c r="A1007" s="9" t="str">
        <f>IFERROR(__xludf.DUMMYFUNCTION("""COMPUTED_VALUE"""),"""")</f>
        <v>"</v>
      </c>
      <c r="B1007" s="9" t="s">
        <v>1016</v>
      </c>
      <c r="C1007" s="9" t="str">
        <f>IFERROR(__xludf.DUMMYFUNCTION("""COMPUTED_VALUE"""),""":""")</f>
        <v>":"</v>
      </c>
      <c r="D1007" s="24">
        <v>6.2005979458241782E18</v>
      </c>
      <c r="E1007" s="9" t="str">
        <f>IFERROR(__xludf.DUMMYFUNCTION("""COMPUTED_VALUE"""),""",")</f>
        <v>",</v>
      </c>
    </row>
    <row r="1008">
      <c r="A1008" s="9" t="str">
        <f>IFERROR(__xludf.DUMMYFUNCTION("""COMPUTED_VALUE"""),"""")</f>
        <v>"</v>
      </c>
      <c r="B1008" s="9" t="s">
        <v>1017</v>
      </c>
      <c r="C1008" s="9" t="str">
        <f>IFERROR(__xludf.DUMMYFUNCTION("""COMPUTED_VALUE"""),""":""")</f>
        <v>":"</v>
      </c>
      <c r="D1008" s="24">
        <v>1.4688188777802222E19</v>
      </c>
      <c r="E1008" s="9" t="str">
        <f>IFERROR(__xludf.DUMMYFUNCTION("""COMPUTED_VALUE"""),""",")</f>
        <v>",</v>
      </c>
    </row>
    <row r="1009">
      <c r="A1009" s="9" t="str">
        <f>IFERROR(__xludf.DUMMYFUNCTION("""COMPUTED_VALUE"""),"""")</f>
        <v>"</v>
      </c>
      <c r="B1009" s="9" t="s">
        <v>1018</v>
      </c>
      <c r="C1009" s="9" t="str">
        <f>IFERROR(__xludf.DUMMYFUNCTION("""COMPUTED_VALUE"""),""":""")</f>
        <v>":"</v>
      </c>
      <c r="D1009" s="24">
        <v>4.924371671188823E18</v>
      </c>
      <c r="E1009" s="9" t="str">
        <f>IFERROR(__xludf.DUMMYFUNCTION("""COMPUTED_VALUE"""),""",")</f>
        <v>",</v>
      </c>
    </row>
    <row r="1010">
      <c r="A1010" s="9" t="str">
        <f>IFERROR(__xludf.DUMMYFUNCTION("""COMPUTED_VALUE"""),"""")</f>
        <v>"</v>
      </c>
      <c r="B1010" s="9" t="s">
        <v>1019</v>
      </c>
      <c r="C1010" s="9" t="str">
        <f>IFERROR(__xludf.DUMMYFUNCTION("""COMPUTED_VALUE"""),""":""")</f>
        <v>":"</v>
      </c>
      <c r="D1010" s="24">
        <v>2.2843275628863468E19</v>
      </c>
      <c r="E1010" s="9" t="str">
        <f>IFERROR(__xludf.DUMMYFUNCTION("""COMPUTED_VALUE"""),""",")</f>
        <v>",</v>
      </c>
    </row>
    <row r="1011">
      <c r="A1011" s="9" t="str">
        <f>IFERROR(__xludf.DUMMYFUNCTION("""COMPUTED_VALUE"""),"""")</f>
        <v>"</v>
      </c>
      <c r="B1011" s="9" t="s">
        <v>1020</v>
      </c>
      <c r="C1011" s="9" t="str">
        <f>IFERROR(__xludf.DUMMYFUNCTION("""COMPUTED_VALUE"""),""":""")</f>
        <v>":"</v>
      </c>
      <c r="D1011" s="24">
        <v>2.0207764785866355E19</v>
      </c>
      <c r="E1011" s="9" t="str">
        <f>IFERROR(__xludf.DUMMYFUNCTION("""COMPUTED_VALUE"""),""",")</f>
        <v>",</v>
      </c>
    </row>
    <row r="1012">
      <c r="A1012" s="9" t="str">
        <f>IFERROR(__xludf.DUMMYFUNCTION("""COMPUTED_VALUE"""),"""")</f>
        <v>"</v>
      </c>
      <c r="B1012" s="9" t="s">
        <v>1021</v>
      </c>
      <c r="C1012" s="9" t="str">
        <f>IFERROR(__xludf.DUMMYFUNCTION("""COMPUTED_VALUE"""),""":""")</f>
        <v>":"</v>
      </c>
      <c r="D1012" s="24">
        <v>1.0291781166405532E19</v>
      </c>
      <c r="E1012" s="9" t="str">
        <f>IFERROR(__xludf.DUMMYFUNCTION("""COMPUTED_VALUE"""),""",")</f>
        <v>",</v>
      </c>
    </row>
    <row r="1013">
      <c r="A1013" s="9" t="str">
        <f>IFERROR(__xludf.DUMMYFUNCTION("""COMPUTED_VALUE"""),"""")</f>
        <v>"</v>
      </c>
      <c r="B1013" s="9" t="s">
        <v>1022</v>
      </c>
      <c r="C1013" s="9" t="str">
        <f>IFERROR(__xludf.DUMMYFUNCTION("""COMPUTED_VALUE"""),""":""")</f>
        <v>":"</v>
      </c>
      <c r="D1013" s="24">
        <v>6.2005979458241782E18</v>
      </c>
      <c r="E1013" s="9" t="str">
        <f>IFERROR(__xludf.DUMMYFUNCTION("""COMPUTED_VALUE"""),""",")</f>
        <v>",</v>
      </c>
    </row>
    <row r="1014">
      <c r="A1014" s="9" t="str">
        <f>IFERROR(__xludf.DUMMYFUNCTION("""COMPUTED_VALUE"""),"""")</f>
        <v>"</v>
      </c>
      <c r="B1014" s="9" t="s">
        <v>1023</v>
      </c>
      <c r="C1014" s="9" t="str">
        <f>IFERROR(__xludf.DUMMYFUNCTION("""COMPUTED_VALUE"""),""":""")</f>
        <v>":"</v>
      </c>
      <c r="D1014" s="24">
        <v>6.2005979458241782E18</v>
      </c>
      <c r="E1014" s="9" t="str">
        <f>IFERROR(__xludf.DUMMYFUNCTION("""COMPUTED_VALUE"""),""",")</f>
        <v>",</v>
      </c>
    </row>
    <row r="1015">
      <c r="A1015" s="9" t="str">
        <f>IFERROR(__xludf.DUMMYFUNCTION("""COMPUTED_VALUE"""),"""")</f>
        <v>"</v>
      </c>
      <c r="B1015" s="9" t="s">
        <v>1024</v>
      </c>
      <c r="C1015" s="9" t="str">
        <f>IFERROR(__xludf.DUMMYFUNCTION("""COMPUTED_VALUE"""),""":""")</f>
        <v>":"</v>
      </c>
      <c r="D1015" s="24">
        <v>6.2005979458241782E18</v>
      </c>
      <c r="E1015" s="9" t="str">
        <f>IFERROR(__xludf.DUMMYFUNCTION("""COMPUTED_VALUE"""),""",")</f>
        <v>",</v>
      </c>
    </row>
    <row r="1016">
      <c r="A1016" s="9" t="str">
        <f>IFERROR(__xludf.DUMMYFUNCTION("""COMPUTED_VALUE"""),"""")</f>
        <v>"</v>
      </c>
      <c r="B1016" s="9" t="s">
        <v>1025</v>
      </c>
      <c r="C1016" s="9" t="str">
        <f>IFERROR(__xludf.DUMMYFUNCTION("""COMPUTED_VALUE"""),""":""")</f>
        <v>":"</v>
      </c>
      <c r="D1016" s="24">
        <v>6.2005979458241782E18</v>
      </c>
      <c r="E1016" s="9" t="str">
        <f>IFERROR(__xludf.DUMMYFUNCTION("""COMPUTED_VALUE"""),""",")</f>
        <v>",</v>
      </c>
    </row>
    <row r="1017">
      <c r="A1017" s="9" t="str">
        <f>IFERROR(__xludf.DUMMYFUNCTION("""COMPUTED_VALUE"""),"""")</f>
        <v>"</v>
      </c>
      <c r="B1017" s="9" t="s">
        <v>1026</v>
      </c>
      <c r="C1017" s="9" t="str">
        <f>IFERROR(__xludf.DUMMYFUNCTION("""COMPUTED_VALUE"""),""":""")</f>
        <v>":"</v>
      </c>
      <c r="D1017" s="24">
        <v>2.0674325937607963E19</v>
      </c>
      <c r="E1017" s="9" t="str">
        <f>IFERROR(__xludf.DUMMYFUNCTION("""COMPUTED_VALUE"""),""",")</f>
        <v>",</v>
      </c>
    </row>
    <row r="1018">
      <c r="A1018" s="9" t="str">
        <f>IFERROR(__xludf.DUMMYFUNCTION("""COMPUTED_VALUE"""),"""")</f>
        <v>"</v>
      </c>
      <c r="B1018" s="9" t="s">
        <v>1027</v>
      </c>
      <c r="C1018" s="9" t="str">
        <f>IFERROR(__xludf.DUMMYFUNCTION("""COMPUTED_VALUE"""),""":""")</f>
        <v>":"</v>
      </c>
      <c r="D1018" s="24">
        <v>6.2005979458241782E18</v>
      </c>
      <c r="E1018" s="9" t="str">
        <f>IFERROR(__xludf.DUMMYFUNCTION("""COMPUTED_VALUE"""),""",")</f>
        <v>",</v>
      </c>
    </row>
    <row r="1019">
      <c r="A1019" s="9" t="str">
        <f>IFERROR(__xludf.DUMMYFUNCTION("""COMPUTED_VALUE"""),"""")</f>
        <v>"</v>
      </c>
      <c r="B1019" s="9" t="s">
        <v>1028</v>
      </c>
      <c r="C1019" s="9" t="str">
        <f>IFERROR(__xludf.DUMMYFUNCTION("""COMPUTED_VALUE"""),""":""")</f>
        <v>":"</v>
      </c>
      <c r="D1019" s="24">
        <v>6.2005979458241782E18</v>
      </c>
      <c r="E1019" s="9" t="str">
        <f>IFERROR(__xludf.DUMMYFUNCTION("""COMPUTED_VALUE"""),""",")</f>
        <v>",</v>
      </c>
    </row>
    <row r="1020">
      <c r="A1020" s="9" t="str">
        <f>IFERROR(__xludf.DUMMYFUNCTION("""COMPUTED_VALUE"""),"""")</f>
        <v>"</v>
      </c>
      <c r="B1020" s="9" t="s">
        <v>1029</v>
      </c>
      <c r="C1020" s="9" t="str">
        <f>IFERROR(__xludf.DUMMYFUNCTION("""COMPUTED_VALUE"""),""":""")</f>
        <v>":"</v>
      </c>
      <c r="D1020" s="24">
        <v>1.7408957938132167E19</v>
      </c>
      <c r="E1020" s="9" t="str">
        <f>IFERROR(__xludf.DUMMYFUNCTION("""COMPUTED_VALUE"""),""",")</f>
        <v>",</v>
      </c>
    </row>
    <row r="1021">
      <c r="A1021" s="9" t="str">
        <f>IFERROR(__xludf.DUMMYFUNCTION("""COMPUTED_VALUE"""),"""")</f>
        <v>"</v>
      </c>
      <c r="B1021" s="9" t="s">
        <v>1030</v>
      </c>
      <c r="C1021" s="9" t="str">
        <f>IFERROR(__xludf.DUMMYFUNCTION("""COMPUTED_VALUE"""),""":""")</f>
        <v>":"</v>
      </c>
      <c r="D1021" s="24">
        <v>6.0786078943513559E18</v>
      </c>
      <c r="E1021" s="9" t="str">
        <f>IFERROR(__xludf.DUMMYFUNCTION("""COMPUTED_VALUE"""),""",")</f>
        <v>",</v>
      </c>
    </row>
    <row r="1022">
      <c r="A1022" s="9" t="str">
        <f>IFERROR(__xludf.DUMMYFUNCTION("""COMPUTED_VALUE"""),"""")</f>
        <v>"</v>
      </c>
      <c r="B1022" s="9" t="s">
        <v>1031</v>
      </c>
      <c r="C1022" s="9" t="str">
        <f>IFERROR(__xludf.DUMMYFUNCTION("""COMPUTED_VALUE"""),""":""")</f>
        <v>":"</v>
      </c>
      <c r="D1022" s="24">
        <v>2.267031648772658E19</v>
      </c>
      <c r="E1022" s="9" t="str">
        <f>IFERROR(__xludf.DUMMYFUNCTION("""COMPUTED_VALUE"""),""",")</f>
        <v>",</v>
      </c>
    </row>
    <row r="1023">
      <c r="A1023" s="9" t="str">
        <f>IFERROR(__xludf.DUMMYFUNCTION("""COMPUTED_VALUE"""),"""")</f>
        <v>"</v>
      </c>
      <c r="B1023" s="9" t="s">
        <v>1032</v>
      </c>
      <c r="C1023" s="9" t="str">
        <f>IFERROR(__xludf.DUMMYFUNCTION("""COMPUTED_VALUE"""),""":""")</f>
        <v>":"</v>
      </c>
      <c r="D1023" s="24">
        <v>4.0726775369007334E18</v>
      </c>
      <c r="E1023" s="9" t="str">
        <f>IFERROR(__xludf.DUMMYFUNCTION("""COMPUTED_VALUE"""),""",")</f>
        <v>",</v>
      </c>
    </row>
    <row r="1024">
      <c r="A1024" s="9" t="str">
        <f>IFERROR(__xludf.DUMMYFUNCTION("""COMPUTED_VALUE"""),"""")</f>
        <v>"</v>
      </c>
      <c r="B1024" s="9" t="s">
        <v>1033</v>
      </c>
      <c r="C1024" s="9" t="str">
        <f>IFERROR(__xludf.DUMMYFUNCTION("""COMPUTED_VALUE"""),""":""")</f>
        <v>":"</v>
      </c>
      <c r="D1024" s="24">
        <v>2.0248888511809958E19</v>
      </c>
      <c r="E1024" s="9" t="str">
        <f>IFERROR(__xludf.DUMMYFUNCTION("""COMPUTED_VALUE"""),""",")</f>
        <v>",</v>
      </c>
    </row>
    <row r="1025">
      <c r="A1025" s="9" t="str">
        <f>IFERROR(__xludf.DUMMYFUNCTION("""COMPUTED_VALUE"""),"""")</f>
        <v>"</v>
      </c>
      <c r="B1025" s="9" t="s">
        <v>1034</v>
      </c>
      <c r="C1025" s="9" t="str">
        <f>IFERROR(__xludf.DUMMYFUNCTION("""COMPUTED_VALUE"""),""":""")</f>
        <v>":"</v>
      </c>
      <c r="D1025" s="24">
        <v>9.526423902094533E18</v>
      </c>
      <c r="E1025" s="9" t="str">
        <f>IFERROR(__xludf.DUMMYFUNCTION("""COMPUTED_VALUE"""),""",")</f>
        <v>",</v>
      </c>
    </row>
    <row r="1026">
      <c r="A1026" s="9" t="str">
        <f>IFERROR(__xludf.DUMMYFUNCTION("""COMPUTED_VALUE"""),"""")</f>
        <v>"</v>
      </c>
      <c r="B1026" s="9" t="s">
        <v>1035</v>
      </c>
      <c r="C1026" s="9" t="str">
        <f>IFERROR(__xludf.DUMMYFUNCTION("""COMPUTED_VALUE"""),""":""")</f>
        <v>":"</v>
      </c>
      <c r="D1026" s="24">
        <v>2.0248888511809958E19</v>
      </c>
      <c r="E1026" s="9" t="str">
        <f>IFERROR(__xludf.DUMMYFUNCTION("""COMPUTED_VALUE"""),""",")</f>
        <v>",</v>
      </c>
    </row>
    <row r="1027">
      <c r="A1027" s="9" t="str">
        <f>IFERROR(__xludf.DUMMYFUNCTION("""COMPUTED_VALUE"""),"""")</f>
        <v>"</v>
      </c>
      <c r="B1027" s="9" t="s">
        <v>1036</v>
      </c>
      <c r="C1027" s="9" t="str">
        <f>IFERROR(__xludf.DUMMYFUNCTION("""COMPUTED_VALUE"""),""":""")</f>
        <v>":"</v>
      </c>
      <c r="D1027" s="24">
        <v>2.2750493086998667E19</v>
      </c>
      <c r="E1027" s="9" t="str">
        <f>IFERROR(__xludf.DUMMYFUNCTION("""COMPUTED_VALUE"""),""",")</f>
        <v>",</v>
      </c>
    </row>
    <row r="1028">
      <c r="A1028" s="9" t="str">
        <f>IFERROR(__xludf.DUMMYFUNCTION("""COMPUTED_VALUE"""),"""")</f>
        <v>"</v>
      </c>
      <c r="B1028" s="9" t="s">
        <v>1037</v>
      </c>
      <c r="C1028" s="9" t="str">
        <f>IFERROR(__xludf.DUMMYFUNCTION("""COMPUTED_VALUE"""),""":""")</f>
        <v>":"</v>
      </c>
      <c r="D1028" s="24">
        <v>3.2088140687958886E18</v>
      </c>
      <c r="E1028" s="9" t="str">
        <f>IFERROR(__xludf.DUMMYFUNCTION("""COMPUTED_VALUE"""),""",")</f>
        <v>",</v>
      </c>
    </row>
    <row r="1029">
      <c r="A1029" s="9" t="str">
        <f>IFERROR(__xludf.DUMMYFUNCTION("""COMPUTED_VALUE"""),"""")</f>
        <v>"</v>
      </c>
      <c r="B1029" s="9" t="s">
        <v>1038</v>
      </c>
      <c r="C1029" s="9" t="str">
        <f>IFERROR(__xludf.DUMMYFUNCTION("""COMPUTED_VALUE"""),""":""")</f>
        <v>":"</v>
      </c>
      <c r="D1029" s="24">
        <v>1.1883428232007397E20</v>
      </c>
      <c r="E1029" s="9" t="str">
        <f>IFERROR(__xludf.DUMMYFUNCTION("""COMPUTED_VALUE"""),""",")</f>
        <v>",</v>
      </c>
    </row>
    <row r="1030">
      <c r="A1030" s="9" t="str">
        <f>IFERROR(__xludf.DUMMYFUNCTION("""COMPUTED_VALUE"""),"""")</f>
        <v>"</v>
      </c>
      <c r="B1030" s="9" t="s">
        <v>1039</v>
      </c>
      <c r="C1030" s="9" t="str">
        <f>IFERROR(__xludf.DUMMYFUNCTION("""COMPUTED_VALUE"""),""":""")</f>
        <v>":"</v>
      </c>
      <c r="D1030" s="24">
        <v>6.2005979458241782E18</v>
      </c>
      <c r="E1030" s="9" t="str">
        <f>IFERROR(__xludf.DUMMYFUNCTION("""COMPUTED_VALUE"""),""",")</f>
        <v>",</v>
      </c>
    </row>
    <row r="1031">
      <c r="A1031" s="9" t="str">
        <f>IFERROR(__xludf.DUMMYFUNCTION("""COMPUTED_VALUE"""),"""")</f>
        <v>"</v>
      </c>
      <c r="B1031" s="9" t="s">
        <v>1040</v>
      </c>
      <c r="C1031" s="9" t="str">
        <f>IFERROR(__xludf.DUMMYFUNCTION("""COMPUTED_VALUE"""),""":""")</f>
        <v>":"</v>
      </c>
      <c r="D1031" s="24">
        <v>2.2843275628863468E19</v>
      </c>
      <c r="E1031" s="9" t="str">
        <f>IFERROR(__xludf.DUMMYFUNCTION("""COMPUTED_VALUE"""),""",")</f>
        <v>",</v>
      </c>
    </row>
    <row r="1032">
      <c r="A1032" s="9" t="str">
        <f>IFERROR(__xludf.DUMMYFUNCTION("""COMPUTED_VALUE"""),"""")</f>
        <v>"</v>
      </c>
      <c r="B1032" s="9" t="s">
        <v>1041</v>
      </c>
      <c r="C1032" s="9" t="str">
        <f>IFERROR(__xludf.DUMMYFUNCTION("""COMPUTED_VALUE"""),""":""")</f>
        <v>":"</v>
      </c>
      <c r="D1032" s="24">
        <v>3.9705532711768893E18</v>
      </c>
      <c r="E1032" s="9" t="str">
        <f>IFERROR(__xludf.DUMMYFUNCTION("""COMPUTED_VALUE"""),""",")</f>
        <v>",</v>
      </c>
    </row>
    <row r="1033">
      <c r="A1033" s="9" t="str">
        <f>IFERROR(__xludf.DUMMYFUNCTION("""COMPUTED_VALUE"""),"""")</f>
        <v>"</v>
      </c>
      <c r="B1033" s="9" t="s">
        <v>1042</v>
      </c>
      <c r="C1033" s="9" t="str">
        <f>IFERROR(__xludf.DUMMYFUNCTION("""COMPUTED_VALUE"""),""":""")</f>
        <v>":"</v>
      </c>
      <c r="D1033" s="24">
        <v>2.11954889064716672E18</v>
      </c>
      <c r="E1033" s="9" t="str">
        <f>IFERROR(__xludf.DUMMYFUNCTION("""COMPUTED_VALUE"""),""",")</f>
        <v>",</v>
      </c>
    </row>
    <row r="1034">
      <c r="A1034" s="9" t="str">
        <f>IFERROR(__xludf.DUMMYFUNCTION("""COMPUTED_VALUE"""),"""")</f>
        <v>"</v>
      </c>
      <c r="B1034" s="9" t="s">
        <v>1043</v>
      </c>
      <c r="C1034" s="9" t="str">
        <f>IFERROR(__xludf.DUMMYFUNCTION("""COMPUTED_VALUE"""),""":""")</f>
        <v>":"</v>
      </c>
      <c r="D1034" s="24">
        <v>1.1552489164722713E19</v>
      </c>
      <c r="E1034" s="9" t="str">
        <f>IFERROR(__xludf.DUMMYFUNCTION("""COMPUTED_VALUE"""),""",")</f>
        <v>",</v>
      </c>
    </row>
    <row r="1035">
      <c r="A1035" s="9" t="str">
        <f>IFERROR(__xludf.DUMMYFUNCTION("""COMPUTED_VALUE"""),"""")</f>
        <v>"</v>
      </c>
      <c r="B1035" s="9" t="s">
        <v>1044</v>
      </c>
      <c r="C1035" s="9" t="str">
        <f>IFERROR(__xludf.DUMMYFUNCTION("""COMPUTED_VALUE"""),""":""")</f>
        <v>":"</v>
      </c>
      <c r="D1035" s="24">
        <v>2.024213104494582E19</v>
      </c>
      <c r="E1035" s="9" t="str">
        <f>IFERROR(__xludf.DUMMYFUNCTION("""COMPUTED_VALUE"""),""",")</f>
        <v>",</v>
      </c>
    </row>
    <row r="1036">
      <c r="A1036" s="9" t="str">
        <f>IFERROR(__xludf.DUMMYFUNCTION("""COMPUTED_VALUE"""),"""")</f>
        <v>"</v>
      </c>
      <c r="B1036" s="9" t="s">
        <v>1045</v>
      </c>
      <c r="C1036" s="9" t="str">
        <f>IFERROR(__xludf.DUMMYFUNCTION("""COMPUTED_VALUE"""),""":""")</f>
        <v>":"</v>
      </c>
      <c r="D1036" s="24">
        <v>5.581008871656534E18</v>
      </c>
      <c r="E1036" s="9" t="str">
        <f>IFERROR(__xludf.DUMMYFUNCTION("""COMPUTED_VALUE"""),""",")</f>
        <v>",</v>
      </c>
    </row>
    <row r="1037">
      <c r="A1037" s="9" t="str">
        <f>IFERROR(__xludf.DUMMYFUNCTION("""COMPUTED_VALUE"""),"""")</f>
        <v>"</v>
      </c>
      <c r="B1037" s="9" t="s">
        <v>1046</v>
      </c>
      <c r="C1037" s="9" t="str">
        <f>IFERROR(__xludf.DUMMYFUNCTION("""COMPUTED_VALUE"""),""":""")</f>
        <v>":"</v>
      </c>
      <c r="D1037" s="24">
        <v>6.6788295481646451E17</v>
      </c>
      <c r="E1037" s="9" t="str">
        <f>IFERROR(__xludf.DUMMYFUNCTION("""COMPUTED_VALUE"""),""",")</f>
        <v>",</v>
      </c>
    </row>
    <row r="1038">
      <c r="A1038" s="9" t="str">
        <f>IFERROR(__xludf.DUMMYFUNCTION("""COMPUTED_VALUE"""),"""")</f>
        <v>"</v>
      </c>
      <c r="B1038" s="9" t="s">
        <v>1047</v>
      </c>
      <c r="C1038" s="9" t="str">
        <f>IFERROR(__xludf.DUMMYFUNCTION("""COMPUTED_VALUE"""),""":""")</f>
        <v>":"</v>
      </c>
      <c r="D1038" s="24">
        <v>5.5908401308589332E18</v>
      </c>
      <c r="E1038" s="9" t="str">
        <f>IFERROR(__xludf.DUMMYFUNCTION("""COMPUTED_VALUE"""),""",")</f>
        <v>",</v>
      </c>
    </row>
    <row r="1039">
      <c r="A1039" s="9" t="str">
        <f>IFERROR(__xludf.DUMMYFUNCTION("""COMPUTED_VALUE"""),"""")</f>
        <v>"</v>
      </c>
      <c r="B1039" s="9" t="s">
        <v>1048</v>
      </c>
      <c r="C1039" s="9" t="str">
        <f>IFERROR(__xludf.DUMMYFUNCTION("""COMPUTED_VALUE"""),""":""")</f>
        <v>":"</v>
      </c>
      <c r="D1039" s="24">
        <v>7.2333738650501806E18</v>
      </c>
      <c r="E1039" s="9" t="str">
        <f>IFERROR(__xludf.DUMMYFUNCTION("""COMPUTED_VALUE"""),""",")</f>
        <v>",</v>
      </c>
    </row>
    <row r="1040">
      <c r="A1040" s="9" t="str">
        <f>IFERROR(__xludf.DUMMYFUNCTION("""COMPUTED_VALUE"""),"""")</f>
        <v>"</v>
      </c>
      <c r="B1040" s="9" t="s">
        <v>1049</v>
      </c>
      <c r="C1040" s="9" t="str">
        <f>IFERROR(__xludf.DUMMYFUNCTION("""COMPUTED_VALUE"""),""":""")</f>
        <v>":"</v>
      </c>
      <c r="D1040" s="24">
        <v>2.0248888511809958E19</v>
      </c>
      <c r="E1040" s="9" t="str">
        <f>IFERROR(__xludf.DUMMYFUNCTION("""COMPUTED_VALUE"""),""",")</f>
        <v>",</v>
      </c>
    </row>
    <row r="1041">
      <c r="A1041" s="9" t="str">
        <f>IFERROR(__xludf.DUMMYFUNCTION("""COMPUTED_VALUE"""),"""")</f>
        <v>"</v>
      </c>
      <c r="B1041" s="9" t="s">
        <v>1050</v>
      </c>
      <c r="C1041" s="9" t="str">
        <f>IFERROR(__xludf.DUMMYFUNCTION("""COMPUTED_VALUE"""),""":""")</f>
        <v>":"</v>
      </c>
      <c r="D1041" s="24">
        <v>2.708170639089067E18</v>
      </c>
      <c r="E1041" s="9" t="str">
        <f>IFERROR(__xludf.DUMMYFUNCTION("""COMPUTED_VALUE"""),""",")</f>
        <v>",</v>
      </c>
    </row>
    <row r="1042">
      <c r="A1042" s="9" t="str">
        <f>IFERROR(__xludf.DUMMYFUNCTION("""COMPUTED_VALUE"""),"""")</f>
        <v>"</v>
      </c>
      <c r="B1042" s="9" t="s">
        <v>1051</v>
      </c>
      <c r="C1042" s="9" t="str">
        <f>IFERROR(__xludf.DUMMYFUNCTION("""COMPUTED_VALUE"""),""":""")</f>
        <v>":"</v>
      </c>
      <c r="D1042" s="24">
        <v>5.6363638205544448E18</v>
      </c>
      <c r="E1042" s="9" t="str">
        <f>IFERROR(__xludf.DUMMYFUNCTION("""COMPUTED_VALUE"""),""",")</f>
        <v>",</v>
      </c>
    </row>
    <row r="1043">
      <c r="A1043" s="9" t="str">
        <f>IFERROR(__xludf.DUMMYFUNCTION("""COMPUTED_VALUE"""),"""")</f>
        <v>"</v>
      </c>
      <c r="B1043" s="9" t="s">
        <v>1052</v>
      </c>
      <c r="C1043" s="9" t="str">
        <f>IFERROR(__xludf.DUMMYFUNCTION("""COMPUTED_VALUE"""),""":""")</f>
        <v>":"</v>
      </c>
      <c r="D1043" s="24">
        <v>1.916480321837251E19</v>
      </c>
      <c r="E1043" s="9" t="str">
        <f>IFERROR(__xludf.DUMMYFUNCTION("""COMPUTED_VALUE"""),""",")</f>
        <v>",</v>
      </c>
    </row>
    <row r="1044">
      <c r="A1044" s="9" t="str">
        <f>IFERROR(__xludf.DUMMYFUNCTION("""COMPUTED_VALUE"""),"""")</f>
        <v>"</v>
      </c>
      <c r="B1044" s="9" t="s">
        <v>1053</v>
      </c>
      <c r="C1044" s="9" t="str">
        <f>IFERROR(__xludf.DUMMYFUNCTION("""COMPUTED_VALUE"""),""":""")</f>
        <v>":"</v>
      </c>
      <c r="D1044" s="24">
        <v>6.2005979458241782E18</v>
      </c>
      <c r="E1044" s="9" t="str">
        <f>IFERROR(__xludf.DUMMYFUNCTION("""COMPUTED_VALUE"""),""",")</f>
        <v>",</v>
      </c>
    </row>
    <row r="1045">
      <c r="A1045" s="9" t="str">
        <f>IFERROR(__xludf.DUMMYFUNCTION("""COMPUTED_VALUE"""),"""")</f>
        <v>"</v>
      </c>
      <c r="B1045" s="9" t="s">
        <v>1054</v>
      </c>
      <c r="C1045" s="9" t="str">
        <f>IFERROR(__xludf.DUMMYFUNCTION("""COMPUTED_VALUE"""),""":""")</f>
        <v>":"</v>
      </c>
      <c r="D1045" s="24">
        <v>6.0721554394809999E18</v>
      </c>
      <c r="E1045" s="9" t="str">
        <f>IFERROR(__xludf.DUMMYFUNCTION("""COMPUTED_VALUE"""),""",")</f>
        <v>",</v>
      </c>
    </row>
    <row r="1046">
      <c r="A1046" s="9" t="str">
        <f>IFERROR(__xludf.DUMMYFUNCTION("""COMPUTED_VALUE"""),"""")</f>
        <v>"</v>
      </c>
      <c r="B1046" s="9" t="s">
        <v>1055</v>
      </c>
      <c r="C1046" s="9" t="str">
        <f>IFERROR(__xludf.DUMMYFUNCTION("""COMPUTED_VALUE"""),""":""")</f>
        <v>":"</v>
      </c>
      <c r="D1046" s="24">
        <v>3.8637075561009136E19</v>
      </c>
      <c r="E1046" s="9" t="str">
        <f>IFERROR(__xludf.DUMMYFUNCTION("""COMPUTED_VALUE"""),""",")</f>
        <v>",</v>
      </c>
    </row>
    <row r="1047">
      <c r="A1047" s="9" t="str">
        <f>IFERROR(__xludf.DUMMYFUNCTION("""COMPUTED_VALUE"""),"""")</f>
        <v>"</v>
      </c>
      <c r="B1047" s="9" t="s">
        <v>1056</v>
      </c>
      <c r="C1047" s="9" t="str">
        <f>IFERROR(__xludf.DUMMYFUNCTION("""COMPUTED_VALUE"""),""":""")</f>
        <v>":"</v>
      </c>
      <c r="D1047" s="24">
        <v>2.0248888511809958E19</v>
      </c>
      <c r="E1047" s="9" t="str">
        <f>IFERROR(__xludf.DUMMYFUNCTION("""COMPUTED_VALUE"""),""",")</f>
        <v>",</v>
      </c>
    </row>
    <row r="1048">
      <c r="A1048" s="9" t="str">
        <f>IFERROR(__xludf.DUMMYFUNCTION("""COMPUTED_VALUE"""),"""")</f>
        <v>"</v>
      </c>
      <c r="B1048" s="9" t="s">
        <v>1057</v>
      </c>
      <c r="C1048" s="9" t="str">
        <f>IFERROR(__xludf.DUMMYFUNCTION("""COMPUTED_VALUE"""),""":""")</f>
        <v>":"</v>
      </c>
      <c r="D1048" s="24">
        <v>5.6274527064389775E18</v>
      </c>
      <c r="E1048" s="9" t="str">
        <f>IFERROR(__xludf.DUMMYFUNCTION("""COMPUTED_VALUE"""),""",")</f>
        <v>",</v>
      </c>
    </row>
    <row r="1049">
      <c r="A1049" s="9" t="str">
        <f>IFERROR(__xludf.DUMMYFUNCTION("""COMPUTED_VALUE"""),"""")</f>
        <v>"</v>
      </c>
      <c r="B1049" s="9" t="s">
        <v>1058</v>
      </c>
      <c r="C1049" s="9" t="str">
        <f>IFERROR(__xludf.DUMMYFUNCTION("""COMPUTED_VALUE"""),""":""")</f>
        <v>":"</v>
      </c>
      <c r="D1049" s="24">
        <v>6.2005979458241782E18</v>
      </c>
      <c r="E1049" s="9" t="str">
        <f>IFERROR(__xludf.DUMMYFUNCTION("""COMPUTED_VALUE"""),""",")</f>
        <v>",</v>
      </c>
    </row>
    <row r="1050">
      <c r="A1050" s="9" t="str">
        <f>IFERROR(__xludf.DUMMYFUNCTION("""COMPUTED_VALUE"""),"""")</f>
        <v>"</v>
      </c>
      <c r="B1050" s="9" t="s">
        <v>1059</v>
      </c>
      <c r="C1050" s="9" t="str">
        <f>IFERROR(__xludf.DUMMYFUNCTION("""COMPUTED_VALUE"""),""":""")</f>
        <v>":"</v>
      </c>
      <c r="D1050" s="24">
        <v>6.2005979458241782E18</v>
      </c>
      <c r="E1050" s="9" t="str">
        <f>IFERROR(__xludf.DUMMYFUNCTION("""COMPUTED_VALUE"""),""",")</f>
        <v>",</v>
      </c>
    </row>
    <row r="1051">
      <c r="A1051" s="9" t="str">
        <f>IFERROR(__xludf.DUMMYFUNCTION("""COMPUTED_VALUE"""),"""")</f>
        <v>"</v>
      </c>
      <c r="B1051" s="9" t="s">
        <v>1060</v>
      </c>
      <c r="C1051" s="9" t="str">
        <f>IFERROR(__xludf.DUMMYFUNCTION("""COMPUTED_VALUE"""),""":""")</f>
        <v>":"</v>
      </c>
      <c r="D1051" s="24">
        <v>5.6276718234640886E18</v>
      </c>
      <c r="E1051" s="9" t="str">
        <f>IFERROR(__xludf.DUMMYFUNCTION("""COMPUTED_VALUE"""),""",")</f>
        <v>",</v>
      </c>
    </row>
    <row r="1052">
      <c r="A1052" s="9" t="str">
        <f>IFERROR(__xludf.DUMMYFUNCTION("""COMPUTED_VALUE"""),"""")</f>
        <v>"</v>
      </c>
      <c r="B1052" s="9" t="s">
        <v>1061</v>
      </c>
      <c r="C1052" s="9" t="str">
        <f>IFERROR(__xludf.DUMMYFUNCTION("""COMPUTED_VALUE"""),""":""")</f>
        <v>":"</v>
      </c>
      <c r="D1052" s="24">
        <v>2.3765064779137777E18</v>
      </c>
      <c r="E1052" s="9" t="str">
        <f>IFERROR(__xludf.DUMMYFUNCTION("""COMPUTED_VALUE"""),""",")</f>
        <v>",</v>
      </c>
    </row>
    <row r="1053">
      <c r="A1053" s="9" t="str">
        <f>IFERROR(__xludf.DUMMYFUNCTION("""COMPUTED_VALUE"""),"""")</f>
        <v>"</v>
      </c>
      <c r="B1053" s="9" t="s">
        <v>1062</v>
      </c>
      <c r="C1053" s="9" t="str">
        <f>IFERROR(__xludf.DUMMYFUNCTION("""COMPUTED_VALUE"""),""":""")</f>
        <v>":"</v>
      </c>
      <c r="D1053" s="24">
        <v>6.2005979458241782E18</v>
      </c>
      <c r="E1053" s="9" t="str">
        <f>IFERROR(__xludf.DUMMYFUNCTION("""COMPUTED_VALUE"""),""",")</f>
        <v>",</v>
      </c>
    </row>
    <row r="1054">
      <c r="A1054" s="9" t="str">
        <f>IFERROR(__xludf.DUMMYFUNCTION("""COMPUTED_VALUE"""),"""")</f>
        <v>"</v>
      </c>
      <c r="B1054" s="9" t="s">
        <v>1063</v>
      </c>
      <c r="C1054" s="9" t="str">
        <f>IFERROR(__xludf.DUMMYFUNCTION("""COMPUTED_VALUE"""),""":""")</f>
        <v>":"</v>
      </c>
      <c r="D1054" s="24">
        <v>2.2469569159422493E19</v>
      </c>
      <c r="E1054" s="9" t="str">
        <f>IFERROR(__xludf.DUMMYFUNCTION("""COMPUTED_VALUE"""),""",")</f>
        <v>",</v>
      </c>
    </row>
    <row r="1055">
      <c r="A1055" s="9" t="str">
        <f>IFERROR(__xludf.DUMMYFUNCTION("""COMPUTED_VALUE"""),"""")</f>
        <v>"</v>
      </c>
      <c r="B1055" s="9" t="s">
        <v>1064</v>
      </c>
      <c r="C1055" s="9" t="str">
        <f>IFERROR(__xludf.DUMMYFUNCTION("""COMPUTED_VALUE"""),""":""")</f>
        <v>":"</v>
      </c>
      <c r="D1055" s="24">
        <v>2.0248888511809958E19</v>
      </c>
      <c r="E1055" s="9" t="str">
        <f>IFERROR(__xludf.DUMMYFUNCTION("""COMPUTED_VALUE"""),""",")</f>
        <v>",</v>
      </c>
    </row>
    <row r="1056">
      <c r="A1056" s="9" t="str">
        <f>IFERROR(__xludf.DUMMYFUNCTION("""COMPUTED_VALUE"""),"""")</f>
        <v>"</v>
      </c>
      <c r="B1056" s="9" t="s">
        <v>1065</v>
      </c>
      <c r="C1056" s="9" t="str">
        <f>IFERROR(__xludf.DUMMYFUNCTION("""COMPUTED_VALUE"""),""":""")</f>
        <v>":"</v>
      </c>
      <c r="D1056" s="24">
        <v>9.0380770054434673E18</v>
      </c>
      <c r="E1056" s="9" t="str">
        <f>IFERROR(__xludf.DUMMYFUNCTION("""COMPUTED_VALUE"""),""",")</f>
        <v>",</v>
      </c>
    </row>
    <row r="1057">
      <c r="A1057" s="9" t="str">
        <f>IFERROR(__xludf.DUMMYFUNCTION("""COMPUTED_VALUE"""),"""")</f>
        <v>"</v>
      </c>
      <c r="B1057" s="9" t="s">
        <v>1066</v>
      </c>
      <c r="C1057" s="9" t="str">
        <f>IFERROR(__xludf.DUMMYFUNCTION("""COMPUTED_VALUE"""),""":""")</f>
        <v>":"</v>
      </c>
      <c r="D1057" s="24">
        <v>7.0730341564715622E18</v>
      </c>
      <c r="E1057" s="9" t="str">
        <f>IFERROR(__xludf.DUMMYFUNCTION("""COMPUTED_VALUE"""),""",")</f>
        <v>",</v>
      </c>
    </row>
    <row r="1058">
      <c r="A1058" s="9" t="str">
        <f>IFERROR(__xludf.DUMMYFUNCTION("""COMPUTED_VALUE"""),"""")</f>
        <v>"</v>
      </c>
      <c r="B1058" s="9" t="s">
        <v>1067</v>
      </c>
      <c r="C1058" s="9" t="str">
        <f>IFERROR(__xludf.DUMMYFUNCTION("""COMPUTED_VALUE"""),""":""")</f>
        <v>":"</v>
      </c>
      <c r="D1058" s="24">
        <v>5.9503581390964664E18</v>
      </c>
      <c r="E1058" s="9" t="str">
        <f>IFERROR(__xludf.DUMMYFUNCTION("""COMPUTED_VALUE"""),""",")</f>
        <v>",</v>
      </c>
    </row>
    <row r="1059">
      <c r="A1059" s="9" t="str">
        <f>IFERROR(__xludf.DUMMYFUNCTION("""COMPUTED_VALUE"""),"""")</f>
        <v>"</v>
      </c>
      <c r="B1059" s="9" t="s">
        <v>1068</v>
      </c>
      <c r="C1059" s="9" t="str">
        <f>IFERROR(__xludf.DUMMYFUNCTION("""COMPUTED_VALUE"""),""":""")</f>
        <v>":"</v>
      </c>
      <c r="D1059" s="24">
        <v>6.2005979458241782E18</v>
      </c>
      <c r="E1059" s="9" t="str">
        <f>IFERROR(__xludf.DUMMYFUNCTION("""COMPUTED_VALUE"""),""",")</f>
        <v>",</v>
      </c>
    </row>
    <row r="1060">
      <c r="A1060" s="9" t="str">
        <f>IFERROR(__xludf.DUMMYFUNCTION("""COMPUTED_VALUE"""),"""")</f>
        <v>"</v>
      </c>
      <c r="B1060" s="9" t="s">
        <v>1069</v>
      </c>
      <c r="C1060" s="9" t="str">
        <f>IFERROR(__xludf.DUMMYFUNCTION("""COMPUTED_VALUE"""),""":""")</f>
        <v>":"</v>
      </c>
      <c r="D1060" s="24">
        <v>4.364489888513418E19</v>
      </c>
      <c r="E1060" s="9" t="str">
        <f>IFERROR(__xludf.DUMMYFUNCTION("""COMPUTED_VALUE"""),""",")</f>
        <v>",</v>
      </c>
    </row>
    <row r="1061">
      <c r="A1061" s="9" t="str">
        <f>IFERROR(__xludf.DUMMYFUNCTION("""COMPUTED_VALUE"""),"""")</f>
        <v>"</v>
      </c>
      <c r="B1061" s="9" t="s">
        <v>1070</v>
      </c>
      <c r="C1061" s="9" t="str">
        <f>IFERROR(__xludf.DUMMYFUNCTION("""COMPUTED_VALUE"""),""":""")</f>
        <v>":"</v>
      </c>
      <c r="D1061" s="24">
        <v>4.6607606499330662E18</v>
      </c>
      <c r="E1061" s="9" t="str">
        <f>IFERROR(__xludf.DUMMYFUNCTION("""COMPUTED_VALUE"""),""",")</f>
        <v>",</v>
      </c>
    </row>
    <row r="1062">
      <c r="A1062" s="9" t="str">
        <f>IFERROR(__xludf.DUMMYFUNCTION("""COMPUTED_VALUE"""),"""")</f>
        <v>"</v>
      </c>
      <c r="B1062" s="9" t="s">
        <v>1071</v>
      </c>
      <c r="C1062" s="9" t="str">
        <f>IFERROR(__xludf.DUMMYFUNCTION("""COMPUTED_VALUE"""),""":""")</f>
        <v>":"</v>
      </c>
      <c r="D1062" s="24">
        <v>5.8896898183152896E18</v>
      </c>
      <c r="E1062" s="9" t="str">
        <f>IFERROR(__xludf.DUMMYFUNCTION("""COMPUTED_VALUE"""),""",")</f>
        <v>",</v>
      </c>
    </row>
    <row r="1063">
      <c r="A1063" s="9" t="str">
        <f>IFERROR(__xludf.DUMMYFUNCTION("""COMPUTED_VALUE"""),"""")</f>
        <v>"</v>
      </c>
      <c r="B1063" s="9" t="s">
        <v>1072</v>
      </c>
      <c r="C1063" s="9" t="str">
        <f>IFERROR(__xludf.DUMMYFUNCTION("""COMPUTED_VALUE"""),""":""")</f>
        <v>":"</v>
      </c>
      <c r="D1063" s="24">
        <v>4.4814801353134894E18</v>
      </c>
      <c r="E1063" s="9" t="str">
        <f>IFERROR(__xludf.DUMMYFUNCTION("""COMPUTED_VALUE"""),""",")</f>
        <v>",</v>
      </c>
    </row>
    <row r="1064">
      <c r="A1064" s="9" t="str">
        <f>IFERROR(__xludf.DUMMYFUNCTION("""COMPUTED_VALUE"""),"""")</f>
        <v>"</v>
      </c>
      <c r="B1064" s="9" t="s">
        <v>1073</v>
      </c>
      <c r="C1064" s="9" t="str">
        <f>IFERROR(__xludf.DUMMYFUNCTION("""COMPUTED_VALUE"""),""":""")</f>
        <v>":"</v>
      </c>
      <c r="D1064" s="24">
        <v>6.2452530592370319E18</v>
      </c>
      <c r="E1064" s="9" t="str">
        <f>IFERROR(__xludf.DUMMYFUNCTION("""COMPUTED_VALUE"""),""",")</f>
        <v>",</v>
      </c>
    </row>
    <row r="1065">
      <c r="A1065" s="9" t="str">
        <f>IFERROR(__xludf.DUMMYFUNCTION("""COMPUTED_VALUE"""),"""")</f>
        <v>"</v>
      </c>
      <c r="B1065" s="9" t="s">
        <v>1074</v>
      </c>
      <c r="C1065" s="9" t="str">
        <f>IFERROR(__xludf.DUMMYFUNCTION("""COMPUTED_VALUE"""),""":""")</f>
        <v>":"</v>
      </c>
      <c r="D1065" s="24">
        <v>2.0248888511809958E19</v>
      </c>
      <c r="E1065" s="9" t="str">
        <f>IFERROR(__xludf.DUMMYFUNCTION("""COMPUTED_VALUE"""),""",")</f>
        <v>",</v>
      </c>
    </row>
    <row r="1066">
      <c r="A1066" s="9" t="str">
        <f>IFERROR(__xludf.DUMMYFUNCTION("""COMPUTED_VALUE"""),"""")</f>
        <v>"</v>
      </c>
      <c r="B1066" s="9" t="s">
        <v>1075</v>
      </c>
      <c r="C1066" s="9" t="str">
        <f>IFERROR(__xludf.DUMMYFUNCTION("""COMPUTED_VALUE"""),""":""")</f>
        <v>":"</v>
      </c>
      <c r="D1066" s="24">
        <v>6.2005979458241782E18</v>
      </c>
      <c r="E1066" s="9" t="str">
        <f>IFERROR(__xludf.DUMMYFUNCTION("""COMPUTED_VALUE"""),""",")</f>
        <v>",</v>
      </c>
    </row>
    <row r="1067">
      <c r="A1067" s="9" t="str">
        <f>IFERROR(__xludf.DUMMYFUNCTION("""COMPUTED_VALUE"""),"""")</f>
        <v>"</v>
      </c>
      <c r="B1067" s="9" t="s">
        <v>1076</v>
      </c>
      <c r="C1067" s="9" t="str">
        <f>IFERROR(__xludf.DUMMYFUNCTION("""COMPUTED_VALUE"""),""":""")</f>
        <v>":"</v>
      </c>
      <c r="D1067" s="24">
        <v>6.2005979458241782E18</v>
      </c>
      <c r="E1067" s="9" t="str">
        <f>IFERROR(__xludf.DUMMYFUNCTION("""COMPUTED_VALUE"""),""",")</f>
        <v>",</v>
      </c>
    </row>
    <row r="1068">
      <c r="A1068" s="9" t="str">
        <f>IFERROR(__xludf.DUMMYFUNCTION("""COMPUTED_VALUE"""),"""")</f>
        <v>"</v>
      </c>
      <c r="B1068" s="9" t="s">
        <v>1077</v>
      </c>
      <c r="C1068" s="9" t="str">
        <f>IFERROR(__xludf.DUMMYFUNCTION("""COMPUTED_VALUE"""),""":""")</f>
        <v>":"</v>
      </c>
      <c r="D1068" s="24">
        <v>6.2005979458241782E18</v>
      </c>
      <c r="E1068" s="9" t="str">
        <f>IFERROR(__xludf.DUMMYFUNCTION("""COMPUTED_VALUE"""),""",")</f>
        <v>",</v>
      </c>
    </row>
    <row r="1069">
      <c r="A1069" s="9" t="str">
        <f>IFERROR(__xludf.DUMMYFUNCTION("""COMPUTED_VALUE"""),"""")</f>
        <v>"</v>
      </c>
      <c r="B1069" s="9" t="s">
        <v>1078</v>
      </c>
      <c r="C1069" s="9" t="str">
        <f>IFERROR(__xludf.DUMMYFUNCTION("""COMPUTED_VALUE"""),""":""")</f>
        <v>":"</v>
      </c>
      <c r="D1069" s="24">
        <v>6.2005979458241782E18</v>
      </c>
      <c r="E1069" s="9" t="str">
        <f>IFERROR(__xludf.DUMMYFUNCTION("""COMPUTED_VALUE"""),""",")</f>
        <v>",</v>
      </c>
    </row>
    <row r="1070">
      <c r="A1070" s="9" t="str">
        <f>IFERROR(__xludf.DUMMYFUNCTION("""COMPUTED_VALUE"""),"""")</f>
        <v>"</v>
      </c>
      <c r="B1070" s="9" t="s">
        <v>1079</v>
      </c>
      <c r="C1070" s="9" t="str">
        <f>IFERROR(__xludf.DUMMYFUNCTION("""COMPUTED_VALUE"""),""":""")</f>
        <v>":"</v>
      </c>
      <c r="D1070" s="24">
        <v>8.5649055133782221E18</v>
      </c>
      <c r="E1070" s="9" t="str">
        <f>IFERROR(__xludf.DUMMYFUNCTION("""COMPUTED_VALUE"""),""",")</f>
        <v>",</v>
      </c>
    </row>
    <row r="1071">
      <c r="A1071" s="9" t="str">
        <f>IFERROR(__xludf.DUMMYFUNCTION("""COMPUTED_VALUE"""),"""")</f>
        <v>"</v>
      </c>
      <c r="B1071" s="9" t="s">
        <v>1080</v>
      </c>
      <c r="C1071" s="9" t="str">
        <f>IFERROR(__xludf.DUMMYFUNCTION("""COMPUTED_VALUE"""),""":""")</f>
        <v>":"</v>
      </c>
      <c r="D1071" s="24">
        <v>2.0248888511809958E19</v>
      </c>
      <c r="E1071" s="9" t="str">
        <f>IFERROR(__xludf.DUMMYFUNCTION("""COMPUTED_VALUE"""),""",")</f>
        <v>",</v>
      </c>
    </row>
    <row r="1072">
      <c r="A1072" s="9" t="str">
        <f>IFERROR(__xludf.DUMMYFUNCTION("""COMPUTED_VALUE"""),"""")</f>
        <v>"</v>
      </c>
      <c r="B1072" s="9" t="s">
        <v>1081</v>
      </c>
      <c r="C1072" s="9" t="str">
        <f>IFERROR(__xludf.DUMMYFUNCTION("""COMPUTED_VALUE"""),""":""")</f>
        <v>":"</v>
      </c>
      <c r="D1072" s="24">
        <v>2.3401549449983114E18</v>
      </c>
      <c r="E1072" s="9" t="str">
        <f>IFERROR(__xludf.DUMMYFUNCTION("""COMPUTED_VALUE"""),""",")</f>
        <v>",</v>
      </c>
    </row>
    <row r="1073">
      <c r="A1073" s="9" t="str">
        <f>IFERROR(__xludf.DUMMYFUNCTION("""COMPUTED_VALUE"""),"""")</f>
        <v>"</v>
      </c>
      <c r="B1073" s="9" t="s">
        <v>1082</v>
      </c>
      <c r="C1073" s="9" t="str">
        <f>IFERROR(__xludf.DUMMYFUNCTION("""COMPUTED_VALUE"""),""":""")</f>
        <v>":"</v>
      </c>
      <c r="D1073" s="24">
        <v>2.09524513122329114E18</v>
      </c>
      <c r="E1073" s="9" t="str">
        <f>IFERROR(__xludf.DUMMYFUNCTION("""COMPUTED_VALUE"""),""",")</f>
        <v>",</v>
      </c>
    </row>
    <row r="1074">
      <c r="A1074" s="9" t="str">
        <f>IFERROR(__xludf.DUMMYFUNCTION("""COMPUTED_VALUE"""),"""")</f>
        <v>"</v>
      </c>
      <c r="B1074" s="9" t="s">
        <v>1083</v>
      </c>
      <c r="C1074" s="9" t="str">
        <f>IFERROR(__xludf.DUMMYFUNCTION("""COMPUTED_VALUE"""),""":""")</f>
        <v>":"</v>
      </c>
      <c r="D1074" s="24">
        <v>6.0485338823578225E18</v>
      </c>
      <c r="E1074" s="9" t="str">
        <f>IFERROR(__xludf.DUMMYFUNCTION("""COMPUTED_VALUE"""),""",")</f>
        <v>",</v>
      </c>
    </row>
    <row r="1075">
      <c r="A1075" s="9" t="str">
        <f>IFERROR(__xludf.DUMMYFUNCTION("""COMPUTED_VALUE"""),"""")</f>
        <v>"</v>
      </c>
      <c r="B1075" s="9" t="s">
        <v>1084</v>
      </c>
      <c r="C1075" s="9" t="str">
        <f>IFERROR(__xludf.DUMMYFUNCTION("""COMPUTED_VALUE"""),""":""")</f>
        <v>":"</v>
      </c>
      <c r="D1075" s="24">
        <v>6.2005979458241782E18</v>
      </c>
      <c r="E1075" s="9" t="str">
        <f>IFERROR(__xludf.DUMMYFUNCTION("""COMPUTED_VALUE"""),""",")</f>
        <v>",</v>
      </c>
    </row>
    <row r="1076">
      <c r="A1076" s="9" t="str">
        <f>IFERROR(__xludf.DUMMYFUNCTION("""COMPUTED_VALUE"""),"""")</f>
        <v>"</v>
      </c>
      <c r="B1076" s="9" t="s">
        <v>1085</v>
      </c>
      <c r="C1076" s="9" t="str">
        <f>IFERROR(__xludf.DUMMYFUNCTION("""COMPUTED_VALUE"""),""":""")</f>
        <v>":"</v>
      </c>
      <c r="D1076" s="24">
        <v>6.2005979458241782E18</v>
      </c>
      <c r="E1076" s="9" t="str">
        <f>IFERROR(__xludf.DUMMYFUNCTION("""COMPUTED_VALUE"""),""",")</f>
        <v>",</v>
      </c>
    </row>
    <row r="1077">
      <c r="A1077" s="9" t="str">
        <f>IFERROR(__xludf.DUMMYFUNCTION("""COMPUTED_VALUE"""),"""")</f>
        <v>"</v>
      </c>
      <c r="B1077" s="9" t="s">
        <v>1086</v>
      </c>
      <c r="C1077" s="9" t="str">
        <f>IFERROR(__xludf.DUMMYFUNCTION("""COMPUTED_VALUE"""),""":""")</f>
        <v>":"</v>
      </c>
      <c r="D1077" s="24">
        <v>6.2005979458241782E18</v>
      </c>
      <c r="E1077" s="9" t="str">
        <f>IFERROR(__xludf.DUMMYFUNCTION("""COMPUTED_VALUE"""),""",")</f>
        <v>",</v>
      </c>
    </row>
    <row r="1078">
      <c r="A1078" s="9" t="str">
        <f>IFERROR(__xludf.DUMMYFUNCTION("""COMPUTED_VALUE"""),"""")</f>
        <v>"</v>
      </c>
      <c r="B1078" s="9" t="s">
        <v>1087</v>
      </c>
      <c r="C1078" s="9" t="str">
        <f>IFERROR(__xludf.DUMMYFUNCTION("""COMPUTED_VALUE"""),""":""")</f>
        <v>":"</v>
      </c>
      <c r="D1078" s="24">
        <v>5.9041671204402217E18</v>
      </c>
      <c r="E1078" s="9" t="str">
        <f>IFERROR(__xludf.DUMMYFUNCTION("""COMPUTED_VALUE"""),""",")</f>
        <v>",</v>
      </c>
    </row>
    <row r="1079">
      <c r="A1079" s="9" t="str">
        <f>IFERROR(__xludf.DUMMYFUNCTION("""COMPUTED_VALUE"""),"""")</f>
        <v>"</v>
      </c>
      <c r="B1079" s="9" t="s">
        <v>1088</v>
      </c>
      <c r="C1079" s="9" t="str">
        <f>IFERROR(__xludf.DUMMYFUNCTION("""COMPUTED_VALUE"""),""":""")</f>
        <v>":"</v>
      </c>
      <c r="D1079" s="24">
        <v>9.075131853796339E19</v>
      </c>
      <c r="E1079" s="9" t="str">
        <f>IFERROR(__xludf.DUMMYFUNCTION("""COMPUTED_VALUE"""),""",")</f>
        <v>",</v>
      </c>
    </row>
    <row r="1080">
      <c r="A1080" s="9" t="str">
        <f>IFERROR(__xludf.DUMMYFUNCTION("""COMPUTED_VALUE"""),"""")</f>
        <v>"</v>
      </c>
      <c r="B1080" s="9" t="s">
        <v>1089</v>
      </c>
      <c r="C1080" s="9" t="str">
        <f>IFERROR(__xludf.DUMMYFUNCTION("""COMPUTED_VALUE"""),""":""")</f>
        <v>":"</v>
      </c>
      <c r="D1080" s="24">
        <v>3.316552135590032E20</v>
      </c>
      <c r="E1080" s="9" t="str">
        <f>IFERROR(__xludf.DUMMYFUNCTION("""COMPUTED_VALUE"""),""",")</f>
        <v>",</v>
      </c>
    </row>
    <row r="1081">
      <c r="A1081" s="9" t="str">
        <f>IFERROR(__xludf.DUMMYFUNCTION("""COMPUTED_VALUE"""),"""")</f>
        <v>"</v>
      </c>
      <c r="B1081" s="9" t="s">
        <v>1090</v>
      </c>
      <c r="C1081" s="9" t="str">
        <f>IFERROR(__xludf.DUMMYFUNCTION("""COMPUTED_VALUE"""),""":""")</f>
        <v>":"</v>
      </c>
      <c r="D1081" s="24">
        <v>3.1281652677705108E18</v>
      </c>
      <c r="E1081" s="9" t="str">
        <f>IFERROR(__xludf.DUMMYFUNCTION("""COMPUTED_VALUE"""),""",")</f>
        <v>",</v>
      </c>
    </row>
    <row r="1082">
      <c r="A1082" s="9" t="str">
        <f>IFERROR(__xludf.DUMMYFUNCTION("""COMPUTED_VALUE"""),"""")</f>
        <v>"</v>
      </c>
      <c r="B1082" s="9" t="s">
        <v>1091</v>
      </c>
      <c r="C1082" s="9" t="str">
        <f>IFERROR(__xludf.DUMMYFUNCTION("""COMPUTED_VALUE"""),""":""")</f>
        <v>":"</v>
      </c>
      <c r="D1082" s="24">
        <v>2.081371831777496E19</v>
      </c>
      <c r="E1082" s="9" t="str">
        <f>IFERROR(__xludf.DUMMYFUNCTION("""COMPUTED_VALUE"""),""",")</f>
        <v>",</v>
      </c>
    </row>
    <row r="1083">
      <c r="A1083" s="9" t="str">
        <f>IFERROR(__xludf.DUMMYFUNCTION("""COMPUTED_VALUE"""),"""")</f>
        <v>"</v>
      </c>
      <c r="B1083" s="9" t="s">
        <v>1092</v>
      </c>
      <c r="C1083" s="9" t="str">
        <f>IFERROR(__xludf.DUMMYFUNCTION("""COMPUTED_VALUE"""),""":""")</f>
        <v>":"</v>
      </c>
      <c r="D1083" s="24">
        <v>1.7732177240760377E19</v>
      </c>
      <c r="E1083" s="9" t="str">
        <f>IFERROR(__xludf.DUMMYFUNCTION("""COMPUTED_VALUE"""),""",")</f>
        <v>",</v>
      </c>
    </row>
    <row r="1084">
      <c r="A1084" s="9" t="str">
        <f>IFERROR(__xludf.DUMMYFUNCTION("""COMPUTED_VALUE"""),"""")</f>
        <v>"</v>
      </c>
      <c r="B1084" s="9" t="s">
        <v>1093</v>
      </c>
      <c r="C1084" s="9" t="str">
        <f>IFERROR(__xludf.DUMMYFUNCTION("""COMPUTED_VALUE"""),""":""")</f>
        <v>":"</v>
      </c>
      <c r="D1084" s="24">
        <v>6.2005979452041339E18</v>
      </c>
      <c r="E1084" s="9" t="str">
        <f>IFERROR(__xludf.DUMMYFUNCTION("""COMPUTED_VALUE"""),""",")</f>
        <v>",</v>
      </c>
    </row>
    <row r="1085">
      <c r="A1085" s="9" t="str">
        <f>IFERROR(__xludf.DUMMYFUNCTION("""COMPUTED_VALUE"""),"""")</f>
        <v>"</v>
      </c>
      <c r="B1085" s="9" t="s">
        <v>1094</v>
      </c>
      <c r="C1085" s="9" t="str">
        <f>IFERROR(__xludf.DUMMYFUNCTION("""COMPUTED_VALUE"""),""":""")</f>
        <v>":"</v>
      </c>
      <c r="D1085" s="24">
        <v>2.0248888511809958E19</v>
      </c>
      <c r="E1085" s="9" t="str">
        <f>IFERROR(__xludf.DUMMYFUNCTION("""COMPUTED_VALUE"""),""",")</f>
        <v>",</v>
      </c>
    </row>
    <row r="1086">
      <c r="A1086" s="9" t="str">
        <f>IFERROR(__xludf.DUMMYFUNCTION("""COMPUTED_VALUE"""),"""")</f>
        <v>"</v>
      </c>
      <c r="B1086" s="9" t="s">
        <v>1095</v>
      </c>
      <c r="C1086" s="9" t="str">
        <f>IFERROR(__xludf.DUMMYFUNCTION("""COMPUTED_VALUE"""),""":""")</f>
        <v>":"</v>
      </c>
      <c r="D1086" s="24">
        <v>6.2005979458241782E18</v>
      </c>
      <c r="E1086" s="9" t="str">
        <f>IFERROR(__xludf.DUMMYFUNCTION("""COMPUTED_VALUE"""),""",")</f>
        <v>",</v>
      </c>
    </row>
    <row r="1087">
      <c r="A1087" s="9" t="str">
        <f>IFERROR(__xludf.DUMMYFUNCTION("""COMPUTED_VALUE"""),"""")</f>
        <v>"</v>
      </c>
      <c r="B1087" s="9" t="s">
        <v>1096</v>
      </c>
      <c r="C1087" s="9" t="str">
        <f>IFERROR(__xludf.DUMMYFUNCTION("""COMPUTED_VALUE"""),""":""")</f>
        <v>":"</v>
      </c>
      <c r="D1087" s="24">
        <v>6.2005979458241782E18</v>
      </c>
      <c r="E1087" s="9" t="str">
        <f>IFERROR(__xludf.DUMMYFUNCTION("""COMPUTED_VALUE"""),""",")</f>
        <v>",</v>
      </c>
    </row>
    <row r="1088">
      <c r="A1088" s="9" t="str">
        <f>IFERROR(__xludf.DUMMYFUNCTION("""COMPUTED_VALUE"""),"""")</f>
        <v>"</v>
      </c>
      <c r="B1088" s="9" t="s">
        <v>1097</v>
      </c>
      <c r="C1088" s="9" t="str">
        <f>IFERROR(__xludf.DUMMYFUNCTION("""COMPUTED_VALUE"""),""":""")</f>
        <v>":"</v>
      </c>
      <c r="D1088" s="24">
        <v>6.2005979458241782E18</v>
      </c>
      <c r="E1088" s="9" t="str">
        <f>IFERROR(__xludf.DUMMYFUNCTION("""COMPUTED_VALUE"""),""",")</f>
        <v>",</v>
      </c>
    </row>
    <row r="1089">
      <c r="A1089" s="9" t="str">
        <f>IFERROR(__xludf.DUMMYFUNCTION("""COMPUTED_VALUE"""),"""")</f>
        <v>"</v>
      </c>
      <c r="B1089" s="9" t="s">
        <v>1098</v>
      </c>
      <c r="C1089" s="9" t="str">
        <f>IFERROR(__xludf.DUMMYFUNCTION("""COMPUTED_VALUE"""),""":""")</f>
        <v>":"</v>
      </c>
      <c r="D1089" s="24">
        <v>3.5852949775089467E19</v>
      </c>
      <c r="E1089" s="9" t="str">
        <f>IFERROR(__xludf.DUMMYFUNCTION("""COMPUTED_VALUE"""),""",")</f>
        <v>",</v>
      </c>
    </row>
    <row r="1090">
      <c r="A1090" s="9" t="str">
        <f>IFERROR(__xludf.DUMMYFUNCTION("""COMPUTED_VALUE"""),"""")</f>
        <v>"</v>
      </c>
      <c r="B1090" s="9" t="s">
        <v>1099</v>
      </c>
      <c r="C1090" s="9" t="str">
        <f>IFERROR(__xludf.DUMMYFUNCTION("""COMPUTED_VALUE"""),""":""")</f>
        <v>":"</v>
      </c>
      <c r="D1090" s="24">
        <v>4.665373907686258E19</v>
      </c>
      <c r="E1090" s="9" t="str">
        <f>IFERROR(__xludf.DUMMYFUNCTION("""COMPUTED_VALUE"""),""",")</f>
        <v>",</v>
      </c>
    </row>
    <row r="1091">
      <c r="A1091" s="9" t="str">
        <f>IFERROR(__xludf.DUMMYFUNCTION("""COMPUTED_VALUE"""),"""")</f>
        <v>"</v>
      </c>
      <c r="B1091" s="9" t="s">
        <v>1100</v>
      </c>
      <c r="C1091" s="9" t="str">
        <f>IFERROR(__xludf.DUMMYFUNCTION("""COMPUTED_VALUE"""),""":""")</f>
        <v>":"</v>
      </c>
      <c r="D1091" s="24">
        <v>6.2005979458241782E18</v>
      </c>
      <c r="E1091" s="9" t="str">
        <f>IFERROR(__xludf.DUMMYFUNCTION("""COMPUTED_VALUE"""),""",")</f>
        <v>",</v>
      </c>
    </row>
    <row r="1092">
      <c r="A1092" s="9" t="str">
        <f>IFERROR(__xludf.DUMMYFUNCTION("""COMPUTED_VALUE"""),"""")</f>
        <v>"</v>
      </c>
      <c r="B1092" s="9" t="s">
        <v>1101</v>
      </c>
      <c r="C1092" s="9" t="str">
        <f>IFERROR(__xludf.DUMMYFUNCTION("""COMPUTED_VALUE"""),""":""")</f>
        <v>":"</v>
      </c>
      <c r="D1092" s="24">
        <v>2.0248888511809958E19</v>
      </c>
      <c r="E1092" s="9" t="str">
        <f>IFERROR(__xludf.DUMMYFUNCTION("""COMPUTED_VALUE"""),""",")</f>
        <v>",</v>
      </c>
    </row>
    <row r="1093">
      <c r="A1093" s="9" t="str">
        <f>IFERROR(__xludf.DUMMYFUNCTION("""COMPUTED_VALUE"""),"""")</f>
        <v>"</v>
      </c>
      <c r="B1093" s="9" t="s">
        <v>1102</v>
      </c>
      <c r="C1093" s="9" t="str">
        <f>IFERROR(__xludf.DUMMYFUNCTION("""COMPUTED_VALUE"""),""":""")</f>
        <v>":"</v>
      </c>
      <c r="D1093" s="24">
        <v>6.2000993091561103E18</v>
      </c>
      <c r="E1093" s="9" t="str">
        <f>IFERROR(__xludf.DUMMYFUNCTION("""COMPUTED_VALUE"""),""",")</f>
        <v>",</v>
      </c>
    </row>
    <row r="1094">
      <c r="A1094" s="9" t="str">
        <f>IFERROR(__xludf.DUMMYFUNCTION("""COMPUTED_VALUE"""),"""")</f>
        <v>"</v>
      </c>
      <c r="B1094" s="9" t="s">
        <v>1103</v>
      </c>
      <c r="C1094" s="9" t="str">
        <f>IFERROR(__xludf.DUMMYFUNCTION("""COMPUTED_VALUE"""),""":""")</f>
        <v>":"</v>
      </c>
      <c r="D1094" s="24">
        <v>3.3411705898853514E18</v>
      </c>
      <c r="E1094" s="9" t="str">
        <f>IFERROR(__xludf.DUMMYFUNCTION("""COMPUTED_VALUE"""),""",")</f>
        <v>",</v>
      </c>
    </row>
    <row r="1095">
      <c r="A1095" s="9" t="str">
        <f>IFERROR(__xludf.DUMMYFUNCTION("""COMPUTED_VALUE"""),"""")</f>
        <v>"</v>
      </c>
      <c r="B1095" s="9" t="s">
        <v>1104</v>
      </c>
      <c r="C1095" s="9" t="str">
        <f>IFERROR(__xludf.DUMMYFUNCTION("""COMPUTED_VALUE"""),""":""")</f>
        <v>":"</v>
      </c>
      <c r="D1095" s="24">
        <v>1.57617681123934208E17</v>
      </c>
      <c r="E1095" s="9" t="str">
        <f>IFERROR(__xludf.DUMMYFUNCTION("""COMPUTED_VALUE"""),""",")</f>
        <v>",</v>
      </c>
    </row>
    <row r="1096">
      <c r="A1096" s="9" t="str">
        <f>IFERROR(__xludf.DUMMYFUNCTION("""COMPUTED_VALUE"""),"""")</f>
        <v>"</v>
      </c>
      <c r="B1096" s="9" t="s">
        <v>1105</v>
      </c>
      <c r="C1096" s="9" t="str">
        <f>IFERROR(__xludf.DUMMYFUNCTION("""COMPUTED_VALUE"""),""":""")</f>
        <v>":"</v>
      </c>
      <c r="D1096" s="24">
        <v>2.0248888511809958E19</v>
      </c>
      <c r="E1096" s="9" t="str">
        <f>IFERROR(__xludf.DUMMYFUNCTION("""COMPUTED_VALUE"""),""",")</f>
        <v>",</v>
      </c>
    </row>
    <row r="1097">
      <c r="A1097" s="9" t="str">
        <f>IFERROR(__xludf.DUMMYFUNCTION("""COMPUTED_VALUE"""),"""")</f>
        <v>"</v>
      </c>
      <c r="B1097" s="9" t="s">
        <v>1106</v>
      </c>
      <c r="C1097" s="9" t="str">
        <f>IFERROR(__xludf.DUMMYFUNCTION("""COMPUTED_VALUE"""),""":""")</f>
        <v>":"</v>
      </c>
      <c r="D1097" s="24">
        <v>2.0248888511809958E19</v>
      </c>
      <c r="E1097" s="9" t="str">
        <f>IFERROR(__xludf.DUMMYFUNCTION("""COMPUTED_VALUE"""),""",")</f>
        <v>",</v>
      </c>
    </row>
    <row r="1098">
      <c r="A1098" s="9" t="str">
        <f>IFERROR(__xludf.DUMMYFUNCTION("""COMPUTED_VALUE"""),"""")</f>
        <v>"</v>
      </c>
      <c r="B1098" s="9" t="s">
        <v>1107</v>
      </c>
      <c r="C1098" s="9" t="str">
        <f>IFERROR(__xludf.DUMMYFUNCTION("""COMPUTED_VALUE"""),""":""")</f>
        <v>":"</v>
      </c>
      <c r="D1098" s="24">
        <v>5.757073699459711E18</v>
      </c>
      <c r="E1098" s="9" t="str">
        <f>IFERROR(__xludf.DUMMYFUNCTION("""COMPUTED_VALUE"""),""",")</f>
        <v>",</v>
      </c>
    </row>
    <row r="1099">
      <c r="A1099" s="9" t="str">
        <f>IFERROR(__xludf.DUMMYFUNCTION("""COMPUTED_VALUE"""),"""")</f>
        <v>"</v>
      </c>
      <c r="B1099" s="9" t="s">
        <v>1108</v>
      </c>
      <c r="C1099" s="9" t="str">
        <f>IFERROR(__xludf.DUMMYFUNCTION("""COMPUTED_VALUE"""),""":""")</f>
        <v>":"</v>
      </c>
      <c r="D1099" s="24">
        <v>2.0248888511809958E19</v>
      </c>
      <c r="E1099" s="9" t="str">
        <f>IFERROR(__xludf.DUMMYFUNCTION("""COMPUTED_VALUE"""),""",")</f>
        <v>",</v>
      </c>
    </row>
    <row r="1100">
      <c r="A1100" s="9" t="str">
        <f>IFERROR(__xludf.DUMMYFUNCTION("""COMPUTED_VALUE"""),"""")</f>
        <v>"</v>
      </c>
      <c r="B1100" s="9" t="s">
        <v>1109</v>
      </c>
      <c r="C1100" s="9" t="str">
        <f>IFERROR(__xludf.DUMMYFUNCTION("""COMPUTED_VALUE"""),""":""")</f>
        <v>":"</v>
      </c>
      <c r="D1100" s="24">
        <v>6.2005979458241782E18</v>
      </c>
      <c r="E1100" s="9" t="str">
        <f>IFERROR(__xludf.DUMMYFUNCTION("""COMPUTED_VALUE"""),""",")</f>
        <v>",</v>
      </c>
    </row>
    <row r="1101">
      <c r="A1101" s="9" t="str">
        <f>IFERROR(__xludf.DUMMYFUNCTION("""COMPUTED_VALUE"""),"""")</f>
        <v>"</v>
      </c>
      <c r="B1101" s="9" t="s">
        <v>1110</v>
      </c>
      <c r="C1101" s="9" t="str">
        <f>IFERROR(__xludf.DUMMYFUNCTION("""COMPUTED_VALUE"""),""":""")</f>
        <v>":"</v>
      </c>
      <c r="D1101" s="24">
        <v>5.8819957579603558E18</v>
      </c>
      <c r="E1101" s="9" t="str">
        <f>IFERROR(__xludf.DUMMYFUNCTION("""COMPUTED_VALUE"""),""",")</f>
        <v>",</v>
      </c>
    </row>
    <row r="1102">
      <c r="A1102" s="9" t="str">
        <f>IFERROR(__xludf.DUMMYFUNCTION("""COMPUTED_VALUE"""),"""")</f>
        <v>"</v>
      </c>
      <c r="B1102" s="9" t="s">
        <v>1111</v>
      </c>
      <c r="C1102" s="9" t="str">
        <f>IFERROR(__xludf.DUMMYFUNCTION("""COMPUTED_VALUE"""),""":""")</f>
        <v>":"</v>
      </c>
      <c r="D1102" s="24">
        <v>2.013938176172262E19</v>
      </c>
      <c r="E1102" s="9" t="str">
        <f>IFERROR(__xludf.DUMMYFUNCTION("""COMPUTED_VALUE"""),""",")</f>
        <v>",</v>
      </c>
    </row>
    <row r="1103">
      <c r="A1103" s="9" t="str">
        <f>IFERROR(__xludf.DUMMYFUNCTION("""COMPUTED_VALUE"""),"""")</f>
        <v>"</v>
      </c>
      <c r="B1103" s="9" t="s">
        <v>1112</v>
      </c>
      <c r="C1103" s="9" t="str">
        <f>IFERROR(__xludf.DUMMYFUNCTION("""COMPUTED_VALUE"""),""":""")</f>
        <v>":"</v>
      </c>
      <c r="D1103" s="24">
        <v>4.6569311926790892E18</v>
      </c>
      <c r="E1103" s="9" t="str">
        <f>IFERROR(__xludf.DUMMYFUNCTION("""COMPUTED_VALUE"""),""",")</f>
        <v>",</v>
      </c>
    </row>
    <row r="1104">
      <c r="A1104" s="9" t="str">
        <f>IFERROR(__xludf.DUMMYFUNCTION("""COMPUTED_VALUE"""),"""")</f>
        <v>"</v>
      </c>
      <c r="B1104" s="9" t="s">
        <v>1113</v>
      </c>
      <c r="C1104" s="9" t="str">
        <f>IFERROR(__xludf.DUMMYFUNCTION("""COMPUTED_VALUE"""),""":""")</f>
        <v>":"</v>
      </c>
      <c r="D1104" s="24">
        <v>6.2005979458241782E18</v>
      </c>
      <c r="E1104" s="9" t="str">
        <f>IFERROR(__xludf.DUMMYFUNCTION("""COMPUTED_VALUE"""),""",")</f>
        <v>",</v>
      </c>
    </row>
    <row r="1105">
      <c r="A1105" s="9" t="str">
        <f>IFERROR(__xludf.DUMMYFUNCTION("""COMPUTED_VALUE"""),"""")</f>
        <v>"</v>
      </c>
      <c r="B1105" s="9" t="s">
        <v>1114</v>
      </c>
      <c r="C1105" s="9" t="str">
        <f>IFERROR(__xludf.DUMMYFUNCTION("""COMPUTED_VALUE"""),""":""")</f>
        <v>":"</v>
      </c>
      <c r="D1105" s="24">
        <v>5.570000549497953E19</v>
      </c>
      <c r="E1105" s="9" t="str">
        <f>IFERROR(__xludf.DUMMYFUNCTION("""COMPUTED_VALUE"""),""",")</f>
        <v>",</v>
      </c>
    </row>
    <row r="1106">
      <c r="A1106" s="9" t="str">
        <f>IFERROR(__xludf.DUMMYFUNCTION("""COMPUTED_VALUE"""),"""")</f>
        <v>"</v>
      </c>
      <c r="B1106" s="9" t="s">
        <v>1115</v>
      </c>
      <c r="C1106" s="9" t="str">
        <f>IFERROR(__xludf.DUMMYFUNCTION("""COMPUTED_VALUE"""),""":""")</f>
        <v>":"</v>
      </c>
      <c r="D1106" s="24">
        <v>2.7814519858695112E18</v>
      </c>
      <c r="E1106" s="9" t="str">
        <f>IFERROR(__xludf.DUMMYFUNCTION("""COMPUTED_VALUE"""),""",")</f>
        <v>",</v>
      </c>
    </row>
    <row r="1107">
      <c r="A1107" s="9" t="str">
        <f>IFERROR(__xludf.DUMMYFUNCTION("""COMPUTED_VALUE"""),"""")</f>
        <v>"</v>
      </c>
      <c r="B1107" s="9" t="s">
        <v>1116</v>
      </c>
      <c r="C1107" s="9" t="str">
        <f>IFERROR(__xludf.DUMMYFUNCTION("""COMPUTED_VALUE"""),""":""")</f>
        <v>":"</v>
      </c>
      <c r="D1107" s="24">
        <v>5.8477679655216896E18</v>
      </c>
      <c r="E1107" s="9" t="str">
        <f>IFERROR(__xludf.DUMMYFUNCTION("""COMPUTED_VALUE"""),""",")</f>
        <v>",</v>
      </c>
    </row>
    <row r="1108">
      <c r="A1108" s="9" t="str">
        <f>IFERROR(__xludf.DUMMYFUNCTION("""COMPUTED_VALUE"""),"""")</f>
        <v>"</v>
      </c>
      <c r="B1108" s="9" t="s">
        <v>1117</v>
      </c>
      <c r="C1108" s="9" t="str">
        <f>IFERROR(__xludf.DUMMYFUNCTION("""COMPUTED_VALUE"""),""":""")</f>
        <v>":"</v>
      </c>
      <c r="D1108" s="24">
        <v>4.715336479690752E19</v>
      </c>
      <c r="E1108" s="9" t="str">
        <f>IFERROR(__xludf.DUMMYFUNCTION("""COMPUTED_VALUE"""),""",")</f>
        <v>",</v>
      </c>
    </row>
    <row r="1109">
      <c r="A1109" s="9" t="str">
        <f>IFERROR(__xludf.DUMMYFUNCTION("""COMPUTED_VALUE"""),"""")</f>
        <v>"</v>
      </c>
      <c r="B1109" s="9" t="s">
        <v>1118</v>
      </c>
      <c r="C1109" s="9" t="str">
        <f>IFERROR(__xludf.DUMMYFUNCTION("""COMPUTED_VALUE"""),""":""")</f>
        <v>":"</v>
      </c>
      <c r="D1109" s="24">
        <v>2.0248888511809958E19</v>
      </c>
      <c r="E1109" s="9" t="str">
        <f>IFERROR(__xludf.DUMMYFUNCTION("""COMPUTED_VALUE"""),""",")</f>
        <v>",</v>
      </c>
    </row>
    <row r="1110">
      <c r="A1110" s="9" t="str">
        <f>IFERROR(__xludf.DUMMYFUNCTION("""COMPUTED_VALUE"""),"""")</f>
        <v>"</v>
      </c>
      <c r="B1110" s="9" t="s">
        <v>1119</v>
      </c>
      <c r="C1110" s="9" t="str">
        <f>IFERROR(__xludf.DUMMYFUNCTION("""COMPUTED_VALUE"""),""":""")</f>
        <v>":"</v>
      </c>
      <c r="D1110" s="24">
        <v>6.2005979458241782E18</v>
      </c>
      <c r="E1110" s="9" t="str">
        <f>IFERROR(__xludf.DUMMYFUNCTION("""COMPUTED_VALUE"""),""",")</f>
        <v>",</v>
      </c>
    </row>
    <row r="1111">
      <c r="A1111" s="9" t="str">
        <f>IFERROR(__xludf.DUMMYFUNCTION("""COMPUTED_VALUE"""),"""")</f>
        <v>"</v>
      </c>
      <c r="B1111" s="9" t="s">
        <v>1120</v>
      </c>
      <c r="C1111" s="9" t="str">
        <f>IFERROR(__xludf.DUMMYFUNCTION("""COMPUTED_VALUE"""),""":""")</f>
        <v>":"</v>
      </c>
      <c r="D1111" s="24">
        <v>4.1044850165064663E18</v>
      </c>
      <c r="E1111" s="9" t="str">
        <f>IFERROR(__xludf.DUMMYFUNCTION("""COMPUTED_VALUE"""),""",")</f>
        <v>",</v>
      </c>
    </row>
    <row r="1112">
      <c r="A1112" s="9" t="str">
        <f>IFERROR(__xludf.DUMMYFUNCTION("""COMPUTED_VALUE"""),"""")</f>
        <v>"</v>
      </c>
      <c r="B1112" s="9" t="s">
        <v>1121</v>
      </c>
      <c r="C1112" s="9" t="str">
        <f>IFERROR(__xludf.DUMMYFUNCTION("""COMPUTED_VALUE"""),""":""")</f>
        <v>":"</v>
      </c>
      <c r="D1112" s="24">
        <v>1.589345788519432E19</v>
      </c>
      <c r="E1112" s="9" t="str">
        <f>IFERROR(__xludf.DUMMYFUNCTION("""COMPUTED_VALUE"""),""",")</f>
        <v>",</v>
      </c>
    </row>
    <row r="1113">
      <c r="A1113" s="9" t="str">
        <f>IFERROR(__xludf.DUMMYFUNCTION("""COMPUTED_VALUE"""),"""")</f>
        <v>"</v>
      </c>
      <c r="B1113" s="9" t="s">
        <v>1122</v>
      </c>
      <c r="C1113" s="9" t="str">
        <f>IFERROR(__xludf.DUMMYFUNCTION("""COMPUTED_VALUE"""),""":""")</f>
        <v>":"</v>
      </c>
      <c r="D1113" s="24">
        <v>4.9915188065497334E18</v>
      </c>
      <c r="E1113" s="9" t="str">
        <f>IFERROR(__xludf.DUMMYFUNCTION("""COMPUTED_VALUE"""),""",")</f>
        <v>",</v>
      </c>
    </row>
    <row r="1114">
      <c r="A1114" s="9" t="str">
        <f>IFERROR(__xludf.DUMMYFUNCTION("""COMPUTED_VALUE"""),"""")</f>
        <v>"</v>
      </c>
      <c r="B1114" s="9" t="s">
        <v>1123</v>
      </c>
      <c r="C1114" s="9" t="str">
        <f>IFERROR(__xludf.DUMMYFUNCTION("""COMPUTED_VALUE"""),""":""")</f>
        <v>":"</v>
      </c>
      <c r="D1114" s="24">
        <v>1.5231439959246799E19</v>
      </c>
      <c r="E1114" s="9" t="str">
        <f>IFERROR(__xludf.DUMMYFUNCTION("""COMPUTED_VALUE"""),""",")</f>
        <v>",</v>
      </c>
    </row>
    <row r="1115">
      <c r="A1115" s="9" t="str">
        <f>IFERROR(__xludf.DUMMYFUNCTION("""COMPUTED_VALUE"""),"""")</f>
        <v>"</v>
      </c>
      <c r="B1115" s="9" t="s">
        <v>1124</v>
      </c>
      <c r="C1115" s="9" t="str">
        <f>IFERROR(__xludf.DUMMYFUNCTION("""COMPUTED_VALUE"""),""":""")</f>
        <v>":"</v>
      </c>
      <c r="D1115" s="24">
        <v>6.6329957986664315E18</v>
      </c>
      <c r="E1115" s="9" t="str">
        <f>IFERROR(__xludf.DUMMYFUNCTION("""COMPUTED_VALUE"""),""",")</f>
        <v>",</v>
      </c>
    </row>
    <row r="1116">
      <c r="A1116" s="9" t="str">
        <f>IFERROR(__xludf.DUMMYFUNCTION("""COMPUTED_VALUE"""),"""")</f>
        <v>"</v>
      </c>
      <c r="B1116" s="9" t="s">
        <v>1125</v>
      </c>
      <c r="C1116" s="9" t="str">
        <f>IFERROR(__xludf.DUMMYFUNCTION("""COMPUTED_VALUE"""),""":""")</f>
        <v>":"</v>
      </c>
      <c r="D1116" s="24">
        <v>1.48174658996733338E18</v>
      </c>
      <c r="E1116" s="9" t="str">
        <f>IFERROR(__xludf.DUMMYFUNCTION("""COMPUTED_VALUE"""),""",")</f>
        <v>",</v>
      </c>
    </row>
    <row r="1117">
      <c r="A1117" s="9" t="str">
        <f>IFERROR(__xludf.DUMMYFUNCTION("""COMPUTED_VALUE"""),"""")</f>
        <v>"</v>
      </c>
      <c r="B1117" s="9" t="s">
        <v>1126</v>
      </c>
      <c r="C1117" s="9" t="str">
        <f>IFERROR(__xludf.DUMMYFUNCTION("""COMPUTED_VALUE"""),""":""")</f>
        <v>":"</v>
      </c>
      <c r="D1117" s="24">
        <v>6.2005979458241782E18</v>
      </c>
      <c r="E1117" s="9" t="str">
        <f>IFERROR(__xludf.DUMMYFUNCTION("""COMPUTED_VALUE"""),""",")</f>
        <v>",</v>
      </c>
    </row>
    <row r="1118">
      <c r="A1118" s="9" t="str">
        <f>IFERROR(__xludf.DUMMYFUNCTION("""COMPUTED_VALUE"""),"""")</f>
        <v>"</v>
      </c>
      <c r="B1118" s="9" t="s">
        <v>1127</v>
      </c>
      <c r="C1118" s="9" t="str">
        <f>IFERROR(__xludf.DUMMYFUNCTION("""COMPUTED_VALUE"""),""":""")</f>
        <v>":"</v>
      </c>
      <c r="D1118" s="24">
        <v>6.1781878467762668E18</v>
      </c>
      <c r="E1118" s="9" t="str">
        <f>IFERROR(__xludf.DUMMYFUNCTION("""COMPUTED_VALUE"""),""",")</f>
        <v>",</v>
      </c>
    </row>
    <row r="1119">
      <c r="A1119" s="9" t="str">
        <f>IFERROR(__xludf.DUMMYFUNCTION("""COMPUTED_VALUE"""),"""")</f>
        <v>"</v>
      </c>
      <c r="B1119" s="9" t="s">
        <v>1128</v>
      </c>
      <c r="C1119" s="9" t="str">
        <f>IFERROR(__xludf.DUMMYFUNCTION("""COMPUTED_VALUE"""),""":""")</f>
        <v>":"</v>
      </c>
      <c r="D1119" s="24">
        <v>2.0686040995996807E19</v>
      </c>
      <c r="E1119" s="9" t="str">
        <f>IFERROR(__xludf.DUMMYFUNCTION("""COMPUTED_VALUE"""),""",")</f>
        <v>",</v>
      </c>
    </row>
    <row r="1120">
      <c r="A1120" s="9" t="str">
        <f>IFERROR(__xludf.DUMMYFUNCTION("""COMPUTED_VALUE"""),"""")</f>
        <v>"</v>
      </c>
      <c r="B1120" s="9" t="s">
        <v>1129</v>
      </c>
      <c r="C1120" s="9" t="str">
        <f>IFERROR(__xludf.DUMMYFUNCTION("""COMPUTED_VALUE"""),""":""")</f>
        <v>":"</v>
      </c>
      <c r="D1120" s="24">
        <v>6.2005979458241782E18</v>
      </c>
      <c r="E1120" s="9" t="str">
        <f>IFERROR(__xludf.DUMMYFUNCTION("""COMPUTED_VALUE"""),""",")</f>
        <v>",</v>
      </c>
    </row>
    <row r="1121">
      <c r="A1121" s="9" t="str">
        <f>IFERROR(__xludf.DUMMYFUNCTION("""COMPUTED_VALUE"""),"""")</f>
        <v>"</v>
      </c>
      <c r="B1121" s="9" t="s">
        <v>1130</v>
      </c>
      <c r="C1121" s="9" t="str">
        <f>IFERROR(__xludf.DUMMYFUNCTION("""COMPUTED_VALUE"""),""":""")</f>
        <v>":"</v>
      </c>
      <c r="D1121" s="24">
        <v>4.7780630339793336E18</v>
      </c>
      <c r="E1121" s="9" t="str">
        <f>IFERROR(__xludf.DUMMYFUNCTION("""COMPUTED_VALUE"""),""",")</f>
        <v>",</v>
      </c>
    </row>
    <row r="1122">
      <c r="A1122" s="9" t="str">
        <f>IFERROR(__xludf.DUMMYFUNCTION("""COMPUTED_VALUE"""),"""")</f>
        <v>"</v>
      </c>
      <c r="B1122" s="9" t="s">
        <v>1131</v>
      </c>
      <c r="C1122" s="9" t="str">
        <f>IFERROR(__xludf.DUMMYFUNCTION("""COMPUTED_VALUE"""),""":""")</f>
        <v>":"</v>
      </c>
      <c r="D1122" s="24">
        <v>6.6329957986664315E18</v>
      </c>
      <c r="E1122" s="9" t="str">
        <f>IFERROR(__xludf.DUMMYFUNCTION("""COMPUTED_VALUE"""),""",")</f>
        <v>",</v>
      </c>
    </row>
    <row r="1123">
      <c r="A1123" s="9" t="str">
        <f>IFERROR(__xludf.DUMMYFUNCTION("""COMPUTED_VALUE"""),"""")</f>
        <v>"</v>
      </c>
      <c r="B1123" s="9" t="s">
        <v>1132</v>
      </c>
      <c r="C1123" s="9" t="str">
        <f>IFERROR(__xludf.DUMMYFUNCTION("""COMPUTED_VALUE"""),""":""")</f>
        <v>":"</v>
      </c>
      <c r="D1123" s="24">
        <v>6.6329957986664315E18</v>
      </c>
      <c r="E1123" s="9" t="str">
        <f>IFERROR(__xludf.DUMMYFUNCTION("""COMPUTED_VALUE"""),""",")</f>
        <v>",</v>
      </c>
    </row>
    <row r="1124">
      <c r="A1124" s="9" t="str">
        <f>IFERROR(__xludf.DUMMYFUNCTION("""COMPUTED_VALUE"""),"""")</f>
        <v>"</v>
      </c>
      <c r="B1124" s="9" t="s">
        <v>1133</v>
      </c>
      <c r="C1124" s="9" t="str">
        <f>IFERROR(__xludf.DUMMYFUNCTION("""COMPUTED_VALUE"""),""":""")</f>
        <v>":"</v>
      </c>
      <c r="D1124" s="24">
        <v>1.68062774823790259E18</v>
      </c>
      <c r="E1124" s="9" t="str">
        <f>IFERROR(__xludf.DUMMYFUNCTION("""COMPUTED_VALUE"""),""",")</f>
        <v>",</v>
      </c>
    </row>
    <row r="1125">
      <c r="A1125" s="9" t="str">
        <f>IFERROR(__xludf.DUMMYFUNCTION("""COMPUTED_VALUE"""),"""")</f>
        <v>"</v>
      </c>
      <c r="B1125" s="9" t="s">
        <v>1134</v>
      </c>
      <c r="C1125" s="9" t="str">
        <f>IFERROR(__xludf.DUMMYFUNCTION("""COMPUTED_VALUE"""),""":""")</f>
        <v>":"</v>
      </c>
      <c r="D1125" s="24">
        <v>5.7197566105927557E18</v>
      </c>
      <c r="E1125" s="9" t="str">
        <f>IFERROR(__xludf.DUMMYFUNCTION("""COMPUTED_VALUE"""),""",")</f>
        <v>",</v>
      </c>
    </row>
    <row r="1126">
      <c r="A1126" s="9" t="str">
        <f>IFERROR(__xludf.DUMMYFUNCTION("""COMPUTED_VALUE"""),"""")</f>
        <v>"</v>
      </c>
      <c r="B1126" s="9" t="s">
        <v>1135</v>
      </c>
      <c r="C1126" s="9" t="str">
        <f>IFERROR(__xludf.DUMMYFUNCTION("""COMPUTED_VALUE"""),""":""")</f>
        <v>":"</v>
      </c>
      <c r="D1126" s="24">
        <v>3.889791753877667E19</v>
      </c>
      <c r="E1126" s="9" t="str">
        <f>IFERROR(__xludf.DUMMYFUNCTION("""COMPUTED_VALUE"""),""",")</f>
        <v>",</v>
      </c>
    </row>
    <row r="1127">
      <c r="A1127" s="9" t="str">
        <f>IFERROR(__xludf.DUMMYFUNCTION("""COMPUTED_VALUE"""),"""")</f>
        <v>"</v>
      </c>
      <c r="B1127" s="9" t="s">
        <v>1136</v>
      </c>
      <c r="C1127" s="9" t="str">
        <f>IFERROR(__xludf.DUMMYFUNCTION("""COMPUTED_VALUE"""),""":""")</f>
        <v>":"</v>
      </c>
      <c r="D1127" s="24">
        <v>2.0248888511809958E19</v>
      </c>
      <c r="E1127" s="9" t="str">
        <f>IFERROR(__xludf.DUMMYFUNCTION("""COMPUTED_VALUE"""),""",")</f>
        <v>",</v>
      </c>
    </row>
    <row r="1128">
      <c r="A1128" s="9" t="str">
        <f>IFERROR(__xludf.DUMMYFUNCTION("""COMPUTED_VALUE"""),"""")</f>
        <v>"</v>
      </c>
      <c r="B1128" s="9" t="s">
        <v>1137</v>
      </c>
      <c r="C1128" s="9" t="str">
        <f>IFERROR(__xludf.DUMMYFUNCTION("""COMPUTED_VALUE"""),""":""")</f>
        <v>":"</v>
      </c>
      <c r="D1128" s="24">
        <v>2.0248888511809958E19</v>
      </c>
      <c r="E1128" s="9" t="str">
        <f>IFERROR(__xludf.DUMMYFUNCTION("""COMPUTED_VALUE"""),""",")</f>
        <v>",</v>
      </c>
    </row>
    <row r="1129">
      <c r="A1129" s="9" t="str">
        <f>IFERROR(__xludf.DUMMYFUNCTION("""COMPUTED_VALUE"""),"""")</f>
        <v>"</v>
      </c>
      <c r="B1129" s="9" t="s">
        <v>1138</v>
      </c>
      <c r="C1129" s="9" t="str">
        <f>IFERROR(__xludf.DUMMYFUNCTION("""COMPUTED_VALUE"""),""":""")</f>
        <v>":"</v>
      </c>
      <c r="D1129" s="24">
        <v>6.2005979458241782E18</v>
      </c>
      <c r="E1129" s="9" t="str">
        <f>IFERROR(__xludf.DUMMYFUNCTION("""COMPUTED_VALUE"""),""",")</f>
        <v>",</v>
      </c>
    </row>
    <row r="1130">
      <c r="A1130" s="9" t="str">
        <f>IFERROR(__xludf.DUMMYFUNCTION("""COMPUTED_VALUE"""),"""")</f>
        <v>"</v>
      </c>
      <c r="B1130" s="9" t="s">
        <v>1139</v>
      </c>
      <c r="C1130" s="9" t="str">
        <f>IFERROR(__xludf.DUMMYFUNCTION("""COMPUTED_VALUE"""),""":""")</f>
        <v>":"</v>
      </c>
      <c r="D1130" s="24">
        <v>1.7263608792552667E19</v>
      </c>
      <c r="E1130" s="9" t="str">
        <f>IFERROR(__xludf.DUMMYFUNCTION("""COMPUTED_VALUE"""),""",")</f>
        <v>",</v>
      </c>
    </row>
    <row r="1131">
      <c r="A1131" s="9" t="str">
        <f>IFERROR(__xludf.DUMMYFUNCTION("""COMPUTED_VALUE"""),"""")</f>
        <v>"</v>
      </c>
      <c r="B1131" s="9" t="s">
        <v>1140</v>
      </c>
      <c r="C1131" s="9" t="str">
        <f>IFERROR(__xludf.DUMMYFUNCTION("""COMPUTED_VALUE"""),""":""")</f>
        <v>":"</v>
      </c>
      <c r="D1131" s="24">
        <v>3.3299626277505116E18</v>
      </c>
      <c r="E1131" s="9" t="str">
        <f>IFERROR(__xludf.DUMMYFUNCTION("""COMPUTED_VALUE"""),""",")</f>
        <v>",</v>
      </c>
    </row>
    <row r="1132">
      <c r="A1132" s="9" t="str">
        <f>IFERROR(__xludf.DUMMYFUNCTION("""COMPUTED_VALUE"""),"""")</f>
        <v>"</v>
      </c>
      <c r="B1132" s="9" t="s">
        <v>1141</v>
      </c>
      <c r="C1132" s="9" t="str">
        <f>IFERROR(__xludf.DUMMYFUNCTION("""COMPUTED_VALUE"""),""":""")</f>
        <v>":"</v>
      </c>
      <c r="D1132" s="24">
        <v>1.488824050159909E19</v>
      </c>
      <c r="E1132" s="9" t="str">
        <f>IFERROR(__xludf.DUMMYFUNCTION("""COMPUTED_VALUE"""),""",")</f>
        <v>",</v>
      </c>
    </row>
    <row r="1133">
      <c r="A1133" s="9" t="str">
        <f>IFERROR(__xludf.DUMMYFUNCTION("""COMPUTED_VALUE"""),"""")</f>
        <v>"</v>
      </c>
      <c r="B1133" s="9" t="s">
        <v>1142</v>
      </c>
      <c r="C1133" s="9" t="str">
        <f>IFERROR(__xludf.DUMMYFUNCTION("""COMPUTED_VALUE"""),""":""")</f>
        <v>":"</v>
      </c>
      <c r="D1133" s="24">
        <v>6.2005979458241782E18</v>
      </c>
      <c r="E1133" s="9" t="str">
        <f>IFERROR(__xludf.DUMMYFUNCTION("""COMPUTED_VALUE"""),""",")</f>
        <v>",</v>
      </c>
    </row>
    <row r="1134">
      <c r="A1134" s="9" t="str">
        <f>IFERROR(__xludf.DUMMYFUNCTION("""COMPUTED_VALUE"""),"""")</f>
        <v>"</v>
      </c>
      <c r="B1134" s="9" t="s">
        <v>1143</v>
      </c>
      <c r="C1134" s="9" t="str">
        <f>IFERROR(__xludf.DUMMYFUNCTION("""COMPUTED_VALUE"""),""":""")</f>
        <v>":"</v>
      </c>
      <c r="D1134" s="24">
        <v>3.3478697872744443E18</v>
      </c>
      <c r="E1134" s="9" t="str">
        <f>IFERROR(__xludf.DUMMYFUNCTION("""COMPUTED_VALUE"""),""",")</f>
        <v>",</v>
      </c>
    </row>
    <row r="1135">
      <c r="A1135" s="9" t="str">
        <f>IFERROR(__xludf.DUMMYFUNCTION("""COMPUTED_VALUE"""),"""")</f>
        <v>"</v>
      </c>
      <c r="B1135" s="9" t="s">
        <v>1144</v>
      </c>
      <c r="C1135" s="9" t="str">
        <f>IFERROR(__xludf.DUMMYFUNCTION("""COMPUTED_VALUE"""),""":""")</f>
        <v>":"</v>
      </c>
      <c r="D1135" s="24">
        <v>4.7609058094461778E18</v>
      </c>
      <c r="E1135" s="9" t="str">
        <f>IFERROR(__xludf.DUMMYFUNCTION("""COMPUTED_VALUE"""),""",")</f>
        <v>",</v>
      </c>
    </row>
    <row r="1136">
      <c r="A1136" s="9" t="str">
        <f>IFERROR(__xludf.DUMMYFUNCTION("""COMPUTED_VALUE"""),"""")</f>
        <v>"</v>
      </c>
      <c r="B1136" s="9" t="s">
        <v>1145</v>
      </c>
      <c r="C1136" s="9" t="str">
        <f>IFERROR(__xludf.DUMMYFUNCTION("""COMPUTED_VALUE"""),""":""")</f>
        <v>":"</v>
      </c>
      <c r="D1136" s="24">
        <v>6.2005979458241782E18</v>
      </c>
      <c r="E1136" s="9" t="str">
        <f>IFERROR(__xludf.DUMMYFUNCTION("""COMPUTED_VALUE"""),""",")</f>
        <v>",</v>
      </c>
    </row>
    <row r="1137">
      <c r="A1137" s="9" t="str">
        <f>IFERROR(__xludf.DUMMYFUNCTION("""COMPUTED_VALUE"""),"""")</f>
        <v>"</v>
      </c>
      <c r="B1137" s="9" t="s">
        <v>1146</v>
      </c>
      <c r="C1137" s="9" t="str">
        <f>IFERROR(__xludf.DUMMYFUNCTION("""COMPUTED_VALUE"""),""":""")</f>
        <v>":"</v>
      </c>
      <c r="D1137" s="24">
        <v>5.4398017193472061E18</v>
      </c>
      <c r="E1137" s="9" t="str">
        <f>IFERROR(__xludf.DUMMYFUNCTION("""COMPUTED_VALUE"""),""",")</f>
        <v>",</v>
      </c>
    </row>
    <row r="1138">
      <c r="A1138" s="9" t="str">
        <f>IFERROR(__xludf.DUMMYFUNCTION("""COMPUTED_VALUE"""),"""")</f>
        <v>"</v>
      </c>
      <c r="B1138" s="9" t="s">
        <v>1147</v>
      </c>
      <c r="C1138" s="9" t="str">
        <f>IFERROR(__xludf.DUMMYFUNCTION("""COMPUTED_VALUE"""),""":""")</f>
        <v>":"</v>
      </c>
      <c r="D1138" s="24">
        <v>4.9645253700716902E18</v>
      </c>
      <c r="E1138" s="9" t="str">
        <f>IFERROR(__xludf.DUMMYFUNCTION("""COMPUTED_VALUE"""),""",")</f>
        <v>",</v>
      </c>
    </row>
    <row r="1139">
      <c r="A1139" s="9" t="str">
        <f>IFERROR(__xludf.DUMMYFUNCTION("""COMPUTED_VALUE"""),"""")</f>
        <v>"</v>
      </c>
      <c r="B1139" s="9" t="s">
        <v>1148</v>
      </c>
      <c r="C1139" s="9" t="str">
        <f>IFERROR(__xludf.DUMMYFUNCTION("""COMPUTED_VALUE"""),""":""")</f>
        <v>":"</v>
      </c>
      <c r="D1139" s="24">
        <v>2.0248888511809958E19</v>
      </c>
      <c r="E1139" s="9" t="str">
        <f>IFERROR(__xludf.DUMMYFUNCTION("""COMPUTED_VALUE"""),""",")</f>
        <v>",</v>
      </c>
    </row>
    <row r="1140">
      <c r="A1140" s="9" t="str">
        <f>IFERROR(__xludf.DUMMYFUNCTION("""COMPUTED_VALUE"""),"""")</f>
        <v>"</v>
      </c>
      <c r="B1140" s="9" t="s">
        <v>1149</v>
      </c>
      <c r="C1140" s="9" t="str">
        <f>IFERROR(__xludf.DUMMYFUNCTION("""COMPUTED_VALUE"""),""":""")</f>
        <v>":"</v>
      </c>
      <c r="D1140" s="24">
        <v>3.0543403314328893E18</v>
      </c>
      <c r="E1140" s="9" t="str">
        <f>IFERROR(__xludf.DUMMYFUNCTION("""COMPUTED_VALUE"""),""",")</f>
        <v>",</v>
      </c>
    </row>
    <row r="1141">
      <c r="A1141" s="9" t="str">
        <f>IFERROR(__xludf.DUMMYFUNCTION("""COMPUTED_VALUE"""),"""")</f>
        <v>"</v>
      </c>
      <c r="B1141" s="9" t="s">
        <v>1150</v>
      </c>
      <c r="C1141" s="9" t="str">
        <f>IFERROR(__xludf.DUMMYFUNCTION("""COMPUTED_VALUE"""),""":""")</f>
        <v>":"</v>
      </c>
      <c r="D1141" s="24">
        <v>2.0248888511809958E19</v>
      </c>
      <c r="E1141" s="9" t="str">
        <f>IFERROR(__xludf.DUMMYFUNCTION("""COMPUTED_VALUE"""),""",")</f>
        <v>",</v>
      </c>
    </row>
    <row r="1142">
      <c r="A1142" s="9" t="str">
        <f>IFERROR(__xludf.DUMMYFUNCTION("""COMPUTED_VALUE"""),"""")</f>
        <v>"</v>
      </c>
      <c r="B1142" s="9" t="s">
        <v>1151</v>
      </c>
      <c r="C1142" s="9" t="str">
        <f>IFERROR(__xludf.DUMMYFUNCTION("""COMPUTED_VALUE"""),""":""")</f>
        <v>":"</v>
      </c>
      <c r="D1142" s="24">
        <v>2.0248888511809958E19</v>
      </c>
      <c r="E1142" s="9" t="str">
        <f>IFERROR(__xludf.DUMMYFUNCTION("""COMPUTED_VALUE"""),""",")</f>
        <v>",</v>
      </c>
    </row>
    <row r="1143">
      <c r="A1143" s="9" t="str">
        <f>IFERROR(__xludf.DUMMYFUNCTION("""COMPUTED_VALUE"""),"""")</f>
        <v>"</v>
      </c>
      <c r="B1143" s="9" t="s">
        <v>1152</v>
      </c>
      <c r="C1143" s="9" t="str">
        <f>IFERROR(__xludf.DUMMYFUNCTION("""COMPUTED_VALUE"""),""":""")</f>
        <v>":"</v>
      </c>
      <c r="D1143" s="24">
        <v>6.2005979458241782E18</v>
      </c>
      <c r="E1143" s="9" t="str">
        <f>IFERROR(__xludf.DUMMYFUNCTION("""COMPUTED_VALUE"""),""",")</f>
        <v>",</v>
      </c>
    </row>
    <row r="1144">
      <c r="A1144" s="9" t="str">
        <f>IFERROR(__xludf.DUMMYFUNCTION("""COMPUTED_VALUE"""),"""")</f>
        <v>"</v>
      </c>
      <c r="B1144" s="9" t="s">
        <v>1153</v>
      </c>
      <c r="C1144" s="9" t="str">
        <f>IFERROR(__xludf.DUMMYFUNCTION("""COMPUTED_VALUE"""),""":""")</f>
        <v>":"</v>
      </c>
      <c r="D1144" s="24">
        <v>6.2005979458241782E18</v>
      </c>
      <c r="E1144" s="9" t="str">
        <f>IFERROR(__xludf.DUMMYFUNCTION("""COMPUTED_VALUE"""),""",")</f>
        <v>",</v>
      </c>
    </row>
    <row r="1145">
      <c r="A1145" s="9" t="str">
        <f>IFERROR(__xludf.DUMMYFUNCTION("""COMPUTED_VALUE"""),"""")</f>
        <v>"</v>
      </c>
      <c r="B1145" s="9" t="s">
        <v>1154</v>
      </c>
      <c r="C1145" s="9" t="str">
        <f>IFERROR(__xludf.DUMMYFUNCTION("""COMPUTED_VALUE"""),""":""")</f>
        <v>":"</v>
      </c>
      <c r="D1145" s="24">
        <v>6.2005979458241782E18</v>
      </c>
      <c r="E1145" s="9" t="str">
        <f>IFERROR(__xludf.DUMMYFUNCTION("""COMPUTED_VALUE"""),""",")</f>
        <v>",</v>
      </c>
    </row>
    <row r="1146">
      <c r="A1146" s="9" t="str">
        <f>IFERROR(__xludf.DUMMYFUNCTION("""COMPUTED_VALUE"""),"""")</f>
        <v>"</v>
      </c>
      <c r="B1146" s="9" t="s">
        <v>1155</v>
      </c>
      <c r="C1146" s="9" t="str">
        <f>IFERROR(__xludf.DUMMYFUNCTION("""COMPUTED_VALUE"""),""":""")</f>
        <v>":"</v>
      </c>
      <c r="D1146" s="24">
        <v>3.4984132947201782E18</v>
      </c>
      <c r="E1146" s="9" t="str">
        <f>IFERROR(__xludf.DUMMYFUNCTION("""COMPUTED_VALUE"""),""",")</f>
        <v>",</v>
      </c>
    </row>
    <row r="1147">
      <c r="A1147" s="9" t="str">
        <f>IFERROR(__xludf.DUMMYFUNCTION("""COMPUTED_VALUE"""),"""")</f>
        <v>"</v>
      </c>
      <c r="B1147" s="9" t="s">
        <v>1156</v>
      </c>
      <c r="C1147" s="9" t="str">
        <f>IFERROR(__xludf.DUMMYFUNCTION("""COMPUTED_VALUE"""),""":""")</f>
        <v>":"</v>
      </c>
      <c r="D1147" s="24">
        <v>6.2005979458241782E18</v>
      </c>
      <c r="E1147" s="9" t="str">
        <f>IFERROR(__xludf.DUMMYFUNCTION("""COMPUTED_VALUE"""),""",")</f>
        <v>",</v>
      </c>
    </row>
    <row r="1148">
      <c r="A1148" s="9" t="str">
        <f>IFERROR(__xludf.DUMMYFUNCTION("""COMPUTED_VALUE"""),"""")</f>
        <v>"</v>
      </c>
      <c r="B1148" s="9" t="s">
        <v>1157</v>
      </c>
      <c r="C1148" s="9" t="str">
        <f>IFERROR(__xludf.DUMMYFUNCTION("""COMPUTED_VALUE"""),""":""")</f>
        <v>":"</v>
      </c>
      <c r="D1148" s="24">
        <v>2.0248888511809958E19</v>
      </c>
      <c r="E1148" s="9" t="str">
        <f>IFERROR(__xludf.DUMMYFUNCTION("""COMPUTED_VALUE"""),""",")</f>
        <v>",</v>
      </c>
    </row>
    <row r="1149">
      <c r="A1149" s="9" t="str">
        <f>IFERROR(__xludf.DUMMYFUNCTION("""COMPUTED_VALUE"""),"""")</f>
        <v>"</v>
      </c>
      <c r="B1149" s="9" t="s">
        <v>1158</v>
      </c>
      <c r="C1149" s="9" t="str">
        <f>IFERROR(__xludf.DUMMYFUNCTION("""COMPUTED_VALUE"""),""":""")</f>
        <v>":"</v>
      </c>
      <c r="D1149" s="24">
        <v>6.1207361414169119E18</v>
      </c>
      <c r="E1149" s="9" t="str">
        <f>IFERROR(__xludf.DUMMYFUNCTION("""COMPUTED_VALUE"""),""",")</f>
        <v>",</v>
      </c>
    </row>
    <row r="1150">
      <c r="A1150" s="9" t="str">
        <f>IFERROR(__xludf.DUMMYFUNCTION("""COMPUTED_VALUE"""),"""")</f>
        <v>"</v>
      </c>
      <c r="B1150" s="9" t="s">
        <v>1159</v>
      </c>
      <c r="C1150" s="9" t="str">
        <f>IFERROR(__xludf.DUMMYFUNCTION("""COMPUTED_VALUE"""),""":""")</f>
        <v>":"</v>
      </c>
      <c r="D1150" s="24">
        <v>6.2005979458241782E18</v>
      </c>
      <c r="E1150" s="9" t="str">
        <f>IFERROR(__xludf.DUMMYFUNCTION("""COMPUTED_VALUE"""),""",")</f>
        <v>",</v>
      </c>
    </row>
    <row r="1151">
      <c r="A1151" s="9" t="str">
        <f>IFERROR(__xludf.DUMMYFUNCTION("""COMPUTED_VALUE"""),"""")</f>
        <v>"</v>
      </c>
      <c r="B1151" s="9" t="s">
        <v>1160</v>
      </c>
      <c r="C1151" s="9" t="str">
        <f>IFERROR(__xludf.DUMMYFUNCTION("""COMPUTED_VALUE"""),""":""")</f>
        <v>":"</v>
      </c>
      <c r="D1151" s="24">
        <v>5.8100612770229043E18</v>
      </c>
      <c r="E1151" s="9" t="str">
        <f>IFERROR(__xludf.DUMMYFUNCTION("""COMPUTED_VALUE"""),""",")</f>
        <v>",</v>
      </c>
    </row>
    <row r="1152">
      <c r="A1152" s="9" t="str">
        <f>IFERROR(__xludf.DUMMYFUNCTION("""COMPUTED_VALUE"""),"""")</f>
        <v>"</v>
      </c>
      <c r="B1152" s="9" t="s">
        <v>1161</v>
      </c>
      <c r="C1152" s="9" t="str">
        <f>IFERROR(__xludf.DUMMYFUNCTION("""COMPUTED_VALUE"""),""":""")</f>
        <v>":"</v>
      </c>
      <c r="D1152" s="24">
        <v>2.0248888511809958E19</v>
      </c>
      <c r="E1152" s="9" t="str">
        <f>IFERROR(__xludf.DUMMYFUNCTION("""COMPUTED_VALUE"""),""",")</f>
        <v>",</v>
      </c>
    </row>
    <row r="1153">
      <c r="A1153" s="9" t="str">
        <f>IFERROR(__xludf.DUMMYFUNCTION("""COMPUTED_VALUE"""),"""")</f>
        <v>"</v>
      </c>
      <c r="B1153" s="9" t="s">
        <v>1162</v>
      </c>
      <c r="C1153" s="9" t="str">
        <f>IFERROR(__xludf.DUMMYFUNCTION("""COMPUTED_VALUE"""),""":""")</f>
        <v>":"</v>
      </c>
      <c r="D1153" s="24">
        <v>2.0248888511809958E19</v>
      </c>
      <c r="E1153" s="9" t="str">
        <f>IFERROR(__xludf.DUMMYFUNCTION("""COMPUTED_VALUE"""),""",")</f>
        <v>",</v>
      </c>
    </row>
    <row r="1154">
      <c r="A1154" s="9" t="str">
        <f>IFERROR(__xludf.DUMMYFUNCTION("""COMPUTED_VALUE"""),"""")</f>
        <v>"</v>
      </c>
      <c r="B1154" s="9" t="s">
        <v>1163</v>
      </c>
      <c r="C1154" s="9" t="str">
        <f>IFERROR(__xludf.DUMMYFUNCTION("""COMPUTED_VALUE"""),""":""")</f>
        <v>":"</v>
      </c>
      <c r="D1154" s="24">
        <v>3.4575238756649673E19</v>
      </c>
      <c r="E1154" s="9" t="str">
        <f>IFERROR(__xludf.DUMMYFUNCTION("""COMPUTED_VALUE"""),""",")</f>
        <v>",</v>
      </c>
    </row>
    <row r="1155">
      <c r="A1155" s="9" t="str">
        <f>IFERROR(__xludf.DUMMYFUNCTION("""COMPUTED_VALUE"""),"""")</f>
        <v>"</v>
      </c>
      <c r="B1155" s="9" t="s">
        <v>1164</v>
      </c>
      <c r="C1155" s="9" t="str">
        <f>IFERROR(__xludf.DUMMYFUNCTION("""COMPUTED_VALUE"""),""":""")</f>
        <v>":"</v>
      </c>
      <c r="D1155" s="24">
        <v>2.2134143150202184E19</v>
      </c>
      <c r="E1155" s="9" t="str">
        <f>IFERROR(__xludf.DUMMYFUNCTION("""COMPUTED_VALUE"""),""",")</f>
        <v>",</v>
      </c>
    </row>
    <row r="1156">
      <c r="A1156" s="9" t="str">
        <f>IFERROR(__xludf.DUMMYFUNCTION("""COMPUTED_VALUE"""),"""")</f>
        <v>"</v>
      </c>
      <c r="B1156" s="9" t="s">
        <v>1165</v>
      </c>
      <c r="C1156" s="9" t="str">
        <f>IFERROR(__xludf.DUMMYFUNCTION("""COMPUTED_VALUE"""),""":""")</f>
        <v>":"</v>
      </c>
      <c r="D1156" s="24">
        <v>2.0248888511809958E19</v>
      </c>
      <c r="E1156" s="9" t="str">
        <f>IFERROR(__xludf.DUMMYFUNCTION("""COMPUTED_VALUE"""),""",")</f>
        <v>",</v>
      </c>
    </row>
    <row r="1157">
      <c r="A1157" s="9" t="str">
        <f>IFERROR(__xludf.DUMMYFUNCTION("""COMPUTED_VALUE"""),"""")</f>
        <v>"</v>
      </c>
      <c r="B1157" s="9" t="s">
        <v>1166</v>
      </c>
      <c r="C1157" s="9" t="str">
        <f>IFERROR(__xludf.DUMMYFUNCTION("""COMPUTED_VALUE"""),""":""")</f>
        <v>":"</v>
      </c>
      <c r="D1157" s="24">
        <v>3.4985036293398266E19</v>
      </c>
      <c r="E1157" s="9" t="str">
        <f>IFERROR(__xludf.DUMMYFUNCTION("""COMPUTED_VALUE"""),""",")</f>
        <v>",</v>
      </c>
    </row>
    <row r="1158">
      <c r="A1158" s="9" t="str">
        <f>IFERROR(__xludf.DUMMYFUNCTION("""COMPUTED_VALUE"""),"""")</f>
        <v>"</v>
      </c>
      <c r="B1158" s="9" t="s">
        <v>1167</v>
      </c>
      <c r="C1158" s="9" t="str">
        <f>IFERROR(__xludf.DUMMYFUNCTION("""COMPUTED_VALUE"""),""":""")</f>
        <v>":"</v>
      </c>
      <c r="D1158" s="24">
        <v>6.063872426165289E18</v>
      </c>
      <c r="E1158" s="9" t="str">
        <f>IFERROR(__xludf.DUMMYFUNCTION("""COMPUTED_VALUE"""),""",")</f>
        <v>",</v>
      </c>
    </row>
    <row r="1159">
      <c r="A1159" s="9" t="str">
        <f>IFERROR(__xludf.DUMMYFUNCTION("""COMPUTED_VALUE"""),"""")</f>
        <v>"</v>
      </c>
      <c r="B1159" s="9" t="s">
        <v>1168</v>
      </c>
      <c r="C1159" s="9" t="str">
        <f>IFERROR(__xludf.DUMMYFUNCTION("""COMPUTED_VALUE"""),""":""")</f>
        <v>":"</v>
      </c>
      <c r="D1159" s="24">
        <v>2.1230359310745985E19</v>
      </c>
      <c r="E1159" s="9" t="str">
        <f>IFERROR(__xludf.DUMMYFUNCTION("""COMPUTED_VALUE"""),""",")</f>
        <v>",</v>
      </c>
    </row>
    <row r="1160">
      <c r="A1160" s="9" t="str">
        <f>IFERROR(__xludf.DUMMYFUNCTION("""COMPUTED_VALUE"""),"""")</f>
        <v>"</v>
      </c>
      <c r="B1160" s="9" t="s">
        <v>1169</v>
      </c>
      <c r="C1160" s="9" t="str">
        <f>IFERROR(__xludf.DUMMYFUNCTION("""COMPUTED_VALUE"""),""":""")</f>
        <v>":"</v>
      </c>
      <c r="D1160" s="24">
        <v>6.1889916238050673E18</v>
      </c>
      <c r="E1160" s="9" t="str">
        <f>IFERROR(__xludf.DUMMYFUNCTION("""COMPUTED_VALUE"""),""",")</f>
        <v>",</v>
      </c>
    </row>
    <row r="1161">
      <c r="A1161" s="9" t="str">
        <f>IFERROR(__xludf.DUMMYFUNCTION("""COMPUTED_VALUE"""),"""")</f>
        <v>"</v>
      </c>
      <c r="B1161" s="9" t="s">
        <v>1170</v>
      </c>
      <c r="C1161" s="9" t="str">
        <f>IFERROR(__xludf.DUMMYFUNCTION("""COMPUTED_VALUE"""),""":""")</f>
        <v>":"</v>
      </c>
      <c r="D1161" s="24">
        <v>2.6706570584455397E19</v>
      </c>
      <c r="E1161" s="9" t="str">
        <f>IFERROR(__xludf.DUMMYFUNCTION("""COMPUTED_VALUE"""),""",")</f>
        <v>",</v>
      </c>
    </row>
    <row r="1162">
      <c r="A1162" s="9" t="str">
        <f>IFERROR(__xludf.DUMMYFUNCTION("""COMPUTED_VALUE"""),"""")</f>
        <v>"</v>
      </c>
      <c r="B1162" s="9" t="s">
        <v>1171</v>
      </c>
      <c r="C1162" s="9" t="str">
        <f>IFERROR(__xludf.DUMMYFUNCTION("""COMPUTED_VALUE"""),""":""")</f>
        <v>":"</v>
      </c>
      <c r="D1162" s="24">
        <v>6.9434534464230105E19</v>
      </c>
      <c r="E1162" s="9" t="str">
        <f>IFERROR(__xludf.DUMMYFUNCTION("""COMPUTED_VALUE"""),""",")</f>
        <v>",</v>
      </c>
    </row>
    <row r="1163">
      <c r="A1163" s="9" t="str">
        <f>IFERROR(__xludf.DUMMYFUNCTION("""COMPUTED_VALUE"""),"""")</f>
        <v>"</v>
      </c>
      <c r="B1163" s="9" t="s">
        <v>1172</v>
      </c>
      <c r="C1163" s="9" t="str">
        <f>IFERROR(__xludf.DUMMYFUNCTION("""COMPUTED_VALUE"""),""":""")</f>
        <v>":"</v>
      </c>
      <c r="D1163" s="24">
        <v>3.2781482678403779E18</v>
      </c>
      <c r="E1163" s="9" t="str">
        <f>IFERROR(__xludf.DUMMYFUNCTION("""COMPUTED_VALUE"""),""",")</f>
        <v>",</v>
      </c>
    </row>
    <row r="1164">
      <c r="A1164" s="9" t="str">
        <f>IFERROR(__xludf.DUMMYFUNCTION("""COMPUTED_VALUE"""),"""")</f>
        <v>"</v>
      </c>
      <c r="B1164" s="9" t="s">
        <v>1173</v>
      </c>
      <c r="C1164" s="9" t="str">
        <f>IFERROR(__xludf.DUMMYFUNCTION("""COMPUTED_VALUE"""),""":""")</f>
        <v>":"</v>
      </c>
      <c r="D1164" s="24">
        <v>5.539510309759445E18</v>
      </c>
      <c r="E1164" s="9" t="str">
        <f>IFERROR(__xludf.DUMMYFUNCTION("""COMPUTED_VALUE"""),""",")</f>
        <v>",</v>
      </c>
    </row>
    <row r="1165">
      <c r="A1165" s="9" t="str">
        <f>IFERROR(__xludf.DUMMYFUNCTION("""COMPUTED_VALUE"""),"""")</f>
        <v>"</v>
      </c>
      <c r="B1165" s="9" t="s">
        <v>1174</v>
      </c>
      <c r="C1165" s="9" t="str">
        <f>IFERROR(__xludf.DUMMYFUNCTION("""COMPUTED_VALUE"""),""":""")</f>
        <v>":"</v>
      </c>
      <c r="D1165" s="24">
        <v>6.2005979458241782E18</v>
      </c>
      <c r="E1165" s="9" t="str">
        <f>IFERROR(__xludf.DUMMYFUNCTION("""COMPUTED_VALUE"""),""",")</f>
        <v>",</v>
      </c>
    </row>
    <row r="1166">
      <c r="A1166" s="9" t="str">
        <f>IFERROR(__xludf.DUMMYFUNCTION("""COMPUTED_VALUE"""),"""")</f>
        <v>"</v>
      </c>
      <c r="B1166" s="9" t="s">
        <v>1175</v>
      </c>
      <c r="C1166" s="9" t="str">
        <f>IFERROR(__xludf.DUMMYFUNCTION("""COMPUTED_VALUE"""),""":""")</f>
        <v>":"</v>
      </c>
      <c r="D1166" s="24">
        <v>3.0638111722050798E19</v>
      </c>
      <c r="E1166" s="9" t="str">
        <f>IFERROR(__xludf.DUMMYFUNCTION("""COMPUTED_VALUE"""),""",")</f>
        <v>",</v>
      </c>
    </row>
    <row r="1167">
      <c r="A1167" s="9" t="str">
        <f>IFERROR(__xludf.DUMMYFUNCTION("""COMPUTED_VALUE"""),"""")</f>
        <v>"</v>
      </c>
      <c r="B1167" s="9" t="s">
        <v>1176</v>
      </c>
      <c r="C1167" s="9" t="str">
        <f>IFERROR(__xludf.DUMMYFUNCTION("""COMPUTED_VALUE"""),""":""")</f>
        <v>":"</v>
      </c>
      <c r="D1167" s="24">
        <v>5.5954946372760658E18</v>
      </c>
      <c r="E1167" s="9" t="str">
        <f>IFERROR(__xludf.DUMMYFUNCTION("""COMPUTED_VALUE"""),""",")</f>
        <v>",</v>
      </c>
    </row>
    <row r="1168">
      <c r="A1168" s="9" t="str">
        <f>IFERROR(__xludf.DUMMYFUNCTION("""COMPUTED_VALUE"""),"""")</f>
        <v>"</v>
      </c>
      <c r="B1168" s="9" t="s">
        <v>1177</v>
      </c>
      <c r="C1168" s="9" t="str">
        <f>IFERROR(__xludf.DUMMYFUNCTION("""COMPUTED_VALUE"""),""":""")</f>
        <v>":"</v>
      </c>
      <c r="D1168" s="24">
        <v>2.638313491911018E19</v>
      </c>
      <c r="E1168" s="9" t="str">
        <f>IFERROR(__xludf.DUMMYFUNCTION("""COMPUTED_VALUE"""),""",")</f>
        <v>",</v>
      </c>
    </row>
    <row r="1169">
      <c r="A1169" s="9" t="str">
        <f>IFERROR(__xludf.DUMMYFUNCTION("""COMPUTED_VALUE"""),"""")</f>
        <v>"</v>
      </c>
      <c r="B1169" s="9" t="s">
        <v>1178</v>
      </c>
      <c r="C1169" s="9" t="str">
        <f>IFERROR(__xludf.DUMMYFUNCTION("""COMPUTED_VALUE"""),""":""")</f>
        <v>":"</v>
      </c>
      <c r="D1169" s="24">
        <v>6.2005979458241782E18</v>
      </c>
      <c r="E1169" s="9" t="str">
        <f>IFERROR(__xludf.DUMMYFUNCTION("""COMPUTED_VALUE"""),""",")</f>
        <v>",</v>
      </c>
    </row>
    <row r="1170">
      <c r="A1170" s="9" t="str">
        <f>IFERROR(__xludf.DUMMYFUNCTION("""COMPUTED_VALUE"""),"""")</f>
        <v>"</v>
      </c>
      <c r="B1170" s="9" t="s">
        <v>1179</v>
      </c>
      <c r="C1170" s="9" t="str">
        <f>IFERROR(__xludf.DUMMYFUNCTION("""COMPUTED_VALUE"""),""":""")</f>
        <v>":"</v>
      </c>
      <c r="D1170" s="24">
        <v>5.8318297289792451E18</v>
      </c>
      <c r="E1170" s="9" t="str">
        <f>IFERROR(__xludf.DUMMYFUNCTION("""COMPUTED_VALUE"""),""",")</f>
        <v>",</v>
      </c>
    </row>
    <row r="1171">
      <c r="A1171" s="9" t="str">
        <f>IFERROR(__xludf.DUMMYFUNCTION("""COMPUTED_VALUE"""),"""")</f>
        <v>"</v>
      </c>
      <c r="B1171" s="9" t="s">
        <v>1180</v>
      </c>
      <c r="C1171" s="9" t="str">
        <f>IFERROR(__xludf.DUMMYFUNCTION("""COMPUTED_VALUE"""),""":""")</f>
        <v>":"</v>
      </c>
      <c r="D1171" s="24">
        <v>6.2005979458241782E18</v>
      </c>
      <c r="E1171" s="9" t="str">
        <f>IFERROR(__xludf.DUMMYFUNCTION("""COMPUTED_VALUE"""),""",")</f>
        <v>",</v>
      </c>
    </row>
    <row r="1172">
      <c r="A1172" s="9" t="str">
        <f>IFERROR(__xludf.DUMMYFUNCTION("""COMPUTED_VALUE"""),"""")</f>
        <v>"</v>
      </c>
      <c r="B1172" s="9" t="s">
        <v>1181</v>
      </c>
      <c r="C1172" s="9" t="str">
        <f>IFERROR(__xludf.DUMMYFUNCTION("""COMPUTED_VALUE"""),""":""")</f>
        <v>":"</v>
      </c>
      <c r="D1172" s="24">
        <v>2.051224065610822E19</v>
      </c>
      <c r="E1172" s="9" t="str">
        <f>IFERROR(__xludf.DUMMYFUNCTION("""COMPUTED_VALUE"""),""",")</f>
        <v>",</v>
      </c>
    </row>
    <row r="1173">
      <c r="A1173" s="9" t="str">
        <f>IFERROR(__xludf.DUMMYFUNCTION("""COMPUTED_VALUE"""),"""")</f>
        <v>"</v>
      </c>
      <c r="B1173" s="9" t="s">
        <v>1182</v>
      </c>
      <c r="C1173" s="9" t="str">
        <f>IFERROR(__xludf.DUMMYFUNCTION("""COMPUTED_VALUE"""),""":""")</f>
        <v>":"</v>
      </c>
      <c r="D1173" s="24">
        <v>6.2005979458241782E18</v>
      </c>
      <c r="E1173" s="9" t="str">
        <f>IFERROR(__xludf.DUMMYFUNCTION("""COMPUTED_VALUE"""),""",")</f>
        <v>",</v>
      </c>
    </row>
    <row r="1174">
      <c r="A1174" s="9" t="str">
        <f>IFERROR(__xludf.DUMMYFUNCTION("""COMPUTED_VALUE"""),"""")</f>
        <v>"</v>
      </c>
      <c r="B1174" s="9" t="s">
        <v>1183</v>
      </c>
      <c r="C1174" s="9" t="str">
        <f>IFERROR(__xludf.DUMMYFUNCTION("""COMPUTED_VALUE"""),""":""")</f>
        <v>":"</v>
      </c>
      <c r="D1174" s="24">
        <v>5.3929245338035507E18</v>
      </c>
      <c r="E1174" s="9" t="str">
        <f>IFERROR(__xludf.DUMMYFUNCTION("""COMPUTED_VALUE"""),""",")</f>
        <v>",</v>
      </c>
    </row>
    <row r="1175">
      <c r="A1175" s="9" t="str">
        <f>IFERROR(__xludf.DUMMYFUNCTION("""COMPUTED_VALUE"""),"""")</f>
        <v>"</v>
      </c>
      <c r="B1175" s="9" t="s">
        <v>1184</v>
      </c>
      <c r="C1175" s="9" t="str">
        <f>IFERROR(__xludf.DUMMYFUNCTION("""COMPUTED_VALUE"""),""":""")</f>
        <v>":"</v>
      </c>
      <c r="D1175" s="24">
        <v>6.809385879477911E17</v>
      </c>
      <c r="E1175" s="9" t="str">
        <f>IFERROR(__xludf.DUMMYFUNCTION("""COMPUTED_VALUE"""),""",")</f>
        <v>",</v>
      </c>
    </row>
    <row r="1176">
      <c r="A1176" s="9" t="str">
        <f>IFERROR(__xludf.DUMMYFUNCTION("""COMPUTED_VALUE"""),"""")</f>
        <v>"</v>
      </c>
      <c r="B1176" s="9" t="s">
        <v>1185</v>
      </c>
      <c r="C1176" s="9" t="str">
        <f>IFERROR(__xludf.DUMMYFUNCTION("""COMPUTED_VALUE"""),""":""")</f>
        <v>":"</v>
      </c>
      <c r="D1176" s="24">
        <v>1.888598809441089E19</v>
      </c>
      <c r="E1176" s="9" t="str">
        <f>IFERROR(__xludf.DUMMYFUNCTION("""COMPUTED_VALUE"""),""",")</f>
        <v>",</v>
      </c>
    </row>
    <row r="1177">
      <c r="A1177" s="9" t="str">
        <f>IFERROR(__xludf.DUMMYFUNCTION("""COMPUTED_VALUE"""),"""")</f>
        <v>"</v>
      </c>
      <c r="B1177" s="9" t="s">
        <v>1186</v>
      </c>
      <c r="C1177" s="9" t="str">
        <f>IFERROR(__xludf.DUMMYFUNCTION("""COMPUTED_VALUE"""),""":""")</f>
        <v>":"</v>
      </c>
      <c r="D1177" s="24">
        <v>3.0626518184435937E19</v>
      </c>
      <c r="E1177" s="9" t="str">
        <f>IFERROR(__xludf.DUMMYFUNCTION("""COMPUTED_VALUE"""),""",")</f>
        <v>",</v>
      </c>
    </row>
    <row r="1178">
      <c r="A1178" s="9" t="str">
        <f>IFERROR(__xludf.DUMMYFUNCTION("""COMPUTED_VALUE"""),"""")</f>
        <v>"</v>
      </c>
      <c r="B1178" s="9" t="s">
        <v>1187</v>
      </c>
      <c r="C1178" s="9" t="str">
        <f>IFERROR(__xludf.DUMMYFUNCTION("""COMPUTED_VALUE"""),""":""")</f>
        <v>":"</v>
      </c>
      <c r="D1178" s="24">
        <v>6.2005979458241782E18</v>
      </c>
      <c r="E1178" s="9" t="str">
        <f>IFERROR(__xludf.DUMMYFUNCTION("""COMPUTED_VALUE"""),""",")</f>
        <v>",</v>
      </c>
    </row>
    <row r="1179">
      <c r="A1179" s="9" t="str">
        <f>IFERROR(__xludf.DUMMYFUNCTION("""COMPUTED_VALUE"""),"""")</f>
        <v>"</v>
      </c>
      <c r="B1179" s="9" t="s">
        <v>1188</v>
      </c>
      <c r="C1179" s="9" t="str">
        <f>IFERROR(__xludf.DUMMYFUNCTION("""COMPUTED_VALUE"""),""":""")</f>
        <v>":"</v>
      </c>
      <c r="D1179" s="24">
        <v>2.0248888511809958E19</v>
      </c>
      <c r="E1179" s="9" t="str">
        <f>IFERROR(__xludf.DUMMYFUNCTION("""COMPUTED_VALUE"""),""",")</f>
        <v>",</v>
      </c>
    </row>
    <row r="1180">
      <c r="A1180" s="9" t="str">
        <f>IFERROR(__xludf.DUMMYFUNCTION("""COMPUTED_VALUE"""),"""")</f>
        <v>"</v>
      </c>
      <c r="B1180" s="9" t="s">
        <v>1189</v>
      </c>
      <c r="C1180" s="9" t="str">
        <f>IFERROR(__xludf.DUMMYFUNCTION("""COMPUTED_VALUE"""),""":""")</f>
        <v>":"</v>
      </c>
      <c r="D1180" s="24">
        <v>6.0463406947913339E18</v>
      </c>
      <c r="E1180" s="9" t="str">
        <f>IFERROR(__xludf.DUMMYFUNCTION("""COMPUTED_VALUE"""),""",")</f>
        <v>",</v>
      </c>
    </row>
    <row r="1181">
      <c r="A1181" s="9" t="str">
        <f>IFERROR(__xludf.DUMMYFUNCTION("""COMPUTED_VALUE"""),"""")</f>
        <v>"</v>
      </c>
      <c r="B1181" s="9" t="s">
        <v>1190</v>
      </c>
      <c r="C1181" s="9" t="str">
        <f>IFERROR(__xludf.DUMMYFUNCTION("""COMPUTED_VALUE"""),""":""")</f>
        <v>":"</v>
      </c>
      <c r="D1181" s="24">
        <v>5.3736987813654886E18</v>
      </c>
      <c r="E1181" s="9" t="str">
        <f>IFERROR(__xludf.DUMMYFUNCTION("""COMPUTED_VALUE"""),""",")</f>
        <v>",</v>
      </c>
    </row>
    <row r="1182">
      <c r="A1182" s="9" t="str">
        <f>IFERROR(__xludf.DUMMYFUNCTION("""COMPUTED_VALUE"""),"""")</f>
        <v>"</v>
      </c>
      <c r="B1182" s="9" t="s">
        <v>1191</v>
      </c>
      <c r="C1182" s="9" t="str">
        <f>IFERROR(__xludf.DUMMYFUNCTION("""COMPUTED_VALUE"""),""":""")</f>
        <v>":"</v>
      </c>
      <c r="D1182" s="24">
        <v>3.0778995359153556E18</v>
      </c>
      <c r="E1182" s="9" t="str">
        <f>IFERROR(__xludf.DUMMYFUNCTION("""COMPUTED_VALUE"""),""",")</f>
        <v>",</v>
      </c>
    </row>
    <row r="1183">
      <c r="A1183" s="9" t="str">
        <f>IFERROR(__xludf.DUMMYFUNCTION("""COMPUTED_VALUE"""),"""")</f>
        <v>"</v>
      </c>
      <c r="B1183" s="9" t="s">
        <v>1192</v>
      </c>
      <c r="C1183" s="9" t="str">
        <f>IFERROR(__xludf.DUMMYFUNCTION("""COMPUTED_VALUE"""),""":""")</f>
        <v>":"</v>
      </c>
      <c r="D1183" s="24">
        <v>2.0248888511809958E19</v>
      </c>
      <c r="E1183" s="9" t="str">
        <f>IFERROR(__xludf.DUMMYFUNCTION("""COMPUTED_VALUE"""),""",")</f>
        <v>",</v>
      </c>
    </row>
    <row r="1184">
      <c r="A1184" s="9" t="str">
        <f>IFERROR(__xludf.DUMMYFUNCTION("""COMPUTED_VALUE"""),"""")</f>
        <v>"</v>
      </c>
      <c r="B1184" s="9" t="s">
        <v>1193</v>
      </c>
      <c r="C1184" s="9" t="str">
        <f>IFERROR(__xludf.DUMMYFUNCTION("""COMPUTED_VALUE"""),""":""")</f>
        <v>":"</v>
      </c>
      <c r="D1184" s="24">
        <v>3.970846353905811E19</v>
      </c>
      <c r="E1184" s="9" t="str">
        <f>IFERROR(__xludf.DUMMYFUNCTION("""COMPUTED_VALUE"""),""",")</f>
        <v>",</v>
      </c>
    </row>
    <row r="1185">
      <c r="A1185" s="9" t="str">
        <f>IFERROR(__xludf.DUMMYFUNCTION("""COMPUTED_VALUE"""),"""")</f>
        <v>"</v>
      </c>
      <c r="B1185" s="9" t="s">
        <v>1194</v>
      </c>
      <c r="C1185" s="9" t="str">
        <f>IFERROR(__xludf.DUMMYFUNCTION("""COMPUTED_VALUE"""),""":""")</f>
        <v>":"</v>
      </c>
      <c r="D1185" s="24">
        <v>5.4954352827217336E18</v>
      </c>
      <c r="E1185" s="9" t="str">
        <f>IFERROR(__xludf.DUMMYFUNCTION("""COMPUTED_VALUE"""),""",")</f>
        <v>",</v>
      </c>
    </row>
    <row r="1186">
      <c r="A1186" s="9" t="str">
        <f>IFERROR(__xludf.DUMMYFUNCTION("""COMPUTED_VALUE"""),"""")</f>
        <v>"</v>
      </c>
      <c r="B1186" s="9" t="s">
        <v>1195</v>
      </c>
      <c r="C1186" s="9" t="str">
        <f>IFERROR(__xludf.DUMMYFUNCTION("""COMPUTED_VALUE"""),""":""")</f>
        <v>":"</v>
      </c>
      <c r="D1186" s="24">
        <v>6.1781262565038674E18</v>
      </c>
      <c r="E1186" s="9" t="str">
        <f>IFERROR(__xludf.DUMMYFUNCTION("""COMPUTED_VALUE"""),""",")</f>
        <v>",</v>
      </c>
    </row>
    <row r="1187">
      <c r="A1187" s="9" t="str">
        <f>IFERROR(__xludf.DUMMYFUNCTION("""COMPUTED_VALUE"""),"""")</f>
        <v>"</v>
      </c>
      <c r="B1187" s="9" t="s">
        <v>1196</v>
      </c>
      <c r="C1187" s="9" t="str">
        <f>IFERROR(__xludf.DUMMYFUNCTION("""COMPUTED_VALUE"""),""":""")</f>
        <v>":"</v>
      </c>
      <c r="D1187" s="24">
        <v>1.1068314634982621E19</v>
      </c>
      <c r="E1187" s="9" t="str">
        <f>IFERROR(__xludf.DUMMYFUNCTION("""COMPUTED_VALUE"""),""",")</f>
        <v>",</v>
      </c>
    </row>
    <row r="1188">
      <c r="A1188" s="9" t="str">
        <f>IFERROR(__xludf.DUMMYFUNCTION("""COMPUTED_VALUE"""),"""")</f>
        <v>"</v>
      </c>
      <c r="B1188" s="9" t="s">
        <v>1197</v>
      </c>
      <c r="C1188" s="9" t="str">
        <f>IFERROR(__xludf.DUMMYFUNCTION("""COMPUTED_VALUE"""),""":""")</f>
        <v>":"</v>
      </c>
      <c r="D1188" s="24">
        <v>6.2005979458241782E18</v>
      </c>
      <c r="E1188" s="9" t="str">
        <f>IFERROR(__xludf.DUMMYFUNCTION("""COMPUTED_VALUE"""),""",")</f>
        <v>",</v>
      </c>
    </row>
    <row r="1189">
      <c r="A1189" s="9" t="str">
        <f>IFERROR(__xludf.DUMMYFUNCTION("""COMPUTED_VALUE"""),"""")</f>
        <v>"</v>
      </c>
      <c r="B1189" s="9" t="s">
        <v>1198</v>
      </c>
      <c r="C1189" s="9" t="str">
        <f>IFERROR(__xludf.DUMMYFUNCTION("""COMPUTED_VALUE"""),""":""")</f>
        <v>":"</v>
      </c>
      <c r="D1189" s="24">
        <v>4.7583850308632003E18</v>
      </c>
      <c r="E1189" s="9" t="str">
        <f>IFERROR(__xludf.DUMMYFUNCTION("""COMPUTED_VALUE"""),""",")</f>
        <v>",</v>
      </c>
    </row>
    <row r="1190">
      <c r="A1190" s="9" t="str">
        <f>IFERROR(__xludf.DUMMYFUNCTION("""COMPUTED_VALUE"""),"""")</f>
        <v>"</v>
      </c>
      <c r="B1190" s="9" t="s">
        <v>1199</v>
      </c>
      <c r="C1190" s="9" t="str">
        <f>IFERROR(__xludf.DUMMYFUNCTION("""COMPUTED_VALUE"""),""":""")</f>
        <v>":"</v>
      </c>
      <c r="D1190" s="24">
        <v>4.2572932804343782E17</v>
      </c>
      <c r="E1190" s="9" t="str">
        <f>IFERROR(__xludf.DUMMYFUNCTION("""COMPUTED_VALUE"""),""",")</f>
        <v>",</v>
      </c>
    </row>
    <row r="1191">
      <c r="A1191" s="9" t="str">
        <f>IFERROR(__xludf.DUMMYFUNCTION("""COMPUTED_VALUE"""),"""")</f>
        <v>"</v>
      </c>
      <c r="B1191" s="9" t="s">
        <v>1200</v>
      </c>
      <c r="C1191" s="9" t="str">
        <f>IFERROR(__xludf.DUMMYFUNCTION("""COMPUTED_VALUE"""),""":""")</f>
        <v>":"</v>
      </c>
      <c r="D1191" s="24">
        <v>6.2005979458241782E18</v>
      </c>
      <c r="E1191" s="9" t="str">
        <f>IFERROR(__xludf.DUMMYFUNCTION("""COMPUTED_VALUE"""),""",")</f>
        <v>",</v>
      </c>
    </row>
    <row r="1192">
      <c r="A1192" s="9" t="str">
        <f>IFERROR(__xludf.DUMMYFUNCTION("""COMPUTED_VALUE"""),"""")</f>
        <v>"</v>
      </c>
      <c r="B1192" s="9" t="s">
        <v>1201</v>
      </c>
      <c r="C1192" s="9" t="str">
        <f>IFERROR(__xludf.DUMMYFUNCTION("""COMPUTED_VALUE"""),""":""")</f>
        <v>":"</v>
      </c>
      <c r="D1192" s="24">
        <v>6.2005979458241782E18</v>
      </c>
      <c r="E1192" s="9" t="str">
        <f>IFERROR(__xludf.DUMMYFUNCTION("""COMPUTED_VALUE"""),""",")</f>
        <v>",</v>
      </c>
    </row>
    <row r="1193">
      <c r="A1193" s="9" t="str">
        <f>IFERROR(__xludf.DUMMYFUNCTION("""COMPUTED_VALUE"""),"""")</f>
        <v>"</v>
      </c>
      <c r="B1193" s="9" t="s">
        <v>1202</v>
      </c>
      <c r="C1193" s="9" t="str">
        <f>IFERROR(__xludf.DUMMYFUNCTION("""COMPUTED_VALUE"""),""":""")</f>
        <v>":"</v>
      </c>
      <c r="D1193" s="24">
        <v>6.2005979458241782E18</v>
      </c>
      <c r="E1193" s="9" t="str">
        <f>IFERROR(__xludf.DUMMYFUNCTION("""COMPUTED_VALUE"""),""",")</f>
        <v>",</v>
      </c>
    </row>
    <row r="1194">
      <c r="A1194" s="9" t="str">
        <f>IFERROR(__xludf.DUMMYFUNCTION("""COMPUTED_VALUE"""),"""")</f>
        <v>"</v>
      </c>
      <c r="B1194" s="9" t="s">
        <v>1203</v>
      </c>
      <c r="C1194" s="9" t="str">
        <f>IFERROR(__xludf.DUMMYFUNCTION("""COMPUTED_VALUE"""),""":""")</f>
        <v>":"</v>
      </c>
      <c r="D1194" s="24">
        <v>2.0248888511809958E19</v>
      </c>
      <c r="E1194" s="9" t="str">
        <f>IFERROR(__xludf.DUMMYFUNCTION("""COMPUTED_VALUE"""),""",")</f>
        <v>",</v>
      </c>
    </row>
    <row r="1195">
      <c r="A1195" s="9" t="str">
        <f>IFERROR(__xludf.DUMMYFUNCTION("""COMPUTED_VALUE"""),"""")</f>
        <v>"</v>
      </c>
      <c r="B1195" s="9" t="s">
        <v>1204</v>
      </c>
      <c r="C1195" s="9" t="str">
        <f>IFERROR(__xludf.DUMMYFUNCTION("""COMPUTED_VALUE"""),""":""")</f>
        <v>":"</v>
      </c>
      <c r="D1195" s="24">
        <v>2.0248888511809958E19</v>
      </c>
      <c r="E1195" s="9" t="str">
        <f>IFERROR(__xludf.DUMMYFUNCTION("""COMPUTED_VALUE"""),""",")</f>
        <v>",</v>
      </c>
    </row>
    <row r="1196">
      <c r="A1196" s="9" t="str">
        <f>IFERROR(__xludf.DUMMYFUNCTION("""COMPUTED_VALUE"""),"""")</f>
        <v>"</v>
      </c>
      <c r="B1196" s="9" t="s">
        <v>1205</v>
      </c>
      <c r="C1196" s="9" t="str">
        <f>IFERROR(__xludf.DUMMYFUNCTION("""COMPUTED_VALUE"""),""":""")</f>
        <v>":"</v>
      </c>
      <c r="D1196" s="24">
        <v>2.0248888511809958E19</v>
      </c>
      <c r="E1196" s="9" t="str">
        <f>IFERROR(__xludf.DUMMYFUNCTION("""COMPUTED_VALUE"""),""",")</f>
        <v>",</v>
      </c>
    </row>
    <row r="1197">
      <c r="A1197" s="9" t="str">
        <f>IFERROR(__xludf.DUMMYFUNCTION("""COMPUTED_VALUE"""),"""")</f>
        <v>"</v>
      </c>
      <c r="B1197" s="9" t="s">
        <v>1206</v>
      </c>
      <c r="C1197" s="9" t="str">
        <f>IFERROR(__xludf.DUMMYFUNCTION("""COMPUTED_VALUE"""),""":""")</f>
        <v>":"</v>
      </c>
      <c r="D1197" s="24">
        <v>6.2005979458241782E18</v>
      </c>
      <c r="E1197" s="9" t="str">
        <f>IFERROR(__xludf.DUMMYFUNCTION("""COMPUTED_VALUE"""),""",")</f>
        <v>",</v>
      </c>
    </row>
    <row r="1198">
      <c r="A1198" s="9" t="str">
        <f>IFERROR(__xludf.DUMMYFUNCTION("""COMPUTED_VALUE"""),"""")</f>
        <v>"</v>
      </c>
      <c r="B1198" s="9" t="s">
        <v>1207</v>
      </c>
      <c r="C1198" s="9" t="str">
        <f>IFERROR(__xludf.DUMMYFUNCTION("""COMPUTED_VALUE"""),""":""")</f>
        <v>":"</v>
      </c>
      <c r="D1198" s="24">
        <v>6.2005979458241782E18</v>
      </c>
      <c r="E1198" s="9" t="str">
        <f>IFERROR(__xludf.DUMMYFUNCTION("""COMPUTED_VALUE"""),""",")</f>
        <v>",</v>
      </c>
    </row>
    <row r="1199">
      <c r="A1199" s="9" t="str">
        <f>IFERROR(__xludf.DUMMYFUNCTION("""COMPUTED_VALUE"""),"""")</f>
        <v>"</v>
      </c>
      <c r="B1199" s="9" t="s">
        <v>1208</v>
      </c>
      <c r="C1199" s="9" t="str">
        <f>IFERROR(__xludf.DUMMYFUNCTION("""COMPUTED_VALUE"""),""":""")</f>
        <v>":"</v>
      </c>
      <c r="D1199" s="24">
        <v>6.6089875299089715E18</v>
      </c>
      <c r="E1199" s="9" t="str">
        <f>IFERROR(__xludf.DUMMYFUNCTION("""COMPUTED_VALUE"""),""",")</f>
        <v>",</v>
      </c>
    </row>
    <row r="1200">
      <c r="A1200" s="9" t="str">
        <f>IFERROR(__xludf.DUMMYFUNCTION("""COMPUTED_VALUE"""),"""")</f>
        <v>"</v>
      </c>
      <c r="B1200" s="9" t="s">
        <v>1209</v>
      </c>
      <c r="C1200" s="9" t="str">
        <f>IFERROR(__xludf.DUMMYFUNCTION("""COMPUTED_VALUE"""),""":""")</f>
        <v>":"</v>
      </c>
      <c r="D1200" s="24">
        <v>2.0248888511809958E19</v>
      </c>
      <c r="E1200" s="9" t="str">
        <f>IFERROR(__xludf.DUMMYFUNCTION("""COMPUTED_VALUE"""),""",")</f>
        <v>",</v>
      </c>
    </row>
    <row r="1201">
      <c r="A1201" s="9" t="str">
        <f>IFERROR(__xludf.DUMMYFUNCTION("""COMPUTED_VALUE"""),"""")</f>
        <v>"</v>
      </c>
      <c r="B1201" s="9" t="s">
        <v>1210</v>
      </c>
      <c r="C1201" s="9" t="str">
        <f>IFERROR(__xludf.DUMMYFUNCTION("""COMPUTED_VALUE"""),""":""")</f>
        <v>":"</v>
      </c>
      <c r="D1201" s="24">
        <v>1.4228516015127845E19</v>
      </c>
      <c r="E1201" s="9" t="str">
        <f>IFERROR(__xludf.DUMMYFUNCTION("""COMPUTED_VALUE"""),""",")</f>
        <v>",</v>
      </c>
    </row>
    <row r="1202">
      <c r="A1202" s="9" t="str">
        <f>IFERROR(__xludf.DUMMYFUNCTION("""COMPUTED_VALUE"""),"""")</f>
        <v>"</v>
      </c>
      <c r="B1202" s="9" t="s">
        <v>1211</v>
      </c>
      <c r="C1202" s="9" t="str">
        <f>IFERROR(__xludf.DUMMYFUNCTION("""COMPUTED_VALUE"""),""":""")</f>
        <v>":"</v>
      </c>
      <c r="D1202" s="24">
        <v>6.2005979458241782E18</v>
      </c>
      <c r="E1202" s="9" t="str">
        <f>IFERROR(__xludf.DUMMYFUNCTION("""COMPUTED_VALUE"""),""",")</f>
        <v>",</v>
      </c>
    </row>
    <row r="1203">
      <c r="A1203" s="9" t="str">
        <f>IFERROR(__xludf.DUMMYFUNCTION("""COMPUTED_VALUE"""),"""")</f>
        <v>"</v>
      </c>
      <c r="B1203" s="9" t="s">
        <v>1212</v>
      </c>
      <c r="C1203" s="9" t="str">
        <f>IFERROR(__xludf.DUMMYFUNCTION("""COMPUTED_VALUE"""),""":""")</f>
        <v>":"</v>
      </c>
      <c r="D1203" s="24">
        <v>2.0248888511809958E19</v>
      </c>
      <c r="E1203" s="9" t="str">
        <f>IFERROR(__xludf.DUMMYFUNCTION("""COMPUTED_VALUE"""),""",")</f>
        <v>",</v>
      </c>
    </row>
    <row r="1204">
      <c r="A1204" s="9" t="str">
        <f>IFERROR(__xludf.DUMMYFUNCTION("""COMPUTED_VALUE"""),"""")</f>
        <v>"</v>
      </c>
      <c r="B1204" s="9" t="s">
        <v>1213</v>
      </c>
      <c r="C1204" s="9" t="str">
        <f>IFERROR(__xludf.DUMMYFUNCTION("""COMPUTED_VALUE"""),""":""")</f>
        <v>":"</v>
      </c>
      <c r="D1204" s="24">
        <v>1.24011958916483763E18</v>
      </c>
      <c r="E1204" s="9" t="str">
        <f>IFERROR(__xludf.DUMMYFUNCTION("""COMPUTED_VALUE"""),""",")</f>
        <v>",</v>
      </c>
    </row>
    <row r="1205">
      <c r="A1205" s="9" t="str">
        <f>IFERROR(__xludf.DUMMYFUNCTION("""COMPUTED_VALUE"""),"""")</f>
        <v>"</v>
      </c>
      <c r="B1205" s="9" t="s">
        <v>1214</v>
      </c>
      <c r="C1205" s="9" t="str">
        <f>IFERROR(__xludf.DUMMYFUNCTION("""COMPUTED_VALUE"""),""":""")</f>
        <v>":"</v>
      </c>
      <c r="D1205" s="24">
        <v>2.0248888511809958E19</v>
      </c>
      <c r="E1205" s="9" t="str">
        <f>IFERROR(__xludf.DUMMYFUNCTION("""COMPUTED_VALUE"""),""",")</f>
        <v>",</v>
      </c>
    </row>
    <row r="1206">
      <c r="A1206" s="9" t="str">
        <f>IFERROR(__xludf.DUMMYFUNCTION("""COMPUTED_VALUE"""),"""")</f>
        <v>"</v>
      </c>
      <c r="B1206" s="9" t="s">
        <v>1215</v>
      </c>
      <c r="C1206" s="9" t="str">
        <f>IFERROR(__xludf.DUMMYFUNCTION("""COMPUTED_VALUE"""),""":""")</f>
        <v>":"</v>
      </c>
      <c r="D1206" s="24">
        <v>3.2580065601104445E18</v>
      </c>
      <c r="E1206" s="9" t="str">
        <f>IFERROR(__xludf.DUMMYFUNCTION("""COMPUTED_VALUE"""),""",")</f>
        <v>",</v>
      </c>
    </row>
    <row r="1207">
      <c r="A1207" s="9" t="str">
        <f>IFERROR(__xludf.DUMMYFUNCTION("""COMPUTED_VALUE"""),"""")</f>
        <v>"</v>
      </c>
      <c r="B1207" s="9" t="s">
        <v>1216</v>
      </c>
      <c r="C1207" s="9" t="str">
        <f>IFERROR(__xludf.DUMMYFUNCTION("""COMPUTED_VALUE"""),""":""")</f>
        <v>":"</v>
      </c>
      <c r="D1207" s="24">
        <v>2.029212829709418E19</v>
      </c>
      <c r="E1207" s="9" t="str">
        <f>IFERROR(__xludf.DUMMYFUNCTION("""COMPUTED_VALUE"""),""",")</f>
        <v>",</v>
      </c>
    </row>
    <row r="1208">
      <c r="A1208" s="9" t="str">
        <f>IFERROR(__xludf.DUMMYFUNCTION("""COMPUTED_VALUE"""),"""")</f>
        <v>"</v>
      </c>
      <c r="B1208" s="9" t="s">
        <v>1217</v>
      </c>
      <c r="C1208" s="9" t="str">
        <f>IFERROR(__xludf.DUMMYFUNCTION("""COMPUTED_VALUE"""),""":""")</f>
        <v>":"</v>
      </c>
      <c r="D1208" s="24">
        <v>3.1724173654470892E18</v>
      </c>
      <c r="E1208" s="9" t="str">
        <f>IFERROR(__xludf.DUMMYFUNCTION("""COMPUTED_VALUE"""),""",")</f>
        <v>",</v>
      </c>
    </row>
    <row r="1209">
      <c r="A1209" s="9" t="str">
        <f>IFERROR(__xludf.DUMMYFUNCTION("""COMPUTED_VALUE"""),"""")</f>
        <v>"</v>
      </c>
      <c r="B1209" s="9" t="s">
        <v>1218</v>
      </c>
      <c r="C1209" s="9" t="str">
        <f>IFERROR(__xludf.DUMMYFUNCTION("""COMPUTED_VALUE"""),""":""")</f>
        <v>":"</v>
      </c>
      <c r="D1209" s="24">
        <v>5.246681118895488E18</v>
      </c>
      <c r="E1209" s="9" t="str">
        <f>IFERROR(__xludf.DUMMYFUNCTION("""COMPUTED_VALUE"""),""",")</f>
        <v>",</v>
      </c>
    </row>
    <row r="1210">
      <c r="A1210" s="9" t="str">
        <f>IFERROR(__xludf.DUMMYFUNCTION("""COMPUTED_VALUE"""),"""")</f>
        <v>"</v>
      </c>
      <c r="B1210" s="9" t="s">
        <v>1219</v>
      </c>
      <c r="C1210" s="9" t="str">
        <f>IFERROR(__xludf.DUMMYFUNCTION("""COMPUTED_VALUE"""),""":""")</f>
        <v>":"</v>
      </c>
      <c r="D1210" s="24">
        <v>3.073697535041738E19</v>
      </c>
      <c r="E1210" s="9" t="str">
        <f>IFERROR(__xludf.DUMMYFUNCTION("""COMPUTED_VALUE"""),""",")</f>
        <v>",</v>
      </c>
    </row>
    <row r="1211">
      <c r="A1211" s="9" t="str">
        <f>IFERROR(__xludf.DUMMYFUNCTION("""COMPUTED_VALUE"""),"""")</f>
        <v>"</v>
      </c>
      <c r="B1211" s="9" t="s">
        <v>1220</v>
      </c>
      <c r="C1211" s="9" t="str">
        <f>IFERROR(__xludf.DUMMYFUNCTION("""COMPUTED_VALUE"""),""":""")</f>
        <v>":"</v>
      </c>
      <c r="D1211" s="24">
        <v>6.2005979458241782E18</v>
      </c>
      <c r="E1211" s="9" t="str">
        <f>IFERROR(__xludf.DUMMYFUNCTION("""COMPUTED_VALUE"""),""",")</f>
        <v>",</v>
      </c>
    </row>
    <row r="1212">
      <c r="A1212" s="9" t="str">
        <f>IFERROR(__xludf.DUMMYFUNCTION("""COMPUTED_VALUE"""),"""")</f>
        <v>"</v>
      </c>
      <c r="B1212" s="9" t="s">
        <v>1221</v>
      </c>
      <c r="C1212" s="9" t="str">
        <f>IFERROR(__xludf.DUMMYFUNCTION("""COMPUTED_VALUE"""),""":""")</f>
        <v>":"</v>
      </c>
      <c r="D1212" s="24">
        <v>6.2005979458241782E18</v>
      </c>
      <c r="E1212" s="9" t="str">
        <f>IFERROR(__xludf.DUMMYFUNCTION("""COMPUTED_VALUE"""),""",")</f>
        <v>",</v>
      </c>
    </row>
    <row r="1213">
      <c r="A1213" s="9" t="str">
        <f>IFERROR(__xludf.DUMMYFUNCTION("""COMPUTED_VALUE"""),"""")</f>
        <v>"</v>
      </c>
      <c r="B1213" s="9" t="s">
        <v>1222</v>
      </c>
      <c r="C1213" s="9" t="str">
        <f>IFERROR(__xludf.DUMMYFUNCTION("""COMPUTED_VALUE"""),""":""")</f>
        <v>":"</v>
      </c>
      <c r="D1213" s="24">
        <v>2.0248888511809958E19</v>
      </c>
      <c r="E1213" s="9" t="str">
        <f>IFERROR(__xludf.DUMMYFUNCTION("""COMPUTED_VALUE"""),""",")</f>
        <v>",</v>
      </c>
    </row>
    <row r="1214">
      <c r="A1214" s="9" t="str">
        <f>IFERROR(__xludf.DUMMYFUNCTION("""COMPUTED_VALUE"""),"""")</f>
        <v>"</v>
      </c>
      <c r="B1214" s="9" t="s">
        <v>1223</v>
      </c>
      <c r="C1214" s="9" t="str">
        <f>IFERROR(__xludf.DUMMYFUNCTION("""COMPUTED_VALUE"""),""":""")</f>
        <v>":"</v>
      </c>
      <c r="D1214" s="24">
        <v>2.1034527871299113E19</v>
      </c>
      <c r="E1214" s="9" t="str">
        <f>IFERROR(__xludf.DUMMYFUNCTION("""COMPUTED_VALUE"""),""",")</f>
        <v>",</v>
      </c>
    </row>
    <row r="1215">
      <c r="A1215" s="9" t="str">
        <f>IFERROR(__xludf.DUMMYFUNCTION("""COMPUTED_VALUE"""),"""")</f>
        <v>"</v>
      </c>
      <c r="B1215" s="9" t="s">
        <v>1224</v>
      </c>
      <c r="C1215" s="9" t="str">
        <f>IFERROR(__xludf.DUMMYFUNCTION("""COMPUTED_VALUE"""),""":""")</f>
        <v>":"</v>
      </c>
      <c r="D1215" s="24">
        <v>2.8145413256035113E18</v>
      </c>
      <c r="E1215" s="9" t="str">
        <f>IFERROR(__xludf.DUMMYFUNCTION("""COMPUTED_VALUE"""),""",")</f>
        <v>",</v>
      </c>
    </row>
    <row r="1216">
      <c r="A1216" s="9" t="str">
        <f>IFERROR(__xludf.DUMMYFUNCTION("""COMPUTED_VALUE"""),"""")</f>
        <v>"</v>
      </c>
      <c r="B1216" s="9" t="s">
        <v>1225</v>
      </c>
      <c r="C1216" s="9" t="str">
        <f>IFERROR(__xludf.DUMMYFUNCTION("""COMPUTED_VALUE"""),""":""")</f>
        <v>":"</v>
      </c>
      <c r="D1216" s="24">
        <v>6.2005979458241782E18</v>
      </c>
      <c r="E1216" s="9" t="str">
        <f>IFERROR(__xludf.DUMMYFUNCTION("""COMPUTED_VALUE"""),""",")</f>
        <v>",</v>
      </c>
    </row>
    <row r="1217">
      <c r="A1217" s="9" t="str">
        <f>IFERROR(__xludf.DUMMYFUNCTION("""COMPUTED_VALUE"""),"""")</f>
        <v>"</v>
      </c>
      <c r="B1217" s="9" t="s">
        <v>1226</v>
      </c>
      <c r="C1217" s="9" t="str">
        <f>IFERROR(__xludf.DUMMYFUNCTION("""COMPUTED_VALUE"""),""":""")</f>
        <v>":"</v>
      </c>
      <c r="D1217" s="24">
        <v>6.1942576043906007E18</v>
      </c>
      <c r="E1217" s="9" t="str">
        <f>IFERROR(__xludf.DUMMYFUNCTION("""COMPUTED_VALUE"""),""",")</f>
        <v>",</v>
      </c>
    </row>
    <row r="1218">
      <c r="A1218" s="9" t="str">
        <f>IFERROR(__xludf.DUMMYFUNCTION("""COMPUTED_VALUE"""),"""")</f>
        <v>"</v>
      </c>
      <c r="B1218" s="9" t="s">
        <v>1227</v>
      </c>
      <c r="C1218" s="9" t="str">
        <f>IFERROR(__xludf.DUMMYFUNCTION("""COMPUTED_VALUE"""),""":""")</f>
        <v>":"</v>
      </c>
      <c r="D1218" s="24">
        <v>6.2005979458241782E18</v>
      </c>
      <c r="E1218" s="9" t="str">
        <f>IFERROR(__xludf.DUMMYFUNCTION("""COMPUTED_VALUE"""),""",")</f>
        <v>",</v>
      </c>
    </row>
    <row r="1219">
      <c r="A1219" s="9" t="str">
        <f>IFERROR(__xludf.DUMMYFUNCTION("""COMPUTED_VALUE"""),"""")</f>
        <v>"</v>
      </c>
      <c r="B1219" s="9" t="s">
        <v>1228</v>
      </c>
      <c r="C1219" s="9" t="str">
        <f>IFERROR(__xludf.DUMMYFUNCTION("""COMPUTED_VALUE"""),""":""")</f>
        <v>":"</v>
      </c>
      <c r="D1219" s="24">
        <v>1.45063926730216E19</v>
      </c>
      <c r="E1219" s="9" t="str">
        <f>IFERROR(__xludf.DUMMYFUNCTION("""COMPUTED_VALUE"""),""",")</f>
        <v>",</v>
      </c>
    </row>
    <row r="1220">
      <c r="A1220" s="9" t="str">
        <f>IFERROR(__xludf.DUMMYFUNCTION("""COMPUTED_VALUE"""),"""")</f>
        <v>"</v>
      </c>
      <c r="B1220" s="9" t="s">
        <v>1229</v>
      </c>
      <c r="C1220" s="9" t="str">
        <f>IFERROR(__xludf.DUMMYFUNCTION("""COMPUTED_VALUE"""),""":""")</f>
        <v>":"</v>
      </c>
      <c r="D1220" s="24">
        <v>2.6535953292136333E19</v>
      </c>
      <c r="E1220" s="9" t="str">
        <f>IFERROR(__xludf.DUMMYFUNCTION("""COMPUTED_VALUE"""),""",")</f>
        <v>",</v>
      </c>
    </row>
    <row r="1221">
      <c r="A1221" s="9" t="str">
        <f>IFERROR(__xludf.DUMMYFUNCTION("""COMPUTED_VALUE"""),"""")</f>
        <v>"</v>
      </c>
      <c r="B1221" s="9" t="s">
        <v>1230</v>
      </c>
      <c r="C1221" s="9" t="str">
        <f>IFERROR(__xludf.DUMMYFUNCTION("""COMPUTED_VALUE"""),""":""")</f>
        <v>":"</v>
      </c>
      <c r="D1221" s="24">
        <v>6.2005979458241782E18</v>
      </c>
      <c r="E1221" s="9" t="str">
        <f>IFERROR(__xludf.DUMMYFUNCTION("""COMPUTED_VALUE"""),""",")</f>
        <v>",</v>
      </c>
    </row>
    <row r="1222">
      <c r="A1222" s="9" t="str">
        <f>IFERROR(__xludf.DUMMYFUNCTION("""COMPUTED_VALUE"""),"""")</f>
        <v>"</v>
      </c>
      <c r="B1222" s="9" t="s">
        <v>1231</v>
      </c>
      <c r="C1222" s="9" t="str">
        <f>IFERROR(__xludf.DUMMYFUNCTION("""COMPUTED_VALUE"""),""":""")</f>
        <v>":"</v>
      </c>
      <c r="D1222" s="24">
        <v>6.2005979458241782E18</v>
      </c>
      <c r="E1222" s="9" t="str">
        <f>IFERROR(__xludf.DUMMYFUNCTION("""COMPUTED_VALUE"""),""",")</f>
        <v>",</v>
      </c>
    </row>
    <row r="1223">
      <c r="A1223" s="9" t="str">
        <f>IFERROR(__xludf.DUMMYFUNCTION("""COMPUTED_VALUE"""),"""")</f>
        <v>"</v>
      </c>
      <c r="B1223" s="9" t="s">
        <v>1232</v>
      </c>
      <c r="C1223" s="9" t="str">
        <f>IFERROR(__xludf.DUMMYFUNCTION("""COMPUTED_VALUE"""),""":""")</f>
        <v>":"</v>
      </c>
      <c r="D1223" s="24">
        <v>6.2005979458241782E18</v>
      </c>
      <c r="E1223" s="9" t="str">
        <f>IFERROR(__xludf.DUMMYFUNCTION("""COMPUTED_VALUE"""),""",")</f>
        <v>",</v>
      </c>
    </row>
    <row r="1224">
      <c r="A1224" s="9" t="str">
        <f>IFERROR(__xludf.DUMMYFUNCTION("""COMPUTED_VALUE"""),"""")</f>
        <v>"</v>
      </c>
      <c r="B1224" s="9" t="s">
        <v>1233</v>
      </c>
      <c r="C1224" s="9" t="str">
        <f>IFERROR(__xludf.DUMMYFUNCTION("""COMPUTED_VALUE"""),""":""")</f>
        <v>":"</v>
      </c>
      <c r="D1224" s="24">
        <v>4.6554591486963118E18</v>
      </c>
      <c r="E1224" s="9" t="str">
        <f>IFERROR(__xludf.DUMMYFUNCTION("""COMPUTED_VALUE"""),""",")</f>
        <v>",</v>
      </c>
    </row>
    <row r="1225">
      <c r="A1225" s="9" t="str">
        <f>IFERROR(__xludf.DUMMYFUNCTION("""COMPUTED_VALUE"""),"""")</f>
        <v>"</v>
      </c>
      <c r="B1225" s="9" t="s">
        <v>1234</v>
      </c>
      <c r="C1225" s="9" t="str">
        <f>IFERROR(__xludf.DUMMYFUNCTION("""COMPUTED_VALUE"""),""":""")</f>
        <v>":"</v>
      </c>
      <c r="D1225" s="24">
        <v>7.2626775973984246E18</v>
      </c>
      <c r="E1225" s="9" t="str">
        <f>IFERROR(__xludf.DUMMYFUNCTION("""COMPUTED_VALUE"""),""",")</f>
        <v>",</v>
      </c>
    </row>
    <row r="1226">
      <c r="A1226" s="9" t="str">
        <f>IFERROR(__xludf.DUMMYFUNCTION("""COMPUTED_VALUE"""),"""")</f>
        <v>"</v>
      </c>
      <c r="B1226" s="9" t="s">
        <v>1235</v>
      </c>
      <c r="C1226" s="9" t="str">
        <f>IFERROR(__xludf.DUMMYFUNCTION("""COMPUTED_VALUE"""),""":""")</f>
        <v>":"</v>
      </c>
      <c r="D1226" s="24">
        <v>1.32888970587476E19</v>
      </c>
      <c r="E1226" s="9" t="str">
        <f>IFERROR(__xludf.DUMMYFUNCTION("""COMPUTED_VALUE"""),""",")</f>
        <v>",</v>
      </c>
    </row>
    <row r="1227">
      <c r="A1227" s="9" t="str">
        <f>IFERROR(__xludf.DUMMYFUNCTION("""COMPUTED_VALUE"""),"""")</f>
        <v>"</v>
      </c>
      <c r="B1227" s="9" t="s">
        <v>1236</v>
      </c>
      <c r="C1227" s="9" t="str">
        <f>IFERROR(__xludf.DUMMYFUNCTION("""COMPUTED_VALUE"""),""":""")</f>
        <v>":"</v>
      </c>
      <c r="D1227" s="24">
        <v>2.0248888511809958E19</v>
      </c>
      <c r="E1227" s="9" t="str">
        <f>IFERROR(__xludf.DUMMYFUNCTION("""COMPUTED_VALUE"""),""",")</f>
        <v>",</v>
      </c>
    </row>
    <row r="1228">
      <c r="A1228" s="9" t="str">
        <f>IFERROR(__xludf.DUMMYFUNCTION("""COMPUTED_VALUE"""),"""")</f>
        <v>"</v>
      </c>
      <c r="B1228" s="9" t="s">
        <v>1237</v>
      </c>
      <c r="C1228" s="9" t="str">
        <f>IFERROR(__xludf.DUMMYFUNCTION("""COMPUTED_VALUE"""),""":""")</f>
        <v>":"</v>
      </c>
      <c r="D1228" s="24">
        <v>6.2005979458241782E18</v>
      </c>
      <c r="E1228" s="9" t="str">
        <f>IFERROR(__xludf.DUMMYFUNCTION("""COMPUTED_VALUE"""),""",")</f>
        <v>",</v>
      </c>
    </row>
    <row r="1229">
      <c r="A1229" s="9" t="str">
        <f>IFERROR(__xludf.DUMMYFUNCTION("""COMPUTED_VALUE"""),"""")</f>
        <v>"</v>
      </c>
      <c r="B1229" s="9" t="s">
        <v>1238</v>
      </c>
      <c r="C1229" s="9" t="str">
        <f>IFERROR(__xludf.DUMMYFUNCTION("""COMPUTED_VALUE"""),""":""")</f>
        <v>":"</v>
      </c>
      <c r="D1229" s="24">
        <v>6.2005979458241782E18</v>
      </c>
      <c r="E1229" s="9" t="str">
        <f>IFERROR(__xludf.DUMMYFUNCTION("""COMPUTED_VALUE"""),""",")</f>
        <v>",</v>
      </c>
    </row>
    <row r="1230">
      <c r="A1230" s="9" t="str">
        <f>IFERROR(__xludf.DUMMYFUNCTION("""COMPUTED_VALUE"""),"""")</f>
        <v>"</v>
      </c>
      <c r="B1230" s="9" t="s">
        <v>1239</v>
      </c>
      <c r="C1230" s="9" t="str">
        <f>IFERROR(__xludf.DUMMYFUNCTION("""COMPUTED_VALUE"""),""":""")</f>
        <v>":"</v>
      </c>
      <c r="D1230" s="24">
        <v>6.2005979458241782E18</v>
      </c>
      <c r="E1230" s="9" t="str">
        <f>IFERROR(__xludf.DUMMYFUNCTION("""COMPUTED_VALUE"""),""",")</f>
        <v>",</v>
      </c>
    </row>
    <row r="1231">
      <c r="A1231" s="9" t="str">
        <f>IFERROR(__xludf.DUMMYFUNCTION("""COMPUTED_VALUE"""),"""")</f>
        <v>"</v>
      </c>
      <c r="B1231" s="9" t="s">
        <v>1240</v>
      </c>
      <c r="C1231" s="9" t="str">
        <f>IFERROR(__xludf.DUMMYFUNCTION("""COMPUTED_VALUE"""),""":""")</f>
        <v>":"</v>
      </c>
      <c r="D1231" s="24">
        <v>2.0248888511809958E19</v>
      </c>
      <c r="E1231" s="9" t="str">
        <f>IFERROR(__xludf.DUMMYFUNCTION("""COMPUTED_VALUE"""),""",")</f>
        <v>",</v>
      </c>
    </row>
    <row r="1232">
      <c r="A1232" s="9" t="str">
        <f>IFERROR(__xludf.DUMMYFUNCTION("""COMPUTED_VALUE"""),"""")</f>
        <v>"</v>
      </c>
      <c r="B1232" s="9" t="s">
        <v>1241</v>
      </c>
      <c r="C1232" s="9" t="str">
        <f>IFERROR(__xludf.DUMMYFUNCTION("""COMPUTED_VALUE"""),""":""")</f>
        <v>":"</v>
      </c>
      <c r="D1232" s="24">
        <v>2.0248888511809958E19</v>
      </c>
      <c r="E1232" s="9" t="str">
        <f>IFERROR(__xludf.DUMMYFUNCTION("""COMPUTED_VALUE"""),""",")</f>
        <v>",</v>
      </c>
    </row>
    <row r="1233">
      <c r="A1233" s="9" t="str">
        <f>IFERROR(__xludf.DUMMYFUNCTION("""COMPUTED_VALUE"""),"""")</f>
        <v>"</v>
      </c>
      <c r="B1233" s="9" t="s">
        <v>1242</v>
      </c>
      <c r="C1233" s="9" t="str">
        <f>IFERROR(__xludf.DUMMYFUNCTION("""COMPUTED_VALUE"""),""":""")</f>
        <v>":"</v>
      </c>
      <c r="D1233" s="24">
        <v>1.3621616217712534E19</v>
      </c>
      <c r="E1233" s="9" t="str">
        <f>IFERROR(__xludf.DUMMYFUNCTION("""COMPUTED_VALUE"""),""",")</f>
        <v>",</v>
      </c>
    </row>
    <row r="1234">
      <c r="A1234" s="9" t="str">
        <f>IFERROR(__xludf.DUMMYFUNCTION("""COMPUTED_VALUE"""),"""")</f>
        <v>"</v>
      </c>
      <c r="B1234" s="9" t="s">
        <v>1243</v>
      </c>
      <c r="C1234" s="9" t="str">
        <f>IFERROR(__xludf.DUMMYFUNCTION("""COMPUTED_VALUE"""),""":""")</f>
        <v>":"</v>
      </c>
      <c r="D1234" s="24">
        <v>8.683815784951708E19</v>
      </c>
      <c r="E1234" s="9" t="str">
        <f>IFERROR(__xludf.DUMMYFUNCTION("""COMPUTED_VALUE"""),""",")</f>
        <v>",</v>
      </c>
    </row>
    <row r="1235">
      <c r="A1235" s="9" t="str">
        <f>IFERROR(__xludf.DUMMYFUNCTION("""COMPUTED_VALUE"""),"""")</f>
        <v>"</v>
      </c>
      <c r="B1235" s="9" t="s">
        <v>1244</v>
      </c>
      <c r="C1235" s="9" t="str">
        <f>IFERROR(__xludf.DUMMYFUNCTION("""COMPUTED_VALUE"""),""":""")</f>
        <v>":"</v>
      </c>
      <c r="D1235" s="24">
        <v>3.4950415508446597E19</v>
      </c>
      <c r="E1235" s="9" t="str">
        <f>IFERROR(__xludf.DUMMYFUNCTION("""COMPUTED_VALUE"""),""",")</f>
        <v>",</v>
      </c>
    </row>
    <row r="1236">
      <c r="A1236" s="9" t="str">
        <f>IFERROR(__xludf.DUMMYFUNCTION("""COMPUTED_VALUE"""),"""")</f>
        <v>"</v>
      </c>
      <c r="B1236" s="9" t="s">
        <v>1245</v>
      </c>
      <c r="C1236" s="9" t="str">
        <f>IFERROR(__xludf.DUMMYFUNCTION("""COMPUTED_VALUE"""),""":""")</f>
        <v>":"</v>
      </c>
      <c r="D1236" s="24">
        <v>6.2005979458241782E18</v>
      </c>
      <c r="E1236" s="9" t="str">
        <f>IFERROR(__xludf.DUMMYFUNCTION("""COMPUTED_VALUE"""),""",")</f>
        <v>",</v>
      </c>
    </row>
    <row r="1237">
      <c r="A1237" s="9" t="str">
        <f>IFERROR(__xludf.DUMMYFUNCTION("""COMPUTED_VALUE"""),"""")</f>
        <v>"</v>
      </c>
      <c r="B1237" s="9" t="s">
        <v>1246</v>
      </c>
      <c r="C1237" s="9" t="str">
        <f>IFERROR(__xludf.DUMMYFUNCTION("""COMPUTED_VALUE"""),""":""")</f>
        <v>":"</v>
      </c>
      <c r="D1237" s="24">
        <v>2.2843275628863468E19</v>
      </c>
      <c r="E1237" s="9" t="str">
        <f>IFERROR(__xludf.DUMMYFUNCTION("""COMPUTED_VALUE"""),""",")</f>
        <v>",</v>
      </c>
    </row>
    <row r="1238">
      <c r="A1238" s="9" t="str">
        <f>IFERROR(__xludf.DUMMYFUNCTION("""COMPUTED_VALUE"""),"""")</f>
        <v>"</v>
      </c>
      <c r="B1238" s="9" t="s">
        <v>1247</v>
      </c>
      <c r="C1238" s="9" t="str">
        <f>IFERROR(__xludf.DUMMYFUNCTION("""COMPUTED_VALUE"""),""":""")</f>
        <v>":"</v>
      </c>
      <c r="D1238" s="24">
        <v>2.2843275628863468E19</v>
      </c>
      <c r="E1238" s="9" t="str">
        <f>IFERROR(__xludf.DUMMYFUNCTION("""COMPUTED_VALUE"""),""",")</f>
        <v>",</v>
      </c>
    </row>
    <row r="1239">
      <c r="A1239" s="9" t="str">
        <f>IFERROR(__xludf.DUMMYFUNCTION("""COMPUTED_VALUE"""),"""")</f>
        <v>"</v>
      </c>
      <c r="B1239" s="9" t="s">
        <v>1248</v>
      </c>
      <c r="C1239" s="9" t="str">
        <f>IFERROR(__xludf.DUMMYFUNCTION("""COMPUTED_VALUE"""),""":""")</f>
        <v>":"</v>
      </c>
      <c r="D1239" s="24">
        <v>2.0248888511809958E19</v>
      </c>
      <c r="E1239" s="9" t="str">
        <f>IFERROR(__xludf.DUMMYFUNCTION("""COMPUTED_VALUE"""),""",")</f>
        <v>",</v>
      </c>
    </row>
    <row r="1240">
      <c r="A1240" s="9" t="str">
        <f>IFERROR(__xludf.DUMMYFUNCTION("""COMPUTED_VALUE"""),"""")</f>
        <v>"</v>
      </c>
      <c r="B1240" s="9" t="s">
        <v>1249</v>
      </c>
      <c r="C1240" s="9" t="str">
        <f>IFERROR(__xludf.DUMMYFUNCTION("""COMPUTED_VALUE"""),""":""")</f>
        <v>":"</v>
      </c>
      <c r="D1240" s="24">
        <v>6.2005979458241782E18</v>
      </c>
      <c r="E1240" s="9" t="str">
        <f>IFERROR(__xludf.DUMMYFUNCTION("""COMPUTED_VALUE"""),""",")</f>
        <v>",</v>
      </c>
    </row>
    <row r="1241">
      <c r="A1241" s="9" t="str">
        <f>IFERROR(__xludf.DUMMYFUNCTION("""COMPUTED_VALUE"""),"""")</f>
        <v>"</v>
      </c>
      <c r="B1241" s="9" t="s">
        <v>1250</v>
      </c>
      <c r="C1241" s="9" t="str">
        <f>IFERROR(__xludf.DUMMYFUNCTION("""COMPUTED_VALUE"""),""":""")</f>
        <v>":"</v>
      </c>
      <c r="D1241" s="24">
        <v>6.2005979458241782E18</v>
      </c>
      <c r="E1241" s="9" t="str">
        <f>IFERROR(__xludf.DUMMYFUNCTION("""COMPUTED_VALUE"""),""",")</f>
        <v>",</v>
      </c>
    </row>
    <row r="1242">
      <c r="A1242" s="9" t="str">
        <f>IFERROR(__xludf.DUMMYFUNCTION("""COMPUTED_VALUE"""),"""")</f>
        <v>"</v>
      </c>
      <c r="B1242" s="9" t="s">
        <v>1251</v>
      </c>
      <c r="C1242" s="9" t="str">
        <f>IFERROR(__xludf.DUMMYFUNCTION("""COMPUTED_VALUE"""),""":""")</f>
        <v>":"</v>
      </c>
      <c r="D1242" s="24">
        <v>6.2005979458241782E18</v>
      </c>
      <c r="E1242" s="9" t="str">
        <f>IFERROR(__xludf.DUMMYFUNCTION("""COMPUTED_VALUE"""),""",")</f>
        <v>",</v>
      </c>
    </row>
    <row r="1243">
      <c r="A1243" s="9" t="str">
        <f>IFERROR(__xludf.DUMMYFUNCTION("""COMPUTED_VALUE"""),"""")</f>
        <v>"</v>
      </c>
      <c r="B1243" s="9" t="s">
        <v>1252</v>
      </c>
      <c r="C1243" s="9" t="str">
        <f>IFERROR(__xludf.DUMMYFUNCTION("""COMPUTED_VALUE"""),""":""")</f>
        <v>":"</v>
      </c>
      <c r="D1243" s="24">
        <v>2.5993795568328598E19</v>
      </c>
      <c r="E1243" s="9" t="str">
        <f>IFERROR(__xludf.DUMMYFUNCTION("""COMPUTED_VALUE"""),""",")</f>
        <v>",</v>
      </c>
    </row>
    <row r="1244">
      <c r="A1244" s="9" t="str">
        <f>IFERROR(__xludf.DUMMYFUNCTION("""COMPUTED_VALUE"""),"""")</f>
        <v>"</v>
      </c>
      <c r="B1244" s="9" t="s">
        <v>1253</v>
      </c>
      <c r="C1244" s="9" t="str">
        <f>IFERROR(__xludf.DUMMYFUNCTION("""COMPUTED_VALUE"""),""":""")</f>
        <v>":"</v>
      </c>
      <c r="D1244" s="24">
        <v>1.7073035935053232E21</v>
      </c>
      <c r="E1244" s="9" t="str">
        <f>IFERROR(__xludf.DUMMYFUNCTION("""COMPUTED_VALUE"""),""",")</f>
        <v>",</v>
      </c>
    </row>
    <row r="1245">
      <c r="A1245" s="9" t="str">
        <f>IFERROR(__xludf.DUMMYFUNCTION("""COMPUTED_VALUE"""),"""")</f>
        <v>"</v>
      </c>
      <c r="B1245" s="9" t="s">
        <v>1254</v>
      </c>
      <c r="C1245" s="9" t="str">
        <f>IFERROR(__xludf.DUMMYFUNCTION("""COMPUTED_VALUE"""),""":""")</f>
        <v>":"</v>
      </c>
      <c r="D1245" s="24">
        <v>6.2005979458241782E18</v>
      </c>
      <c r="E1245" s="9" t="str">
        <f>IFERROR(__xludf.DUMMYFUNCTION("""COMPUTED_VALUE"""),""",")</f>
        <v>",</v>
      </c>
    </row>
    <row r="1246">
      <c r="A1246" s="9" t="str">
        <f>IFERROR(__xludf.DUMMYFUNCTION("""COMPUTED_VALUE"""),"""")</f>
        <v>"</v>
      </c>
      <c r="B1246" s="9" t="s">
        <v>1255</v>
      </c>
      <c r="C1246" s="9" t="str">
        <f>IFERROR(__xludf.DUMMYFUNCTION("""COMPUTED_VALUE"""),""":""")</f>
        <v>":"</v>
      </c>
      <c r="D1246" s="24">
        <v>5.484845382684245E18</v>
      </c>
      <c r="E1246" s="9" t="str">
        <f>IFERROR(__xludf.DUMMYFUNCTION("""COMPUTED_VALUE"""),""",")</f>
        <v>",</v>
      </c>
    </row>
    <row r="1247">
      <c r="A1247" s="9" t="str">
        <f>IFERROR(__xludf.DUMMYFUNCTION("""COMPUTED_VALUE"""),"""")</f>
        <v>"</v>
      </c>
      <c r="B1247" s="9" t="s">
        <v>1256</v>
      </c>
      <c r="C1247" s="9" t="str">
        <f>IFERROR(__xludf.DUMMYFUNCTION("""COMPUTED_VALUE"""),""":""")</f>
        <v>":"</v>
      </c>
      <c r="D1247" s="24">
        <v>2.267295711816818E19</v>
      </c>
      <c r="E1247" s="9" t="str">
        <f>IFERROR(__xludf.DUMMYFUNCTION("""COMPUTED_VALUE"""),""",")</f>
        <v>",</v>
      </c>
    </row>
    <row r="1248">
      <c r="A1248" s="9" t="str">
        <f>IFERROR(__xludf.DUMMYFUNCTION("""COMPUTED_VALUE"""),"""")</f>
        <v>"</v>
      </c>
      <c r="B1248" s="9" t="s">
        <v>1257</v>
      </c>
      <c r="C1248" s="9" t="str">
        <f>IFERROR(__xludf.DUMMYFUNCTION("""COMPUTED_VALUE"""),""":""")</f>
        <v>":"</v>
      </c>
      <c r="D1248" s="24">
        <v>2.014628455348049E19</v>
      </c>
      <c r="E1248" s="9" t="str">
        <f>IFERROR(__xludf.DUMMYFUNCTION("""COMPUTED_VALUE"""),""",")</f>
        <v>",</v>
      </c>
    </row>
    <row r="1249">
      <c r="A1249" s="9" t="str">
        <f>IFERROR(__xludf.DUMMYFUNCTION("""COMPUTED_VALUE"""),"""")</f>
        <v>"</v>
      </c>
      <c r="B1249" s="9" t="s">
        <v>1258</v>
      </c>
      <c r="C1249" s="9" t="str">
        <f>IFERROR(__xludf.DUMMYFUNCTION("""COMPUTED_VALUE"""),""":""")</f>
        <v>":"</v>
      </c>
      <c r="D1249" s="24">
        <v>6.2005979458241782E18</v>
      </c>
      <c r="E1249" s="9" t="str">
        <f>IFERROR(__xludf.DUMMYFUNCTION("""COMPUTED_VALUE"""),""",")</f>
        <v>",</v>
      </c>
    </row>
    <row r="1250">
      <c r="A1250" s="9" t="str">
        <f>IFERROR(__xludf.DUMMYFUNCTION("""COMPUTED_VALUE"""),"""")</f>
        <v>"</v>
      </c>
      <c r="B1250" s="9" t="s">
        <v>1259</v>
      </c>
      <c r="C1250" s="9" t="str">
        <f>IFERROR(__xludf.DUMMYFUNCTION("""COMPUTED_VALUE"""),""":""")</f>
        <v>":"</v>
      </c>
      <c r="D1250" s="24">
        <v>2.0248888511809958E19</v>
      </c>
      <c r="E1250" s="9" t="str">
        <f>IFERROR(__xludf.DUMMYFUNCTION("""COMPUTED_VALUE"""),""",")</f>
        <v>",</v>
      </c>
    </row>
    <row r="1251">
      <c r="A1251" s="9" t="str">
        <f>IFERROR(__xludf.DUMMYFUNCTION("""COMPUTED_VALUE"""),"""")</f>
        <v>"</v>
      </c>
      <c r="B1251" s="9" t="s">
        <v>1260</v>
      </c>
      <c r="C1251" s="9" t="str">
        <f>IFERROR(__xludf.DUMMYFUNCTION("""COMPUTED_VALUE"""),""":""")</f>
        <v>":"</v>
      </c>
      <c r="D1251" s="24">
        <v>4.2897614460499558E18</v>
      </c>
      <c r="E1251" s="9" t="str">
        <f>IFERROR(__xludf.DUMMYFUNCTION("""COMPUTED_VALUE"""),""",")</f>
        <v>",</v>
      </c>
    </row>
    <row r="1252">
      <c r="A1252" s="9" t="str">
        <f>IFERROR(__xludf.DUMMYFUNCTION("""COMPUTED_VALUE"""),"""")</f>
        <v>"</v>
      </c>
      <c r="B1252" s="9" t="s">
        <v>1261</v>
      </c>
      <c r="C1252" s="9" t="str">
        <f>IFERROR(__xludf.DUMMYFUNCTION("""COMPUTED_VALUE"""),""":""")</f>
        <v>":"</v>
      </c>
      <c r="D1252" s="24">
        <v>6.2005979458241782E18</v>
      </c>
      <c r="E1252" s="9" t="str">
        <f>IFERROR(__xludf.DUMMYFUNCTION("""COMPUTED_VALUE"""),""",")</f>
        <v>",</v>
      </c>
    </row>
    <row r="1253">
      <c r="A1253" s="9" t="str">
        <f>IFERROR(__xludf.DUMMYFUNCTION("""COMPUTED_VALUE"""),"""")</f>
        <v>"</v>
      </c>
      <c r="B1253" s="9" t="s">
        <v>1262</v>
      </c>
      <c r="C1253" s="9" t="str">
        <f>IFERROR(__xludf.DUMMYFUNCTION("""COMPUTED_VALUE"""),""":""")</f>
        <v>":"</v>
      </c>
      <c r="D1253" s="24">
        <v>2.0248888511809958E19</v>
      </c>
      <c r="E1253" s="9" t="str">
        <f>IFERROR(__xludf.DUMMYFUNCTION("""COMPUTED_VALUE"""),""",")</f>
        <v>",</v>
      </c>
    </row>
    <row r="1254">
      <c r="A1254" s="9" t="str">
        <f>IFERROR(__xludf.DUMMYFUNCTION("""COMPUTED_VALUE"""),"""")</f>
        <v>"</v>
      </c>
      <c r="B1254" s="9" t="s">
        <v>1263</v>
      </c>
      <c r="C1254" s="9" t="str">
        <f>IFERROR(__xludf.DUMMYFUNCTION("""COMPUTED_VALUE"""),""":""")</f>
        <v>":"</v>
      </c>
      <c r="D1254" s="24">
        <v>4.0242267853046441E18</v>
      </c>
      <c r="E1254" s="9" t="str">
        <f>IFERROR(__xludf.DUMMYFUNCTION("""COMPUTED_VALUE"""),""",")</f>
        <v>",</v>
      </c>
    </row>
    <row r="1255">
      <c r="A1255" s="9" t="str">
        <f>IFERROR(__xludf.DUMMYFUNCTION("""COMPUTED_VALUE"""),"""")</f>
        <v>"</v>
      </c>
      <c r="B1255" s="9" t="s">
        <v>1264</v>
      </c>
      <c r="C1255" s="9" t="str">
        <f>IFERROR(__xludf.DUMMYFUNCTION("""COMPUTED_VALUE"""),""":""")</f>
        <v>":"</v>
      </c>
      <c r="D1255" s="24">
        <v>3.1084073803323781E18</v>
      </c>
      <c r="E1255" s="9" t="str">
        <f>IFERROR(__xludf.DUMMYFUNCTION("""COMPUTED_VALUE"""),""",")</f>
        <v>",</v>
      </c>
    </row>
    <row r="1256">
      <c r="A1256" s="9" t="str">
        <f>IFERROR(__xludf.DUMMYFUNCTION("""COMPUTED_VALUE"""),"""")</f>
        <v>"</v>
      </c>
      <c r="B1256" s="9" t="s">
        <v>1265</v>
      </c>
      <c r="C1256" s="9" t="str">
        <f>IFERROR(__xludf.DUMMYFUNCTION("""COMPUTED_VALUE"""),""":""")</f>
        <v>":"</v>
      </c>
      <c r="D1256" s="24">
        <v>6.2005979458241782E18</v>
      </c>
      <c r="E1256" s="9" t="str">
        <f>IFERROR(__xludf.DUMMYFUNCTION("""COMPUTED_VALUE"""),""",")</f>
        <v>",</v>
      </c>
    </row>
    <row r="1257">
      <c r="A1257" s="9" t="str">
        <f>IFERROR(__xludf.DUMMYFUNCTION("""COMPUTED_VALUE"""),"""")</f>
        <v>"</v>
      </c>
      <c r="B1257" s="9" t="s">
        <v>1266</v>
      </c>
      <c r="C1257" s="9" t="str">
        <f>IFERROR(__xludf.DUMMYFUNCTION("""COMPUTED_VALUE"""),""":""")</f>
        <v>":"</v>
      </c>
      <c r="D1257" s="24">
        <v>2.0248888511809958E19</v>
      </c>
      <c r="E1257" s="9" t="str">
        <f>IFERROR(__xludf.DUMMYFUNCTION("""COMPUTED_VALUE"""),""",")</f>
        <v>",</v>
      </c>
    </row>
    <row r="1258">
      <c r="A1258" s="9" t="str">
        <f>IFERROR(__xludf.DUMMYFUNCTION("""COMPUTED_VALUE"""),"""")</f>
        <v>"</v>
      </c>
      <c r="B1258" s="9" t="s">
        <v>1267</v>
      </c>
      <c r="C1258" s="9" t="str">
        <f>IFERROR(__xludf.DUMMYFUNCTION("""COMPUTED_VALUE"""),""":""")</f>
        <v>":"</v>
      </c>
      <c r="D1258" s="24">
        <v>6.2005979458241782E18</v>
      </c>
      <c r="E1258" s="9" t="str">
        <f>IFERROR(__xludf.DUMMYFUNCTION("""COMPUTED_VALUE"""),""",")</f>
        <v>",</v>
      </c>
    </row>
    <row r="1259">
      <c r="A1259" s="9" t="str">
        <f>IFERROR(__xludf.DUMMYFUNCTION("""COMPUTED_VALUE"""),"""")</f>
        <v>"</v>
      </c>
      <c r="B1259" s="9" t="s">
        <v>1268</v>
      </c>
      <c r="C1259" s="9" t="str">
        <f>IFERROR(__xludf.DUMMYFUNCTION("""COMPUTED_VALUE"""),""":""")</f>
        <v>":"</v>
      </c>
      <c r="D1259" s="24">
        <v>6.2005979458241782E18</v>
      </c>
      <c r="E1259" s="9" t="str">
        <f>IFERROR(__xludf.DUMMYFUNCTION("""COMPUTED_VALUE"""),""",")</f>
        <v>",</v>
      </c>
    </row>
    <row r="1260">
      <c r="A1260" s="9" t="str">
        <f>IFERROR(__xludf.DUMMYFUNCTION("""COMPUTED_VALUE"""),"""")</f>
        <v>"</v>
      </c>
      <c r="B1260" s="9" t="s">
        <v>1269</v>
      </c>
      <c r="C1260" s="9" t="str">
        <f>IFERROR(__xludf.DUMMYFUNCTION("""COMPUTED_VALUE"""),""":""")</f>
        <v>":"</v>
      </c>
      <c r="D1260" s="24">
        <v>2.0637929737477435E19</v>
      </c>
      <c r="E1260" s="9" t="str">
        <f>IFERROR(__xludf.DUMMYFUNCTION("""COMPUTED_VALUE"""),""",")</f>
        <v>",</v>
      </c>
    </row>
    <row r="1261">
      <c r="A1261" s="9" t="str">
        <f>IFERROR(__xludf.DUMMYFUNCTION("""COMPUTED_VALUE"""),"""")</f>
        <v>"</v>
      </c>
      <c r="B1261" s="9" t="s">
        <v>1270</v>
      </c>
      <c r="C1261" s="9" t="str">
        <f>IFERROR(__xludf.DUMMYFUNCTION("""COMPUTED_VALUE"""),""":""")</f>
        <v>":"</v>
      </c>
      <c r="D1261" s="24">
        <v>2.0248888511809958E19</v>
      </c>
      <c r="E1261" s="9" t="str">
        <f>IFERROR(__xludf.DUMMYFUNCTION("""COMPUTED_VALUE"""),""",")</f>
        <v>",</v>
      </c>
    </row>
    <row r="1262">
      <c r="A1262" s="9" t="str">
        <f>IFERROR(__xludf.DUMMYFUNCTION("""COMPUTED_VALUE"""),"""")</f>
        <v>"</v>
      </c>
      <c r="B1262" s="9" t="s">
        <v>1271</v>
      </c>
      <c r="C1262" s="9" t="str">
        <f>IFERROR(__xludf.DUMMYFUNCTION("""COMPUTED_VALUE"""),""":""")</f>
        <v>":"</v>
      </c>
      <c r="D1262" s="24">
        <v>6.2005979458241782E18</v>
      </c>
      <c r="E1262" s="9" t="str">
        <f>IFERROR(__xludf.DUMMYFUNCTION("""COMPUTED_VALUE"""),""",")</f>
        <v>",</v>
      </c>
    </row>
    <row r="1263">
      <c r="A1263" s="9" t="str">
        <f>IFERROR(__xludf.DUMMYFUNCTION("""COMPUTED_VALUE"""),"""")</f>
        <v>"</v>
      </c>
      <c r="B1263" s="9" t="s">
        <v>1272</v>
      </c>
      <c r="C1263" s="9" t="str">
        <f>IFERROR(__xludf.DUMMYFUNCTION("""COMPUTED_VALUE"""),""":""")</f>
        <v>":"</v>
      </c>
      <c r="D1263" s="24">
        <v>6.2005979458241782E18</v>
      </c>
      <c r="E1263" s="9" t="str">
        <f>IFERROR(__xludf.DUMMYFUNCTION("""COMPUTED_VALUE"""),""",")</f>
        <v>",</v>
      </c>
    </row>
    <row r="1264">
      <c r="A1264" s="9" t="str">
        <f>IFERROR(__xludf.DUMMYFUNCTION("""COMPUTED_VALUE"""),"""")</f>
        <v>"</v>
      </c>
      <c r="B1264" s="9" t="s">
        <v>1273</v>
      </c>
      <c r="C1264" s="9" t="str">
        <f>IFERROR(__xludf.DUMMYFUNCTION("""COMPUTED_VALUE"""),""":""")</f>
        <v>":"</v>
      </c>
      <c r="D1264" s="24">
        <v>5.8494518217099776E18</v>
      </c>
      <c r="E1264" s="9" t="str">
        <f>IFERROR(__xludf.DUMMYFUNCTION("""COMPUTED_VALUE"""),""",")</f>
        <v>",</v>
      </c>
    </row>
    <row r="1265">
      <c r="A1265" s="9" t="str">
        <f>IFERROR(__xludf.DUMMYFUNCTION("""COMPUTED_VALUE"""),"""")</f>
        <v>"</v>
      </c>
      <c r="B1265" s="9" t="s">
        <v>1274</v>
      </c>
      <c r="C1265" s="9" t="str">
        <f>IFERROR(__xludf.DUMMYFUNCTION("""COMPUTED_VALUE"""),""":""")</f>
        <v>":"</v>
      </c>
      <c r="D1265" s="24">
        <v>6.2005979458241782E18</v>
      </c>
      <c r="E1265" s="9" t="str">
        <f>IFERROR(__xludf.DUMMYFUNCTION("""COMPUTED_VALUE"""),""",")</f>
        <v>",</v>
      </c>
    </row>
    <row r="1266">
      <c r="A1266" s="9" t="str">
        <f>IFERROR(__xludf.DUMMYFUNCTION("""COMPUTED_VALUE"""),"""")</f>
        <v>"</v>
      </c>
      <c r="B1266" s="9" t="s">
        <v>1275</v>
      </c>
      <c r="C1266" s="9" t="str">
        <f>IFERROR(__xludf.DUMMYFUNCTION("""COMPUTED_VALUE"""),""":""")</f>
        <v>":"</v>
      </c>
      <c r="D1266" s="24">
        <v>2.0248888511809958E19</v>
      </c>
      <c r="E1266" s="9" t="str">
        <f>IFERROR(__xludf.DUMMYFUNCTION("""COMPUTED_VALUE"""),""",")</f>
        <v>",</v>
      </c>
    </row>
    <row r="1267">
      <c r="A1267" s="9" t="str">
        <f>IFERROR(__xludf.DUMMYFUNCTION("""COMPUTED_VALUE"""),"""")</f>
        <v>"</v>
      </c>
      <c r="B1267" s="9" t="s">
        <v>1276</v>
      </c>
      <c r="C1267" s="9" t="str">
        <f>IFERROR(__xludf.DUMMYFUNCTION("""COMPUTED_VALUE"""),""":""")</f>
        <v>":"</v>
      </c>
      <c r="D1267" s="24">
        <v>6.173080714187689E18</v>
      </c>
      <c r="E1267" s="9" t="str">
        <f>IFERROR(__xludf.DUMMYFUNCTION("""COMPUTED_VALUE"""),""",")</f>
        <v>",</v>
      </c>
    </row>
    <row r="1268">
      <c r="A1268" s="9" t="str">
        <f>IFERROR(__xludf.DUMMYFUNCTION("""COMPUTED_VALUE"""),"""")</f>
        <v>"</v>
      </c>
      <c r="B1268" s="9" t="s">
        <v>1277</v>
      </c>
      <c r="C1268" s="9" t="str">
        <f>IFERROR(__xludf.DUMMYFUNCTION("""COMPUTED_VALUE"""),""":""")</f>
        <v>":"</v>
      </c>
      <c r="D1268" s="24">
        <v>6.2005979458241782E18</v>
      </c>
      <c r="E1268" s="9" t="str">
        <f>IFERROR(__xludf.DUMMYFUNCTION("""COMPUTED_VALUE"""),""",")</f>
        <v>",</v>
      </c>
    </row>
    <row r="1269">
      <c r="A1269" s="9" t="str">
        <f>IFERROR(__xludf.DUMMYFUNCTION("""COMPUTED_VALUE"""),"""")</f>
        <v>"</v>
      </c>
      <c r="B1269" s="9" t="s">
        <v>1278</v>
      </c>
      <c r="C1269" s="9" t="str">
        <f>IFERROR(__xludf.DUMMYFUNCTION("""COMPUTED_VALUE"""),""":""")</f>
        <v>":"</v>
      </c>
      <c r="D1269" s="24">
        <v>6.2005979458241782E18</v>
      </c>
      <c r="E1269" s="9" t="str">
        <f>IFERROR(__xludf.DUMMYFUNCTION("""COMPUTED_VALUE"""),""",")</f>
        <v>",</v>
      </c>
    </row>
    <row r="1270">
      <c r="A1270" s="9" t="str">
        <f>IFERROR(__xludf.DUMMYFUNCTION("""COMPUTED_VALUE"""),"""")</f>
        <v>"</v>
      </c>
      <c r="B1270" s="9" t="s">
        <v>1279</v>
      </c>
      <c r="C1270" s="9" t="str">
        <f>IFERROR(__xludf.DUMMYFUNCTION("""COMPUTED_VALUE"""),""":""")</f>
        <v>":"</v>
      </c>
      <c r="D1270" s="24">
        <v>7.2560552745444915E18</v>
      </c>
      <c r="E1270" s="9" t="str">
        <f>IFERROR(__xludf.DUMMYFUNCTION("""COMPUTED_VALUE"""),""",")</f>
        <v>",</v>
      </c>
    </row>
    <row r="1271">
      <c r="A1271" s="9" t="str">
        <f>IFERROR(__xludf.DUMMYFUNCTION("""COMPUTED_VALUE"""),"""")</f>
        <v>"</v>
      </c>
      <c r="B1271" s="9" t="s">
        <v>1280</v>
      </c>
      <c r="C1271" s="9" t="str">
        <f>IFERROR(__xludf.DUMMYFUNCTION("""COMPUTED_VALUE"""),""":""")</f>
        <v>":"</v>
      </c>
      <c r="D1271" s="24">
        <v>2.0248888511809958E19</v>
      </c>
      <c r="E1271" s="9" t="str">
        <f>IFERROR(__xludf.DUMMYFUNCTION("""COMPUTED_VALUE"""),""",")</f>
        <v>",</v>
      </c>
    </row>
    <row r="1272">
      <c r="A1272" s="9" t="str">
        <f>IFERROR(__xludf.DUMMYFUNCTION("""COMPUTED_VALUE"""),"""")</f>
        <v>"</v>
      </c>
      <c r="B1272" s="9" t="s">
        <v>1281</v>
      </c>
      <c r="C1272" s="9" t="str">
        <f>IFERROR(__xludf.DUMMYFUNCTION("""COMPUTED_VALUE"""),""":""")</f>
        <v>":"</v>
      </c>
      <c r="D1272" s="24">
        <v>6.2005979458241782E18</v>
      </c>
      <c r="E1272" s="9" t="str">
        <f>IFERROR(__xludf.DUMMYFUNCTION("""COMPUTED_VALUE"""),""",")</f>
        <v>",</v>
      </c>
    </row>
    <row r="1273">
      <c r="A1273" s="9" t="str">
        <f>IFERROR(__xludf.DUMMYFUNCTION("""COMPUTED_VALUE"""),"""")</f>
        <v>"</v>
      </c>
      <c r="B1273" s="9" t="s">
        <v>1282</v>
      </c>
      <c r="C1273" s="9" t="str">
        <f>IFERROR(__xludf.DUMMYFUNCTION("""COMPUTED_VALUE"""),""":""")</f>
        <v>":"</v>
      </c>
      <c r="D1273" s="24">
        <v>6.2005979458241782E18</v>
      </c>
      <c r="E1273" s="9" t="str">
        <f>IFERROR(__xludf.DUMMYFUNCTION("""COMPUTED_VALUE"""),""",")</f>
        <v>",</v>
      </c>
    </row>
    <row r="1274">
      <c r="A1274" s="9" t="str">
        <f>IFERROR(__xludf.DUMMYFUNCTION("""COMPUTED_VALUE"""),"""")</f>
        <v>"</v>
      </c>
      <c r="B1274" s="9" t="s">
        <v>1283</v>
      </c>
      <c r="C1274" s="9" t="str">
        <f>IFERROR(__xludf.DUMMYFUNCTION("""COMPUTED_VALUE"""),""":""")</f>
        <v>":"</v>
      </c>
      <c r="D1274" s="24">
        <v>2.1671118924185678E19</v>
      </c>
      <c r="E1274" s="9" t="str">
        <f>IFERROR(__xludf.DUMMYFUNCTION("""COMPUTED_VALUE"""),""",")</f>
        <v>",</v>
      </c>
    </row>
    <row r="1275">
      <c r="A1275" s="9" t="str">
        <f>IFERROR(__xludf.DUMMYFUNCTION("""COMPUTED_VALUE"""),"""")</f>
        <v>"</v>
      </c>
      <c r="B1275" s="9" t="s">
        <v>1284</v>
      </c>
      <c r="C1275" s="9" t="str">
        <f>IFERROR(__xludf.DUMMYFUNCTION("""COMPUTED_VALUE"""),""":""")</f>
        <v>":"</v>
      </c>
      <c r="D1275" s="24">
        <v>5.8976883730222449E18</v>
      </c>
      <c r="E1275" s="9" t="str">
        <f>IFERROR(__xludf.DUMMYFUNCTION("""COMPUTED_VALUE"""),""",")</f>
        <v>",</v>
      </c>
    </row>
    <row r="1276">
      <c r="A1276" s="9" t="str">
        <f>IFERROR(__xludf.DUMMYFUNCTION("""COMPUTED_VALUE"""),"""")</f>
        <v>"</v>
      </c>
      <c r="B1276" s="9" t="s">
        <v>1285</v>
      </c>
      <c r="C1276" s="9" t="str">
        <f>IFERROR(__xludf.DUMMYFUNCTION("""COMPUTED_VALUE"""),""":""")</f>
        <v>":"</v>
      </c>
      <c r="D1276" s="24">
        <v>1.1819706747972022E19</v>
      </c>
      <c r="E1276" s="9" t="str">
        <f>IFERROR(__xludf.DUMMYFUNCTION("""COMPUTED_VALUE"""),""",")</f>
        <v>",</v>
      </c>
    </row>
    <row r="1277">
      <c r="A1277" s="9" t="str">
        <f>IFERROR(__xludf.DUMMYFUNCTION("""COMPUTED_VALUE"""),"""")</f>
        <v>"</v>
      </c>
      <c r="B1277" s="9" t="s">
        <v>1286</v>
      </c>
      <c r="C1277" s="9" t="str">
        <f>IFERROR(__xludf.DUMMYFUNCTION("""COMPUTED_VALUE"""),""":""")</f>
        <v>":"</v>
      </c>
      <c r="D1277" s="24">
        <v>2.221062049363869E19</v>
      </c>
      <c r="E1277" s="9" t="str">
        <f>IFERROR(__xludf.DUMMYFUNCTION("""COMPUTED_VALUE"""),""",")</f>
        <v>",</v>
      </c>
    </row>
    <row r="1278">
      <c r="A1278" s="9" t="str">
        <f>IFERROR(__xludf.DUMMYFUNCTION("""COMPUTED_VALUE"""),"""")</f>
        <v>"</v>
      </c>
      <c r="B1278" s="9" t="s">
        <v>1287</v>
      </c>
      <c r="C1278" s="9" t="str">
        <f>IFERROR(__xludf.DUMMYFUNCTION("""COMPUTED_VALUE"""),""":""")</f>
        <v>":"</v>
      </c>
      <c r="D1278" s="24">
        <v>6.2005979458241782E18</v>
      </c>
      <c r="E1278" s="9" t="str">
        <f>IFERROR(__xludf.DUMMYFUNCTION("""COMPUTED_VALUE"""),""",")</f>
        <v>",</v>
      </c>
    </row>
    <row r="1279">
      <c r="A1279" s="9" t="str">
        <f>IFERROR(__xludf.DUMMYFUNCTION("""COMPUTED_VALUE"""),"""")</f>
        <v>"</v>
      </c>
      <c r="B1279" s="9" t="s">
        <v>1288</v>
      </c>
      <c r="C1279" s="9" t="str">
        <f>IFERROR(__xludf.DUMMYFUNCTION("""COMPUTED_VALUE"""),""":""")</f>
        <v>":"</v>
      </c>
      <c r="D1279" s="24">
        <v>6.2005979458241782E18</v>
      </c>
      <c r="E1279" s="9" t="str">
        <f>IFERROR(__xludf.DUMMYFUNCTION("""COMPUTED_VALUE"""),""",")</f>
        <v>",</v>
      </c>
    </row>
    <row r="1280">
      <c r="A1280" s="9" t="str">
        <f>IFERROR(__xludf.DUMMYFUNCTION("""COMPUTED_VALUE"""),"""")</f>
        <v>"</v>
      </c>
      <c r="B1280" s="9" t="s">
        <v>1289</v>
      </c>
      <c r="C1280" s="9" t="str">
        <f>IFERROR(__xludf.DUMMYFUNCTION("""COMPUTED_VALUE"""),""":""")</f>
        <v>":"</v>
      </c>
      <c r="D1280" s="24">
        <v>5.8658125273512624E19</v>
      </c>
      <c r="E1280" s="9" t="str">
        <f>IFERROR(__xludf.DUMMYFUNCTION("""COMPUTED_VALUE"""),""",")</f>
        <v>",</v>
      </c>
    </row>
    <row r="1281">
      <c r="A1281" s="9" t="str">
        <f>IFERROR(__xludf.DUMMYFUNCTION("""COMPUTED_VALUE"""),"""")</f>
        <v>"</v>
      </c>
      <c r="B1281" s="9" t="s">
        <v>1290</v>
      </c>
      <c r="C1281" s="9" t="str">
        <f>IFERROR(__xludf.DUMMYFUNCTION("""COMPUTED_VALUE"""),""":""")</f>
        <v>":"</v>
      </c>
      <c r="D1281" s="24">
        <v>9.984627772774641E19</v>
      </c>
      <c r="E1281" s="9" t="str">
        <f>IFERROR(__xludf.DUMMYFUNCTION("""COMPUTED_VALUE"""),""",")</f>
        <v>",</v>
      </c>
    </row>
    <row r="1282">
      <c r="A1282" s="9" t="str">
        <f>IFERROR(__xludf.DUMMYFUNCTION("""COMPUTED_VALUE"""),"""")</f>
        <v>"</v>
      </c>
      <c r="B1282" s="9" t="s">
        <v>1291</v>
      </c>
      <c r="C1282" s="9" t="str">
        <f>IFERROR(__xludf.DUMMYFUNCTION("""COMPUTED_VALUE"""),""":""")</f>
        <v>":"</v>
      </c>
      <c r="D1282" s="24">
        <v>4.6328274887539784E18</v>
      </c>
      <c r="E1282" s="9" t="str">
        <f>IFERROR(__xludf.DUMMYFUNCTION("""COMPUTED_VALUE"""),""",")</f>
        <v>",</v>
      </c>
    </row>
    <row r="1283">
      <c r="A1283" s="9" t="str">
        <f>IFERROR(__xludf.DUMMYFUNCTION("""COMPUTED_VALUE"""),"""")</f>
        <v>"</v>
      </c>
      <c r="B1283" s="9" t="s">
        <v>1292</v>
      </c>
      <c r="C1283" s="9" t="str">
        <f>IFERROR(__xludf.DUMMYFUNCTION("""COMPUTED_VALUE"""),""":""")</f>
        <v>":"</v>
      </c>
      <c r="D1283" s="24">
        <v>9.962107905925954E18</v>
      </c>
      <c r="E1283" s="9" t="str">
        <f>IFERROR(__xludf.DUMMYFUNCTION("""COMPUTED_VALUE"""),""",")</f>
        <v>",</v>
      </c>
    </row>
    <row r="1284">
      <c r="A1284" s="9" t="str">
        <f>IFERROR(__xludf.DUMMYFUNCTION("""COMPUTED_VALUE"""),"""")</f>
        <v>"</v>
      </c>
      <c r="B1284" s="9" t="s">
        <v>1293</v>
      </c>
      <c r="C1284" s="9" t="str">
        <f>IFERROR(__xludf.DUMMYFUNCTION("""COMPUTED_VALUE"""),""":""")</f>
        <v>":"</v>
      </c>
      <c r="D1284" s="24">
        <v>2.578082688633433E20</v>
      </c>
      <c r="E1284" s="9" t="str">
        <f>IFERROR(__xludf.DUMMYFUNCTION("""COMPUTED_VALUE"""),""",")</f>
        <v>",</v>
      </c>
    </row>
    <row r="1285">
      <c r="A1285" s="9" t="str">
        <f>IFERROR(__xludf.DUMMYFUNCTION("""COMPUTED_VALUE"""),"""")</f>
        <v>"</v>
      </c>
      <c r="B1285" s="9" t="s">
        <v>1294</v>
      </c>
      <c r="C1285" s="9" t="str">
        <f>IFERROR(__xludf.DUMMYFUNCTION("""COMPUTED_VALUE"""),""":""")</f>
        <v>":"</v>
      </c>
      <c r="D1285" s="24">
        <v>2.0335368082378404E19</v>
      </c>
      <c r="E1285" s="9" t="str">
        <f>IFERROR(__xludf.DUMMYFUNCTION("""COMPUTED_VALUE"""),""",")</f>
        <v>",</v>
      </c>
    </row>
    <row r="1286">
      <c r="A1286" s="9" t="str">
        <f>IFERROR(__xludf.DUMMYFUNCTION("""COMPUTED_VALUE"""),"""")</f>
        <v>"</v>
      </c>
      <c r="B1286" s="9" t="s">
        <v>1295</v>
      </c>
      <c r="C1286" s="9" t="str">
        <f>IFERROR(__xludf.DUMMYFUNCTION("""COMPUTED_VALUE"""),""":""")</f>
        <v>":"</v>
      </c>
      <c r="D1286" s="24">
        <v>1.9878740792929577E18</v>
      </c>
      <c r="E1286" s="9" t="str">
        <f>IFERROR(__xludf.DUMMYFUNCTION("""COMPUTED_VALUE"""),""",")</f>
        <v>",</v>
      </c>
    </row>
    <row r="1287">
      <c r="A1287" s="9" t="str">
        <f>IFERROR(__xludf.DUMMYFUNCTION("""COMPUTED_VALUE"""),"""")</f>
        <v>"</v>
      </c>
      <c r="B1287" s="9" t="s">
        <v>1296</v>
      </c>
      <c r="C1287" s="9" t="str">
        <f>IFERROR(__xludf.DUMMYFUNCTION("""COMPUTED_VALUE"""),""":""")</f>
        <v>":"</v>
      </c>
      <c r="D1287" s="24">
        <v>6.2005979458241782E18</v>
      </c>
      <c r="E1287" s="9" t="str">
        <f>IFERROR(__xludf.DUMMYFUNCTION("""COMPUTED_VALUE"""),""",")</f>
        <v>",</v>
      </c>
    </row>
    <row r="1288">
      <c r="A1288" s="9" t="str">
        <f>IFERROR(__xludf.DUMMYFUNCTION("""COMPUTED_VALUE"""),"""")</f>
        <v>"</v>
      </c>
      <c r="B1288" s="9" t="s">
        <v>1297</v>
      </c>
      <c r="C1288" s="9" t="str">
        <f>IFERROR(__xludf.DUMMYFUNCTION("""COMPUTED_VALUE"""),""":""")</f>
        <v>":"</v>
      </c>
      <c r="D1288" s="24">
        <v>9.835352703889711E18</v>
      </c>
      <c r="E1288" s="9" t="str">
        <f>IFERROR(__xludf.DUMMYFUNCTION("""COMPUTED_VALUE"""),""",")</f>
        <v>",</v>
      </c>
    </row>
    <row r="1289">
      <c r="A1289" s="9" t="str">
        <f>IFERROR(__xludf.DUMMYFUNCTION("""COMPUTED_VALUE"""),"""")</f>
        <v>"</v>
      </c>
      <c r="B1289" s="9" t="s">
        <v>1298</v>
      </c>
      <c r="C1289" s="9" t="str">
        <f>IFERROR(__xludf.DUMMYFUNCTION("""COMPUTED_VALUE"""),""":""")</f>
        <v>":"</v>
      </c>
      <c r="D1289" s="24">
        <v>2.0248888511809958E19</v>
      </c>
      <c r="E1289" s="9" t="str">
        <f>IFERROR(__xludf.DUMMYFUNCTION("""COMPUTED_VALUE"""),""",")</f>
        <v>",</v>
      </c>
    </row>
    <row r="1290">
      <c r="A1290" s="9" t="str">
        <f>IFERROR(__xludf.DUMMYFUNCTION("""COMPUTED_VALUE"""),"""")</f>
        <v>"</v>
      </c>
      <c r="B1290" s="9" t="s">
        <v>1299</v>
      </c>
      <c r="C1290" s="9" t="str">
        <f>IFERROR(__xludf.DUMMYFUNCTION("""COMPUTED_VALUE"""),""":""")</f>
        <v>":"</v>
      </c>
      <c r="D1290" s="24">
        <v>6.3252626004374313E18</v>
      </c>
      <c r="E1290" s="9" t="str">
        <f>IFERROR(__xludf.DUMMYFUNCTION("""COMPUTED_VALUE"""),""",")</f>
        <v>",</v>
      </c>
    </row>
    <row r="1291">
      <c r="A1291" s="9" t="str">
        <f>IFERROR(__xludf.DUMMYFUNCTION("""COMPUTED_VALUE"""),"""")</f>
        <v>"</v>
      </c>
      <c r="B1291" s="9" t="s">
        <v>1300</v>
      </c>
      <c r="C1291" s="9" t="str">
        <f>IFERROR(__xludf.DUMMYFUNCTION("""COMPUTED_VALUE"""),""":""")</f>
        <v>":"</v>
      </c>
      <c r="D1291" s="24">
        <v>2.651865737802262E19</v>
      </c>
      <c r="E1291" s="9" t="str">
        <f>IFERROR(__xludf.DUMMYFUNCTION("""COMPUTED_VALUE"""),""",")</f>
        <v>",</v>
      </c>
    </row>
    <row r="1292">
      <c r="A1292" s="9" t="str">
        <f>IFERROR(__xludf.DUMMYFUNCTION("""COMPUTED_VALUE"""),"""")</f>
        <v>"</v>
      </c>
      <c r="B1292" s="9" t="s">
        <v>1301</v>
      </c>
      <c r="C1292" s="9" t="str">
        <f>IFERROR(__xludf.DUMMYFUNCTION("""COMPUTED_VALUE"""),""":""")</f>
        <v>":"</v>
      </c>
      <c r="D1292" s="24">
        <v>6.2005979458241782E18</v>
      </c>
      <c r="E1292" s="9" t="str">
        <f>IFERROR(__xludf.DUMMYFUNCTION("""COMPUTED_VALUE"""),""",")</f>
        <v>",</v>
      </c>
    </row>
    <row r="1293">
      <c r="A1293" s="9" t="str">
        <f>IFERROR(__xludf.DUMMYFUNCTION("""COMPUTED_VALUE"""),"""")</f>
        <v>"</v>
      </c>
      <c r="B1293" s="9" t="s">
        <v>1302</v>
      </c>
      <c r="C1293" s="9" t="str">
        <f>IFERROR(__xludf.DUMMYFUNCTION("""COMPUTED_VALUE"""),""":""")</f>
        <v>":"</v>
      </c>
      <c r="D1293" s="24">
        <v>2.6886764210458804E19</v>
      </c>
      <c r="E1293" s="9" t="str">
        <f>IFERROR(__xludf.DUMMYFUNCTION("""COMPUTED_VALUE"""),""",")</f>
        <v>",</v>
      </c>
    </row>
    <row r="1294">
      <c r="A1294" s="9" t="str">
        <f>IFERROR(__xludf.DUMMYFUNCTION("""COMPUTED_VALUE"""),"""")</f>
        <v>"</v>
      </c>
      <c r="B1294" s="9" t="s">
        <v>1303</v>
      </c>
      <c r="C1294" s="9" t="str">
        <f>IFERROR(__xludf.DUMMYFUNCTION("""COMPUTED_VALUE"""),""":""")</f>
        <v>":"</v>
      </c>
      <c r="D1294" s="24">
        <v>6.2005979458241782E18</v>
      </c>
      <c r="E1294" s="9" t="str">
        <f>IFERROR(__xludf.DUMMYFUNCTION("""COMPUTED_VALUE"""),""",")</f>
        <v>",</v>
      </c>
    </row>
    <row r="1295">
      <c r="A1295" s="9" t="str">
        <f>IFERROR(__xludf.DUMMYFUNCTION("""COMPUTED_VALUE"""),"""")</f>
        <v>"</v>
      </c>
      <c r="B1295" s="9" t="s">
        <v>1304</v>
      </c>
      <c r="C1295" s="9" t="str">
        <f>IFERROR(__xludf.DUMMYFUNCTION("""COMPUTED_VALUE"""),""":""")</f>
        <v>":"</v>
      </c>
      <c r="D1295" s="24">
        <v>6.2005979458241782E18</v>
      </c>
      <c r="E1295" s="9" t="str">
        <f>IFERROR(__xludf.DUMMYFUNCTION("""COMPUTED_VALUE"""),""",")</f>
        <v>",</v>
      </c>
    </row>
    <row r="1296">
      <c r="A1296" s="9" t="str">
        <f>IFERROR(__xludf.DUMMYFUNCTION("""COMPUTED_VALUE"""),"""")</f>
        <v>"</v>
      </c>
      <c r="B1296" s="9" t="s">
        <v>1305</v>
      </c>
      <c r="C1296" s="9" t="str">
        <f>IFERROR(__xludf.DUMMYFUNCTION("""COMPUTED_VALUE"""),""":""")</f>
        <v>":"</v>
      </c>
      <c r="D1296" s="24">
        <v>6.2005979458241782E18</v>
      </c>
      <c r="E1296" s="9" t="str">
        <f>IFERROR(__xludf.DUMMYFUNCTION("""COMPUTED_VALUE"""),""",")</f>
        <v>",</v>
      </c>
    </row>
    <row r="1297">
      <c r="A1297" s="9" t="str">
        <f>IFERROR(__xludf.DUMMYFUNCTION("""COMPUTED_VALUE"""),"""")</f>
        <v>"</v>
      </c>
      <c r="B1297" s="9" t="s">
        <v>1306</v>
      </c>
      <c r="C1297" s="9" t="str">
        <f>IFERROR(__xludf.DUMMYFUNCTION("""COMPUTED_VALUE"""),""":""")</f>
        <v>":"</v>
      </c>
      <c r="D1297" s="24">
        <v>1.2950522444712575E19</v>
      </c>
      <c r="E1297" s="9" t="str">
        <f>IFERROR(__xludf.DUMMYFUNCTION("""COMPUTED_VALUE"""),""",")</f>
        <v>",</v>
      </c>
    </row>
    <row r="1298">
      <c r="A1298" s="9" t="str">
        <f>IFERROR(__xludf.DUMMYFUNCTION("""COMPUTED_VALUE"""),"""")</f>
        <v>"</v>
      </c>
      <c r="B1298" s="9" t="s">
        <v>1307</v>
      </c>
      <c r="C1298" s="9" t="str">
        <f>IFERROR(__xludf.DUMMYFUNCTION("""COMPUTED_VALUE"""),""":""")</f>
        <v>":"</v>
      </c>
      <c r="D1298" s="24">
        <v>6.6329957986664315E18</v>
      </c>
      <c r="E1298" s="9" t="str">
        <f>IFERROR(__xludf.DUMMYFUNCTION("""COMPUTED_VALUE"""),""",")</f>
        <v>",</v>
      </c>
    </row>
    <row r="1299">
      <c r="A1299" s="9" t="str">
        <f>IFERROR(__xludf.DUMMYFUNCTION("""COMPUTED_VALUE"""),"""")</f>
        <v>"</v>
      </c>
      <c r="B1299" s="9" t="s">
        <v>1308</v>
      </c>
      <c r="C1299" s="9" t="str">
        <f>IFERROR(__xludf.DUMMYFUNCTION("""COMPUTED_VALUE"""),""":""")</f>
        <v>":"</v>
      </c>
      <c r="D1299" s="24">
        <v>1.1723242596765956E19</v>
      </c>
      <c r="E1299" s="9" t="str">
        <f>IFERROR(__xludf.DUMMYFUNCTION("""COMPUTED_VALUE"""),""",")</f>
        <v>",</v>
      </c>
    </row>
    <row r="1300">
      <c r="A1300" s="9" t="str">
        <f>IFERROR(__xludf.DUMMYFUNCTION("""COMPUTED_VALUE"""),"""")</f>
        <v>"</v>
      </c>
      <c r="B1300" s="9" t="s">
        <v>1309</v>
      </c>
      <c r="C1300" s="9" t="str">
        <f>IFERROR(__xludf.DUMMYFUNCTION("""COMPUTED_VALUE"""),""":""")</f>
        <v>":"</v>
      </c>
      <c r="D1300" s="24">
        <v>6.2005979458241782E18</v>
      </c>
      <c r="E1300" s="9" t="str">
        <f>IFERROR(__xludf.DUMMYFUNCTION("""COMPUTED_VALUE"""),""",")</f>
        <v>",</v>
      </c>
    </row>
    <row r="1301">
      <c r="A1301" s="9" t="str">
        <f>IFERROR(__xludf.DUMMYFUNCTION("""COMPUTED_VALUE"""),"""")</f>
        <v>"</v>
      </c>
      <c r="B1301" s="9" t="s">
        <v>1310</v>
      </c>
      <c r="C1301" s="9" t="str">
        <f>IFERROR(__xludf.DUMMYFUNCTION("""COMPUTED_VALUE"""),""":""")</f>
        <v>":"</v>
      </c>
      <c r="D1301" s="24">
        <v>2.0248888511809958E19</v>
      </c>
      <c r="E1301" s="9" t="str">
        <f>IFERROR(__xludf.DUMMYFUNCTION("""COMPUTED_VALUE"""),""",")</f>
        <v>",</v>
      </c>
    </row>
    <row r="1302">
      <c r="A1302" s="9" t="str">
        <f>IFERROR(__xludf.DUMMYFUNCTION("""COMPUTED_VALUE"""),"""")</f>
        <v>"</v>
      </c>
      <c r="B1302" s="9" t="s">
        <v>1311</v>
      </c>
      <c r="C1302" s="9" t="str">
        <f>IFERROR(__xludf.DUMMYFUNCTION("""COMPUTED_VALUE"""),""":""")</f>
        <v>":"</v>
      </c>
      <c r="D1302" s="24">
        <v>6.2005979458241782E18</v>
      </c>
      <c r="E1302" s="9" t="str">
        <f>IFERROR(__xludf.DUMMYFUNCTION("""COMPUTED_VALUE"""),""",")</f>
        <v>",</v>
      </c>
    </row>
    <row r="1303">
      <c r="A1303" s="9" t="str">
        <f>IFERROR(__xludf.DUMMYFUNCTION("""COMPUTED_VALUE"""),"""")</f>
        <v>"</v>
      </c>
      <c r="B1303" s="9" t="s">
        <v>1312</v>
      </c>
      <c r="C1303" s="9" t="str">
        <f>IFERROR(__xludf.DUMMYFUNCTION("""COMPUTED_VALUE"""),""":""")</f>
        <v>":"</v>
      </c>
      <c r="D1303" s="24">
        <v>6.2005979458241782E18</v>
      </c>
      <c r="E1303" s="9" t="str">
        <f>IFERROR(__xludf.DUMMYFUNCTION("""COMPUTED_VALUE"""),""",")</f>
        <v>",</v>
      </c>
    </row>
    <row r="1304">
      <c r="A1304" s="9" t="str">
        <f>IFERROR(__xludf.DUMMYFUNCTION("""COMPUTED_VALUE"""),"""")</f>
        <v>"</v>
      </c>
      <c r="B1304" s="9" t="s">
        <v>1313</v>
      </c>
      <c r="C1304" s="9" t="str">
        <f>IFERROR(__xludf.DUMMYFUNCTION("""COMPUTED_VALUE"""),""":""")</f>
        <v>":"</v>
      </c>
      <c r="D1304" s="24">
        <v>2.0248888511809958E19</v>
      </c>
      <c r="E1304" s="9" t="str">
        <f>IFERROR(__xludf.DUMMYFUNCTION("""COMPUTED_VALUE"""),""",")</f>
        <v>",</v>
      </c>
    </row>
    <row r="1305">
      <c r="A1305" s="9" t="str">
        <f>IFERROR(__xludf.DUMMYFUNCTION("""COMPUTED_VALUE"""),"""")</f>
        <v>"</v>
      </c>
      <c r="B1305" s="9" t="s">
        <v>1314</v>
      </c>
      <c r="C1305" s="9" t="str">
        <f>IFERROR(__xludf.DUMMYFUNCTION("""COMPUTED_VALUE"""),""":""")</f>
        <v>":"</v>
      </c>
      <c r="D1305" s="24">
        <v>6.2005979458241782E18</v>
      </c>
      <c r="E1305" s="9" t="str">
        <f>IFERROR(__xludf.DUMMYFUNCTION("""COMPUTED_VALUE"""),""",")</f>
        <v>",</v>
      </c>
    </row>
    <row r="1306">
      <c r="A1306" s="9" t="str">
        <f>IFERROR(__xludf.DUMMYFUNCTION("""COMPUTED_VALUE"""),"""")</f>
        <v>"</v>
      </c>
      <c r="B1306" s="9" t="s">
        <v>1315</v>
      </c>
      <c r="C1306" s="9" t="str">
        <f>IFERROR(__xludf.DUMMYFUNCTION("""COMPUTED_VALUE"""),""":""")</f>
        <v>":"</v>
      </c>
      <c r="D1306" s="24">
        <v>4.2876109875282217E18</v>
      </c>
      <c r="E1306" s="9" t="str">
        <f>IFERROR(__xludf.DUMMYFUNCTION("""COMPUTED_VALUE"""),""",")</f>
        <v>",</v>
      </c>
    </row>
    <row r="1307">
      <c r="A1307" s="9" t="str">
        <f>IFERROR(__xludf.DUMMYFUNCTION("""COMPUTED_VALUE"""),"""")</f>
        <v>"</v>
      </c>
      <c r="B1307" s="9" t="s">
        <v>1316</v>
      </c>
      <c r="C1307" s="9" t="str">
        <f>IFERROR(__xludf.DUMMYFUNCTION("""COMPUTED_VALUE"""),""":""")</f>
        <v>":"</v>
      </c>
      <c r="D1307" s="24">
        <v>2.0248888511809958E19</v>
      </c>
      <c r="E1307" s="9" t="str">
        <f>IFERROR(__xludf.DUMMYFUNCTION("""COMPUTED_VALUE"""),""",")</f>
        <v>",</v>
      </c>
    </row>
    <row r="1308">
      <c r="A1308" s="9" t="str">
        <f>IFERROR(__xludf.DUMMYFUNCTION("""COMPUTED_VALUE"""),"""")</f>
        <v>"</v>
      </c>
      <c r="B1308" s="9" t="s">
        <v>1317</v>
      </c>
      <c r="C1308" s="9" t="str">
        <f>IFERROR(__xludf.DUMMYFUNCTION("""COMPUTED_VALUE"""),""":""")</f>
        <v>":"</v>
      </c>
      <c r="D1308" s="24">
        <v>1.4321298711559578E19</v>
      </c>
      <c r="E1308" s="9" t="str">
        <f>IFERROR(__xludf.DUMMYFUNCTION("""COMPUTED_VALUE"""),""",")</f>
        <v>",</v>
      </c>
    </row>
    <row r="1309">
      <c r="A1309" s="9" t="str">
        <f>IFERROR(__xludf.DUMMYFUNCTION("""COMPUTED_VALUE"""),"""")</f>
        <v>"</v>
      </c>
      <c r="B1309" s="9" t="s">
        <v>1318</v>
      </c>
      <c r="C1309" s="9" t="str">
        <f>IFERROR(__xludf.DUMMYFUNCTION("""COMPUTED_VALUE"""),""":""")</f>
        <v>":"</v>
      </c>
      <c r="D1309" s="24">
        <v>2.0248888511809958E19</v>
      </c>
      <c r="E1309" s="9" t="str">
        <f>IFERROR(__xludf.DUMMYFUNCTION("""COMPUTED_VALUE"""),""",")</f>
        <v>",</v>
      </c>
    </row>
    <row r="1310">
      <c r="A1310" s="9" t="str">
        <f>IFERROR(__xludf.DUMMYFUNCTION("""COMPUTED_VALUE"""),"""")</f>
        <v>"</v>
      </c>
      <c r="B1310" s="9" t="s">
        <v>1319</v>
      </c>
      <c r="C1310" s="9" t="str">
        <f>IFERROR(__xludf.DUMMYFUNCTION("""COMPUTED_VALUE"""),""":""")</f>
        <v>":"</v>
      </c>
      <c r="D1310" s="24">
        <v>2.0248888511809958E19</v>
      </c>
      <c r="E1310" s="9" t="str">
        <f>IFERROR(__xludf.DUMMYFUNCTION("""COMPUTED_VALUE"""),""",")</f>
        <v>",</v>
      </c>
    </row>
    <row r="1311">
      <c r="A1311" s="9" t="str">
        <f>IFERROR(__xludf.DUMMYFUNCTION("""COMPUTED_VALUE"""),"""")</f>
        <v>"</v>
      </c>
      <c r="B1311" s="9" t="s">
        <v>1320</v>
      </c>
      <c r="C1311" s="9" t="str">
        <f>IFERROR(__xludf.DUMMYFUNCTION("""COMPUTED_VALUE"""),""":""")</f>
        <v>":"</v>
      </c>
      <c r="D1311" s="24">
        <v>6.2005979458241782E18</v>
      </c>
      <c r="E1311" s="9" t="str">
        <f>IFERROR(__xludf.DUMMYFUNCTION("""COMPUTED_VALUE"""),""",")</f>
        <v>",</v>
      </c>
    </row>
    <row r="1312">
      <c r="A1312" s="9" t="str">
        <f>IFERROR(__xludf.DUMMYFUNCTION("""COMPUTED_VALUE"""),"""")</f>
        <v>"</v>
      </c>
      <c r="B1312" s="9" t="s">
        <v>1321</v>
      </c>
      <c r="C1312" s="9" t="str">
        <f>IFERROR(__xludf.DUMMYFUNCTION("""COMPUTED_VALUE"""),""":""")</f>
        <v>":"</v>
      </c>
      <c r="D1312" s="24">
        <v>2.0248888511809958E19</v>
      </c>
      <c r="E1312" s="9" t="str">
        <f>IFERROR(__xludf.DUMMYFUNCTION("""COMPUTED_VALUE"""),""",")</f>
        <v>",</v>
      </c>
    </row>
    <row r="1313">
      <c r="A1313" s="9" t="str">
        <f>IFERROR(__xludf.DUMMYFUNCTION("""COMPUTED_VALUE"""),"""")</f>
        <v>"</v>
      </c>
      <c r="B1313" s="9" t="s">
        <v>1322</v>
      </c>
      <c r="C1313" s="9" t="str">
        <f>IFERROR(__xludf.DUMMYFUNCTION("""COMPUTED_VALUE"""),""":""")</f>
        <v>":"</v>
      </c>
      <c r="D1313" s="24">
        <v>6.2005979458241782E18</v>
      </c>
      <c r="E1313" s="9" t="str">
        <f>IFERROR(__xludf.DUMMYFUNCTION("""COMPUTED_VALUE"""),""",")</f>
        <v>",</v>
      </c>
    </row>
    <row r="1314">
      <c r="A1314" s="9" t="str">
        <f>IFERROR(__xludf.DUMMYFUNCTION("""COMPUTED_VALUE"""),"""")</f>
        <v>"</v>
      </c>
      <c r="B1314" s="9" t="s">
        <v>1323</v>
      </c>
      <c r="C1314" s="9" t="str">
        <f>IFERROR(__xludf.DUMMYFUNCTION("""COMPUTED_VALUE"""),""":""")</f>
        <v>":"</v>
      </c>
      <c r="D1314" s="24">
        <v>6.2005979458241782E18</v>
      </c>
      <c r="E1314" s="9" t="str">
        <f>IFERROR(__xludf.DUMMYFUNCTION("""COMPUTED_VALUE"""),""",")</f>
        <v>",</v>
      </c>
    </row>
    <row r="1315">
      <c r="A1315" s="9" t="str">
        <f>IFERROR(__xludf.DUMMYFUNCTION("""COMPUTED_VALUE"""),"""")</f>
        <v>"</v>
      </c>
      <c r="B1315" s="9" t="s">
        <v>1324</v>
      </c>
      <c r="C1315" s="9" t="str">
        <f>IFERROR(__xludf.DUMMYFUNCTION("""COMPUTED_VALUE"""),""":""")</f>
        <v>":"</v>
      </c>
      <c r="D1315" s="24">
        <v>5.7130738862683781E18</v>
      </c>
      <c r="E1315" s="9" t="str">
        <f>IFERROR(__xludf.DUMMYFUNCTION("""COMPUTED_VALUE"""),""",")</f>
        <v>",</v>
      </c>
    </row>
    <row r="1316">
      <c r="A1316" s="9" t="str">
        <f>IFERROR(__xludf.DUMMYFUNCTION("""COMPUTED_VALUE"""),"""")</f>
        <v>"</v>
      </c>
      <c r="B1316" s="9" t="s">
        <v>1325</v>
      </c>
      <c r="C1316" s="9" t="str">
        <f>IFERROR(__xludf.DUMMYFUNCTION("""COMPUTED_VALUE"""),""":""")</f>
        <v>":"</v>
      </c>
      <c r="D1316" s="24">
        <v>6.2005979458241782E18</v>
      </c>
      <c r="E1316" s="9" t="str">
        <f>IFERROR(__xludf.DUMMYFUNCTION("""COMPUTED_VALUE"""),""",")</f>
        <v>",</v>
      </c>
    </row>
    <row r="1317">
      <c r="A1317" s="9" t="str">
        <f>IFERROR(__xludf.DUMMYFUNCTION("""COMPUTED_VALUE"""),"""")</f>
        <v>"</v>
      </c>
      <c r="B1317" s="9" t="s">
        <v>1326</v>
      </c>
      <c r="C1317" s="9" t="str">
        <f>IFERROR(__xludf.DUMMYFUNCTION("""COMPUTED_VALUE"""),""":""")</f>
        <v>":"</v>
      </c>
      <c r="D1317" s="24">
        <v>2.696800369836836E19</v>
      </c>
      <c r="E1317" s="9" t="str">
        <f>IFERROR(__xludf.DUMMYFUNCTION("""COMPUTED_VALUE"""),""",")</f>
        <v>",</v>
      </c>
    </row>
    <row r="1318">
      <c r="A1318" s="9" t="str">
        <f>IFERROR(__xludf.DUMMYFUNCTION("""COMPUTED_VALUE"""),"""")</f>
        <v>"</v>
      </c>
      <c r="B1318" s="9" t="s">
        <v>1327</v>
      </c>
      <c r="C1318" s="9" t="str">
        <f>IFERROR(__xludf.DUMMYFUNCTION("""COMPUTED_VALUE"""),""":""")</f>
        <v>":"</v>
      </c>
      <c r="D1318" s="24">
        <v>2.0248888511809958E19</v>
      </c>
      <c r="E1318" s="9" t="str">
        <f>IFERROR(__xludf.DUMMYFUNCTION("""COMPUTED_VALUE"""),""",")</f>
        <v>",</v>
      </c>
    </row>
    <row r="1319">
      <c r="A1319" s="9" t="str">
        <f>IFERROR(__xludf.DUMMYFUNCTION("""COMPUTED_VALUE"""),"""")</f>
        <v>"</v>
      </c>
      <c r="B1319" s="9" t="s">
        <v>1328</v>
      </c>
      <c r="C1319" s="9" t="str">
        <f>IFERROR(__xludf.DUMMYFUNCTION("""COMPUTED_VALUE"""),""":""")</f>
        <v>":"</v>
      </c>
      <c r="D1319" s="24">
        <v>2.166031012633926E19</v>
      </c>
      <c r="E1319" s="9" t="str">
        <f>IFERROR(__xludf.DUMMYFUNCTION("""COMPUTED_VALUE"""),""",")</f>
        <v>",</v>
      </c>
    </row>
    <row r="1320">
      <c r="A1320" s="9" t="str">
        <f>IFERROR(__xludf.DUMMYFUNCTION("""COMPUTED_VALUE"""),"""")</f>
        <v>"</v>
      </c>
      <c r="B1320" s="9" t="s">
        <v>1329</v>
      </c>
      <c r="C1320" s="9" t="str">
        <f>IFERROR(__xludf.DUMMYFUNCTION("""COMPUTED_VALUE"""),""":""")</f>
        <v>":"</v>
      </c>
      <c r="D1320" s="24">
        <v>6.0132526639712451E18</v>
      </c>
      <c r="E1320" s="9" t="str">
        <f>IFERROR(__xludf.DUMMYFUNCTION("""COMPUTED_VALUE"""),""",")</f>
        <v>",</v>
      </c>
    </row>
    <row r="1321">
      <c r="A1321" s="9" t="str">
        <f>IFERROR(__xludf.DUMMYFUNCTION("""COMPUTED_VALUE"""),"""")</f>
        <v>"</v>
      </c>
      <c r="B1321" s="9" t="s">
        <v>1330</v>
      </c>
      <c r="C1321" s="9" t="str">
        <f>IFERROR(__xludf.DUMMYFUNCTION("""COMPUTED_VALUE"""),""":""")</f>
        <v>":"</v>
      </c>
      <c r="D1321" s="24">
        <v>2.03417969222009779E18</v>
      </c>
      <c r="E1321" s="9" t="str">
        <f>IFERROR(__xludf.DUMMYFUNCTION("""COMPUTED_VALUE"""),""",")</f>
        <v>",</v>
      </c>
    </row>
    <row r="1322">
      <c r="A1322" s="9" t="str">
        <f>IFERROR(__xludf.DUMMYFUNCTION("""COMPUTED_VALUE"""),"""")</f>
        <v>"</v>
      </c>
      <c r="B1322" s="9" t="s">
        <v>1331</v>
      </c>
      <c r="C1322" s="9" t="str">
        <f>IFERROR(__xludf.DUMMYFUNCTION("""COMPUTED_VALUE"""),""":""")</f>
        <v>":"</v>
      </c>
      <c r="D1322" s="24">
        <v>2.45053508436206656E17</v>
      </c>
      <c r="E1322" s="9" t="str">
        <f>IFERROR(__xludf.DUMMYFUNCTION("""COMPUTED_VALUE"""),""",")</f>
        <v>",</v>
      </c>
    </row>
    <row r="1323">
      <c r="A1323" s="9" t="str">
        <f>IFERROR(__xludf.DUMMYFUNCTION("""COMPUTED_VALUE"""),"""")</f>
        <v>"</v>
      </c>
      <c r="B1323" s="9" t="s">
        <v>1332</v>
      </c>
      <c r="C1323" s="9" t="str">
        <f>IFERROR(__xludf.DUMMYFUNCTION("""COMPUTED_VALUE"""),""":""")</f>
        <v>":"</v>
      </c>
      <c r="D1323" s="24">
        <v>6.2005979458241782E18</v>
      </c>
      <c r="E1323" s="9" t="str">
        <f>IFERROR(__xludf.DUMMYFUNCTION("""COMPUTED_VALUE"""),""",")</f>
        <v>",</v>
      </c>
    </row>
    <row r="1324">
      <c r="A1324" s="9" t="str">
        <f>IFERROR(__xludf.DUMMYFUNCTION("""COMPUTED_VALUE"""),"""")</f>
        <v>"</v>
      </c>
      <c r="B1324" s="9" t="s">
        <v>1333</v>
      </c>
      <c r="C1324" s="9" t="str">
        <f>IFERROR(__xludf.DUMMYFUNCTION("""COMPUTED_VALUE"""),""":""")</f>
        <v>":"</v>
      </c>
      <c r="D1324" s="24">
        <v>6.2005979458241782E18</v>
      </c>
      <c r="E1324" s="9" t="str">
        <f>IFERROR(__xludf.DUMMYFUNCTION("""COMPUTED_VALUE"""),""",")</f>
        <v>",</v>
      </c>
    </row>
    <row r="1325">
      <c r="A1325" s="9" t="str">
        <f>IFERROR(__xludf.DUMMYFUNCTION("""COMPUTED_VALUE"""),"""")</f>
        <v>"</v>
      </c>
      <c r="B1325" s="9" t="s">
        <v>1334</v>
      </c>
      <c r="C1325" s="9" t="str">
        <f>IFERROR(__xludf.DUMMYFUNCTION("""COMPUTED_VALUE"""),""":""")</f>
        <v>":"</v>
      </c>
      <c r="D1325" s="24">
        <v>3.100705897974807E19</v>
      </c>
      <c r="E1325" s="9" t="str">
        <f>IFERROR(__xludf.DUMMYFUNCTION("""COMPUTED_VALUE"""),""",")</f>
        <v>",</v>
      </c>
    </row>
    <row r="1326">
      <c r="A1326" s="9" t="str">
        <f>IFERROR(__xludf.DUMMYFUNCTION("""COMPUTED_VALUE"""),"""")</f>
        <v>"</v>
      </c>
      <c r="B1326" s="9" t="s">
        <v>1335</v>
      </c>
      <c r="C1326" s="9" t="str">
        <f>IFERROR(__xludf.DUMMYFUNCTION("""COMPUTED_VALUE"""),""":""")</f>
        <v>":"</v>
      </c>
      <c r="D1326" s="24">
        <v>2.7064995241016467E19</v>
      </c>
      <c r="E1326" s="9" t="str">
        <f>IFERROR(__xludf.DUMMYFUNCTION("""COMPUTED_VALUE"""),""",")</f>
        <v>",</v>
      </c>
    </row>
    <row r="1327">
      <c r="A1327" s="9" t="str">
        <f>IFERROR(__xludf.DUMMYFUNCTION("""COMPUTED_VALUE"""),"""")</f>
        <v>"</v>
      </c>
      <c r="B1327" s="9" t="s">
        <v>1336</v>
      </c>
      <c r="C1327" s="9" t="str">
        <f>IFERROR(__xludf.DUMMYFUNCTION("""COMPUTED_VALUE"""),""":""")</f>
        <v>":"</v>
      </c>
      <c r="D1327" s="24">
        <v>2.0177490906244624E19</v>
      </c>
      <c r="E1327" s="9" t="str">
        <f>IFERROR(__xludf.DUMMYFUNCTION("""COMPUTED_VALUE"""),""",")</f>
        <v>",</v>
      </c>
    </row>
    <row r="1328">
      <c r="A1328" s="9" t="str">
        <f>IFERROR(__xludf.DUMMYFUNCTION("""COMPUTED_VALUE"""),"""")</f>
        <v>"</v>
      </c>
      <c r="B1328" s="9" t="s">
        <v>1337</v>
      </c>
      <c r="C1328" s="9" t="str">
        <f>IFERROR(__xludf.DUMMYFUNCTION("""COMPUTED_VALUE"""),""":""")</f>
        <v>":"</v>
      </c>
      <c r="D1328" s="24">
        <v>2.1172439302534373E19</v>
      </c>
      <c r="E1328" s="9" t="str">
        <f>IFERROR(__xludf.DUMMYFUNCTION("""COMPUTED_VALUE"""),""",")</f>
        <v>",</v>
      </c>
    </row>
    <row r="1329">
      <c r="A1329" s="9" t="str">
        <f>IFERROR(__xludf.DUMMYFUNCTION("""COMPUTED_VALUE"""),"""")</f>
        <v>"</v>
      </c>
      <c r="B1329" s="9" t="s">
        <v>1338</v>
      </c>
      <c r="C1329" s="9" t="str">
        <f>IFERROR(__xludf.DUMMYFUNCTION("""COMPUTED_VALUE"""),""":""")</f>
        <v>":"</v>
      </c>
      <c r="D1329" s="24">
        <v>3.1764346065750666E18</v>
      </c>
      <c r="E1329" s="9" t="str">
        <f>IFERROR(__xludf.DUMMYFUNCTION("""COMPUTED_VALUE"""),""",")</f>
        <v>",</v>
      </c>
    </row>
    <row r="1330">
      <c r="A1330" s="9" t="str">
        <f>IFERROR(__xludf.DUMMYFUNCTION("""COMPUTED_VALUE"""),"""")</f>
        <v>"</v>
      </c>
      <c r="B1330" s="9" t="s">
        <v>1339</v>
      </c>
      <c r="C1330" s="9" t="str">
        <f>IFERROR(__xludf.DUMMYFUNCTION("""COMPUTED_VALUE"""),""":""")</f>
        <v>":"</v>
      </c>
      <c r="D1330" s="24">
        <v>6.2005979458241782E18</v>
      </c>
      <c r="E1330" s="9" t="str">
        <f>IFERROR(__xludf.DUMMYFUNCTION("""COMPUTED_VALUE"""),""",")</f>
        <v>",</v>
      </c>
    </row>
    <row r="1331">
      <c r="A1331" s="9" t="str">
        <f>IFERROR(__xludf.DUMMYFUNCTION("""COMPUTED_VALUE"""),"""")</f>
        <v>"</v>
      </c>
      <c r="B1331" s="9" t="s">
        <v>1340</v>
      </c>
      <c r="C1331" s="9" t="str">
        <f>IFERROR(__xludf.DUMMYFUNCTION("""COMPUTED_VALUE"""),""":""")</f>
        <v>":"</v>
      </c>
      <c r="D1331" s="24">
        <v>6.2005979458241782E18</v>
      </c>
      <c r="E1331" s="9" t="str">
        <f>IFERROR(__xludf.DUMMYFUNCTION("""COMPUTED_VALUE"""),""",")</f>
        <v>",</v>
      </c>
    </row>
    <row r="1332">
      <c r="A1332" s="9" t="str">
        <f>IFERROR(__xludf.DUMMYFUNCTION("""COMPUTED_VALUE"""),"""")</f>
        <v>"</v>
      </c>
      <c r="B1332" s="9" t="s">
        <v>1341</v>
      </c>
      <c r="C1332" s="9" t="str">
        <f>IFERROR(__xludf.DUMMYFUNCTION("""COMPUTED_VALUE"""),""":""")</f>
        <v>":"</v>
      </c>
      <c r="D1332" s="24">
        <v>4.4519047635373338E18</v>
      </c>
      <c r="E1332" s="9" t="str">
        <f>IFERROR(__xludf.DUMMYFUNCTION("""COMPUTED_VALUE"""),""",")</f>
        <v>",</v>
      </c>
    </row>
    <row r="1333">
      <c r="A1333" s="9" t="str">
        <f>IFERROR(__xludf.DUMMYFUNCTION("""COMPUTED_VALUE"""),"""")</f>
        <v>"</v>
      </c>
      <c r="B1333" s="9" t="s">
        <v>1342</v>
      </c>
      <c r="C1333" s="9" t="str">
        <f>IFERROR(__xludf.DUMMYFUNCTION("""COMPUTED_VALUE"""),""":""")</f>
        <v>":"</v>
      </c>
      <c r="D1333" s="24">
        <v>2.1979154463829406E19</v>
      </c>
      <c r="E1333" s="9" t="str">
        <f>IFERROR(__xludf.DUMMYFUNCTION("""COMPUTED_VALUE"""),""",")</f>
        <v>",</v>
      </c>
    </row>
    <row r="1334">
      <c r="A1334" s="9" t="str">
        <f>IFERROR(__xludf.DUMMYFUNCTION("""COMPUTED_VALUE"""),"""")</f>
        <v>"</v>
      </c>
      <c r="B1334" s="9" t="s">
        <v>1343</v>
      </c>
      <c r="C1334" s="9" t="str">
        <f>IFERROR(__xludf.DUMMYFUNCTION("""COMPUTED_VALUE"""),""":""")</f>
        <v>":"</v>
      </c>
      <c r="D1334" s="24">
        <v>4.026383408217111E18</v>
      </c>
      <c r="E1334" s="9" t="str">
        <f>IFERROR(__xludf.DUMMYFUNCTION("""COMPUTED_VALUE"""),""",")</f>
        <v>",</v>
      </c>
    </row>
    <row r="1335">
      <c r="A1335" s="9" t="str">
        <f>IFERROR(__xludf.DUMMYFUNCTION("""COMPUTED_VALUE"""),"""")</f>
        <v>"</v>
      </c>
      <c r="B1335" s="9" t="s">
        <v>1344</v>
      </c>
      <c r="C1335" s="9" t="str">
        <f>IFERROR(__xludf.DUMMYFUNCTION("""COMPUTED_VALUE"""),""":""")</f>
        <v>":"</v>
      </c>
      <c r="D1335" s="24">
        <v>3.495041603761509E19</v>
      </c>
      <c r="E1335" s="9" t="str">
        <f>IFERROR(__xludf.DUMMYFUNCTION("""COMPUTED_VALUE"""),""",")</f>
        <v>",</v>
      </c>
    </row>
    <row r="1336">
      <c r="A1336" s="9" t="str">
        <f>IFERROR(__xludf.DUMMYFUNCTION("""COMPUTED_VALUE"""),"""")</f>
        <v>"</v>
      </c>
      <c r="B1336" s="9" t="s">
        <v>1345</v>
      </c>
      <c r="C1336" s="9" t="str">
        <f>IFERROR(__xludf.DUMMYFUNCTION("""COMPUTED_VALUE"""),""":""")</f>
        <v>":"</v>
      </c>
      <c r="D1336" s="24">
        <v>5.7764431617718886E18</v>
      </c>
      <c r="E1336" s="9" t="str">
        <f>IFERROR(__xludf.DUMMYFUNCTION("""COMPUTED_VALUE"""),""",")</f>
        <v>",</v>
      </c>
    </row>
    <row r="1337">
      <c r="A1337" s="9" t="str">
        <f>IFERROR(__xludf.DUMMYFUNCTION("""COMPUTED_VALUE"""),"""")</f>
        <v>"</v>
      </c>
      <c r="B1337" s="9" t="s">
        <v>1346</v>
      </c>
      <c r="C1337" s="9" t="str">
        <f>IFERROR(__xludf.DUMMYFUNCTION("""COMPUTED_VALUE"""),""":""")</f>
        <v>":"</v>
      </c>
      <c r="D1337" s="24">
        <v>6.5218265207404405E19</v>
      </c>
      <c r="E1337" s="9" t="str">
        <f>IFERROR(__xludf.DUMMYFUNCTION("""COMPUTED_VALUE"""),""",")</f>
        <v>",</v>
      </c>
    </row>
    <row r="1338">
      <c r="A1338" s="9" t="str">
        <f>IFERROR(__xludf.DUMMYFUNCTION("""COMPUTED_VALUE"""),"""")</f>
        <v>"</v>
      </c>
      <c r="B1338" s="9" t="s">
        <v>1347</v>
      </c>
      <c r="C1338" s="9" t="str">
        <f>IFERROR(__xludf.DUMMYFUNCTION("""COMPUTED_VALUE"""),""":""")</f>
        <v>":"</v>
      </c>
      <c r="D1338" s="24">
        <v>2.0248888511809958E19</v>
      </c>
      <c r="E1338" s="9" t="str">
        <f>IFERROR(__xludf.DUMMYFUNCTION("""COMPUTED_VALUE"""),""",")</f>
        <v>",</v>
      </c>
    </row>
    <row r="1339">
      <c r="A1339" s="9" t="str">
        <f>IFERROR(__xludf.DUMMYFUNCTION("""COMPUTED_VALUE"""),"""")</f>
        <v>"</v>
      </c>
      <c r="B1339" s="9" t="s">
        <v>1348</v>
      </c>
      <c r="C1339" s="9" t="str">
        <f>IFERROR(__xludf.DUMMYFUNCTION("""COMPUTED_VALUE"""),""":""")</f>
        <v>":"</v>
      </c>
      <c r="D1339" s="24">
        <v>6.2005979458241782E18</v>
      </c>
      <c r="E1339" s="9" t="str">
        <f>IFERROR(__xludf.DUMMYFUNCTION("""COMPUTED_VALUE"""),""",")</f>
        <v>",</v>
      </c>
    </row>
    <row r="1340">
      <c r="A1340" s="9" t="str">
        <f>IFERROR(__xludf.DUMMYFUNCTION("""COMPUTED_VALUE"""),"""")</f>
        <v>"</v>
      </c>
      <c r="B1340" s="9" t="s">
        <v>1349</v>
      </c>
      <c r="C1340" s="9" t="str">
        <f>IFERROR(__xludf.DUMMYFUNCTION("""COMPUTED_VALUE"""),""":""")</f>
        <v>":"</v>
      </c>
      <c r="D1340" s="24">
        <v>6.9911106039329779E17</v>
      </c>
      <c r="E1340" s="9" t="str">
        <f>IFERROR(__xludf.DUMMYFUNCTION("""COMPUTED_VALUE"""),""",")</f>
        <v>",</v>
      </c>
    </row>
    <row r="1341">
      <c r="A1341" s="9" t="str">
        <f>IFERROR(__xludf.DUMMYFUNCTION("""COMPUTED_VALUE"""),"""")</f>
        <v>"</v>
      </c>
      <c r="B1341" s="9" t="s">
        <v>1350</v>
      </c>
      <c r="C1341" s="9" t="str">
        <f>IFERROR(__xludf.DUMMYFUNCTION("""COMPUTED_VALUE"""),""":""")</f>
        <v>":"</v>
      </c>
      <c r="D1341" s="24">
        <v>6.2005979458241782E18</v>
      </c>
      <c r="E1341" s="9" t="str">
        <f>IFERROR(__xludf.DUMMYFUNCTION("""COMPUTED_VALUE"""),""",")</f>
        <v>",</v>
      </c>
    </row>
    <row r="1342">
      <c r="A1342" s="9" t="str">
        <f>IFERROR(__xludf.DUMMYFUNCTION("""COMPUTED_VALUE"""),"""")</f>
        <v>"</v>
      </c>
      <c r="B1342" s="9" t="s">
        <v>1351</v>
      </c>
      <c r="C1342" s="9" t="str">
        <f>IFERROR(__xludf.DUMMYFUNCTION("""COMPUTED_VALUE"""),""":""")</f>
        <v>":"</v>
      </c>
      <c r="D1342" s="24">
        <v>6.2005979458241782E18</v>
      </c>
      <c r="E1342" s="9" t="str">
        <f>IFERROR(__xludf.DUMMYFUNCTION("""COMPUTED_VALUE"""),""",")</f>
        <v>",</v>
      </c>
    </row>
    <row r="1343">
      <c r="A1343" s="9" t="str">
        <f>IFERROR(__xludf.DUMMYFUNCTION("""COMPUTED_VALUE"""),"""")</f>
        <v>"</v>
      </c>
      <c r="B1343" s="9" t="s">
        <v>1352</v>
      </c>
      <c r="C1343" s="9" t="str">
        <f>IFERROR(__xludf.DUMMYFUNCTION("""COMPUTED_VALUE"""),""":""")</f>
        <v>":"</v>
      </c>
      <c r="D1343" s="24">
        <v>2.0248888511809958E19</v>
      </c>
      <c r="E1343" s="9" t="str">
        <f>IFERROR(__xludf.DUMMYFUNCTION("""COMPUTED_VALUE"""),""",")</f>
        <v>",</v>
      </c>
    </row>
    <row r="1344">
      <c r="A1344" s="9" t="str">
        <f>IFERROR(__xludf.DUMMYFUNCTION("""COMPUTED_VALUE"""),"""")</f>
        <v>"</v>
      </c>
      <c r="B1344" s="9" t="s">
        <v>1353</v>
      </c>
      <c r="C1344" s="9" t="str">
        <f>IFERROR(__xludf.DUMMYFUNCTION("""COMPUTED_VALUE"""),""":""")</f>
        <v>":"</v>
      </c>
      <c r="D1344" s="24">
        <v>2.0248888511809958E19</v>
      </c>
      <c r="E1344" s="9" t="str">
        <f>IFERROR(__xludf.DUMMYFUNCTION("""COMPUTED_VALUE"""),""",")</f>
        <v>",</v>
      </c>
    </row>
    <row r="1345">
      <c r="A1345" s="9" t="str">
        <f>IFERROR(__xludf.DUMMYFUNCTION("""COMPUTED_VALUE"""),"""")</f>
        <v>"</v>
      </c>
      <c r="B1345" s="9" t="s">
        <v>1354</v>
      </c>
      <c r="C1345" s="9" t="str">
        <f>IFERROR(__xludf.DUMMYFUNCTION("""COMPUTED_VALUE"""),""":""")</f>
        <v>":"</v>
      </c>
      <c r="D1345" s="24">
        <v>6.2005979458241782E18</v>
      </c>
      <c r="E1345" s="9" t="str">
        <f>IFERROR(__xludf.DUMMYFUNCTION("""COMPUTED_VALUE"""),""",")</f>
        <v>",</v>
      </c>
    </row>
    <row r="1346">
      <c r="A1346" s="9" t="str">
        <f>IFERROR(__xludf.DUMMYFUNCTION("""COMPUTED_VALUE"""),"""")</f>
        <v>"</v>
      </c>
      <c r="B1346" s="9" t="s">
        <v>1355</v>
      </c>
      <c r="C1346" s="9" t="str">
        <f>IFERROR(__xludf.DUMMYFUNCTION("""COMPUTED_VALUE"""),""":""")</f>
        <v>":"</v>
      </c>
      <c r="D1346" s="24">
        <v>6.2005979458241782E18</v>
      </c>
      <c r="E1346" s="9" t="str">
        <f>IFERROR(__xludf.DUMMYFUNCTION("""COMPUTED_VALUE"""),""",")</f>
        <v>",</v>
      </c>
    </row>
    <row r="1347">
      <c r="A1347" s="9" t="str">
        <f>IFERROR(__xludf.DUMMYFUNCTION("""COMPUTED_VALUE"""),"""")</f>
        <v>"</v>
      </c>
      <c r="B1347" s="9" t="s">
        <v>1356</v>
      </c>
      <c r="C1347" s="9" t="str">
        <f>IFERROR(__xludf.DUMMYFUNCTION("""COMPUTED_VALUE"""),""":""")</f>
        <v>":"</v>
      </c>
      <c r="D1347" s="24">
        <v>2.228888981529846E19</v>
      </c>
      <c r="E1347" s="9" t="str">
        <f>IFERROR(__xludf.DUMMYFUNCTION("""COMPUTED_VALUE"""),""",")</f>
        <v>",</v>
      </c>
    </row>
    <row r="1348">
      <c r="A1348" s="9" t="str">
        <f>IFERROR(__xludf.DUMMYFUNCTION("""COMPUTED_VALUE"""),"""")</f>
        <v>"</v>
      </c>
      <c r="B1348" s="9" t="s">
        <v>1357</v>
      </c>
      <c r="C1348" s="9" t="str">
        <f>IFERROR(__xludf.DUMMYFUNCTION("""COMPUTED_VALUE"""),""":""")</f>
        <v>":"</v>
      </c>
      <c r="D1348" s="24">
        <v>6.2005979458241782E18</v>
      </c>
      <c r="E1348" s="9" t="str">
        <f>IFERROR(__xludf.DUMMYFUNCTION("""COMPUTED_VALUE"""),""",")</f>
        <v>",</v>
      </c>
    </row>
    <row r="1349">
      <c r="A1349" s="9" t="str">
        <f>IFERROR(__xludf.DUMMYFUNCTION("""COMPUTED_VALUE"""),"""")</f>
        <v>"</v>
      </c>
      <c r="B1349" s="9" t="s">
        <v>1358</v>
      </c>
      <c r="C1349" s="9" t="str">
        <f>IFERROR(__xludf.DUMMYFUNCTION("""COMPUTED_VALUE"""),""":""")</f>
        <v>":"</v>
      </c>
      <c r="D1349" s="24">
        <v>6.2005979458241782E18</v>
      </c>
      <c r="E1349" s="9" t="str">
        <f>IFERROR(__xludf.DUMMYFUNCTION("""COMPUTED_VALUE"""),""",")</f>
        <v>",</v>
      </c>
    </row>
    <row r="1350">
      <c r="A1350" s="9" t="str">
        <f>IFERROR(__xludf.DUMMYFUNCTION("""COMPUTED_VALUE"""),"""")</f>
        <v>"</v>
      </c>
      <c r="B1350" s="9" t="s">
        <v>1359</v>
      </c>
      <c r="C1350" s="9" t="str">
        <f>IFERROR(__xludf.DUMMYFUNCTION("""COMPUTED_VALUE"""),""":""")</f>
        <v>":"</v>
      </c>
      <c r="D1350" s="24">
        <v>6.2005979458241782E18</v>
      </c>
      <c r="E1350" s="9" t="str">
        <f>IFERROR(__xludf.DUMMYFUNCTION("""COMPUTED_VALUE"""),""",")</f>
        <v>",</v>
      </c>
    </row>
    <row r="1351">
      <c r="A1351" s="9" t="str">
        <f>IFERROR(__xludf.DUMMYFUNCTION("""COMPUTED_VALUE"""),"""")</f>
        <v>"</v>
      </c>
      <c r="B1351" s="9" t="s">
        <v>1360</v>
      </c>
      <c r="C1351" s="9" t="str">
        <f>IFERROR(__xludf.DUMMYFUNCTION("""COMPUTED_VALUE"""),""":""")</f>
        <v>":"</v>
      </c>
      <c r="D1351" s="24">
        <v>1.875474009416376E19</v>
      </c>
      <c r="E1351" s="9" t="str">
        <f>IFERROR(__xludf.DUMMYFUNCTION("""COMPUTED_VALUE"""),""",")</f>
        <v>",</v>
      </c>
    </row>
    <row r="1352">
      <c r="A1352" s="9" t="str">
        <f>IFERROR(__xludf.DUMMYFUNCTION("""COMPUTED_VALUE"""),"""")</f>
        <v>"</v>
      </c>
      <c r="B1352" s="9" t="s">
        <v>1361</v>
      </c>
      <c r="C1352" s="9" t="str">
        <f>IFERROR(__xludf.DUMMYFUNCTION("""COMPUTED_VALUE"""),""":""")</f>
        <v>":"</v>
      </c>
      <c r="D1352" s="24">
        <v>5.8743075105940664E18</v>
      </c>
      <c r="E1352" s="9" t="str">
        <f>IFERROR(__xludf.DUMMYFUNCTION("""COMPUTED_VALUE"""),""",")</f>
        <v>",</v>
      </c>
    </row>
    <row r="1353">
      <c r="A1353" s="9" t="str">
        <f>IFERROR(__xludf.DUMMYFUNCTION("""COMPUTED_VALUE"""),"""")</f>
        <v>"</v>
      </c>
      <c r="B1353" s="9" t="s">
        <v>1362</v>
      </c>
      <c r="C1353" s="9" t="str">
        <f>IFERROR(__xludf.DUMMYFUNCTION("""COMPUTED_VALUE"""),""":""")</f>
        <v>":"</v>
      </c>
      <c r="D1353" s="24">
        <v>1.7566029724522222E19</v>
      </c>
      <c r="E1353" s="9" t="str">
        <f>IFERROR(__xludf.DUMMYFUNCTION("""COMPUTED_VALUE"""),""",")</f>
        <v>",</v>
      </c>
    </row>
    <row r="1354">
      <c r="A1354" s="9" t="str">
        <f>IFERROR(__xludf.DUMMYFUNCTION("""COMPUTED_VALUE"""),"""")</f>
        <v>"</v>
      </c>
      <c r="B1354" s="9" t="s">
        <v>1363</v>
      </c>
      <c r="C1354" s="9" t="str">
        <f>IFERROR(__xludf.DUMMYFUNCTION("""COMPUTED_VALUE"""),""":""")</f>
        <v>":"</v>
      </c>
      <c r="D1354" s="24">
        <v>3.613760142249086E19</v>
      </c>
      <c r="E1354" s="9" t="str">
        <f>IFERROR(__xludf.DUMMYFUNCTION("""COMPUTED_VALUE"""),""",")</f>
        <v>",</v>
      </c>
    </row>
    <row r="1355">
      <c r="A1355" s="9" t="str">
        <f>IFERROR(__xludf.DUMMYFUNCTION("""COMPUTED_VALUE"""),"""")</f>
        <v>"</v>
      </c>
      <c r="B1355" s="9" t="s">
        <v>1364</v>
      </c>
      <c r="C1355" s="9" t="str">
        <f>IFERROR(__xludf.DUMMYFUNCTION("""COMPUTED_VALUE"""),""":""")</f>
        <v>":"</v>
      </c>
      <c r="D1355" s="24">
        <v>2.0248888511809958E19</v>
      </c>
      <c r="E1355" s="9" t="str">
        <f>IFERROR(__xludf.DUMMYFUNCTION("""COMPUTED_VALUE"""),""",")</f>
        <v>",</v>
      </c>
    </row>
    <row r="1356">
      <c r="A1356" s="9" t="str">
        <f>IFERROR(__xludf.DUMMYFUNCTION("""COMPUTED_VALUE"""),"""")</f>
        <v>"</v>
      </c>
      <c r="B1356" s="9" t="s">
        <v>1365</v>
      </c>
      <c r="C1356" s="9" t="str">
        <f>IFERROR(__xludf.DUMMYFUNCTION("""COMPUTED_VALUE"""),""":""")</f>
        <v>":"</v>
      </c>
      <c r="D1356" s="24">
        <v>6.2005979458241782E18</v>
      </c>
      <c r="E1356" s="9" t="str">
        <f>IFERROR(__xludf.DUMMYFUNCTION("""COMPUTED_VALUE"""),""",")</f>
        <v>",</v>
      </c>
    </row>
    <row r="1357">
      <c r="A1357" s="9" t="str">
        <f>IFERROR(__xludf.DUMMYFUNCTION("""COMPUTED_VALUE"""),"""")</f>
        <v>"</v>
      </c>
      <c r="B1357" s="9" t="s">
        <v>1366</v>
      </c>
      <c r="C1357" s="9" t="str">
        <f>IFERROR(__xludf.DUMMYFUNCTION("""COMPUTED_VALUE"""),""":""")</f>
        <v>":"</v>
      </c>
      <c r="D1357" s="24">
        <v>2.0248888511809958E19</v>
      </c>
      <c r="E1357" s="9" t="str">
        <f>IFERROR(__xludf.DUMMYFUNCTION("""COMPUTED_VALUE"""),""",")</f>
        <v>",</v>
      </c>
    </row>
    <row r="1358">
      <c r="A1358" s="9" t="str">
        <f>IFERROR(__xludf.DUMMYFUNCTION("""COMPUTED_VALUE"""),"""")</f>
        <v>"</v>
      </c>
      <c r="B1358" s="9" t="s">
        <v>1367</v>
      </c>
      <c r="C1358" s="9" t="str">
        <f>IFERROR(__xludf.DUMMYFUNCTION("""COMPUTED_VALUE"""),""":""")</f>
        <v>":"</v>
      </c>
      <c r="D1358" s="24">
        <v>5.7794264287531561E18</v>
      </c>
      <c r="E1358" s="9" t="str">
        <f>IFERROR(__xludf.DUMMYFUNCTION("""COMPUTED_VALUE"""),""",")</f>
        <v>",</v>
      </c>
    </row>
    <row r="1359">
      <c r="A1359" s="9" t="str">
        <f>IFERROR(__xludf.DUMMYFUNCTION("""COMPUTED_VALUE"""),"""")</f>
        <v>"</v>
      </c>
      <c r="B1359" s="9" t="s">
        <v>1368</v>
      </c>
      <c r="C1359" s="9" t="str">
        <f>IFERROR(__xludf.DUMMYFUNCTION("""COMPUTED_VALUE"""),""":""")</f>
        <v>":"</v>
      </c>
      <c r="D1359" s="24">
        <v>6.2005979458241782E18</v>
      </c>
      <c r="E1359" s="9" t="str">
        <f>IFERROR(__xludf.DUMMYFUNCTION("""COMPUTED_VALUE"""),""",")</f>
        <v>",</v>
      </c>
    </row>
    <row r="1360">
      <c r="A1360" s="9" t="str">
        <f>IFERROR(__xludf.DUMMYFUNCTION("""COMPUTED_VALUE"""),"""")</f>
        <v>"</v>
      </c>
      <c r="B1360" s="9" t="s">
        <v>1369</v>
      </c>
      <c r="C1360" s="9" t="str">
        <f>IFERROR(__xludf.DUMMYFUNCTION("""COMPUTED_VALUE"""),""":""")</f>
        <v>":"</v>
      </c>
      <c r="D1360" s="24">
        <v>7.8211310049095567E18</v>
      </c>
      <c r="E1360" s="9" t="str">
        <f>IFERROR(__xludf.DUMMYFUNCTION("""COMPUTED_VALUE"""),""",")</f>
        <v>",</v>
      </c>
    </row>
    <row r="1361">
      <c r="A1361" s="9" t="str">
        <f>IFERROR(__xludf.DUMMYFUNCTION("""COMPUTED_VALUE"""),"""")</f>
        <v>"</v>
      </c>
      <c r="B1361" s="9" t="s">
        <v>1370</v>
      </c>
      <c r="C1361" s="9" t="str">
        <f>IFERROR(__xludf.DUMMYFUNCTION("""COMPUTED_VALUE"""),""":""")</f>
        <v>":"</v>
      </c>
      <c r="D1361" s="24">
        <v>6.2005979458241782E18</v>
      </c>
      <c r="E1361" s="9" t="str">
        <f>IFERROR(__xludf.DUMMYFUNCTION("""COMPUTED_VALUE"""),""",")</f>
        <v>",</v>
      </c>
    </row>
    <row r="1362">
      <c r="A1362" s="9" t="str">
        <f>IFERROR(__xludf.DUMMYFUNCTION("""COMPUTED_VALUE"""),"""")</f>
        <v>"</v>
      </c>
      <c r="B1362" s="9" t="s">
        <v>1371</v>
      </c>
      <c r="C1362" s="9" t="str">
        <f>IFERROR(__xludf.DUMMYFUNCTION("""COMPUTED_VALUE"""),""":""")</f>
        <v>":"</v>
      </c>
      <c r="D1362" s="24">
        <v>3.1645240067414671E18</v>
      </c>
      <c r="E1362" s="9" t="str">
        <f>IFERROR(__xludf.DUMMYFUNCTION("""COMPUTED_VALUE"""),""",")</f>
        <v>",</v>
      </c>
    </row>
    <row r="1363">
      <c r="A1363" s="9" t="str">
        <f>IFERROR(__xludf.DUMMYFUNCTION("""COMPUTED_VALUE"""),"""")</f>
        <v>"</v>
      </c>
      <c r="B1363" s="9" t="s">
        <v>1372</v>
      </c>
      <c r="C1363" s="9" t="str">
        <f>IFERROR(__xludf.DUMMYFUNCTION("""COMPUTED_VALUE"""),""":""")</f>
        <v>":"</v>
      </c>
      <c r="D1363" s="24">
        <v>5.4293320189614889E18</v>
      </c>
      <c r="E1363" s="9" t="str">
        <f>IFERROR(__xludf.DUMMYFUNCTION("""COMPUTED_VALUE"""),""",")</f>
        <v>",</v>
      </c>
    </row>
    <row r="1364">
      <c r="A1364" s="9" t="str">
        <f>IFERROR(__xludf.DUMMYFUNCTION("""COMPUTED_VALUE"""),"""")</f>
        <v>"</v>
      </c>
      <c r="B1364" s="9" t="s">
        <v>1373</v>
      </c>
      <c r="C1364" s="9" t="str">
        <f>IFERROR(__xludf.DUMMYFUNCTION("""COMPUTED_VALUE"""),""":""")</f>
        <v>":"</v>
      </c>
      <c r="D1364" s="24">
        <v>6.4392908186383483E18</v>
      </c>
      <c r="E1364" s="9" t="str">
        <f>IFERROR(__xludf.DUMMYFUNCTION("""COMPUTED_VALUE"""),""",")</f>
        <v>",</v>
      </c>
    </row>
    <row r="1365">
      <c r="A1365" s="9" t="str">
        <f>IFERROR(__xludf.DUMMYFUNCTION("""COMPUTED_VALUE"""),"""")</f>
        <v>"</v>
      </c>
      <c r="B1365" s="9" t="s">
        <v>1374</v>
      </c>
      <c r="C1365" s="9" t="str">
        <f>IFERROR(__xludf.DUMMYFUNCTION("""COMPUTED_VALUE"""),""":""")</f>
        <v>":"</v>
      </c>
      <c r="D1365" s="24">
        <v>2.0248888511809958E19</v>
      </c>
      <c r="E1365" s="9" t="str">
        <f>IFERROR(__xludf.DUMMYFUNCTION("""COMPUTED_VALUE"""),""",")</f>
        <v>",</v>
      </c>
    </row>
    <row r="1366">
      <c r="A1366" s="9" t="str">
        <f>IFERROR(__xludf.DUMMYFUNCTION("""COMPUTED_VALUE"""),"""")</f>
        <v>"</v>
      </c>
      <c r="B1366" s="9" t="s">
        <v>1375</v>
      </c>
      <c r="C1366" s="9" t="str">
        <f>IFERROR(__xludf.DUMMYFUNCTION("""COMPUTED_VALUE"""),""":""")</f>
        <v>":"</v>
      </c>
      <c r="D1366" s="24">
        <v>2.0248888511809958E19</v>
      </c>
      <c r="E1366" s="9" t="str">
        <f>IFERROR(__xludf.DUMMYFUNCTION("""COMPUTED_VALUE"""),""",")</f>
        <v>",</v>
      </c>
    </row>
    <row r="1367">
      <c r="A1367" s="9" t="str">
        <f>IFERROR(__xludf.DUMMYFUNCTION("""COMPUTED_VALUE"""),"""")</f>
        <v>"</v>
      </c>
      <c r="B1367" s="9" t="s">
        <v>1376</v>
      </c>
      <c r="C1367" s="9" t="str">
        <f>IFERROR(__xludf.DUMMYFUNCTION("""COMPUTED_VALUE"""),""":""")</f>
        <v>":"</v>
      </c>
      <c r="D1367" s="24">
        <v>6.2005979458241782E18</v>
      </c>
      <c r="E1367" s="9" t="str">
        <f>IFERROR(__xludf.DUMMYFUNCTION("""COMPUTED_VALUE"""),""",")</f>
        <v>",</v>
      </c>
    </row>
    <row r="1368">
      <c r="A1368" s="9" t="str">
        <f>IFERROR(__xludf.DUMMYFUNCTION("""COMPUTED_VALUE"""),"""")</f>
        <v>"</v>
      </c>
      <c r="B1368" s="9" t="s">
        <v>1377</v>
      </c>
      <c r="C1368" s="9" t="str">
        <f>IFERROR(__xludf.DUMMYFUNCTION("""COMPUTED_VALUE"""),""":""")</f>
        <v>":"</v>
      </c>
      <c r="D1368" s="24">
        <v>4.333518723916245E18</v>
      </c>
      <c r="E1368" s="9" t="str">
        <f>IFERROR(__xludf.DUMMYFUNCTION("""COMPUTED_VALUE"""),""",")</f>
        <v>",</v>
      </c>
    </row>
    <row r="1369">
      <c r="A1369" s="9" t="str">
        <f>IFERROR(__xludf.DUMMYFUNCTION("""COMPUTED_VALUE"""),"""")</f>
        <v>"</v>
      </c>
      <c r="B1369" s="9" t="s">
        <v>1378</v>
      </c>
      <c r="C1369" s="9" t="str">
        <f>IFERROR(__xludf.DUMMYFUNCTION("""COMPUTED_VALUE"""),""":""")</f>
        <v>":"</v>
      </c>
      <c r="D1369" s="24">
        <v>6.2005979458241782E18</v>
      </c>
      <c r="E1369" s="9" t="str">
        <f>IFERROR(__xludf.DUMMYFUNCTION("""COMPUTED_VALUE"""),""",")</f>
        <v>",</v>
      </c>
    </row>
    <row r="1370">
      <c r="A1370" s="9" t="str">
        <f>IFERROR(__xludf.DUMMYFUNCTION("""COMPUTED_VALUE"""),"""")</f>
        <v>"</v>
      </c>
      <c r="B1370" s="9" t="s">
        <v>1379</v>
      </c>
      <c r="C1370" s="9" t="str">
        <f>IFERROR(__xludf.DUMMYFUNCTION("""COMPUTED_VALUE"""),""":""")</f>
        <v>":"</v>
      </c>
      <c r="D1370" s="24">
        <v>2.9393932492362486E19</v>
      </c>
      <c r="E1370" s="9" t="str">
        <f>IFERROR(__xludf.DUMMYFUNCTION("""COMPUTED_VALUE"""),""",")</f>
        <v>",</v>
      </c>
    </row>
    <row r="1371">
      <c r="A1371" s="9" t="str">
        <f>IFERROR(__xludf.DUMMYFUNCTION("""COMPUTED_VALUE"""),"""")</f>
        <v>"</v>
      </c>
      <c r="B1371" s="9" t="s">
        <v>1380</v>
      </c>
      <c r="C1371" s="9" t="str">
        <f>IFERROR(__xludf.DUMMYFUNCTION("""COMPUTED_VALUE"""),""":""")</f>
        <v>":"</v>
      </c>
      <c r="D1371" s="24">
        <v>4.5625436411106002E18</v>
      </c>
      <c r="E1371" s="9" t="str">
        <f>IFERROR(__xludf.DUMMYFUNCTION("""COMPUTED_VALUE"""),""",")</f>
        <v>",</v>
      </c>
    </row>
    <row r="1372">
      <c r="A1372" s="9" t="str">
        <f>IFERROR(__xludf.DUMMYFUNCTION("""COMPUTED_VALUE"""),"""")</f>
        <v>"</v>
      </c>
      <c r="B1372" s="9" t="s">
        <v>1381</v>
      </c>
      <c r="C1372" s="9" t="str">
        <f>IFERROR(__xludf.DUMMYFUNCTION("""COMPUTED_VALUE"""),""":""")</f>
        <v>":"</v>
      </c>
      <c r="D1372" s="24">
        <v>6.089428667898174E19</v>
      </c>
      <c r="E1372" s="9" t="str">
        <f>IFERROR(__xludf.DUMMYFUNCTION("""COMPUTED_VALUE"""),""",")</f>
        <v>",</v>
      </c>
    </row>
    <row r="1373">
      <c r="A1373" s="9" t="str">
        <f>IFERROR(__xludf.DUMMYFUNCTION("""COMPUTED_VALUE"""),"""")</f>
        <v>"</v>
      </c>
      <c r="B1373" s="9" t="s">
        <v>1382</v>
      </c>
      <c r="C1373" s="9" t="str">
        <f>IFERROR(__xludf.DUMMYFUNCTION("""COMPUTED_VALUE"""),""":""")</f>
        <v>":"</v>
      </c>
      <c r="D1373" s="24">
        <v>6.2005979458241782E18</v>
      </c>
      <c r="E1373" s="9" t="str">
        <f>IFERROR(__xludf.DUMMYFUNCTION("""COMPUTED_VALUE"""),""",")</f>
        <v>",</v>
      </c>
    </row>
    <row r="1374">
      <c r="A1374" s="9" t="str">
        <f>IFERROR(__xludf.DUMMYFUNCTION("""COMPUTED_VALUE"""),"""")</f>
        <v>"</v>
      </c>
      <c r="B1374" s="9" t="s">
        <v>1383</v>
      </c>
      <c r="C1374" s="9" t="str">
        <f>IFERROR(__xludf.DUMMYFUNCTION("""COMPUTED_VALUE"""),""":""")</f>
        <v>":"</v>
      </c>
      <c r="D1374" s="24">
        <v>4.6307230059434445E18</v>
      </c>
      <c r="E1374" s="9" t="str">
        <f>IFERROR(__xludf.DUMMYFUNCTION("""COMPUTED_VALUE"""),""",")</f>
        <v>",</v>
      </c>
    </row>
    <row r="1375">
      <c r="A1375" s="9" t="str">
        <f>IFERROR(__xludf.DUMMYFUNCTION("""COMPUTED_VALUE"""),"""")</f>
        <v>"</v>
      </c>
      <c r="B1375" s="9" t="s">
        <v>1384</v>
      </c>
      <c r="C1375" s="9" t="str">
        <f>IFERROR(__xludf.DUMMYFUNCTION("""COMPUTED_VALUE"""),""":""")</f>
        <v>":"</v>
      </c>
      <c r="D1375" s="24">
        <v>6.2005979458241782E18</v>
      </c>
      <c r="E1375" s="9" t="str">
        <f>IFERROR(__xludf.DUMMYFUNCTION("""COMPUTED_VALUE"""),""",")</f>
        <v>",</v>
      </c>
    </row>
    <row r="1376">
      <c r="A1376" s="9" t="str">
        <f>IFERROR(__xludf.DUMMYFUNCTION("""COMPUTED_VALUE"""),"""")</f>
        <v>"</v>
      </c>
      <c r="B1376" s="9" t="s">
        <v>1385</v>
      </c>
      <c r="C1376" s="9" t="str">
        <f>IFERROR(__xludf.DUMMYFUNCTION("""COMPUTED_VALUE"""),""":""")</f>
        <v>":"</v>
      </c>
      <c r="D1376" s="24">
        <v>2.1273771927666668E19</v>
      </c>
      <c r="E1376" s="9" t="str">
        <f>IFERROR(__xludf.DUMMYFUNCTION("""COMPUTED_VALUE"""),""",")</f>
        <v>",</v>
      </c>
    </row>
    <row r="1377">
      <c r="A1377" s="9" t="str">
        <f>IFERROR(__xludf.DUMMYFUNCTION("""COMPUTED_VALUE"""),"""")</f>
        <v>"</v>
      </c>
      <c r="B1377" s="9" t="s">
        <v>1386</v>
      </c>
      <c r="C1377" s="9" t="str">
        <f>IFERROR(__xludf.DUMMYFUNCTION("""COMPUTED_VALUE"""),""":""")</f>
        <v>":"</v>
      </c>
      <c r="D1377" s="24">
        <v>1.668972096464229E19</v>
      </c>
      <c r="E1377" s="9" t="str">
        <f>IFERROR(__xludf.DUMMYFUNCTION("""COMPUTED_VALUE"""),""",")</f>
        <v>",</v>
      </c>
    </row>
    <row r="1378">
      <c r="A1378" s="9" t="str">
        <f>IFERROR(__xludf.DUMMYFUNCTION("""COMPUTED_VALUE"""),"""")</f>
        <v>"</v>
      </c>
      <c r="B1378" s="9" t="s">
        <v>1387</v>
      </c>
      <c r="C1378" s="9" t="str">
        <f>IFERROR(__xludf.DUMMYFUNCTION("""COMPUTED_VALUE"""),""":""")</f>
        <v>":"</v>
      </c>
      <c r="D1378" s="24">
        <v>6.2005979458241782E18</v>
      </c>
      <c r="E1378" s="9" t="str">
        <f>IFERROR(__xludf.DUMMYFUNCTION("""COMPUTED_VALUE"""),""",")</f>
        <v>",</v>
      </c>
    </row>
    <row r="1379">
      <c r="A1379" s="9" t="str">
        <f>IFERROR(__xludf.DUMMYFUNCTION("""COMPUTED_VALUE"""),"""")</f>
        <v>"</v>
      </c>
      <c r="B1379" s="9" t="s">
        <v>1388</v>
      </c>
      <c r="C1379" s="9" t="str">
        <f>IFERROR(__xludf.DUMMYFUNCTION("""COMPUTED_VALUE"""),""":""")</f>
        <v>":"</v>
      </c>
      <c r="D1379" s="24">
        <v>4.0365618395993114E18</v>
      </c>
      <c r="E1379" s="9" t="str">
        <f>IFERROR(__xludf.DUMMYFUNCTION("""COMPUTED_VALUE"""),""",")</f>
        <v>",</v>
      </c>
    </row>
    <row r="1380">
      <c r="A1380" s="9" t="str">
        <f>IFERROR(__xludf.DUMMYFUNCTION("""COMPUTED_VALUE"""),"""")</f>
        <v>"</v>
      </c>
      <c r="B1380" s="9" t="s">
        <v>1389</v>
      </c>
      <c r="C1380" s="9" t="str">
        <f>IFERROR(__xludf.DUMMYFUNCTION("""COMPUTED_VALUE"""),""":""")</f>
        <v>":"</v>
      </c>
      <c r="D1380" s="24">
        <v>2.0248888511809958E19</v>
      </c>
      <c r="E1380" s="9" t="str">
        <f>IFERROR(__xludf.DUMMYFUNCTION("""COMPUTED_VALUE"""),""",")</f>
        <v>",</v>
      </c>
    </row>
    <row r="1381">
      <c r="A1381" s="9" t="str">
        <f>IFERROR(__xludf.DUMMYFUNCTION("""COMPUTED_VALUE"""),"""")</f>
        <v>"</v>
      </c>
      <c r="B1381" s="9" t="s">
        <v>1390</v>
      </c>
      <c r="C1381" s="9" t="str">
        <f>IFERROR(__xludf.DUMMYFUNCTION("""COMPUTED_VALUE"""),""":""")</f>
        <v>":"</v>
      </c>
      <c r="D1381" s="24">
        <v>2.0248888511809958E19</v>
      </c>
      <c r="E1381" s="9" t="str">
        <f>IFERROR(__xludf.DUMMYFUNCTION("""COMPUTED_VALUE"""),""",")</f>
        <v>",</v>
      </c>
    </row>
    <row r="1382">
      <c r="A1382" s="9" t="str">
        <f>IFERROR(__xludf.DUMMYFUNCTION("""COMPUTED_VALUE"""),"""")</f>
        <v>"</v>
      </c>
      <c r="B1382" s="9" t="s">
        <v>1391</v>
      </c>
      <c r="C1382" s="9" t="str">
        <f>IFERROR(__xludf.DUMMYFUNCTION("""COMPUTED_VALUE"""),""":""")</f>
        <v>":"</v>
      </c>
      <c r="D1382" s="24">
        <v>5.9466439459372667E18</v>
      </c>
      <c r="E1382" s="9" t="str">
        <f>IFERROR(__xludf.DUMMYFUNCTION("""COMPUTED_VALUE"""),""",")</f>
        <v>",</v>
      </c>
    </row>
    <row r="1383">
      <c r="A1383" s="9" t="str">
        <f>IFERROR(__xludf.DUMMYFUNCTION("""COMPUTED_VALUE"""),"""")</f>
        <v>"</v>
      </c>
      <c r="B1383" s="9" t="s">
        <v>1392</v>
      </c>
      <c r="C1383" s="9" t="str">
        <f>IFERROR(__xludf.DUMMYFUNCTION("""COMPUTED_VALUE"""),""":""")</f>
        <v>":"</v>
      </c>
      <c r="D1383" s="24">
        <v>2.068128636465221E19</v>
      </c>
      <c r="E1383" s="9" t="str">
        <f>IFERROR(__xludf.DUMMYFUNCTION("""COMPUTED_VALUE"""),""",")</f>
        <v>",</v>
      </c>
    </row>
    <row r="1384">
      <c r="A1384" s="9" t="str">
        <f>IFERROR(__xludf.DUMMYFUNCTION("""COMPUTED_VALUE"""),"""")</f>
        <v>"</v>
      </c>
      <c r="B1384" s="9" t="s">
        <v>1393</v>
      </c>
      <c r="C1384" s="9" t="str">
        <f>IFERROR(__xludf.DUMMYFUNCTION("""COMPUTED_VALUE"""),""":""")</f>
        <v>":"</v>
      </c>
      <c r="D1384" s="24">
        <v>3.5021934113306706E19</v>
      </c>
      <c r="E1384" s="9" t="str">
        <f>IFERROR(__xludf.DUMMYFUNCTION("""COMPUTED_VALUE"""),""",")</f>
        <v>",</v>
      </c>
    </row>
    <row r="1385">
      <c r="A1385" s="9" t="str">
        <f>IFERROR(__xludf.DUMMYFUNCTION("""COMPUTED_VALUE"""),"""")</f>
        <v>"</v>
      </c>
      <c r="B1385" s="9" t="s">
        <v>1394</v>
      </c>
      <c r="C1385" s="9" t="str">
        <f>IFERROR(__xludf.DUMMYFUNCTION("""COMPUTED_VALUE"""),""":""")</f>
        <v>":"</v>
      </c>
      <c r="D1385" s="24">
        <v>2.068972665009204E19</v>
      </c>
      <c r="E1385" s="9" t="str">
        <f>IFERROR(__xludf.DUMMYFUNCTION("""COMPUTED_VALUE"""),""",")</f>
        <v>",</v>
      </c>
    </row>
    <row r="1386">
      <c r="A1386" s="9" t="str">
        <f>IFERROR(__xludf.DUMMYFUNCTION("""COMPUTED_VALUE"""),"""")</f>
        <v>"</v>
      </c>
      <c r="B1386" s="9" t="s">
        <v>1395</v>
      </c>
      <c r="C1386" s="9" t="str">
        <f>IFERROR(__xludf.DUMMYFUNCTION("""COMPUTED_VALUE"""),""":""")</f>
        <v>":"</v>
      </c>
      <c r="D1386" s="24">
        <v>6.2005979458241782E18</v>
      </c>
      <c r="E1386" s="9" t="str">
        <f>IFERROR(__xludf.DUMMYFUNCTION("""COMPUTED_VALUE"""),""",")</f>
        <v>",</v>
      </c>
    </row>
    <row r="1387">
      <c r="A1387" s="9" t="str">
        <f>IFERROR(__xludf.DUMMYFUNCTION("""COMPUTED_VALUE"""),"""")</f>
        <v>"</v>
      </c>
      <c r="B1387" s="9" t="s">
        <v>1396</v>
      </c>
      <c r="C1387" s="9" t="str">
        <f>IFERROR(__xludf.DUMMYFUNCTION("""COMPUTED_VALUE"""),""":""")</f>
        <v>":"</v>
      </c>
      <c r="D1387" s="24">
        <v>1.181991417221849E19</v>
      </c>
      <c r="E1387" s="9" t="str">
        <f>IFERROR(__xludf.DUMMYFUNCTION("""COMPUTED_VALUE"""),""",")</f>
        <v>",</v>
      </c>
    </row>
    <row r="1388">
      <c r="A1388" s="9" t="str">
        <f>IFERROR(__xludf.DUMMYFUNCTION("""COMPUTED_VALUE"""),"""")</f>
        <v>"</v>
      </c>
      <c r="B1388" s="9" t="s">
        <v>1397</v>
      </c>
      <c r="C1388" s="9" t="str">
        <f>IFERROR(__xludf.DUMMYFUNCTION("""COMPUTED_VALUE"""),""":""")</f>
        <v>":"</v>
      </c>
      <c r="D1388" s="24">
        <v>4.4691778461916892E18</v>
      </c>
      <c r="E1388" s="9" t="str">
        <f>IFERROR(__xludf.DUMMYFUNCTION("""COMPUTED_VALUE"""),""",")</f>
        <v>",</v>
      </c>
    </row>
    <row r="1389">
      <c r="A1389" s="9" t="str">
        <f>IFERROR(__xludf.DUMMYFUNCTION("""COMPUTED_VALUE"""),"""")</f>
        <v>"</v>
      </c>
      <c r="B1389" s="9" t="s">
        <v>1398</v>
      </c>
      <c r="C1389" s="9" t="str">
        <f>IFERROR(__xludf.DUMMYFUNCTION("""COMPUTED_VALUE"""),""":""")</f>
        <v>":"</v>
      </c>
      <c r="D1389" s="24">
        <v>6.2005979458241782E18</v>
      </c>
      <c r="E1389" s="9" t="str">
        <f>IFERROR(__xludf.DUMMYFUNCTION("""COMPUTED_VALUE"""),""",")</f>
        <v>",</v>
      </c>
    </row>
    <row r="1390">
      <c r="A1390" s="9" t="str">
        <f>IFERROR(__xludf.DUMMYFUNCTION("""COMPUTED_VALUE"""),"""")</f>
        <v>"</v>
      </c>
      <c r="B1390" s="9" t="s">
        <v>1399</v>
      </c>
      <c r="C1390" s="9" t="str">
        <f>IFERROR(__xludf.DUMMYFUNCTION("""COMPUTED_VALUE"""),""":""")</f>
        <v>":"</v>
      </c>
      <c r="D1390" s="24">
        <v>2.0248888511809958E19</v>
      </c>
      <c r="E1390" s="9" t="str">
        <f>IFERROR(__xludf.DUMMYFUNCTION("""COMPUTED_VALUE"""),""",")</f>
        <v>",</v>
      </c>
    </row>
    <row r="1391">
      <c r="A1391" s="9" t="str">
        <f>IFERROR(__xludf.DUMMYFUNCTION("""COMPUTED_VALUE"""),"""")</f>
        <v>"</v>
      </c>
      <c r="B1391" s="9" t="s">
        <v>1400</v>
      </c>
      <c r="C1391" s="9" t="str">
        <f>IFERROR(__xludf.DUMMYFUNCTION("""COMPUTED_VALUE"""),""":""")</f>
        <v>":"</v>
      </c>
      <c r="D1391" s="24">
        <v>2.0248888511809958E19</v>
      </c>
      <c r="E1391" s="9" t="str">
        <f>IFERROR(__xludf.DUMMYFUNCTION("""COMPUTED_VALUE"""),""",")</f>
        <v>",</v>
      </c>
    </row>
    <row r="1392">
      <c r="A1392" s="9" t="str">
        <f>IFERROR(__xludf.DUMMYFUNCTION("""COMPUTED_VALUE"""),"""")</f>
        <v>"</v>
      </c>
      <c r="B1392" s="9" t="s">
        <v>1401</v>
      </c>
      <c r="C1392" s="9" t="str">
        <f>IFERROR(__xludf.DUMMYFUNCTION("""COMPUTED_VALUE"""),""":""")</f>
        <v>":"</v>
      </c>
      <c r="D1392" s="24">
        <v>5.4507481172469555E18</v>
      </c>
      <c r="E1392" s="9" t="str">
        <f>IFERROR(__xludf.DUMMYFUNCTION("""COMPUTED_VALUE"""),""",")</f>
        <v>",</v>
      </c>
    </row>
    <row r="1393">
      <c r="A1393" s="9" t="str">
        <f>IFERROR(__xludf.DUMMYFUNCTION("""COMPUTED_VALUE"""),"""")</f>
        <v>"</v>
      </c>
      <c r="B1393" s="9" t="s">
        <v>1402</v>
      </c>
      <c r="C1393" s="9" t="str">
        <f>IFERROR(__xludf.DUMMYFUNCTION("""COMPUTED_VALUE"""),""":""")</f>
        <v>":"</v>
      </c>
      <c r="D1393" s="24">
        <v>6.2005979458241782E18</v>
      </c>
      <c r="E1393" s="9" t="str">
        <f>IFERROR(__xludf.DUMMYFUNCTION("""COMPUTED_VALUE"""),""",")</f>
        <v>",</v>
      </c>
    </row>
    <row r="1394">
      <c r="A1394" s="9" t="str">
        <f>IFERROR(__xludf.DUMMYFUNCTION("""COMPUTED_VALUE"""),"""")</f>
        <v>"</v>
      </c>
      <c r="B1394" s="9" t="s">
        <v>1403</v>
      </c>
      <c r="C1394" s="9" t="str">
        <f>IFERROR(__xludf.DUMMYFUNCTION("""COMPUTED_VALUE"""),""":""")</f>
        <v>":"</v>
      </c>
      <c r="D1394" s="24">
        <v>1.136699223187531E19</v>
      </c>
      <c r="E1394" s="9" t="str">
        <f>IFERROR(__xludf.DUMMYFUNCTION("""COMPUTED_VALUE"""),""",")</f>
        <v>",</v>
      </c>
    </row>
    <row r="1395">
      <c r="A1395" s="9" t="str">
        <f>IFERROR(__xludf.DUMMYFUNCTION("""COMPUTED_VALUE"""),"""")</f>
        <v>"</v>
      </c>
      <c r="B1395" s="9" t="s">
        <v>1404</v>
      </c>
      <c r="C1395" s="9" t="str">
        <f>IFERROR(__xludf.DUMMYFUNCTION("""COMPUTED_VALUE"""),""":""")</f>
        <v>":"</v>
      </c>
      <c r="D1395" s="24">
        <v>2.0248888511809958E19</v>
      </c>
      <c r="E1395" s="9" t="str">
        <f>IFERROR(__xludf.DUMMYFUNCTION("""COMPUTED_VALUE"""),""",")</f>
        <v>",</v>
      </c>
    </row>
    <row r="1396">
      <c r="A1396" s="9" t="str">
        <f>IFERROR(__xludf.DUMMYFUNCTION("""COMPUTED_VALUE"""),"""")</f>
        <v>"</v>
      </c>
      <c r="B1396" s="9" t="s">
        <v>1405</v>
      </c>
      <c r="C1396" s="9" t="str">
        <f>IFERROR(__xludf.DUMMYFUNCTION("""COMPUTED_VALUE"""),""":""")</f>
        <v>":"</v>
      </c>
      <c r="D1396" s="24">
        <v>1.4884969483694914E19</v>
      </c>
      <c r="E1396" s="9" t="str">
        <f>IFERROR(__xludf.DUMMYFUNCTION("""COMPUTED_VALUE"""),""",")</f>
        <v>",</v>
      </c>
    </row>
    <row r="1397">
      <c r="A1397" s="9" t="str">
        <f>IFERROR(__xludf.DUMMYFUNCTION("""COMPUTED_VALUE"""),"""")</f>
        <v>"</v>
      </c>
      <c r="B1397" s="9" t="s">
        <v>1406</v>
      </c>
      <c r="C1397" s="9" t="str">
        <f>IFERROR(__xludf.DUMMYFUNCTION("""COMPUTED_VALUE"""),""":""")</f>
        <v>":"</v>
      </c>
      <c r="D1397" s="24">
        <v>2.208943728862311E19</v>
      </c>
      <c r="E1397" s="9" t="str">
        <f>IFERROR(__xludf.DUMMYFUNCTION("""COMPUTED_VALUE"""),""",")</f>
        <v>",</v>
      </c>
    </row>
    <row r="1398">
      <c r="A1398" s="9" t="str">
        <f>IFERROR(__xludf.DUMMYFUNCTION("""COMPUTED_VALUE"""),"""")</f>
        <v>"</v>
      </c>
      <c r="B1398" s="9" t="s">
        <v>1407</v>
      </c>
      <c r="C1398" s="9" t="str">
        <f>IFERROR(__xludf.DUMMYFUNCTION("""COMPUTED_VALUE"""),""":""")</f>
        <v>":"</v>
      </c>
      <c r="D1398" s="24">
        <v>5.8821295417499116E18</v>
      </c>
      <c r="E1398" s="9" t="str">
        <f>IFERROR(__xludf.DUMMYFUNCTION("""COMPUTED_VALUE"""),""",")</f>
        <v>",</v>
      </c>
    </row>
    <row r="1399">
      <c r="A1399" s="9" t="str">
        <f>IFERROR(__xludf.DUMMYFUNCTION("""COMPUTED_VALUE"""),"""")</f>
        <v>"</v>
      </c>
      <c r="B1399" s="9" t="s">
        <v>1408</v>
      </c>
      <c r="C1399" s="9" t="str">
        <f>IFERROR(__xludf.DUMMYFUNCTION("""COMPUTED_VALUE"""),""":""")</f>
        <v>":"</v>
      </c>
      <c r="D1399" s="24">
        <v>4.536669946115929E19</v>
      </c>
      <c r="E1399" s="9" t="str">
        <f>IFERROR(__xludf.DUMMYFUNCTION("""COMPUTED_VALUE"""),""",")</f>
        <v>",</v>
      </c>
    </row>
    <row r="1400">
      <c r="A1400" s="9" t="str">
        <f>IFERROR(__xludf.DUMMYFUNCTION("""COMPUTED_VALUE"""),"""")</f>
        <v>"</v>
      </c>
      <c r="B1400" s="9" t="s">
        <v>1409</v>
      </c>
      <c r="C1400" s="9" t="str">
        <f>IFERROR(__xludf.DUMMYFUNCTION("""COMPUTED_VALUE"""),""":""")</f>
        <v>":"</v>
      </c>
      <c r="D1400" s="24">
        <v>6.2005979458241782E18</v>
      </c>
      <c r="E1400" s="9" t="str">
        <f>IFERROR(__xludf.DUMMYFUNCTION("""COMPUTED_VALUE"""),""",")</f>
        <v>",</v>
      </c>
    </row>
    <row r="1401">
      <c r="A1401" s="9" t="str">
        <f>IFERROR(__xludf.DUMMYFUNCTION("""COMPUTED_VALUE"""),"""")</f>
        <v>"</v>
      </c>
      <c r="B1401" s="9" t="s">
        <v>1410</v>
      </c>
      <c r="C1401" s="9" t="str">
        <f>IFERROR(__xludf.DUMMYFUNCTION("""COMPUTED_VALUE"""),""":""")</f>
        <v>":"</v>
      </c>
      <c r="D1401" s="24">
        <v>5.4699343543217336E18</v>
      </c>
      <c r="E1401" s="9" t="str">
        <f>IFERROR(__xludf.DUMMYFUNCTION("""COMPUTED_VALUE"""),""",")</f>
        <v>",</v>
      </c>
    </row>
    <row r="1402">
      <c r="A1402" s="9" t="str">
        <f>IFERROR(__xludf.DUMMYFUNCTION("""COMPUTED_VALUE"""),"""")</f>
        <v>"</v>
      </c>
      <c r="B1402" s="9" t="s">
        <v>1411</v>
      </c>
      <c r="C1402" s="9" t="str">
        <f>IFERROR(__xludf.DUMMYFUNCTION("""COMPUTED_VALUE"""),""":""")</f>
        <v>":"</v>
      </c>
      <c r="D1402" s="24">
        <v>1.3411910738693001E19</v>
      </c>
      <c r="E1402" s="9" t="str">
        <f>IFERROR(__xludf.DUMMYFUNCTION("""COMPUTED_VALUE"""),""",")</f>
        <v>",</v>
      </c>
    </row>
    <row r="1403">
      <c r="A1403" s="9" t="str">
        <f>IFERROR(__xludf.DUMMYFUNCTION("""COMPUTED_VALUE"""),"""")</f>
        <v>"</v>
      </c>
      <c r="B1403" s="9" t="s">
        <v>1412</v>
      </c>
      <c r="C1403" s="9" t="str">
        <f>IFERROR(__xludf.DUMMYFUNCTION("""COMPUTED_VALUE"""),""":""")</f>
        <v>":"</v>
      </c>
      <c r="D1403" s="24">
        <v>5.8113333356359782E18</v>
      </c>
      <c r="E1403" s="9" t="str">
        <f>IFERROR(__xludf.DUMMYFUNCTION("""COMPUTED_VALUE"""),""",")</f>
        <v>",</v>
      </c>
    </row>
    <row r="1404">
      <c r="A1404" s="9" t="str">
        <f>IFERROR(__xludf.DUMMYFUNCTION("""COMPUTED_VALUE"""),"""")</f>
        <v>"</v>
      </c>
      <c r="B1404" s="9" t="s">
        <v>1413</v>
      </c>
      <c r="C1404" s="9" t="str">
        <f>IFERROR(__xludf.DUMMYFUNCTION("""COMPUTED_VALUE"""),""":""")</f>
        <v>":"</v>
      </c>
      <c r="D1404" s="24">
        <v>6.2005979458241782E18</v>
      </c>
      <c r="E1404" s="9" t="str">
        <f>IFERROR(__xludf.DUMMYFUNCTION("""COMPUTED_VALUE"""),""",")</f>
        <v>",</v>
      </c>
    </row>
    <row r="1405">
      <c r="A1405" s="9" t="str">
        <f>IFERROR(__xludf.DUMMYFUNCTION("""COMPUTED_VALUE"""),"""")</f>
        <v>"</v>
      </c>
      <c r="B1405" s="9" t="s">
        <v>1414</v>
      </c>
      <c r="C1405" s="9" t="str">
        <f>IFERROR(__xludf.DUMMYFUNCTION("""COMPUTED_VALUE"""),""":""")</f>
        <v>":"</v>
      </c>
      <c r="D1405" s="24">
        <v>2.0248888511809958E19</v>
      </c>
      <c r="E1405" s="9" t="str">
        <f>IFERROR(__xludf.DUMMYFUNCTION("""COMPUTED_VALUE"""),""",")</f>
        <v>",</v>
      </c>
    </row>
    <row r="1406">
      <c r="A1406" s="9" t="str">
        <f>IFERROR(__xludf.DUMMYFUNCTION("""COMPUTED_VALUE"""),"""")</f>
        <v>"</v>
      </c>
      <c r="B1406" s="9" t="s">
        <v>1415</v>
      </c>
      <c r="C1406" s="9" t="str">
        <f>IFERROR(__xludf.DUMMYFUNCTION("""COMPUTED_VALUE"""),""":""")</f>
        <v>":"</v>
      </c>
      <c r="D1406" s="24">
        <v>6.2005979458241782E18</v>
      </c>
      <c r="E1406" s="9" t="str">
        <f>IFERROR(__xludf.DUMMYFUNCTION("""COMPUTED_VALUE"""),""",")</f>
        <v>",</v>
      </c>
    </row>
    <row r="1407">
      <c r="A1407" s="9" t="str">
        <f>IFERROR(__xludf.DUMMYFUNCTION("""COMPUTED_VALUE"""),"""")</f>
        <v>"</v>
      </c>
      <c r="B1407" s="9" t="s">
        <v>1416</v>
      </c>
      <c r="C1407" s="9" t="str">
        <f>IFERROR(__xludf.DUMMYFUNCTION("""COMPUTED_VALUE"""),""":""")</f>
        <v>":"</v>
      </c>
      <c r="D1407" s="24">
        <v>2.2843275628863468E19</v>
      </c>
      <c r="E1407" s="9" t="str">
        <f>IFERROR(__xludf.DUMMYFUNCTION("""COMPUTED_VALUE"""),""",")</f>
        <v>",</v>
      </c>
    </row>
    <row r="1408">
      <c r="A1408" s="9" t="str">
        <f>IFERROR(__xludf.DUMMYFUNCTION("""COMPUTED_VALUE"""),"""")</f>
        <v>"</v>
      </c>
      <c r="B1408" s="9" t="s">
        <v>1417</v>
      </c>
      <c r="C1408" s="9" t="str">
        <f>IFERROR(__xludf.DUMMYFUNCTION("""COMPUTED_VALUE"""),""":""")</f>
        <v>":"</v>
      </c>
      <c r="D1408" s="24">
        <v>5.5207394954373335E18</v>
      </c>
      <c r="E1408" s="9" t="str">
        <f>IFERROR(__xludf.DUMMYFUNCTION("""COMPUTED_VALUE"""),""",")</f>
        <v>",</v>
      </c>
    </row>
    <row r="1409">
      <c r="A1409" s="9" t="str">
        <f>IFERROR(__xludf.DUMMYFUNCTION("""COMPUTED_VALUE"""),"""")</f>
        <v>"</v>
      </c>
      <c r="B1409" s="9" t="s">
        <v>1418</v>
      </c>
      <c r="C1409" s="9" t="str">
        <f>IFERROR(__xludf.DUMMYFUNCTION("""COMPUTED_VALUE"""),""":""")</f>
        <v>":"</v>
      </c>
      <c r="D1409" s="24">
        <v>2.8270768983097266E19</v>
      </c>
      <c r="E1409" s="9" t="str">
        <f>IFERROR(__xludf.DUMMYFUNCTION("""COMPUTED_VALUE"""),""",")</f>
        <v>",</v>
      </c>
    </row>
    <row r="1410">
      <c r="A1410" s="9" t="str">
        <f>IFERROR(__xludf.DUMMYFUNCTION("""COMPUTED_VALUE"""),"""")</f>
        <v>"</v>
      </c>
      <c r="B1410" s="9" t="s">
        <v>1419</v>
      </c>
      <c r="C1410" s="9" t="str">
        <f>IFERROR(__xludf.DUMMYFUNCTION("""COMPUTED_VALUE"""),""":""")</f>
        <v>":"</v>
      </c>
      <c r="D1410" s="24">
        <v>2.0248888511809958E19</v>
      </c>
      <c r="E1410" s="9" t="str">
        <f>IFERROR(__xludf.DUMMYFUNCTION("""COMPUTED_VALUE"""),""",")</f>
        <v>",</v>
      </c>
    </row>
    <row r="1411">
      <c r="A1411" s="9" t="str">
        <f>IFERROR(__xludf.DUMMYFUNCTION("""COMPUTED_VALUE"""),"""")</f>
        <v>"</v>
      </c>
      <c r="B1411" s="9" t="s">
        <v>1420</v>
      </c>
      <c r="C1411" s="9" t="str">
        <f>IFERROR(__xludf.DUMMYFUNCTION("""COMPUTED_VALUE"""),""":""")</f>
        <v>":"</v>
      </c>
      <c r="D1411" s="24">
        <v>2.0248888511809958E19</v>
      </c>
      <c r="E1411" s="9" t="str">
        <f>IFERROR(__xludf.DUMMYFUNCTION("""COMPUTED_VALUE"""),""",")</f>
        <v>",</v>
      </c>
    </row>
    <row r="1412">
      <c r="A1412" s="9" t="str">
        <f>IFERROR(__xludf.DUMMYFUNCTION("""COMPUTED_VALUE"""),"""")</f>
        <v>"</v>
      </c>
      <c r="B1412" s="9" t="s">
        <v>1421</v>
      </c>
      <c r="C1412" s="9" t="str">
        <f>IFERROR(__xludf.DUMMYFUNCTION("""COMPUTED_VALUE"""),""":""")</f>
        <v>":"</v>
      </c>
      <c r="D1412" s="24">
        <v>1.5710497612213199E19</v>
      </c>
      <c r="E1412" s="9" t="str">
        <f>IFERROR(__xludf.DUMMYFUNCTION("""COMPUTED_VALUE"""),""",")</f>
        <v>",</v>
      </c>
    </row>
    <row r="1413">
      <c r="A1413" s="9" t="str">
        <f>IFERROR(__xludf.DUMMYFUNCTION("""COMPUTED_VALUE"""),"""")</f>
        <v>"</v>
      </c>
      <c r="B1413" s="9" t="s">
        <v>1422</v>
      </c>
      <c r="C1413" s="9" t="str">
        <f>IFERROR(__xludf.DUMMYFUNCTION("""COMPUTED_VALUE"""),""":""")</f>
        <v>":"</v>
      </c>
      <c r="D1413" s="24">
        <v>6.2005979458241782E18</v>
      </c>
      <c r="E1413" s="9" t="str">
        <f>IFERROR(__xludf.DUMMYFUNCTION("""COMPUTED_VALUE"""),""",")</f>
        <v>",</v>
      </c>
    </row>
    <row r="1414">
      <c r="A1414" s="9" t="str">
        <f>IFERROR(__xludf.DUMMYFUNCTION("""COMPUTED_VALUE"""),"""")</f>
        <v>"</v>
      </c>
      <c r="B1414" s="9" t="s">
        <v>1423</v>
      </c>
      <c r="C1414" s="9" t="str">
        <f>IFERROR(__xludf.DUMMYFUNCTION("""COMPUTED_VALUE"""),""":""")</f>
        <v>":"</v>
      </c>
      <c r="D1414" s="24">
        <v>6.2005979458241782E18</v>
      </c>
      <c r="E1414" s="9" t="str">
        <f>IFERROR(__xludf.DUMMYFUNCTION("""COMPUTED_VALUE"""),""",")</f>
        <v>",</v>
      </c>
    </row>
    <row r="1415">
      <c r="A1415" s="9" t="str">
        <f>IFERROR(__xludf.DUMMYFUNCTION("""COMPUTED_VALUE"""),"""")</f>
        <v>"</v>
      </c>
      <c r="B1415" s="9" t="s">
        <v>1424</v>
      </c>
      <c r="C1415" s="9" t="str">
        <f>IFERROR(__xludf.DUMMYFUNCTION("""COMPUTED_VALUE"""),""":""")</f>
        <v>":"</v>
      </c>
      <c r="D1415" s="24">
        <v>6.2005979458241782E18</v>
      </c>
      <c r="E1415" s="9" t="str">
        <f>IFERROR(__xludf.DUMMYFUNCTION("""COMPUTED_VALUE"""),""",")</f>
        <v>",</v>
      </c>
    </row>
    <row r="1416">
      <c r="A1416" s="9" t="str">
        <f>IFERROR(__xludf.DUMMYFUNCTION("""COMPUTED_VALUE"""),"""")</f>
        <v>"</v>
      </c>
      <c r="B1416" s="9" t="s">
        <v>1425</v>
      </c>
      <c r="C1416" s="9" t="str">
        <f>IFERROR(__xludf.DUMMYFUNCTION("""COMPUTED_VALUE"""),""":""")</f>
        <v>":"</v>
      </c>
      <c r="D1416" s="24">
        <v>2.0484672763280474E19</v>
      </c>
      <c r="E1416" s="9" t="str">
        <f>IFERROR(__xludf.DUMMYFUNCTION("""COMPUTED_VALUE"""),""",")</f>
        <v>",</v>
      </c>
    </row>
    <row r="1417">
      <c r="A1417" s="9" t="str">
        <f>IFERROR(__xludf.DUMMYFUNCTION("""COMPUTED_VALUE"""),"""")</f>
        <v>"</v>
      </c>
      <c r="B1417" s="9" t="s">
        <v>1426</v>
      </c>
      <c r="C1417" s="9" t="str">
        <f>IFERROR(__xludf.DUMMYFUNCTION("""COMPUTED_VALUE"""),""":""")</f>
        <v>":"</v>
      </c>
      <c r="D1417" s="24">
        <v>6.2005979458241782E18</v>
      </c>
      <c r="E1417" s="9" t="str">
        <f>IFERROR(__xludf.DUMMYFUNCTION("""COMPUTED_VALUE"""),""",")</f>
        <v>",</v>
      </c>
    </row>
    <row r="1418">
      <c r="A1418" s="9" t="str">
        <f>IFERROR(__xludf.DUMMYFUNCTION("""COMPUTED_VALUE"""),"""")</f>
        <v>"</v>
      </c>
      <c r="B1418" s="9" t="s">
        <v>1427</v>
      </c>
      <c r="C1418" s="9" t="str">
        <f>IFERROR(__xludf.DUMMYFUNCTION("""COMPUTED_VALUE"""),""":""")</f>
        <v>":"</v>
      </c>
      <c r="D1418" s="24">
        <v>5.8845712106921779E18</v>
      </c>
      <c r="E1418" s="9" t="str">
        <f>IFERROR(__xludf.DUMMYFUNCTION("""COMPUTED_VALUE"""),""",")</f>
        <v>",</v>
      </c>
    </row>
    <row r="1419">
      <c r="A1419" s="9" t="str">
        <f>IFERROR(__xludf.DUMMYFUNCTION("""COMPUTED_VALUE"""),"""")</f>
        <v>"</v>
      </c>
      <c r="B1419" s="9" t="s">
        <v>1428</v>
      </c>
      <c r="C1419" s="9" t="str">
        <f>IFERROR(__xludf.DUMMYFUNCTION("""COMPUTED_VALUE"""),""":""")</f>
        <v>":"</v>
      </c>
      <c r="D1419" s="24">
        <v>6.2005979458241782E18</v>
      </c>
      <c r="E1419" s="9" t="str">
        <f>IFERROR(__xludf.DUMMYFUNCTION("""COMPUTED_VALUE"""),""",")</f>
        <v>",</v>
      </c>
    </row>
    <row r="1420">
      <c r="A1420" s="9" t="str">
        <f>IFERROR(__xludf.DUMMYFUNCTION("""COMPUTED_VALUE"""),"""")</f>
        <v>"</v>
      </c>
      <c r="B1420" s="9" t="s">
        <v>1429</v>
      </c>
      <c r="C1420" s="9" t="str">
        <f>IFERROR(__xludf.DUMMYFUNCTION("""COMPUTED_VALUE"""),""":""")</f>
        <v>":"</v>
      </c>
      <c r="D1420" s="24">
        <v>1.4157256180028027E19</v>
      </c>
      <c r="E1420" s="9" t="str">
        <f>IFERROR(__xludf.DUMMYFUNCTION("""COMPUTED_VALUE"""),""",")</f>
        <v>",</v>
      </c>
    </row>
    <row r="1421">
      <c r="A1421" s="9" t="str">
        <f>IFERROR(__xludf.DUMMYFUNCTION("""COMPUTED_VALUE"""),"""")</f>
        <v>"</v>
      </c>
      <c r="B1421" s="9" t="s">
        <v>1430</v>
      </c>
      <c r="C1421" s="9" t="str">
        <f>IFERROR(__xludf.DUMMYFUNCTION("""COMPUTED_VALUE"""),""":""")</f>
        <v>":"</v>
      </c>
      <c r="D1421" s="24">
        <v>6.2005979458241782E18</v>
      </c>
      <c r="E1421" s="9" t="str">
        <f>IFERROR(__xludf.DUMMYFUNCTION("""COMPUTED_VALUE"""),""",")</f>
        <v>",</v>
      </c>
    </row>
    <row r="1422">
      <c r="A1422" s="9" t="str">
        <f>IFERROR(__xludf.DUMMYFUNCTION("""COMPUTED_VALUE"""),"""")</f>
        <v>"</v>
      </c>
      <c r="B1422" s="9" t="s">
        <v>1431</v>
      </c>
      <c r="C1422" s="9" t="str">
        <f>IFERROR(__xludf.DUMMYFUNCTION("""COMPUTED_VALUE"""),""":""")</f>
        <v>":"</v>
      </c>
      <c r="D1422" s="24">
        <v>1.584546790351609E19</v>
      </c>
      <c r="E1422" s="9" t="str">
        <f>IFERROR(__xludf.DUMMYFUNCTION("""COMPUTED_VALUE"""),""",")</f>
        <v>",</v>
      </c>
    </row>
    <row r="1423">
      <c r="A1423" s="9" t="str">
        <f>IFERROR(__xludf.DUMMYFUNCTION("""COMPUTED_VALUE"""),"""")</f>
        <v>"</v>
      </c>
      <c r="B1423" s="9" t="s">
        <v>1432</v>
      </c>
      <c r="C1423" s="9" t="str">
        <f>IFERROR(__xludf.DUMMYFUNCTION("""COMPUTED_VALUE"""),""":""")</f>
        <v>":"</v>
      </c>
      <c r="D1423" s="24">
        <v>4.1907595373363553E18</v>
      </c>
      <c r="E1423" s="9" t="str">
        <f>IFERROR(__xludf.DUMMYFUNCTION("""COMPUTED_VALUE"""),""",")</f>
        <v>",</v>
      </c>
    </row>
    <row r="1424">
      <c r="A1424" s="9" t="str">
        <f>IFERROR(__xludf.DUMMYFUNCTION("""COMPUTED_VALUE"""),"""")</f>
        <v>"</v>
      </c>
      <c r="B1424" s="9" t="s">
        <v>1433</v>
      </c>
      <c r="C1424" s="9" t="str">
        <f>IFERROR(__xludf.DUMMYFUNCTION("""COMPUTED_VALUE"""),""":""")</f>
        <v>":"</v>
      </c>
      <c r="D1424" s="24">
        <v>6.0240140366423337E18</v>
      </c>
      <c r="E1424" s="9" t="str">
        <f>IFERROR(__xludf.DUMMYFUNCTION("""COMPUTED_VALUE"""),""",")</f>
        <v>",</v>
      </c>
    </row>
    <row r="1425">
      <c r="A1425" s="9" t="str">
        <f>IFERROR(__xludf.DUMMYFUNCTION("""COMPUTED_VALUE"""),"""")</f>
        <v>"</v>
      </c>
      <c r="B1425" s="9" t="s">
        <v>1434</v>
      </c>
      <c r="C1425" s="9" t="str">
        <f>IFERROR(__xludf.DUMMYFUNCTION("""COMPUTED_VALUE"""),""":""")</f>
        <v>":"</v>
      </c>
      <c r="D1425" s="24">
        <v>6.1729578572594442E18</v>
      </c>
      <c r="E1425" s="9" t="str">
        <f>IFERROR(__xludf.DUMMYFUNCTION("""COMPUTED_VALUE"""),""",")</f>
        <v>",</v>
      </c>
    </row>
    <row r="1426">
      <c r="A1426" s="9" t="str">
        <f>IFERROR(__xludf.DUMMYFUNCTION("""COMPUTED_VALUE"""),"""")</f>
        <v>"</v>
      </c>
      <c r="B1426" s="9" t="s">
        <v>1435</v>
      </c>
      <c r="C1426" s="9" t="str">
        <f>IFERROR(__xludf.DUMMYFUNCTION("""COMPUTED_VALUE"""),""":""")</f>
        <v>":"</v>
      </c>
      <c r="D1426" s="24">
        <v>6.2005979458241782E18</v>
      </c>
      <c r="E1426" s="9" t="str">
        <f>IFERROR(__xludf.DUMMYFUNCTION("""COMPUTED_VALUE"""),""",")</f>
        <v>",</v>
      </c>
    </row>
    <row r="1427">
      <c r="A1427" s="9" t="str">
        <f>IFERROR(__xludf.DUMMYFUNCTION("""COMPUTED_VALUE"""),"""")</f>
        <v>"</v>
      </c>
      <c r="B1427" s="9" t="s">
        <v>1436</v>
      </c>
      <c r="C1427" s="9" t="str">
        <f>IFERROR(__xludf.DUMMYFUNCTION("""COMPUTED_VALUE"""),""":""")</f>
        <v>":"</v>
      </c>
      <c r="D1427" s="24">
        <v>1.3990188794352488E19</v>
      </c>
      <c r="E1427" s="9" t="str">
        <f>IFERROR(__xludf.DUMMYFUNCTION("""COMPUTED_VALUE"""),""",")</f>
        <v>",</v>
      </c>
    </row>
    <row r="1428">
      <c r="A1428" s="9" t="str">
        <f>IFERROR(__xludf.DUMMYFUNCTION("""COMPUTED_VALUE"""),"""")</f>
        <v>"</v>
      </c>
      <c r="B1428" s="9" t="s">
        <v>1437</v>
      </c>
      <c r="C1428" s="9" t="str">
        <f>IFERROR(__xludf.DUMMYFUNCTION("""COMPUTED_VALUE"""),""":""")</f>
        <v>":"</v>
      </c>
      <c r="D1428" s="24">
        <v>2.795421824945891E19</v>
      </c>
      <c r="E1428" s="9" t="str">
        <f>IFERROR(__xludf.DUMMYFUNCTION("""COMPUTED_VALUE"""),""",")</f>
        <v>",</v>
      </c>
    </row>
    <row r="1429">
      <c r="A1429" s="9" t="str">
        <f>IFERROR(__xludf.DUMMYFUNCTION("""COMPUTED_VALUE"""),"""")</f>
        <v>"</v>
      </c>
      <c r="B1429" s="9" t="s">
        <v>1438</v>
      </c>
      <c r="C1429" s="9" t="str">
        <f>IFERROR(__xludf.DUMMYFUNCTION("""COMPUTED_VALUE"""),""":""")</f>
        <v>":"</v>
      </c>
      <c r="D1429" s="24">
        <v>5.4530641504197335E18</v>
      </c>
      <c r="E1429" s="9" t="str">
        <f>IFERROR(__xludf.DUMMYFUNCTION("""COMPUTED_VALUE"""),""",")</f>
        <v>",</v>
      </c>
    </row>
    <row r="1430">
      <c r="A1430" s="9" t="str">
        <f>IFERROR(__xludf.DUMMYFUNCTION("""COMPUTED_VALUE"""),"""")</f>
        <v>"</v>
      </c>
      <c r="B1430" s="9" t="s">
        <v>1439</v>
      </c>
      <c r="C1430" s="9" t="str">
        <f>IFERROR(__xludf.DUMMYFUNCTION("""COMPUTED_VALUE"""),""":""")</f>
        <v>":"</v>
      </c>
      <c r="D1430" s="24">
        <v>4.4228749787059553E18</v>
      </c>
      <c r="E1430" s="9" t="str">
        <f>IFERROR(__xludf.DUMMYFUNCTION("""COMPUTED_VALUE"""),""",")</f>
        <v>",</v>
      </c>
    </row>
    <row r="1431">
      <c r="A1431" s="9" t="str">
        <f>IFERROR(__xludf.DUMMYFUNCTION("""COMPUTED_VALUE"""),"""")</f>
        <v>"</v>
      </c>
      <c r="B1431" s="9" t="s">
        <v>1440</v>
      </c>
      <c r="C1431" s="9" t="str">
        <f>IFERROR(__xludf.DUMMYFUNCTION("""COMPUTED_VALUE"""),""":""")</f>
        <v>":"</v>
      </c>
      <c r="D1431" s="24">
        <v>9.0044801754394675E18</v>
      </c>
      <c r="E1431" s="9" t="str">
        <f>IFERROR(__xludf.DUMMYFUNCTION("""COMPUTED_VALUE"""),""",")</f>
        <v>",</v>
      </c>
    </row>
    <row r="1432">
      <c r="A1432" s="9" t="str">
        <f>IFERROR(__xludf.DUMMYFUNCTION("""COMPUTED_VALUE"""),"""")</f>
        <v>"</v>
      </c>
      <c r="B1432" s="9" t="s">
        <v>1441</v>
      </c>
      <c r="C1432" s="9" t="str">
        <f>IFERROR(__xludf.DUMMYFUNCTION("""COMPUTED_VALUE"""),""":""")</f>
        <v>":"</v>
      </c>
      <c r="D1432" s="24">
        <v>5.261870337108329E19</v>
      </c>
      <c r="E1432" s="9" t="str">
        <f>IFERROR(__xludf.DUMMYFUNCTION("""COMPUTED_VALUE"""),""",")</f>
        <v>",</v>
      </c>
    </row>
    <row r="1433">
      <c r="A1433" s="9" t="str">
        <f>IFERROR(__xludf.DUMMYFUNCTION("""COMPUTED_VALUE"""),"""")</f>
        <v>"</v>
      </c>
      <c r="B1433" s="9" t="s">
        <v>1442</v>
      </c>
      <c r="C1433" s="9" t="str">
        <f>IFERROR(__xludf.DUMMYFUNCTION("""COMPUTED_VALUE"""),""":""")</f>
        <v>":"</v>
      </c>
      <c r="D1433" s="24">
        <v>2.0248888511809958E19</v>
      </c>
      <c r="E1433" s="9" t="str">
        <f>IFERROR(__xludf.DUMMYFUNCTION("""COMPUTED_VALUE"""),""",")</f>
        <v>",</v>
      </c>
    </row>
    <row r="1434">
      <c r="A1434" s="9" t="str">
        <f>IFERROR(__xludf.DUMMYFUNCTION("""COMPUTED_VALUE"""),"""")</f>
        <v>"</v>
      </c>
      <c r="B1434" s="9" t="s">
        <v>1443</v>
      </c>
      <c r="C1434" s="9" t="str">
        <f>IFERROR(__xludf.DUMMYFUNCTION("""COMPUTED_VALUE"""),""":""")</f>
        <v>":"</v>
      </c>
      <c r="D1434" s="24">
        <v>1.3505709040136776E19</v>
      </c>
      <c r="E1434" s="9" t="str">
        <f>IFERROR(__xludf.DUMMYFUNCTION("""COMPUTED_VALUE"""),""",")</f>
        <v>",</v>
      </c>
    </row>
    <row r="1435">
      <c r="A1435" s="9" t="str">
        <f>IFERROR(__xludf.DUMMYFUNCTION("""COMPUTED_VALUE"""),"""")</f>
        <v>"</v>
      </c>
      <c r="B1435" s="9" t="s">
        <v>1444</v>
      </c>
      <c r="C1435" s="9" t="str">
        <f>IFERROR(__xludf.DUMMYFUNCTION("""COMPUTED_VALUE"""),""":""")</f>
        <v>":"</v>
      </c>
      <c r="D1435" s="24">
        <v>2.8896845568655024E19</v>
      </c>
      <c r="E1435" s="9" t="str">
        <f>IFERROR(__xludf.DUMMYFUNCTION("""COMPUTED_VALUE"""),""",")</f>
        <v>",</v>
      </c>
    </row>
    <row r="1436">
      <c r="A1436" s="9" t="str">
        <f>IFERROR(__xludf.DUMMYFUNCTION("""COMPUTED_VALUE"""),"""")</f>
        <v>"</v>
      </c>
      <c r="B1436" s="9" t="s">
        <v>1445</v>
      </c>
      <c r="C1436" s="9" t="str">
        <f>IFERROR(__xludf.DUMMYFUNCTION("""COMPUTED_VALUE"""),""":""")</f>
        <v>":"</v>
      </c>
      <c r="D1436" s="24">
        <v>6.2005979458241782E18</v>
      </c>
      <c r="E1436" s="9" t="str">
        <f>IFERROR(__xludf.DUMMYFUNCTION("""COMPUTED_VALUE"""),""",")</f>
        <v>",</v>
      </c>
    </row>
    <row r="1437">
      <c r="A1437" s="9" t="str">
        <f>IFERROR(__xludf.DUMMYFUNCTION("""COMPUTED_VALUE"""),"""")</f>
        <v>"</v>
      </c>
      <c r="B1437" s="9" t="s">
        <v>1446</v>
      </c>
      <c r="C1437" s="9" t="str">
        <f>IFERROR(__xludf.DUMMYFUNCTION("""COMPUTED_VALUE"""),""":""")</f>
        <v>":"</v>
      </c>
      <c r="D1437" s="24">
        <v>6.2005979458241782E18</v>
      </c>
      <c r="E1437" s="9" t="str">
        <f>IFERROR(__xludf.DUMMYFUNCTION("""COMPUTED_VALUE"""),""",")</f>
        <v>",</v>
      </c>
    </row>
    <row r="1438">
      <c r="A1438" s="9" t="str">
        <f>IFERROR(__xludf.DUMMYFUNCTION("""COMPUTED_VALUE"""),"""")</f>
        <v>"</v>
      </c>
      <c r="B1438" s="9" t="s">
        <v>1447</v>
      </c>
      <c r="C1438" s="9" t="str">
        <f>IFERROR(__xludf.DUMMYFUNCTION("""COMPUTED_VALUE"""),""":""")</f>
        <v>":"</v>
      </c>
      <c r="D1438" s="24">
        <v>2.0248888511809958E19</v>
      </c>
      <c r="E1438" s="9" t="str">
        <f>IFERROR(__xludf.DUMMYFUNCTION("""COMPUTED_VALUE"""),""",")</f>
        <v>",</v>
      </c>
    </row>
    <row r="1439">
      <c r="A1439" s="9" t="str">
        <f>IFERROR(__xludf.DUMMYFUNCTION("""COMPUTED_VALUE"""),"""")</f>
        <v>"</v>
      </c>
      <c r="B1439" s="9" t="s">
        <v>1448</v>
      </c>
      <c r="C1439" s="9" t="str">
        <f>IFERROR(__xludf.DUMMYFUNCTION("""COMPUTED_VALUE"""),""":""")</f>
        <v>":"</v>
      </c>
      <c r="D1439" s="24">
        <v>6.2005979458241782E18</v>
      </c>
      <c r="E1439" s="9" t="str">
        <f>IFERROR(__xludf.DUMMYFUNCTION("""COMPUTED_VALUE"""),""",")</f>
        <v>",</v>
      </c>
    </row>
    <row r="1440">
      <c r="A1440" s="9" t="str">
        <f>IFERROR(__xludf.DUMMYFUNCTION("""COMPUTED_VALUE"""),"""")</f>
        <v>"</v>
      </c>
      <c r="B1440" s="9" t="s">
        <v>1449</v>
      </c>
      <c r="C1440" s="9" t="str">
        <f>IFERROR(__xludf.DUMMYFUNCTION("""COMPUTED_VALUE"""),""":""")</f>
        <v>":"</v>
      </c>
      <c r="D1440" s="24">
        <v>6.2005979458241782E18</v>
      </c>
      <c r="E1440" s="9" t="str">
        <f>IFERROR(__xludf.DUMMYFUNCTION("""COMPUTED_VALUE"""),""",")</f>
        <v>",</v>
      </c>
    </row>
    <row r="1441">
      <c r="A1441" s="9" t="str">
        <f>IFERROR(__xludf.DUMMYFUNCTION("""COMPUTED_VALUE"""),"""")</f>
        <v>"</v>
      </c>
      <c r="B1441" s="9" t="s">
        <v>1450</v>
      </c>
      <c r="C1441" s="9" t="str">
        <f>IFERROR(__xludf.DUMMYFUNCTION("""COMPUTED_VALUE"""),""":""")</f>
        <v>":"</v>
      </c>
      <c r="D1441" s="24">
        <v>6.2005979458241782E18</v>
      </c>
      <c r="E1441" s="9" t="str">
        <f>IFERROR(__xludf.DUMMYFUNCTION("""COMPUTED_VALUE"""),""",")</f>
        <v>",</v>
      </c>
    </row>
    <row r="1442">
      <c r="A1442" s="9" t="str">
        <f>IFERROR(__xludf.DUMMYFUNCTION("""COMPUTED_VALUE"""),"""")</f>
        <v>"</v>
      </c>
      <c r="B1442" s="9" t="s">
        <v>1451</v>
      </c>
      <c r="C1442" s="9" t="str">
        <f>IFERROR(__xludf.DUMMYFUNCTION("""COMPUTED_VALUE"""),""":""")</f>
        <v>":"</v>
      </c>
      <c r="D1442" s="24">
        <v>6.2005979458241782E18</v>
      </c>
      <c r="E1442" s="9" t="str">
        <f>IFERROR(__xludf.DUMMYFUNCTION("""COMPUTED_VALUE"""),""",")</f>
        <v>",</v>
      </c>
    </row>
    <row r="1443">
      <c r="A1443" s="9" t="str">
        <f>IFERROR(__xludf.DUMMYFUNCTION("""COMPUTED_VALUE"""),"""")</f>
        <v>"</v>
      </c>
      <c r="B1443" s="9" t="s">
        <v>1452</v>
      </c>
      <c r="C1443" s="9" t="str">
        <f>IFERROR(__xludf.DUMMYFUNCTION("""COMPUTED_VALUE"""),""":""")</f>
        <v>":"</v>
      </c>
      <c r="D1443" s="24">
        <v>6.1291017767250452E18</v>
      </c>
      <c r="E1443" s="9" t="str">
        <f>IFERROR(__xludf.DUMMYFUNCTION("""COMPUTED_VALUE"""),""",")</f>
        <v>",</v>
      </c>
    </row>
    <row r="1444">
      <c r="A1444" s="9" t="str">
        <f>IFERROR(__xludf.DUMMYFUNCTION("""COMPUTED_VALUE"""),"""")</f>
        <v>"</v>
      </c>
      <c r="B1444" s="9" t="s">
        <v>1453</v>
      </c>
      <c r="C1444" s="9" t="str">
        <f>IFERROR(__xludf.DUMMYFUNCTION("""COMPUTED_VALUE"""),""":""")</f>
        <v>":"</v>
      </c>
      <c r="D1444" s="24">
        <v>2.0248888511809958E19</v>
      </c>
      <c r="E1444" s="9" t="str">
        <f>IFERROR(__xludf.DUMMYFUNCTION("""COMPUTED_VALUE"""),""",")</f>
        <v>",</v>
      </c>
    </row>
    <row r="1445">
      <c r="A1445" s="9" t="str">
        <f>IFERROR(__xludf.DUMMYFUNCTION("""COMPUTED_VALUE"""),"""")</f>
        <v>"</v>
      </c>
      <c r="B1445" s="9" t="s">
        <v>1454</v>
      </c>
      <c r="C1445" s="9" t="str">
        <f>IFERROR(__xludf.DUMMYFUNCTION("""COMPUTED_VALUE"""),""":""")</f>
        <v>":"</v>
      </c>
      <c r="D1445" s="24">
        <v>6.2005979458241782E18</v>
      </c>
      <c r="E1445" s="9" t="str">
        <f>IFERROR(__xludf.DUMMYFUNCTION("""COMPUTED_VALUE"""),""",")</f>
        <v>",</v>
      </c>
    </row>
    <row r="1446">
      <c r="A1446" s="9" t="str">
        <f>IFERROR(__xludf.DUMMYFUNCTION("""COMPUTED_VALUE"""),"""")</f>
        <v>"</v>
      </c>
      <c r="B1446" s="9" t="s">
        <v>1455</v>
      </c>
      <c r="C1446" s="9" t="str">
        <f>IFERROR(__xludf.DUMMYFUNCTION("""COMPUTED_VALUE"""),""":""")</f>
        <v>":"</v>
      </c>
      <c r="D1446" s="24">
        <v>6.2005979458241782E18</v>
      </c>
      <c r="E1446" s="9" t="str">
        <f>IFERROR(__xludf.DUMMYFUNCTION("""COMPUTED_VALUE"""),""",")</f>
        <v>",</v>
      </c>
    </row>
    <row r="1447">
      <c r="A1447" s="9" t="str">
        <f>IFERROR(__xludf.DUMMYFUNCTION("""COMPUTED_VALUE"""),"""")</f>
        <v>"</v>
      </c>
      <c r="B1447" s="9" t="s">
        <v>1456</v>
      </c>
      <c r="C1447" s="9" t="str">
        <f>IFERROR(__xludf.DUMMYFUNCTION("""COMPUTED_VALUE"""),""":""")</f>
        <v>":"</v>
      </c>
      <c r="D1447" s="24">
        <v>5.4512624683044004E18</v>
      </c>
      <c r="E1447" s="9" t="str">
        <f>IFERROR(__xludf.DUMMYFUNCTION("""COMPUTED_VALUE"""),""",")</f>
        <v>",</v>
      </c>
    </row>
    <row r="1448">
      <c r="A1448" s="9" t="str">
        <f>IFERROR(__xludf.DUMMYFUNCTION("""COMPUTED_VALUE"""),"""")</f>
        <v>"</v>
      </c>
      <c r="B1448" s="9" t="s">
        <v>1457</v>
      </c>
      <c r="C1448" s="9" t="str">
        <f>IFERROR(__xludf.DUMMYFUNCTION("""COMPUTED_VALUE"""),""":""")</f>
        <v>":"</v>
      </c>
      <c r="D1448" s="24">
        <v>6.2005979458241782E18</v>
      </c>
      <c r="E1448" s="9" t="str">
        <f>IFERROR(__xludf.DUMMYFUNCTION("""COMPUTED_VALUE"""),""",")</f>
        <v>",</v>
      </c>
    </row>
    <row r="1449">
      <c r="A1449" s="9" t="str">
        <f>IFERROR(__xludf.DUMMYFUNCTION("""COMPUTED_VALUE"""),"""")</f>
        <v>"</v>
      </c>
      <c r="B1449" s="9" t="s">
        <v>1458</v>
      </c>
      <c r="C1449" s="9" t="str">
        <f>IFERROR(__xludf.DUMMYFUNCTION("""COMPUTED_VALUE"""),""":""")</f>
        <v>":"</v>
      </c>
      <c r="D1449" s="24">
        <v>2.0248888511809958E19</v>
      </c>
      <c r="E1449" s="9" t="str">
        <f>IFERROR(__xludf.DUMMYFUNCTION("""COMPUTED_VALUE"""),""",")</f>
        <v>",</v>
      </c>
    </row>
    <row r="1450">
      <c r="A1450" s="9" t="str">
        <f>IFERROR(__xludf.DUMMYFUNCTION("""COMPUTED_VALUE"""),"""")</f>
        <v>"</v>
      </c>
      <c r="B1450" s="9" t="s">
        <v>1459</v>
      </c>
      <c r="C1450" s="9" t="str">
        <f>IFERROR(__xludf.DUMMYFUNCTION("""COMPUTED_VALUE"""),""":""")</f>
        <v>":"</v>
      </c>
      <c r="D1450" s="24">
        <v>2.0248888511809958E19</v>
      </c>
      <c r="E1450" s="9" t="str">
        <f>IFERROR(__xludf.DUMMYFUNCTION("""COMPUTED_VALUE"""),""",")</f>
        <v>",</v>
      </c>
    </row>
    <row r="1451">
      <c r="A1451" s="9" t="str">
        <f>IFERROR(__xludf.DUMMYFUNCTION("""COMPUTED_VALUE"""),"""")</f>
        <v>"</v>
      </c>
      <c r="B1451" s="9" t="s">
        <v>1460</v>
      </c>
      <c r="C1451" s="9" t="str">
        <f>IFERROR(__xludf.DUMMYFUNCTION("""COMPUTED_VALUE"""),""":""")</f>
        <v>":"</v>
      </c>
      <c r="D1451" s="24">
        <v>9.0664492212852675E18</v>
      </c>
      <c r="E1451" s="9" t="str">
        <f>IFERROR(__xludf.DUMMYFUNCTION("""COMPUTED_VALUE"""),""",")</f>
        <v>",</v>
      </c>
    </row>
    <row r="1452">
      <c r="A1452" s="9" t="str">
        <f>IFERROR(__xludf.DUMMYFUNCTION("""COMPUTED_VALUE"""),"""")</f>
        <v>"</v>
      </c>
      <c r="B1452" s="9" t="s">
        <v>1461</v>
      </c>
      <c r="C1452" s="9" t="str">
        <f>IFERROR(__xludf.DUMMYFUNCTION("""COMPUTED_VALUE"""),""":""")</f>
        <v>":"</v>
      </c>
      <c r="D1452" s="24">
        <v>7.396134979187461E19</v>
      </c>
      <c r="E1452" s="9" t="str">
        <f>IFERROR(__xludf.DUMMYFUNCTION("""COMPUTED_VALUE"""),""",")</f>
        <v>",</v>
      </c>
    </row>
    <row r="1453">
      <c r="A1453" s="9" t="str">
        <f>IFERROR(__xludf.DUMMYFUNCTION("""COMPUTED_VALUE"""),"""")</f>
        <v>"</v>
      </c>
      <c r="B1453" s="9" t="s">
        <v>1462</v>
      </c>
      <c r="C1453" s="9" t="str">
        <f>IFERROR(__xludf.DUMMYFUNCTION("""COMPUTED_VALUE"""),""":""")</f>
        <v>":"</v>
      </c>
      <c r="D1453" s="24">
        <v>8.6767319260294451E18</v>
      </c>
      <c r="E1453" s="9" t="str">
        <f>IFERROR(__xludf.DUMMYFUNCTION("""COMPUTED_VALUE"""),""",")</f>
        <v>",</v>
      </c>
    </row>
    <row r="1454">
      <c r="A1454" s="9" t="str">
        <f>IFERROR(__xludf.DUMMYFUNCTION("""COMPUTED_VALUE"""),"""")</f>
        <v>"</v>
      </c>
      <c r="B1454" s="9" t="s">
        <v>1463</v>
      </c>
      <c r="C1454" s="9" t="str">
        <f>IFERROR(__xludf.DUMMYFUNCTION("""COMPUTED_VALUE"""),""":""")</f>
        <v>":"</v>
      </c>
      <c r="D1454" s="24">
        <v>4.4996246543163556E18</v>
      </c>
      <c r="E1454" s="9" t="str">
        <f>IFERROR(__xludf.DUMMYFUNCTION("""COMPUTED_VALUE"""),""",")</f>
        <v>",</v>
      </c>
    </row>
    <row r="1455">
      <c r="A1455" s="9" t="str">
        <f>IFERROR(__xludf.DUMMYFUNCTION("""COMPUTED_VALUE"""),"""")</f>
        <v>"</v>
      </c>
      <c r="B1455" s="9" t="s">
        <v>1464</v>
      </c>
      <c r="C1455" s="9" t="str">
        <f>IFERROR(__xludf.DUMMYFUNCTION("""COMPUTED_VALUE"""),""":""")</f>
        <v>":"</v>
      </c>
      <c r="D1455" s="24">
        <v>6.1067533298534892E18</v>
      </c>
      <c r="E1455" s="9" t="str">
        <f>IFERROR(__xludf.DUMMYFUNCTION("""COMPUTED_VALUE"""),""",")</f>
        <v>",</v>
      </c>
    </row>
    <row r="1456">
      <c r="A1456" s="9" t="str">
        <f>IFERROR(__xludf.DUMMYFUNCTION("""COMPUTED_VALUE"""),"""")</f>
        <v>"</v>
      </c>
      <c r="B1456" s="9" t="s">
        <v>1465</v>
      </c>
      <c r="C1456" s="9" t="str">
        <f>IFERROR(__xludf.DUMMYFUNCTION("""COMPUTED_VALUE"""),""":""")</f>
        <v>":"</v>
      </c>
      <c r="D1456" s="24">
        <v>6.2005979458241782E18</v>
      </c>
      <c r="E1456" s="9" t="str">
        <f>IFERROR(__xludf.DUMMYFUNCTION("""COMPUTED_VALUE"""),""",")</f>
        <v>",</v>
      </c>
    </row>
    <row r="1457">
      <c r="A1457" s="9" t="str">
        <f>IFERROR(__xludf.DUMMYFUNCTION("""COMPUTED_VALUE"""),"""")</f>
        <v>"</v>
      </c>
      <c r="B1457" s="9" t="s">
        <v>1466</v>
      </c>
      <c r="C1457" s="9" t="str">
        <f>IFERROR(__xludf.DUMMYFUNCTION("""COMPUTED_VALUE"""),""":""")</f>
        <v>":"</v>
      </c>
      <c r="D1457" s="24">
        <v>1.4635259448479443E19</v>
      </c>
      <c r="E1457" s="9" t="str">
        <f>IFERROR(__xludf.DUMMYFUNCTION("""COMPUTED_VALUE"""),""",")</f>
        <v>",</v>
      </c>
    </row>
    <row r="1458">
      <c r="A1458" s="9" t="str">
        <f>IFERROR(__xludf.DUMMYFUNCTION("""COMPUTED_VALUE"""),"""")</f>
        <v>"</v>
      </c>
      <c r="B1458" s="9" t="s">
        <v>1467</v>
      </c>
      <c r="C1458" s="9" t="str">
        <f>IFERROR(__xludf.DUMMYFUNCTION("""COMPUTED_VALUE"""),""":""")</f>
        <v>":"</v>
      </c>
      <c r="D1458" s="24">
        <v>6.2005979458241782E18</v>
      </c>
      <c r="E1458" s="9" t="str">
        <f>IFERROR(__xludf.DUMMYFUNCTION("""COMPUTED_VALUE"""),""",")</f>
        <v>",</v>
      </c>
    </row>
    <row r="1459">
      <c r="A1459" s="9" t="str">
        <f>IFERROR(__xludf.DUMMYFUNCTION("""COMPUTED_VALUE"""),"""")</f>
        <v>"</v>
      </c>
      <c r="B1459" s="9" t="s">
        <v>1468</v>
      </c>
      <c r="C1459" s="9" t="str">
        <f>IFERROR(__xludf.DUMMYFUNCTION("""COMPUTED_VALUE"""),""":""")</f>
        <v>":"</v>
      </c>
      <c r="D1459" s="24">
        <v>2.0248888511809958E19</v>
      </c>
      <c r="E1459" s="9" t="str">
        <f>IFERROR(__xludf.DUMMYFUNCTION("""COMPUTED_VALUE"""),""",")</f>
        <v>",</v>
      </c>
    </row>
    <row r="1460">
      <c r="A1460" s="9" t="str">
        <f>IFERROR(__xludf.DUMMYFUNCTION("""COMPUTED_VALUE"""),"""")</f>
        <v>"</v>
      </c>
      <c r="B1460" s="9" t="s">
        <v>1469</v>
      </c>
      <c r="C1460" s="9" t="str">
        <f>IFERROR(__xludf.DUMMYFUNCTION("""COMPUTED_VALUE"""),""":""")</f>
        <v>":"</v>
      </c>
      <c r="D1460" s="24">
        <v>6.2005979458241782E18</v>
      </c>
      <c r="E1460" s="9" t="str">
        <f>IFERROR(__xludf.DUMMYFUNCTION("""COMPUTED_VALUE"""),""",")</f>
        <v>",</v>
      </c>
    </row>
    <row r="1461">
      <c r="A1461" s="9" t="str">
        <f>IFERROR(__xludf.DUMMYFUNCTION("""COMPUTED_VALUE"""),"""")</f>
        <v>"</v>
      </c>
      <c r="B1461" s="9" t="s">
        <v>1470</v>
      </c>
      <c r="C1461" s="9" t="str">
        <f>IFERROR(__xludf.DUMMYFUNCTION("""COMPUTED_VALUE"""),""":""")</f>
        <v>":"</v>
      </c>
      <c r="D1461" s="24">
        <v>2.0248888511809958E19</v>
      </c>
      <c r="E1461" s="9" t="str">
        <f>IFERROR(__xludf.DUMMYFUNCTION("""COMPUTED_VALUE"""),""",")</f>
        <v>",</v>
      </c>
    </row>
    <row r="1462">
      <c r="A1462" s="9" t="str">
        <f>IFERROR(__xludf.DUMMYFUNCTION("""COMPUTED_VALUE"""),"""")</f>
        <v>"</v>
      </c>
      <c r="B1462" s="9" t="s">
        <v>1471</v>
      </c>
      <c r="C1462" s="9" t="str">
        <f>IFERROR(__xludf.DUMMYFUNCTION("""COMPUTED_VALUE"""),""":""")</f>
        <v>":"</v>
      </c>
      <c r="D1462" s="24">
        <v>1.2806296913949752E20</v>
      </c>
      <c r="E1462" s="9" t="str">
        <f>IFERROR(__xludf.DUMMYFUNCTION("""COMPUTED_VALUE"""),""",")</f>
        <v>",</v>
      </c>
    </row>
    <row r="1463">
      <c r="A1463" s="9" t="str">
        <f>IFERROR(__xludf.DUMMYFUNCTION("""COMPUTED_VALUE"""),"""")</f>
        <v>"</v>
      </c>
      <c r="B1463" s="9" t="s">
        <v>1472</v>
      </c>
      <c r="C1463" s="9" t="str">
        <f>IFERROR(__xludf.DUMMYFUNCTION("""COMPUTED_VALUE"""),""":""")</f>
        <v>":"</v>
      </c>
      <c r="D1463" s="24">
        <v>6.2005979458241782E18</v>
      </c>
      <c r="E1463" s="9" t="str">
        <f>IFERROR(__xludf.DUMMYFUNCTION("""COMPUTED_VALUE"""),""",")</f>
        <v>",</v>
      </c>
    </row>
    <row r="1464">
      <c r="A1464" s="9" t="str">
        <f>IFERROR(__xludf.DUMMYFUNCTION("""COMPUTED_VALUE"""),"""")</f>
        <v>"</v>
      </c>
      <c r="B1464" s="9" t="s">
        <v>1473</v>
      </c>
      <c r="C1464" s="9" t="str">
        <f>IFERROR(__xludf.DUMMYFUNCTION("""COMPUTED_VALUE"""),""":""")</f>
        <v>":"</v>
      </c>
      <c r="D1464" s="24">
        <v>6.1810843483188224E18</v>
      </c>
      <c r="E1464" s="9" t="str">
        <f>IFERROR(__xludf.DUMMYFUNCTION("""COMPUTED_VALUE"""),""",")</f>
        <v>",</v>
      </c>
    </row>
    <row r="1465">
      <c r="A1465" s="9" t="str">
        <f>IFERROR(__xludf.DUMMYFUNCTION("""COMPUTED_VALUE"""),"""")</f>
        <v>"</v>
      </c>
      <c r="B1465" s="9" t="s">
        <v>1474</v>
      </c>
      <c r="C1465" s="9" t="str">
        <f>IFERROR(__xludf.DUMMYFUNCTION("""COMPUTED_VALUE"""),""":""")</f>
        <v>":"</v>
      </c>
      <c r="D1465" s="24">
        <v>1.1983040605918132E19</v>
      </c>
      <c r="E1465" s="9" t="str">
        <f>IFERROR(__xludf.DUMMYFUNCTION("""COMPUTED_VALUE"""),""",")</f>
        <v>",</v>
      </c>
    </row>
    <row r="1466">
      <c r="A1466" s="9" t="str">
        <f>IFERROR(__xludf.DUMMYFUNCTION("""COMPUTED_VALUE"""),"""")</f>
        <v>"</v>
      </c>
      <c r="B1466" s="9" t="s">
        <v>1475</v>
      </c>
      <c r="C1466" s="9" t="str">
        <f>IFERROR(__xludf.DUMMYFUNCTION("""COMPUTED_VALUE"""),""":""")</f>
        <v>":"</v>
      </c>
      <c r="D1466" s="24">
        <v>6.2005979458241782E18</v>
      </c>
      <c r="E1466" s="9" t="str">
        <f>IFERROR(__xludf.DUMMYFUNCTION("""COMPUTED_VALUE"""),""",")</f>
        <v>",</v>
      </c>
    </row>
    <row r="1467">
      <c r="A1467" s="9" t="str">
        <f>IFERROR(__xludf.DUMMYFUNCTION("""COMPUTED_VALUE"""),"""")</f>
        <v>"</v>
      </c>
      <c r="B1467" s="9" t="s">
        <v>1476</v>
      </c>
      <c r="C1467" s="9" t="str">
        <f>IFERROR(__xludf.DUMMYFUNCTION("""COMPUTED_VALUE"""),""":""")</f>
        <v>":"</v>
      </c>
      <c r="D1467" s="24">
        <v>6.2005979458241782E18</v>
      </c>
      <c r="E1467" s="9" t="str">
        <f>IFERROR(__xludf.DUMMYFUNCTION("""COMPUTED_VALUE"""),""",")</f>
        <v>",</v>
      </c>
    </row>
    <row r="1468">
      <c r="A1468" s="9" t="str">
        <f>IFERROR(__xludf.DUMMYFUNCTION("""COMPUTED_VALUE"""),"""")</f>
        <v>"</v>
      </c>
      <c r="B1468" s="9" t="s">
        <v>1477</v>
      </c>
      <c r="C1468" s="9" t="str">
        <f>IFERROR(__xludf.DUMMYFUNCTION("""COMPUTED_VALUE"""),""":""")</f>
        <v>":"</v>
      </c>
      <c r="D1468" s="24">
        <v>8.3625872100354499E18</v>
      </c>
      <c r="E1468" s="9" t="str">
        <f>IFERROR(__xludf.DUMMYFUNCTION("""COMPUTED_VALUE"""),""",")</f>
        <v>",</v>
      </c>
    </row>
    <row r="1469">
      <c r="A1469" s="9" t="str">
        <f>IFERROR(__xludf.DUMMYFUNCTION("""COMPUTED_VALUE"""),"""")</f>
        <v>"</v>
      </c>
      <c r="B1469" s="9" t="s">
        <v>1478</v>
      </c>
      <c r="C1469" s="9" t="str">
        <f>IFERROR(__xludf.DUMMYFUNCTION("""COMPUTED_VALUE"""),""":""")</f>
        <v>":"</v>
      </c>
      <c r="D1469" s="24">
        <v>3.8604190114267336E18</v>
      </c>
      <c r="E1469" s="9" t="str">
        <f>IFERROR(__xludf.DUMMYFUNCTION("""COMPUTED_VALUE"""),""",")</f>
        <v>",</v>
      </c>
    </row>
    <row r="1470">
      <c r="A1470" s="9" t="str">
        <f>IFERROR(__xludf.DUMMYFUNCTION("""COMPUTED_VALUE"""),"""")</f>
        <v>"</v>
      </c>
      <c r="B1470" s="9" t="s">
        <v>1479</v>
      </c>
      <c r="C1470" s="9" t="str">
        <f>IFERROR(__xludf.DUMMYFUNCTION("""COMPUTED_VALUE"""),""":""")</f>
        <v>":"</v>
      </c>
      <c r="D1470" s="24">
        <v>2.0248888511809958E19</v>
      </c>
      <c r="E1470" s="9" t="str">
        <f>IFERROR(__xludf.DUMMYFUNCTION("""COMPUTED_VALUE"""),""",")</f>
        <v>",</v>
      </c>
    </row>
    <row r="1471">
      <c r="A1471" s="9" t="str">
        <f>IFERROR(__xludf.DUMMYFUNCTION("""COMPUTED_VALUE"""),"""")</f>
        <v>"</v>
      </c>
      <c r="B1471" s="9" t="s">
        <v>1480</v>
      </c>
      <c r="C1471" s="9" t="str">
        <f>IFERROR(__xludf.DUMMYFUNCTION("""COMPUTED_VALUE"""),""":""")</f>
        <v>":"</v>
      </c>
      <c r="D1471" s="24">
        <v>2.0248888511809958E19</v>
      </c>
      <c r="E1471" s="9" t="str">
        <f>IFERROR(__xludf.DUMMYFUNCTION("""COMPUTED_VALUE"""),""",")</f>
        <v>",</v>
      </c>
    </row>
    <row r="1472">
      <c r="A1472" s="9" t="str">
        <f>IFERROR(__xludf.DUMMYFUNCTION("""COMPUTED_VALUE"""),"""")</f>
        <v>"</v>
      </c>
      <c r="B1472" s="9" t="s">
        <v>1481</v>
      </c>
      <c r="C1472" s="9" t="str">
        <f>IFERROR(__xludf.DUMMYFUNCTION("""COMPUTED_VALUE"""),""":""")</f>
        <v>":"</v>
      </c>
      <c r="D1472" s="24">
        <v>1.4715613060488495E19</v>
      </c>
      <c r="E1472" s="9" t="str">
        <f>IFERROR(__xludf.DUMMYFUNCTION("""COMPUTED_VALUE"""),""",")</f>
        <v>",</v>
      </c>
    </row>
    <row r="1473">
      <c r="A1473" s="9" t="str">
        <f>IFERROR(__xludf.DUMMYFUNCTION("""COMPUTED_VALUE"""),"""")</f>
        <v>"</v>
      </c>
      <c r="B1473" s="9" t="s">
        <v>1482</v>
      </c>
      <c r="C1473" s="9" t="str">
        <f>IFERROR(__xludf.DUMMYFUNCTION("""COMPUTED_VALUE"""),""":""")</f>
        <v>":"</v>
      </c>
      <c r="D1473" s="24">
        <v>2.285192358592031E19</v>
      </c>
      <c r="E1473" s="9" t="str">
        <f>IFERROR(__xludf.DUMMYFUNCTION("""COMPUTED_VALUE"""),""",")</f>
        <v>",</v>
      </c>
    </row>
    <row r="1474">
      <c r="A1474" s="9" t="str">
        <f>IFERROR(__xludf.DUMMYFUNCTION("""COMPUTED_VALUE"""),"""")</f>
        <v>"</v>
      </c>
      <c r="B1474" s="9" t="s">
        <v>1483</v>
      </c>
      <c r="C1474" s="9" t="str">
        <f>IFERROR(__xludf.DUMMYFUNCTION("""COMPUTED_VALUE"""),""":""")</f>
        <v>":"</v>
      </c>
      <c r="D1474" s="24">
        <v>6.2005979458241782E18</v>
      </c>
      <c r="E1474" s="9" t="str">
        <f>IFERROR(__xludf.DUMMYFUNCTION("""COMPUTED_VALUE"""),""",")</f>
        <v>",</v>
      </c>
    </row>
    <row r="1475">
      <c r="A1475" s="9" t="str">
        <f>IFERROR(__xludf.DUMMYFUNCTION("""COMPUTED_VALUE"""),"""")</f>
        <v>"</v>
      </c>
      <c r="B1475" s="9" t="s">
        <v>1484</v>
      </c>
      <c r="C1475" s="9" t="str">
        <f>IFERROR(__xludf.DUMMYFUNCTION("""COMPUTED_VALUE"""),""":""")</f>
        <v>":"</v>
      </c>
      <c r="D1475" s="24">
        <v>5.4167854149190226E18</v>
      </c>
      <c r="E1475" s="9" t="str">
        <f>IFERROR(__xludf.DUMMYFUNCTION("""COMPUTED_VALUE"""),""",")</f>
        <v>",</v>
      </c>
    </row>
    <row r="1476">
      <c r="A1476" s="9" t="str">
        <f>IFERROR(__xludf.DUMMYFUNCTION("""COMPUTED_VALUE"""),"""")</f>
        <v>"</v>
      </c>
      <c r="B1476" s="9" t="s">
        <v>1485</v>
      </c>
      <c r="C1476" s="9" t="str">
        <f>IFERROR(__xludf.DUMMYFUNCTION("""COMPUTED_VALUE"""),""":""")</f>
        <v>":"</v>
      </c>
      <c r="D1476" s="24">
        <v>2.0200481994289422E19</v>
      </c>
      <c r="E1476" s="9" t="str">
        <f>IFERROR(__xludf.DUMMYFUNCTION("""COMPUTED_VALUE"""),""",")</f>
        <v>",</v>
      </c>
    </row>
    <row r="1477">
      <c r="A1477" s="9" t="str">
        <f>IFERROR(__xludf.DUMMYFUNCTION("""COMPUTED_VALUE"""),"""")</f>
        <v>"</v>
      </c>
      <c r="B1477" s="9" t="s">
        <v>1486</v>
      </c>
      <c r="C1477" s="9" t="str">
        <f>IFERROR(__xludf.DUMMYFUNCTION("""COMPUTED_VALUE"""),""":""")</f>
        <v>":"</v>
      </c>
      <c r="D1477" s="24">
        <v>5.9018142591949117E18</v>
      </c>
      <c r="E1477" s="9" t="str">
        <f>IFERROR(__xludf.DUMMYFUNCTION("""COMPUTED_VALUE"""),""",")</f>
        <v>",</v>
      </c>
    </row>
    <row r="1478">
      <c r="A1478" s="9" t="str">
        <f>IFERROR(__xludf.DUMMYFUNCTION("""COMPUTED_VALUE"""),"""")</f>
        <v>"</v>
      </c>
      <c r="B1478" s="9" t="s">
        <v>1487</v>
      </c>
      <c r="C1478" s="9" t="str">
        <f>IFERROR(__xludf.DUMMYFUNCTION("""COMPUTED_VALUE"""),""":""")</f>
        <v>":"</v>
      </c>
      <c r="D1478" s="24">
        <v>6.2005979458241782E18</v>
      </c>
      <c r="E1478" s="9" t="str">
        <f>IFERROR(__xludf.DUMMYFUNCTION("""COMPUTED_VALUE"""),""",")</f>
        <v>",</v>
      </c>
    </row>
    <row r="1479">
      <c r="A1479" s="9" t="str">
        <f>IFERROR(__xludf.DUMMYFUNCTION("""COMPUTED_VALUE"""),"""")</f>
        <v>"</v>
      </c>
      <c r="B1479" s="9" t="s">
        <v>1488</v>
      </c>
      <c r="C1479" s="9" t="str">
        <f>IFERROR(__xludf.DUMMYFUNCTION("""COMPUTED_VALUE"""),""":""")</f>
        <v>":"</v>
      </c>
      <c r="D1479" s="24">
        <v>5.6022730353800673E18</v>
      </c>
      <c r="E1479" s="9" t="str">
        <f>IFERROR(__xludf.DUMMYFUNCTION("""COMPUTED_VALUE"""),""",")</f>
        <v>",</v>
      </c>
    </row>
    <row r="1480">
      <c r="A1480" s="9" t="str">
        <f>IFERROR(__xludf.DUMMYFUNCTION("""COMPUTED_VALUE"""),"""")</f>
        <v>"</v>
      </c>
      <c r="B1480" s="9" t="s">
        <v>1489</v>
      </c>
      <c r="C1480" s="9" t="str">
        <f>IFERROR(__xludf.DUMMYFUNCTION("""COMPUTED_VALUE"""),""":""")</f>
        <v>":"</v>
      </c>
      <c r="D1480" s="24">
        <v>2.463697237059611E20</v>
      </c>
      <c r="E1480" s="9" t="str">
        <f>IFERROR(__xludf.DUMMYFUNCTION("""COMPUTED_VALUE"""),""",")</f>
        <v>",</v>
      </c>
    </row>
    <row r="1481">
      <c r="A1481" s="9" t="str">
        <f>IFERROR(__xludf.DUMMYFUNCTION("""COMPUTED_VALUE"""),"""")</f>
        <v>"</v>
      </c>
      <c r="B1481" s="9" t="s">
        <v>1490</v>
      </c>
      <c r="C1481" s="9" t="str">
        <f>IFERROR(__xludf.DUMMYFUNCTION("""COMPUTED_VALUE"""),""":""")</f>
        <v>":"</v>
      </c>
      <c r="D1481" s="24">
        <v>2.4588101436891402E19</v>
      </c>
      <c r="E1481" s="9" t="str">
        <f>IFERROR(__xludf.DUMMYFUNCTION("""COMPUTED_VALUE"""),""",")</f>
        <v>",</v>
      </c>
    </row>
    <row r="1482">
      <c r="A1482" s="9" t="str">
        <f>IFERROR(__xludf.DUMMYFUNCTION("""COMPUTED_VALUE"""),"""")</f>
        <v>"</v>
      </c>
      <c r="B1482" s="9" t="s">
        <v>1491</v>
      </c>
      <c r="C1482" s="9" t="str">
        <f>IFERROR(__xludf.DUMMYFUNCTION("""COMPUTED_VALUE"""),""":""")</f>
        <v>":"</v>
      </c>
      <c r="D1482" s="24">
        <v>6.2005979458241782E18</v>
      </c>
      <c r="E1482" s="9" t="str">
        <f>IFERROR(__xludf.DUMMYFUNCTION("""COMPUTED_VALUE"""),""",")</f>
        <v>",</v>
      </c>
    </row>
    <row r="1483">
      <c r="A1483" s="9" t="str">
        <f>IFERROR(__xludf.DUMMYFUNCTION("""COMPUTED_VALUE"""),"""")</f>
        <v>"</v>
      </c>
      <c r="B1483" s="9" t="s">
        <v>1492</v>
      </c>
      <c r="C1483" s="9" t="str">
        <f>IFERROR(__xludf.DUMMYFUNCTION("""COMPUTED_VALUE"""),""":""")</f>
        <v>":"</v>
      </c>
      <c r="D1483" s="24">
        <v>6.2005979458241782E18</v>
      </c>
      <c r="E1483" s="9" t="str">
        <f>IFERROR(__xludf.DUMMYFUNCTION("""COMPUTED_VALUE"""),""",")</f>
        <v>",</v>
      </c>
    </row>
    <row r="1484">
      <c r="A1484" s="9" t="str">
        <f>IFERROR(__xludf.DUMMYFUNCTION("""COMPUTED_VALUE"""),"""")</f>
        <v>"</v>
      </c>
      <c r="B1484" s="9" t="s">
        <v>1493</v>
      </c>
      <c r="C1484" s="9" t="str">
        <f>IFERROR(__xludf.DUMMYFUNCTION("""COMPUTED_VALUE"""),""":""")</f>
        <v>":"</v>
      </c>
      <c r="D1484" s="24">
        <v>1.5407312239172577E19</v>
      </c>
      <c r="E1484" s="9" t="str">
        <f>IFERROR(__xludf.DUMMYFUNCTION("""COMPUTED_VALUE"""),""",")</f>
        <v>",</v>
      </c>
    </row>
    <row r="1485">
      <c r="A1485" s="9" t="str">
        <f>IFERROR(__xludf.DUMMYFUNCTION("""COMPUTED_VALUE"""),"""")</f>
        <v>"</v>
      </c>
      <c r="B1485" s="9" t="s">
        <v>1494</v>
      </c>
      <c r="C1485" s="9" t="str">
        <f>IFERROR(__xludf.DUMMYFUNCTION("""COMPUTED_VALUE"""),""":""")</f>
        <v>":"</v>
      </c>
      <c r="D1485" s="24">
        <v>2.0248888511809958E19</v>
      </c>
      <c r="E1485" s="9" t="str">
        <f>IFERROR(__xludf.DUMMYFUNCTION("""COMPUTED_VALUE"""),""",")</f>
        <v>",</v>
      </c>
    </row>
    <row r="1486">
      <c r="A1486" s="9" t="str">
        <f>IFERROR(__xludf.DUMMYFUNCTION("""COMPUTED_VALUE"""),"""")</f>
        <v>"</v>
      </c>
      <c r="B1486" s="9" t="s">
        <v>1495</v>
      </c>
      <c r="C1486" s="9" t="str">
        <f>IFERROR(__xludf.DUMMYFUNCTION("""COMPUTED_VALUE"""),""":""")</f>
        <v>":"</v>
      </c>
      <c r="D1486" s="24">
        <v>6.2005979458241782E18</v>
      </c>
      <c r="E1486" s="9" t="str">
        <f>IFERROR(__xludf.DUMMYFUNCTION("""COMPUTED_VALUE"""),""",")</f>
        <v>",</v>
      </c>
    </row>
    <row r="1487">
      <c r="A1487" s="9" t="str">
        <f>IFERROR(__xludf.DUMMYFUNCTION("""COMPUTED_VALUE"""),"""")</f>
        <v>"</v>
      </c>
      <c r="B1487" s="9" t="s">
        <v>1496</v>
      </c>
      <c r="C1487" s="9" t="str">
        <f>IFERROR(__xludf.DUMMYFUNCTION("""COMPUTED_VALUE"""),""":""")</f>
        <v>":"</v>
      </c>
      <c r="D1487" s="24">
        <v>6.2005979458241782E18</v>
      </c>
      <c r="E1487" s="9" t="str">
        <f>IFERROR(__xludf.DUMMYFUNCTION("""COMPUTED_VALUE"""),""",")</f>
        <v>",</v>
      </c>
    </row>
    <row r="1488">
      <c r="A1488" s="9" t="str">
        <f>IFERROR(__xludf.DUMMYFUNCTION("""COMPUTED_VALUE"""),"""")</f>
        <v>"</v>
      </c>
      <c r="B1488" s="9" t="s">
        <v>1497</v>
      </c>
      <c r="C1488" s="9" t="str">
        <f>IFERROR(__xludf.DUMMYFUNCTION("""COMPUTED_VALUE"""),""":""")</f>
        <v>":"</v>
      </c>
      <c r="D1488" s="24">
        <v>1.5785255580706885E20</v>
      </c>
      <c r="E1488" s="9" t="str">
        <f>IFERROR(__xludf.DUMMYFUNCTION("""COMPUTED_VALUE"""),""",")</f>
        <v>",</v>
      </c>
    </row>
    <row r="1489">
      <c r="A1489" s="9" t="str">
        <f>IFERROR(__xludf.DUMMYFUNCTION("""COMPUTED_VALUE"""),"""")</f>
        <v>"</v>
      </c>
      <c r="B1489" s="9" t="s">
        <v>1498</v>
      </c>
      <c r="C1489" s="9" t="str">
        <f>IFERROR(__xludf.DUMMYFUNCTION("""COMPUTED_VALUE"""),""":""")</f>
        <v>":"</v>
      </c>
      <c r="D1489" s="24">
        <v>1.10618617539188006E18</v>
      </c>
      <c r="E1489" s="9" t="str">
        <f>IFERROR(__xludf.DUMMYFUNCTION("""COMPUTED_VALUE"""),""",")</f>
        <v>",</v>
      </c>
    </row>
    <row r="1490">
      <c r="A1490" s="9" t="str">
        <f>IFERROR(__xludf.DUMMYFUNCTION("""COMPUTED_VALUE"""),"""")</f>
        <v>"</v>
      </c>
      <c r="B1490" s="9" t="s">
        <v>1499</v>
      </c>
      <c r="C1490" s="9" t="str">
        <f>IFERROR(__xludf.DUMMYFUNCTION("""COMPUTED_VALUE"""),""":""")</f>
        <v>":"</v>
      </c>
      <c r="D1490" s="24">
        <v>8.6672886212467794E18</v>
      </c>
      <c r="E1490" s="9" t="str">
        <f>IFERROR(__xludf.DUMMYFUNCTION("""COMPUTED_VALUE"""),""",")</f>
        <v>",</v>
      </c>
    </row>
    <row r="1491">
      <c r="A1491" s="9" t="str">
        <f>IFERROR(__xludf.DUMMYFUNCTION("""COMPUTED_VALUE"""),"""")</f>
        <v>"</v>
      </c>
      <c r="B1491" s="9" t="s">
        <v>1500</v>
      </c>
      <c r="C1491" s="9" t="str">
        <f>IFERROR(__xludf.DUMMYFUNCTION("""COMPUTED_VALUE"""),""":""")</f>
        <v>":"</v>
      </c>
      <c r="D1491" s="24">
        <v>5.5378700160632914E18</v>
      </c>
      <c r="E1491" s="9" t="str">
        <f>IFERROR(__xludf.DUMMYFUNCTION("""COMPUTED_VALUE"""),""",")</f>
        <v>",</v>
      </c>
    </row>
    <row r="1492">
      <c r="A1492" s="9" t="str">
        <f>IFERROR(__xludf.DUMMYFUNCTION("""COMPUTED_VALUE"""),"""")</f>
        <v>"</v>
      </c>
      <c r="B1492" s="9" t="s">
        <v>1501</v>
      </c>
      <c r="C1492" s="9" t="str">
        <f>IFERROR(__xludf.DUMMYFUNCTION("""COMPUTED_VALUE"""),""":""")</f>
        <v>":"</v>
      </c>
      <c r="D1492" s="24">
        <v>6.2005979458241782E18</v>
      </c>
      <c r="E1492" s="9" t="str">
        <f>IFERROR(__xludf.DUMMYFUNCTION("""COMPUTED_VALUE"""),""",")</f>
        <v>",</v>
      </c>
    </row>
    <row r="1493">
      <c r="A1493" s="9" t="str">
        <f>IFERROR(__xludf.DUMMYFUNCTION("""COMPUTED_VALUE"""),"""")</f>
        <v>"</v>
      </c>
      <c r="B1493" s="9" t="s">
        <v>1502</v>
      </c>
      <c r="C1493" s="9" t="str">
        <f>IFERROR(__xludf.DUMMYFUNCTION("""COMPUTED_VALUE"""),""":""")</f>
        <v>":"</v>
      </c>
      <c r="D1493" s="24">
        <v>6.2005979458241782E18</v>
      </c>
      <c r="E1493" s="9" t="str">
        <f>IFERROR(__xludf.DUMMYFUNCTION("""COMPUTED_VALUE"""),""",")</f>
        <v>",</v>
      </c>
    </row>
    <row r="1494">
      <c r="A1494" s="9" t="str">
        <f>IFERROR(__xludf.DUMMYFUNCTION("""COMPUTED_VALUE"""),"""")</f>
        <v>"</v>
      </c>
      <c r="B1494" s="9" t="s">
        <v>1503</v>
      </c>
      <c r="C1494" s="9" t="str">
        <f>IFERROR(__xludf.DUMMYFUNCTION("""COMPUTED_VALUE"""),""":""")</f>
        <v>":"</v>
      </c>
      <c r="D1494" s="24">
        <v>1.4629572285415645E19</v>
      </c>
      <c r="E1494" s="9" t="str">
        <f>IFERROR(__xludf.DUMMYFUNCTION("""COMPUTED_VALUE"""),""",")</f>
        <v>",</v>
      </c>
    </row>
    <row r="1495">
      <c r="A1495" s="9" t="str">
        <f>IFERROR(__xludf.DUMMYFUNCTION("""COMPUTED_VALUE"""),"""")</f>
        <v>"</v>
      </c>
      <c r="B1495" s="9" t="s">
        <v>1504</v>
      </c>
      <c r="C1495" s="9" t="str">
        <f>IFERROR(__xludf.DUMMYFUNCTION("""COMPUTED_VALUE"""),""":""")</f>
        <v>":"</v>
      </c>
      <c r="D1495" s="24">
        <v>5.9308794933776886E18</v>
      </c>
      <c r="E1495" s="9" t="str">
        <f>IFERROR(__xludf.DUMMYFUNCTION("""COMPUTED_VALUE"""),""",")</f>
        <v>",</v>
      </c>
    </row>
    <row r="1496">
      <c r="A1496" s="9" t="str">
        <f>IFERROR(__xludf.DUMMYFUNCTION("""COMPUTED_VALUE"""),"""")</f>
        <v>"</v>
      </c>
      <c r="B1496" s="9" t="s">
        <v>1505</v>
      </c>
      <c r="C1496" s="9" t="str">
        <f>IFERROR(__xludf.DUMMYFUNCTION("""COMPUTED_VALUE"""),""":""")</f>
        <v>":"</v>
      </c>
      <c r="D1496" s="24">
        <v>3.708963224313029E19</v>
      </c>
      <c r="E1496" s="9" t="str">
        <f>IFERROR(__xludf.DUMMYFUNCTION("""COMPUTED_VALUE"""),""",")</f>
        <v>",</v>
      </c>
    </row>
    <row r="1497">
      <c r="A1497" s="9" t="str">
        <f>IFERROR(__xludf.DUMMYFUNCTION("""COMPUTED_VALUE"""),"""")</f>
        <v>"</v>
      </c>
      <c r="B1497" s="9" t="s">
        <v>1506</v>
      </c>
      <c r="C1497" s="9" t="str">
        <f>IFERROR(__xludf.DUMMYFUNCTION("""COMPUTED_VALUE"""),""":""")</f>
        <v>":"</v>
      </c>
      <c r="D1497" s="24">
        <v>2.0248888511809958E19</v>
      </c>
      <c r="E1497" s="9" t="str">
        <f>IFERROR(__xludf.DUMMYFUNCTION("""COMPUTED_VALUE"""),""",")</f>
        <v>",</v>
      </c>
    </row>
    <row r="1498">
      <c r="A1498" s="9" t="str">
        <f>IFERROR(__xludf.DUMMYFUNCTION("""COMPUTED_VALUE"""),"""")</f>
        <v>"</v>
      </c>
      <c r="B1498" s="9" t="s">
        <v>1507</v>
      </c>
      <c r="C1498" s="9" t="str">
        <f>IFERROR(__xludf.DUMMYFUNCTION("""COMPUTED_VALUE"""),""":""")</f>
        <v>":"</v>
      </c>
      <c r="D1498" s="24">
        <v>1.4263417091766755E19</v>
      </c>
      <c r="E1498" s="9" t="str">
        <f>IFERROR(__xludf.DUMMYFUNCTION("""COMPUTED_VALUE"""),""",")</f>
        <v>",</v>
      </c>
    </row>
    <row r="1499">
      <c r="A1499" s="9" t="str">
        <f>IFERROR(__xludf.DUMMYFUNCTION("""COMPUTED_VALUE"""),"""")</f>
        <v>"</v>
      </c>
      <c r="B1499" s="9" t="s">
        <v>1508</v>
      </c>
      <c r="C1499" s="9" t="str">
        <f>IFERROR(__xludf.DUMMYFUNCTION("""COMPUTED_VALUE"""),""":""")</f>
        <v>":"</v>
      </c>
      <c r="D1499" s="24">
        <v>3.0729573044974645E19</v>
      </c>
      <c r="E1499" s="9" t="str">
        <f>IFERROR(__xludf.DUMMYFUNCTION("""COMPUTED_VALUE"""),""",")</f>
        <v>",</v>
      </c>
    </row>
    <row r="1500">
      <c r="A1500" s="9" t="str">
        <f>IFERROR(__xludf.DUMMYFUNCTION("""COMPUTED_VALUE"""),"""")</f>
        <v>"</v>
      </c>
      <c r="B1500" s="9" t="s">
        <v>1509</v>
      </c>
      <c r="C1500" s="9" t="str">
        <f>IFERROR(__xludf.DUMMYFUNCTION("""COMPUTED_VALUE"""),""":""")</f>
        <v>":"</v>
      </c>
      <c r="D1500" s="24">
        <v>5.6693457922055997E18</v>
      </c>
      <c r="E1500" s="9" t="str">
        <f>IFERROR(__xludf.DUMMYFUNCTION("""COMPUTED_VALUE"""),""",")</f>
        <v>",</v>
      </c>
    </row>
    <row r="1501">
      <c r="A1501" s="9" t="str">
        <f>IFERROR(__xludf.DUMMYFUNCTION("""COMPUTED_VALUE"""),"""")</f>
        <v>"</v>
      </c>
      <c r="B1501" s="9" t="s">
        <v>1510</v>
      </c>
      <c r="C1501" s="9" t="str">
        <f>IFERROR(__xludf.DUMMYFUNCTION("""COMPUTED_VALUE"""),""":""")</f>
        <v>":"</v>
      </c>
      <c r="D1501" s="24">
        <v>6.3052122506020014E18</v>
      </c>
      <c r="E1501" s="9" t="str">
        <f>IFERROR(__xludf.DUMMYFUNCTION("""COMPUTED_VALUE"""),""",")</f>
        <v>",</v>
      </c>
    </row>
    <row r="1502">
      <c r="A1502" s="9" t="str">
        <f>IFERROR(__xludf.DUMMYFUNCTION("""COMPUTED_VALUE"""),"""")</f>
        <v>"</v>
      </c>
      <c r="B1502" s="9" t="s">
        <v>1511</v>
      </c>
      <c r="C1502" s="9" t="str">
        <f>IFERROR(__xludf.DUMMYFUNCTION("""COMPUTED_VALUE"""),""":""")</f>
        <v>":"</v>
      </c>
      <c r="D1502" s="24">
        <v>2.0248888511809958E19</v>
      </c>
      <c r="E1502" s="9" t="str">
        <f>IFERROR(__xludf.DUMMYFUNCTION("""COMPUTED_VALUE"""),""",")</f>
        <v>",</v>
      </c>
    </row>
    <row r="1503">
      <c r="A1503" s="9" t="str">
        <f>IFERROR(__xludf.DUMMYFUNCTION("""COMPUTED_VALUE"""),"""")</f>
        <v>"</v>
      </c>
      <c r="B1503" s="9" t="s">
        <v>1512</v>
      </c>
      <c r="C1503" s="9" t="str">
        <f>IFERROR(__xludf.DUMMYFUNCTION("""COMPUTED_VALUE"""),""":""")</f>
        <v>":"</v>
      </c>
      <c r="D1503" s="24">
        <v>6.2005979458241782E18</v>
      </c>
      <c r="E1503" s="9" t="str">
        <f>IFERROR(__xludf.DUMMYFUNCTION("""COMPUTED_VALUE"""),""",")</f>
        <v>",</v>
      </c>
    </row>
    <row r="1504">
      <c r="A1504" s="9" t="str">
        <f>IFERROR(__xludf.DUMMYFUNCTION("""COMPUTED_VALUE"""),"""")</f>
        <v>"</v>
      </c>
      <c r="B1504" s="9" t="s">
        <v>1513</v>
      </c>
      <c r="C1504" s="9" t="str">
        <f>IFERROR(__xludf.DUMMYFUNCTION("""COMPUTED_VALUE"""),""":""")</f>
        <v>":"</v>
      </c>
      <c r="D1504" s="24">
        <v>9.853701675147778E18</v>
      </c>
      <c r="E1504" s="9" t="str">
        <f>IFERROR(__xludf.DUMMYFUNCTION("""COMPUTED_VALUE"""),""",")</f>
        <v>",</v>
      </c>
    </row>
    <row r="1505">
      <c r="A1505" s="9" t="str">
        <f>IFERROR(__xludf.DUMMYFUNCTION("""COMPUTED_VALUE"""),"""")</f>
        <v>"</v>
      </c>
      <c r="B1505" s="9" t="s">
        <v>1514</v>
      </c>
      <c r="C1505" s="9" t="str">
        <f>IFERROR(__xludf.DUMMYFUNCTION("""COMPUTED_VALUE"""),""":""")</f>
        <v>":"</v>
      </c>
      <c r="D1505" s="24">
        <v>6.2005979458241782E18</v>
      </c>
      <c r="E1505" s="9" t="str">
        <f>IFERROR(__xludf.DUMMYFUNCTION("""COMPUTED_VALUE"""),""",")</f>
        <v>",</v>
      </c>
    </row>
    <row r="1506">
      <c r="A1506" s="9" t="str">
        <f>IFERROR(__xludf.DUMMYFUNCTION("""COMPUTED_VALUE"""),"""")</f>
        <v>"</v>
      </c>
      <c r="B1506" s="9" t="s">
        <v>1515</v>
      </c>
      <c r="C1506" s="9" t="str">
        <f>IFERROR(__xludf.DUMMYFUNCTION("""COMPUTED_VALUE"""),""":""")</f>
        <v>":"</v>
      </c>
      <c r="D1506" s="24">
        <v>1.4016146106202376E20</v>
      </c>
      <c r="E1506" s="9" t="str">
        <f>IFERROR(__xludf.DUMMYFUNCTION("""COMPUTED_VALUE"""),""",")</f>
        <v>",</v>
      </c>
    </row>
    <row r="1507">
      <c r="A1507" s="9" t="str">
        <f>IFERROR(__xludf.DUMMYFUNCTION("""COMPUTED_VALUE"""),"""")</f>
        <v>"</v>
      </c>
      <c r="B1507" s="9" t="s">
        <v>1516</v>
      </c>
      <c r="C1507" s="9" t="str">
        <f>IFERROR(__xludf.DUMMYFUNCTION("""COMPUTED_VALUE"""),""":""")</f>
        <v>":"</v>
      </c>
      <c r="D1507" s="24">
        <v>6.2005979458241782E18</v>
      </c>
      <c r="E1507" s="9" t="str">
        <f>IFERROR(__xludf.DUMMYFUNCTION("""COMPUTED_VALUE"""),""",")</f>
        <v>",</v>
      </c>
    </row>
    <row r="1508">
      <c r="A1508" s="9" t="str">
        <f>IFERROR(__xludf.DUMMYFUNCTION("""COMPUTED_VALUE"""),"""")</f>
        <v>"</v>
      </c>
      <c r="B1508" s="9" t="s">
        <v>1517</v>
      </c>
      <c r="C1508" s="9" t="str">
        <f>IFERROR(__xludf.DUMMYFUNCTION("""COMPUTED_VALUE"""),""":""")</f>
        <v>":"</v>
      </c>
      <c r="D1508" s="24">
        <v>3.8344234713757555E17</v>
      </c>
      <c r="E1508" s="9" t="str">
        <f>IFERROR(__xludf.DUMMYFUNCTION("""COMPUTED_VALUE"""),""",")</f>
        <v>",</v>
      </c>
    </row>
    <row r="1509">
      <c r="A1509" s="9" t="str">
        <f>IFERROR(__xludf.DUMMYFUNCTION("""COMPUTED_VALUE"""),"""")</f>
        <v>"</v>
      </c>
      <c r="B1509" s="9" t="s">
        <v>1518</v>
      </c>
      <c r="C1509" s="9" t="str">
        <f>IFERROR(__xludf.DUMMYFUNCTION("""COMPUTED_VALUE"""),""":""")</f>
        <v>":"</v>
      </c>
      <c r="D1509" s="24">
        <v>2.0248888511809958E19</v>
      </c>
      <c r="E1509" s="9" t="str">
        <f>IFERROR(__xludf.DUMMYFUNCTION("""COMPUTED_VALUE"""),""",")</f>
        <v>",</v>
      </c>
    </row>
    <row r="1510">
      <c r="A1510" s="9" t="str">
        <f>IFERROR(__xludf.DUMMYFUNCTION("""COMPUTED_VALUE"""),"""")</f>
        <v>"</v>
      </c>
      <c r="B1510" s="9" t="s">
        <v>1519</v>
      </c>
      <c r="C1510" s="9" t="str">
        <f>IFERROR(__xludf.DUMMYFUNCTION("""COMPUTED_VALUE"""),""":""")</f>
        <v>":"</v>
      </c>
      <c r="D1510" s="24">
        <v>1.4348606474095935E19</v>
      </c>
      <c r="E1510" s="9" t="str">
        <f>IFERROR(__xludf.DUMMYFUNCTION("""COMPUTED_VALUE"""),""",")</f>
        <v>",</v>
      </c>
    </row>
    <row r="1511">
      <c r="A1511" s="9" t="str">
        <f>IFERROR(__xludf.DUMMYFUNCTION("""COMPUTED_VALUE"""),"""")</f>
        <v>"</v>
      </c>
      <c r="B1511" s="9" t="s">
        <v>1520</v>
      </c>
      <c r="C1511" s="9" t="str">
        <f>IFERROR(__xludf.DUMMYFUNCTION("""COMPUTED_VALUE"""),""":""")</f>
        <v>":"</v>
      </c>
      <c r="D1511" s="24">
        <v>4.1646845076228449E18</v>
      </c>
      <c r="E1511" s="9" t="str">
        <f>IFERROR(__xludf.DUMMYFUNCTION("""COMPUTED_VALUE"""),""",")</f>
        <v>",</v>
      </c>
    </row>
    <row r="1512">
      <c r="A1512" s="9" t="str">
        <f>IFERROR(__xludf.DUMMYFUNCTION("""COMPUTED_VALUE"""),"""")</f>
        <v>"</v>
      </c>
      <c r="B1512" s="9" t="s">
        <v>1521</v>
      </c>
      <c r="C1512" s="9" t="str">
        <f>IFERROR(__xludf.DUMMYFUNCTION("""COMPUTED_VALUE"""),""":""")</f>
        <v>":"</v>
      </c>
      <c r="D1512" s="24">
        <v>6.2005979458241782E18</v>
      </c>
      <c r="E1512" s="9" t="str">
        <f>IFERROR(__xludf.DUMMYFUNCTION("""COMPUTED_VALUE"""),""",")</f>
        <v>",</v>
      </c>
    </row>
    <row r="1513">
      <c r="A1513" s="9" t="str">
        <f>IFERROR(__xludf.DUMMYFUNCTION("""COMPUTED_VALUE"""),"""")</f>
        <v>"</v>
      </c>
      <c r="B1513" s="9" t="s">
        <v>1522</v>
      </c>
      <c r="C1513" s="9" t="str">
        <f>IFERROR(__xludf.DUMMYFUNCTION("""COMPUTED_VALUE"""),""":""")</f>
        <v>":"</v>
      </c>
      <c r="D1513" s="24">
        <v>6.2005979458241782E18</v>
      </c>
      <c r="E1513" s="9" t="str">
        <f>IFERROR(__xludf.DUMMYFUNCTION("""COMPUTED_VALUE"""),""",")</f>
        <v>",</v>
      </c>
    </row>
    <row r="1514">
      <c r="A1514" s="9" t="str">
        <f>IFERROR(__xludf.DUMMYFUNCTION("""COMPUTED_VALUE"""),"""")</f>
        <v>"</v>
      </c>
      <c r="B1514" s="9" t="s">
        <v>1523</v>
      </c>
      <c r="C1514" s="9" t="str">
        <f>IFERROR(__xludf.DUMMYFUNCTION("""COMPUTED_VALUE"""),""":""")</f>
        <v>":"</v>
      </c>
      <c r="D1514" s="24">
        <v>5.9058324026079109E18</v>
      </c>
      <c r="E1514" s="9" t="str">
        <f>IFERROR(__xludf.DUMMYFUNCTION("""COMPUTED_VALUE"""),""",")</f>
        <v>",</v>
      </c>
    </row>
    <row r="1515">
      <c r="A1515" s="9" t="str">
        <f>IFERROR(__xludf.DUMMYFUNCTION("""COMPUTED_VALUE"""),"""")</f>
        <v>"</v>
      </c>
      <c r="B1515" s="9" t="s">
        <v>1524</v>
      </c>
      <c r="C1515" s="9" t="str">
        <f>IFERROR(__xludf.DUMMYFUNCTION("""COMPUTED_VALUE"""),""":""")</f>
        <v>":"</v>
      </c>
      <c r="D1515" s="24">
        <v>6.2005979458241782E18</v>
      </c>
      <c r="E1515" s="9" t="str">
        <f>IFERROR(__xludf.DUMMYFUNCTION("""COMPUTED_VALUE"""),""",")</f>
        <v>",</v>
      </c>
    </row>
    <row r="1516">
      <c r="A1516" s="9" t="str">
        <f>IFERROR(__xludf.DUMMYFUNCTION("""COMPUTED_VALUE"""),"""")</f>
        <v>"</v>
      </c>
      <c r="B1516" s="9" t="s">
        <v>1525</v>
      </c>
      <c r="C1516" s="9" t="str">
        <f>IFERROR(__xludf.DUMMYFUNCTION("""COMPUTED_VALUE"""),""":""")</f>
        <v>":"</v>
      </c>
      <c r="D1516" s="24">
        <v>6.0491862537492439E18</v>
      </c>
      <c r="E1516" s="9" t="str">
        <f>IFERROR(__xludf.DUMMYFUNCTION("""COMPUTED_VALUE"""),""",")</f>
        <v>",</v>
      </c>
    </row>
    <row r="1517">
      <c r="A1517" s="9" t="str">
        <f>IFERROR(__xludf.DUMMYFUNCTION("""COMPUTED_VALUE"""),"""")</f>
        <v>"</v>
      </c>
      <c r="B1517" s="9" t="s">
        <v>1526</v>
      </c>
      <c r="C1517" s="9" t="str">
        <f>IFERROR(__xludf.DUMMYFUNCTION("""COMPUTED_VALUE"""),""":""")</f>
        <v>":"</v>
      </c>
      <c r="D1517" s="24">
        <v>2.1659023380155822E19</v>
      </c>
      <c r="E1517" s="9" t="str">
        <f>IFERROR(__xludf.DUMMYFUNCTION("""COMPUTED_VALUE"""),""",")</f>
        <v>",</v>
      </c>
    </row>
    <row r="1518">
      <c r="A1518" s="9" t="str">
        <f>IFERROR(__xludf.DUMMYFUNCTION("""COMPUTED_VALUE"""),"""")</f>
        <v>"</v>
      </c>
      <c r="B1518" s="9" t="s">
        <v>1527</v>
      </c>
      <c r="C1518" s="9" t="str">
        <f>IFERROR(__xludf.DUMMYFUNCTION("""COMPUTED_VALUE"""),""":""")</f>
        <v>":"</v>
      </c>
      <c r="D1518" s="24">
        <v>2.0248888511809958E19</v>
      </c>
      <c r="E1518" s="9" t="str">
        <f>IFERROR(__xludf.DUMMYFUNCTION("""COMPUTED_VALUE"""),""",")</f>
        <v>",</v>
      </c>
    </row>
    <row r="1519">
      <c r="A1519" s="9" t="str">
        <f>IFERROR(__xludf.DUMMYFUNCTION("""COMPUTED_VALUE"""),"""")</f>
        <v>"</v>
      </c>
      <c r="B1519" s="9" t="s">
        <v>1528</v>
      </c>
      <c r="C1519" s="9" t="str">
        <f>IFERROR(__xludf.DUMMYFUNCTION("""COMPUTED_VALUE"""),""":""")</f>
        <v>":"</v>
      </c>
      <c r="D1519" s="24">
        <v>5.4185756742925343E18</v>
      </c>
      <c r="E1519" s="9" t="str">
        <f>IFERROR(__xludf.DUMMYFUNCTION("""COMPUTED_VALUE"""),""",")</f>
        <v>",</v>
      </c>
    </row>
    <row r="1520">
      <c r="A1520" s="9" t="str">
        <f>IFERROR(__xludf.DUMMYFUNCTION("""COMPUTED_VALUE"""),"""")</f>
        <v>"</v>
      </c>
      <c r="B1520" s="9" t="s">
        <v>1529</v>
      </c>
      <c r="C1520" s="9" t="str">
        <f>IFERROR(__xludf.DUMMYFUNCTION("""COMPUTED_VALUE"""),""":""")</f>
        <v>":"</v>
      </c>
      <c r="D1520" s="24">
        <v>6.2005979458241782E18</v>
      </c>
      <c r="E1520" s="9" t="str">
        <f>IFERROR(__xludf.DUMMYFUNCTION("""COMPUTED_VALUE"""),""",")</f>
        <v>",</v>
      </c>
    </row>
    <row r="1521">
      <c r="A1521" s="9" t="str">
        <f>IFERROR(__xludf.DUMMYFUNCTION("""COMPUTED_VALUE"""),"""")</f>
        <v>"</v>
      </c>
      <c r="B1521" s="9" t="s">
        <v>1530</v>
      </c>
      <c r="C1521" s="9" t="str">
        <f>IFERROR(__xludf.DUMMYFUNCTION("""COMPUTED_VALUE"""),""":""")</f>
        <v>":"</v>
      </c>
      <c r="D1521" s="24">
        <v>6.2005979458241782E18</v>
      </c>
      <c r="E1521" s="9" t="str">
        <f>IFERROR(__xludf.DUMMYFUNCTION("""COMPUTED_VALUE"""),""",")</f>
        <v>",</v>
      </c>
    </row>
    <row r="1522">
      <c r="A1522" s="9" t="str">
        <f>IFERROR(__xludf.DUMMYFUNCTION("""COMPUTED_VALUE"""),"""")</f>
        <v>"</v>
      </c>
      <c r="B1522" s="9" t="s">
        <v>1531</v>
      </c>
      <c r="C1522" s="9" t="str">
        <f>IFERROR(__xludf.DUMMYFUNCTION("""COMPUTED_VALUE"""),""":""")</f>
        <v>":"</v>
      </c>
      <c r="D1522" s="24">
        <v>2.803204986297054E19</v>
      </c>
      <c r="E1522" s="9" t="str">
        <f>IFERROR(__xludf.DUMMYFUNCTION("""COMPUTED_VALUE"""),""",")</f>
        <v>",</v>
      </c>
    </row>
    <row r="1523">
      <c r="A1523" s="9" t="str">
        <f>IFERROR(__xludf.DUMMYFUNCTION("""COMPUTED_VALUE"""),"""")</f>
        <v>"</v>
      </c>
      <c r="B1523" s="9" t="s">
        <v>1532</v>
      </c>
      <c r="C1523" s="9" t="str">
        <f>IFERROR(__xludf.DUMMYFUNCTION("""COMPUTED_VALUE"""),""":""")</f>
        <v>":"</v>
      </c>
      <c r="D1523" s="24">
        <v>6.2005979458241782E18</v>
      </c>
      <c r="E1523" s="9" t="str">
        <f>IFERROR(__xludf.DUMMYFUNCTION("""COMPUTED_VALUE"""),""",")</f>
        <v>",</v>
      </c>
    </row>
    <row r="1524">
      <c r="A1524" s="9" t="str">
        <f>IFERROR(__xludf.DUMMYFUNCTION("""COMPUTED_VALUE"""),"""")</f>
        <v>"</v>
      </c>
      <c r="B1524" s="9" t="s">
        <v>1533</v>
      </c>
      <c r="C1524" s="9" t="str">
        <f>IFERROR(__xludf.DUMMYFUNCTION("""COMPUTED_VALUE"""),""":""")</f>
        <v>":"</v>
      </c>
      <c r="D1524" s="24">
        <v>2.00144809754454E19</v>
      </c>
      <c r="E1524" s="9" t="str">
        <f>IFERROR(__xludf.DUMMYFUNCTION("""COMPUTED_VALUE"""),""",")</f>
        <v>",</v>
      </c>
    </row>
    <row r="1525">
      <c r="A1525" s="9" t="str">
        <f>IFERROR(__xludf.DUMMYFUNCTION("""COMPUTED_VALUE"""),"""")</f>
        <v>"</v>
      </c>
      <c r="B1525" s="9" t="s">
        <v>1534</v>
      </c>
      <c r="C1525" s="9" t="str">
        <f>IFERROR(__xludf.DUMMYFUNCTION("""COMPUTED_VALUE"""),""":""")</f>
        <v>":"</v>
      </c>
      <c r="D1525" s="24">
        <v>6.2005979458241782E18</v>
      </c>
      <c r="E1525" s="9" t="str">
        <f>IFERROR(__xludf.DUMMYFUNCTION("""COMPUTED_VALUE"""),""",")</f>
        <v>",</v>
      </c>
    </row>
    <row r="1526">
      <c r="A1526" s="9" t="str">
        <f>IFERROR(__xludf.DUMMYFUNCTION("""COMPUTED_VALUE"""),"""")</f>
        <v>"</v>
      </c>
      <c r="B1526" s="9" t="s">
        <v>1535</v>
      </c>
      <c r="C1526" s="9" t="str">
        <f>IFERROR(__xludf.DUMMYFUNCTION("""COMPUTED_VALUE"""),""":""")</f>
        <v>":"</v>
      </c>
      <c r="D1526" s="24">
        <v>1.79699594438140032E18</v>
      </c>
      <c r="E1526" s="9" t="str">
        <f>IFERROR(__xludf.DUMMYFUNCTION("""COMPUTED_VALUE"""),""",")</f>
        <v>",</v>
      </c>
    </row>
    <row r="1527">
      <c r="A1527" s="9" t="str">
        <f>IFERROR(__xludf.DUMMYFUNCTION("""COMPUTED_VALUE"""),"""")</f>
        <v>"</v>
      </c>
      <c r="B1527" s="9" t="s">
        <v>1536</v>
      </c>
      <c r="C1527" s="9" t="str">
        <f>IFERROR(__xludf.DUMMYFUNCTION("""COMPUTED_VALUE"""),""":""")</f>
        <v>":"</v>
      </c>
      <c r="D1527" s="24">
        <v>9.0927606629834424E18</v>
      </c>
      <c r="E1527" s="9" t="str">
        <f>IFERROR(__xludf.DUMMYFUNCTION("""COMPUTED_VALUE"""),""",")</f>
        <v>",</v>
      </c>
    </row>
    <row r="1528">
      <c r="A1528" s="9" t="str">
        <f>IFERROR(__xludf.DUMMYFUNCTION("""COMPUTED_VALUE"""),"""")</f>
        <v>"</v>
      </c>
      <c r="B1528" s="9" t="s">
        <v>1537</v>
      </c>
      <c r="C1528" s="9" t="str">
        <f>IFERROR(__xludf.DUMMYFUNCTION("""COMPUTED_VALUE"""),""":""")</f>
        <v>":"</v>
      </c>
      <c r="D1528" s="24">
        <v>2.5122286077403378E19</v>
      </c>
      <c r="E1528" s="9" t="str">
        <f>IFERROR(__xludf.DUMMYFUNCTION("""COMPUTED_VALUE"""),""",")</f>
        <v>",</v>
      </c>
    </row>
    <row r="1529">
      <c r="A1529" s="9" t="str">
        <f>IFERROR(__xludf.DUMMYFUNCTION("""COMPUTED_VALUE"""),"""")</f>
        <v>"</v>
      </c>
      <c r="B1529" s="9" t="s">
        <v>1538</v>
      </c>
      <c r="C1529" s="9" t="str">
        <f>IFERROR(__xludf.DUMMYFUNCTION("""COMPUTED_VALUE"""),""":""")</f>
        <v>":"</v>
      </c>
      <c r="D1529" s="24">
        <v>2.3840887232948666E19</v>
      </c>
      <c r="E1529" s="9" t="str">
        <f>IFERROR(__xludf.DUMMYFUNCTION("""COMPUTED_VALUE"""),""",")</f>
        <v>",</v>
      </c>
    </row>
    <row r="1530">
      <c r="A1530" s="9" t="str">
        <f>IFERROR(__xludf.DUMMYFUNCTION("""COMPUTED_VALUE"""),"""")</f>
        <v>"</v>
      </c>
      <c r="B1530" s="9" t="s">
        <v>1539</v>
      </c>
      <c r="C1530" s="9" t="str">
        <f>IFERROR(__xludf.DUMMYFUNCTION("""COMPUTED_VALUE"""),""":""")</f>
        <v>":"</v>
      </c>
      <c r="D1530" s="24">
        <v>1.74392303986128E19</v>
      </c>
      <c r="E1530" s="9" t="str">
        <f>IFERROR(__xludf.DUMMYFUNCTION("""COMPUTED_VALUE"""),""",")</f>
        <v>",</v>
      </c>
    </row>
    <row r="1531">
      <c r="A1531" s="9" t="str">
        <f>IFERROR(__xludf.DUMMYFUNCTION("""COMPUTED_VALUE"""),"""")</f>
        <v>"</v>
      </c>
      <c r="B1531" s="9" t="s">
        <v>1540</v>
      </c>
      <c r="C1531" s="9" t="str">
        <f>IFERROR(__xludf.DUMMYFUNCTION("""COMPUTED_VALUE"""),""":""")</f>
        <v>":"</v>
      </c>
      <c r="D1531" s="24">
        <v>2.0248888511809958E19</v>
      </c>
      <c r="E1531" s="9" t="str">
        <f>IFERROR(__xludf.DUMMYFUNCTION("""COMPUTED_VALUE"""),""",")</f>
        <v>",</v>
      </c>
    </row>
    <row r="1532">
      <c r="A1532" s="9" t="str">
        <f>IFERROR(__xludf.DUMMYFUNCTION("""COMPUTED_VALUE"""),"""")</f>
        <v>"</v>
      </c>
      <c r="B1532" s="9" t="s">
        <v>1541</v>
      </c>
      <c r="C1532" s="9" t="str">
        <f>IFERROR(__xludf.DUMMYFUNCTION("""COMPUTED_VALUE"""),""":""")</f>
        <v>":"</v>
      </c>
      <c r="D1532" s="24">
        <v>1.6796283310152913E19</v>
      </c>
      <c r="E1532" s="9" t="str">
        <f>IFERROR(__xludf.DUMMYFUNCTION("""COMPUTED_VALUE"""),""",")</f>
        <v>",</v>
      </c>
    </row>
    <row r="1533">
      <c r="A1533" s="9" t="str">
        <f>IFERROR(__xludf.DUMMYFUNCTION("""COMPUTED_VALUE"""),"""")</f>
        <v>"</v>
      </c>
      <c r="B1533" s="9" t="s">
        <v>1542</v>
      </c>
      <c r="C1533" s="9" t="str">
        <f>IFERROR(__xludf.DUMMYFUNCTION("""COMPUTED_VALUE"""),""":""")</f>
        <v>":"</v>
      </c>
      <c r="D1533" s="24">
        <v>2.0248888511809958E19</v>
      </c>
      <c r="E1533" s="9" t="str">
        <f>IFERROR(__xludf.DUMMYFUNCTION("""COMPUTED_VALUE"""),""",")</f>
        <v>",</v>
      </c>
    </row>
    <row r="1534">
      <c r="A1534" s="9" t="str">
        <f>IFERROR(__xludf.DUMMYFUNCTION("""COMPUTED_VALUE"""),"""")</f>
        <v>"</v>
      </c>
      <c r="B1534" s="9" t="s">
        <v>1543</v>
      </c>
      <c r="C1534" s="9" t="str">
        <f>IFERROR(__xludf.DUMMYFUNCTION("""COMPUTED_VALUE"""),""":""")</f>
        <v>":"</v>
      </c>
      <c r="D1534" s="24">
        <v>4.0424309051324001E18</v>
      </c>
      <c r="E1534" s="9" t="str">
        <f>IFERROR(__xludf.DUMMYFUNCTION("""COMPUTED_VALUE"""),""",")</f>
        <v>",</v>
      </c>
    </row>
    <row r="1535">
      <c r="A1535" s="9" t="str">
        <f>IFERROR(__xludf.DUMMYFUNCTION("""COMPUTED_VALUE"""),"""")</f>
        <v>"</v>
      </c>
      <c r="B1535" s="9" t="s">
        <v>1544</v>
      </c>
      <c r="C1535" s="9" t="str">
        <f>IFERROR(__xludf.DUMMYFUNCTION("""COMPUTED_VALUE"""),""":""")</f>
        <v>":"</v>
      </c>
      <c r="D1535" s="24">
        <v>2.0248888511809958E19</v>
      </c>
      <c r="E1535" s="9" t="str">
        <f>IFERROR(__xludf.DUMMYFUNCTION("""COMPUTED_VALUE"""),""",")</f>
        <v>",</v>
      </c>
    </row>
    <row r="1536">
      <c r="A1536" s="9" t="str">
        <f>IFERROR(__xludf.DUMMYFUNCTION("""COMPUTED_VALUE"""),"""")</f>
        <v>"</v>
      </c>
      <c r="B1536" s="9" t="s">
        <v>1545</v>
      </c>
      <c r="C1536" s="9" t="str">
        <f>IFERROR(__xludf.DUMMYFUNCTION("""COMPUTED_VALUE"""),""":""")</f>
        <v>":"</v>
      </c>
      <c r="D1536" s="24">
        <v>6.2005979458241782E18</v>
      </c>
      <c r="E1536" s="9" t="str">
        <f>IFERROR(__xludf.DUMMYFUNCTION("""COMPUTED_VALUE"""),""",")</f>
        <v>",</v>
      </c>
    </row>
    <row r="1537">
      <c r="A1537" s="9" t="str">
        <f>IFERROR(__xludf.DUMMYFUNCTION("""COMPUTED_VALUE"""),"""")</f>
        <v>"</v>
      </c>
      <c r="B1537" s="9" t="s">
        <v>1546</v>
      </c>
      <c r="C1537" s="9" t="str">
        <f>IFERROR(__xludf.DUMMYFUNCTION("""COMPUTED_VALUE"""),""":""")</f>
        <v>":"</v>
      </c>
      <c r="D1537" s="24">
        <v>5.9107740479784008E18</v>
      </c>
      <c r="E1537" s="9" t="str">
        <f>IFERROR(__xludf.DUMMYFUNCTION("""COMPUTED_VALUE"""),""",")</f>
        <v>",</v>
      </c>
    </row>
    <row r="1538">
      <c r="A1538" s="9" t="str">
        <f>IFERROR(__xludf.DUMMYFUNCTION("""COMPUTED_VALUE"""),"""")</f>
        <v>"</v>
      </c>
      <c r="B1538" s="9" t="s">
        <v>1547</v>
      </c>
      <c r="C1538" s="9" t="str">
        <f>IFERROR(__xludf.DUMMYFUNCTION("""COMPUTED_VALUE"""),""":""")</f>
        <v>":"</v>
      </c>
      <c r="D1538" s="24">
        <v>2.0248888511809958E19</v>
      </c>
      <c r="E1538" s="9" t="str">
        <f>IFERROR(__xludf.DUMMYFUNCTION("""COMPUTED_VALUE"""),""",")</f>
        <v>",</v>
      </c>
    </row>
    <row r="1539">
      <c r="A1539" s="9" t="str">
        <f>IFERROR(__xludf.DUMMYFUNCTION("""COMPUTED_VALUE"""),"""")</f>
        <v>"</v>
      </c>
      <c r="B1539" s="9" t="s">
        <v>1548</v>
      </c>
      <c r="C1539" s="9" t="str">
        <f>IFERROR(__xludf.DUMMYFUNCTION("""COMPUTED_VALUE"""),""":""")</f>
        <v>":"</v>
      </c>
      <c r="D1539" s="24">
        <v>3.929763327864267E19</v>
      </c>
      <c r="E1539" s="9" t="str">
        <f>IFERROR(__xludf.DUMMYFUNCTION("""COMPUTED_VALUE"""),""",")</f>
        <v>",</v>
      </c>
    </row>
    <row r="1540">
      <c r="A1540" s="9" t="str">
        <f>IFERROR(__xludf.DUMMYFUNCTION("""COMPUTED_VALUE"""),"""")</f>
        <v>"</v>
      </c>
      <c r="B1540" s="9" t="s">
        <v>1549</v>
      </c>
      <c r="C1540" s="9" t="str">
        <f>IFERROR(__xludf.DUMMYFUNCTION("""COMPUTED_VALUE"""),""":""")</f>
        <v>":"</v>
      </c>
      <c r="D1540" s="24">
        <v>1.5883447708582265E19</v>
      </c>
      <c r="E1540" s="9" t="str">
        <f>IFERROR(__xludf.DUMMYFUNCTION("""COMPUTED_VALUE"""),""",")</f>
        <v>",</v>
      </c>
    </row>
    <row r="1541">
      <c r="A1541" s="9" t="str">
        <f>IFERROR(__xludf.DUMMYFUNCTION("""COMPUTED_VALUE"""),"""")</f>
        <v>"</v>
      </c>
      <c r="B1541" s="9" t="s">
        <v>1550</v>
      </c>
      <c r="C1541" s="9" t="str">
        <f>IFERROR(__xludf.DUMMYFUNCTION("""COMPUTED_VALUE"""),""":""")</f>
        <v>":"</v>
      </c>
      <c r="D1541" s="24">
        <v>6.2005979458241782E18</v>
      </c>
      <c r="E1541" s="9" t="str">
        <f>IFERROR(__xludf.DUMMYFUNCTION("""COMPUTED_VALUE"""),""",")</f>
        <v>",</v>
      </c>
    </row>
    <row r="1542">
      <c r="A1542" s="9" t="str">
        <f>IFERROR(__xludf.DUMMYFUNCTION("""COMPUTED_VALUE"""),"""")</f>
        <v>"</v>
      </c>
      <c r="B1542" s="9" t="s">
        <v>1551</v>
      </c>
      <c r="C1542" s="9" t="str">
        <f>IFERROR(__xludf.DUMMYFUNCTION("""COMPUTED_VALUE"""),""":""")</f>
        <v>":"</v>
      </c>
      <c r="D1542" s="24">
        <v>2.0248888511809958E19</v>
      </c>
      <c r="E1542" s="9" t="str">
        <f>IFERROR(__xludf.DUMMYFUNCTION("""COMPUTED_VALUE"""),""",")</f>
        <v>",</v>
      </c>
    </row>
    <row r="1543">
      <c r="A1543" s="9" t="str">
        <f>IFERROR(__xludf.DUMMYFUNCTION("""COMPUTED_VALUE"""),"""")</f>
        <v>"</v>
      </c>
      <c r="B1543" s="9" t="s">
        <v>1552</v>
      </c>
      <c r="C1543" s="9" t="str">
        <f>IFERROR(__xludf.DUMMYFUNCTION("""COMPUTED_VALUE"""),""":""")</f>
        <v>":"</v>
      </c>
      <c r="D1543" s="24">
        <v>3.556456740356138E19</v>
      </c>
      <c r="E1543" s="9" t="str">
        <f>IFERROR(__xludf.DUMMYFUNCTION("""COMPUTED_VALUE"""),""",")</f>
        <v>",</v>
      </c>
    </row>
    <row r="1544">
      <c r="A1544" s="9" t="str">
        <f>IFERROR(__xludf.DUMMYFUNCTION("""COMPUTED_VALUE"""),"""")</f>
        <v>"</v>
      </c>
      <c r="B1544" s="9" t="s">
        <v>1553</v>
      </c>
      <c r="C1544" s="9" t="str">
        <f>IFERROR(__xludf.DUMMYFUNCTION("""COMPUTED_VALUE"""),""":""")</f>
        <v>":"</v>
      </c>
      <c r="D1544" s="24">
        <v>2.2800223278016823E19</v>
      </c>
      <c r="E1544" s="9" t="str">
        <f>IFERROR(__xludf.DUMMYFUNCTION("""COMPUTED_VALUE"""),""",")</f>
        <v>",</v>
      </c>
    </row>
    <row r="1545">
      <c r="A1545" s="9" t="str">
        <f>IFERROR(__xludf.DUMMYFUNCTION("""COMPUTED_VALUE"""),"""")</f>
        <v>"</v>
      </c>
      <c r="B1545" s="9" t="s">
        <v>1554</v>
      </c>
      <c r="C1545" s="9" t="str">
        <f>IFERROR(__xludf.DUMMYFUNCTION("""COMPUTED_VALUE"""),""":""")</f>
        <v>":"</v>
      </c>
      <c r="D1545" s="24">
        <v>2.0248888511809958E19</v>
      </c>
      <c r="E1545" s="9" t="str">
        <f>IFERROR(__xludf.DUMMYFUNCTION("""COMPUTED_VALUE"""),""",")</f>
        <v>",</v>
      </c>
    </row>
    <row r="1546">
      <c r="A1546" s="9" t="str">
        <f>IFERROR(__xludf.DUMMYFUNCTION("""COMPUTED_VALUE"""),"""")</f>
        <v>"</v>
      </c>
      <c r="B1546" s="9" t="s">
        <v>1555</v>
      </c>
      <c r="C1546" s="9" t="str">
        <f>IFERROR(__xludf.DUMMYFUNCTION("""COMPUTED_VALUE"""),""":""")</f>
        <v>":"</v>
      </c>
      <c r="D1546" s="24">
        <v>2.0248888511809958E19</v>
      </c>
      <c r="E1546" s="9" t="str">
        <f>IFERROR(__xludf.DUMMYFUNCTION("""COMPUTED_VALUE"""),""",")</f>
        <v>",</v>
      </c>
    </row>
    <row r="1547">
      <c r="A1547" s="9" t="str">
        <f>IFERROR(__xludf.DUMMYFUNCTION("""COMPUTED_VALUE"""),"""")</f>
        <v>"</v>
      </c>
      <c r="B1547" s="9" t="s">
        <v>1556</v>
      </c>
      <c r="C1547" s="9" t="str">
        <f>IFERROR(__xludf.DUMMYFUNCTION("""COMPUTED_VALUE"""),""":""")</f>
        <v>":"</v>
      </c>
      <c r="D1547" s="24">
        <v>2.0486928069363065E19</v>
      </c>
      <c r="E1547" s="9" t="str">
        <f>IFERROR(__xludf.DUMMYFUNCTION("""COMPUTED_VALUE"""),""",")</f>
        <v>",</v>
      </c>
    </row>
    <row r="1548">
      <c r="A1548" s="9" t="str">
        <f>IFERROR(__xludf.DUMMYFUNCTION("""COMPUTED_VALUE"""),"""")</f>
        <v>"</v>
      </c>
      <c r="B1548" s="9" t="s">
        <v>1557</v>
      </c>
      <c r="C1548" s="9" t="str">
        <f>IFERROR(__xludf.DUMMYFUNCTION("""COMPUTED_VALUE"""),""":""")</f>
        <v>":"</v>
      </c>
      <c r="D1548" s="24">
        <v>9.459801357132866E18</v>
      </c>
      <c r="E1548" s="9" t="str">
        <f>IFERROR(__xludf.DUMMYFUNCTION("""COMPUTED_VALUE"""),""",")</f>
        <v>",</v>
      </c>
    </row>
    <row r="1549">
      <c r="A1549" s="9" t="str">
        <f>IFERROR(__xludf.DUMMYFUNCTION("""COMPUTED_VALUE"""),"""")</f>
        <v>"</v>
      </c>
      <c r="B1549" s="9" t="s">
        <v>1558</v>
      </c>
      <c r="C1549" s="9" t="str">
        <f>IFERROR(__xludf.DUMMYFUNCTION("""COMPUTED_VALUE"""),""":""")</f>
        <v>":"</v>
      </c>
      <c r="D1549" s="24">
        <v>4.2217352709540004E18</v>
      </c>
      <c r="E1549" s="9" t="str">
        <f>IFERROR(__xludf.DUMMYFUNCTION("""COMPUTED_VALUE"""),""",")</f>
        <v>",</v>
      </c>
    </row>
    <row r="1550">
      <c r="A1550" s="9" t="str">
        <f>IFERROR(__xludf.DUMMYFUNCTION("""COMPUTED_VALUE"""),"""")</f>
        <v>"</v>
      </c>
      <c r="B1550" s="9" t="s">
        <v>1559</v>
      </c>
      <c r="C1550" s="9" t="str">
        <f>IFERROR(__xludf.DUMMYFUNCTION("""COMPUTED_VALUE"""),""":""")</f>
        <v>":"</v>
      </c>
      <c r="D1550" s="24">
        <v>6.2005979458241782E18</v>
      </c>
      <c r="E1550" s="9" t="str">
        <f>IFERROR(__xludf.DUMMYFUNCTION("""COMPUTED_VALUE"""),""",")</f>
        <v>",</v>
      </c>
    </row>
    <row r="1551">
      <c r="A1551" s="9" t="str">
        <f>IFERROR(__xludf.DUMMYFUNCTION("""COMPUTED_VALUE"""),"""")</f>
        <v>"</v>
      </c>
      <c r="B1551" s="9" t="s">
        <v>1560</v>
      </c>
      <c r="C1551" s="9" t="str">
        <f>IFERROR(__xludf.DUMMYFUNCTION("""COMPUTED_VALUE"""),""":""")</f>
        <v>":"</v>
      </c>
      <c r="D1551" s="24">
        <v>1.153447581177778E19</v>
      </c>
      <c r="E1551" s="9" t="str">
        <f>IFERROR(__xludf.DUMMYFUNCTION("""COMPUTED_VALUE"""),""",")</f>
        <v>",</v>
      </c>
    </row>
    <row r="1552">
      <c r="A1552" s="9" t="str">
        <f>IFERROR(__xludf.DUMMYFUNCTION("""COMPUTED_VALUE"""),"""")</f>
        <v>"</v>
      </c>
      <c r="B1552" s="9" t="s">
        <v>1561</v>
      </c>
      <c r="C1552" s="9" t="str">
        <f>IFERROR(__xludf.DUMMYFUNCTION("""COMPUTED_VALUE"""),""":""")</f>
        <v>":"</v>
      </c>
      <c r="D1552" s="24">
        <v>6.2005979458241782E18</v>
      </c>
      <c r="E1552" s="9" t="str">
        <f>IFERROR(__xludf.DUMMYFUNCTION("""COMPUTED_VALUE"""),""",")</f>
        <v>",</v>
      </c>
    </row>
    <row r="1553">
      <c r="A1553" s="9" t="str">
        <f>IFERROR(__xludf.DUMMYFUNCTION("""COMPUTED_VALUE"""),"""")</f>
        <v>"</v>
      </c>
      <c r="B1553" s="9" t="s">
        <v>1562</v>
      </c>
      <c r="C1553" s="9" t="str">
        <f>IFERROR(__xludf.DUMMYFUNCTION("""COMPUTED_VALUE"""),""":""")</f>
        <v>":"</v>
      </c>
      <c r="D1553" s="24">
        <v>1.21630635210926899E18</v>
      </c>
      <c r="E1553" s="9" t="str">
        <f>IFERROR(__xludf.DUMMYFUNCTION("""COMPUTED_VALUE"""),""",")</f>
        <v>",</v>
      </c>
    </row>
    <row r="1554">
      <c r="A1554" s="9" t="str">
        <f>IFERROR(__xludf.DUMMYFUNCTION("""COMPUTED_VALUE"""),"""")</f>
        <v>"</v>
      </c>
      <c r="B1554" s="9" t="s">
        <v>1563</v>
      </c>
      <c r="C1554" s="9" t="str">
        <f>IFERROR(__xludf.DUMMYFUNCTION("""COMPUTED_VALUE"""),""":""")</f>
        <v>":"</v>
      </c>
      <c r="D1554" s="24">
        <v>4.2665475242108447E18</v>
      </c>
      <c r="E1554" s="9" t="str">
        <f>IFERROR(__xludf.DUMMYFUNCTION("""COMPUTED_VALUE"""),""",")</f>
        <v>",</v>
      </c>
    </row>
    <row r="1555">
      <c r="A1555" s="9" t="str">
        <f>IFERROR(__xludf.DUMMYFUNCTION("""COMPUTED_VALUE"""),"""")</f>
        <v>"</v>
      </c>
      <c r="B1555" s="9" t="s">
        <v>1564</v>
      </c>
      <c r="C1555" s="9" t="str">
        <f>IFERROR(__xludf.DUMMYFUNCTION("""COMPUTED_VALUE"""),""":""")</f>
        <v>":"</v>
      </c>
      <c r="D1555" s="24">
        <v>2.0248888511809958E19</v>
      </c>
      <c r="E1555" s="9" t="str">
        <f>IFERROR(__xludf.DUMMYFUNCTION("""COMPUTED_VALUE"""),""",")</f>
        <v>",</v>
      </c>
    </row>
    <row r="1556">
      <c r="A1556" s="9" t="str">
        <f>IFERROR(__xludf.DUMMYFUNCTION("""COMPUTED_VALUE"""),"""")</f>
        <v>"</v>
      </c>
      <c r="B1556" s="9" t="s">
        <v>1565</v>
      </c>
      <c r="C1556" s="9" t="str">
        <f>IFERROR(__xludf.DUMMYFUNCTION("""COMPUTED_VALUE"""),""":""")</f>
        <v>":"</v>
      </c>
      <c r="D1556" s="24">
        <v>1.7719587344656886E19</v>
      </c>
      <c r="E1556" s="9" t="str">
        <f>IFERROR(__xludf.DUMMYFUNCTION("""COMPUTED_VALUE"""),""",")</f>
        <v>",</v>
      </c>
    </row>
    <row r="1557">
      <c r="A1557" s="9" t="str">
        <f>IFERROR(__xludf.DUMMYFUNCTION("""COMPUTED_VALUE"""),"""")</f>
        <v>"</v>
      </c>
      <c r="B1557" s="9" t="s">
        <v>1566</v>
      </c>
      <c r="C1557" s="9" t="str">
        <f>IFERROR(__xludf.DUMMYFUNCTION("""COMPUTED_VALUE"""),""":""")</f>
        <v>":"</v>
      </c>
      <c r="D1557" s="24">
        <v>2.7503835240325534E19</v>
      </c>
      <c r="E1557" s="9" t="str">
        <f>IFERROR(__xludf.DUMMYFUNCTION("""COMPUTED_VALUE"""),""",")</f>
        <v>",</v>
      </c>
    </row>
    <row r="1558">
      <c r="A1558" s="9" t="str">
        <f>IFERROR(__xludf.DUMMYFUNCTION("""COMPUTED_VALUE"""),"""")</f>
        <v>"</v>
      </c>
      <c r="B1558" s="9" t="s">
        <v>1567</v>
      </c>
      <c r="C1558" s="9" t="str">
        <f>IFERROR(__xludf.DUMMYFUNCTION("""COMPUTED_VALUE"""),""":""")</f>
        <v>":"</v>
      </c>
      <c r="D1558" s="24">
        <v>5.4096300432352E18</v>
      </c>
      <c r="E1558" s="9" t="str">
        <f>IFERROR(__xludf.DUMMYFUNCTION("""COMPUTED_VALUE"""),""",")</f>
        <v>",</v>
      </c>
    </row>
    <row r="1559">
      <c r="A1559" s="9" t="str">
        <f>IFERROR(__xludf.DUMMYFUNCTION("""COMPUTED_VALUE"""),"""")</f>
        <v>"</v>
      </c>
      <c r="B1559" s="9" t="s">
        <v>1568</v>
      </c>
      <c r="C1559" s="9" t="str">
        <f>IFERROR(__xludf.DUMMYFUNCTION("""COMPUTED_VALUE"""),""":""")</f>
        <v>":"</v>
      </c>
      <c r="D1559" s="24">
        <v>7.4999378215021906E18</v>
      </c>
      <c r="E1559" s="9" t="str">
        <f>IFERROR(__xludf.DUMMYFUNCTION("""COMPUTED_VALUE"""),""",")</f>
        <v>",</v>
      </c>
    </row>
    <row r="1560">
      <c r="A1560" s="9" t="str">
        <f>IFERROR(__xludf.DUMMYFUNCTION("""COMPUTED_VALUE"""),"""")</f>
        <v>"</v>
      </c>
      <c r="B1560" s="9" t="s">
        <v>1569</v>
      </c>
      <c r="C1560" s="9" t="str">
        <f>IFERROR(__xludf.DUMMYFUNCTION("""COMPUTED_VALUE"""),""":""")</f>
        <v>":"</v>
      </c>
      <c r="D1560" s="24">
        <v>1.1935239212964823E19</v>
      </c>
      <c r="E1560" s="9" t="str">
        <f>IFERROR(__xludf.DUMMYFUNCTION("""COMPUTED_VALUE"""),""",")</f>
        <v>",</v>
      </c>
    </row>
    <row r="1561">
      <c r="A1561" s="9" t="str">
        <f>IFERROR(__xludf.DUMMYFUNCTION("""COMPUTED_VALUE"""),"""")</f>
        <v>"</v>
      </c>
      <c r="B1561" s="9" t="s">
        <v>1570</v>
      </c>
      <c r="C1561" s="9" t="str">
        <f>IFERROR(__xludf.DUMMYFUNCTION("""COMPUTED_VALUE"""),""":""")</f>
        <v>":"</v>
      </c>
      <c r="D1561" s="24">
        <v>6.2005979458241782E18</v>
      </c>
      <c r="E1561" s="9" t="str">
        <f>IFERROR(__xludf.DUMMYFUNCTION("""COMPUTED_VALUE"""),""",")</f>
        <v>",</v>
      </c>
    </row>
    <row r="1562">
      <c r="A1562" s="9" t="str">
        <f>IFERROR(__xludf.DUMMYFUNCTION("""COMPUTED_VALUE"""),"""")</f>
        <v>"</v>
      </c>
      <c r="B1562" s="9" t="s">
        <v>1571</v>
      </c>
      <c r="C1562" s="9" t="str">
        <f>IFERROR(__xludf.DUMMYFUNCTION("""COMPUTED_VALUE"""),""":""")</f>
        <v>":"</v>
      </c>
      <c r="D1562" s="24">
        <v>5.7356260766482002E18</v>
      </c>
      <c r="E1562" s="9" t="str">
        <f>IFERROR(__xludf.DUMMYFUNCTION("""COMPUTED_VALUE"""),""",")</f>
        <v>",</v>
      </c>
    </row>
    <row r="1563">
      <c r="A1563" s="9" t="str">
        <f>IFERROR(__xludf.DUMMYFUNCTION("""COMPUTED_VALUE"""),"""")</f>
        <v>"</v>
      </c>
      <c r="B1563" s="9" t="s">
        <v>1572</v>
      </c>
      <c r="C1563" s="9" t="str">
        <f>IFERROR(__xludf.DUMMYFUNCTION("""COMPUTED_VALUE"""),""":""")</f>
        <v>":"</v>
      </c>
      <c r="D1563" s="24">
        <v>2.0248888511809958E19</v>
      </c>
      <c r="E1563" s="9" t="str">
        <f>IFERROR(__xludf.DUMMYFUNCTION("""COMPUTED_VALUE"""),""",")</f>
        <v>",</v>
      </c>
    </row>
    <row r="1564">
      <c r="A1564" s="9" t="str">
        <f>IFERROR(__xludf.DUMMYFUNCTION("""COMPUTED_VALUE"""),"""")</f>
        <v>"</v>
      </c>
      <c r="B1564" s="9" t="s">
        <v>1573</v>
      </c>
      <c r="C1564" s="9" t="str">
        <f>IFERROR(__xludf.DUMMYFUNCTION("""COMPUTED_VALUE"""),""":""")</f>
        <v>":"</v>
      </c>
      <c r="D1564" s="24">
        <v>2.0248888511809958E19</v>
      </c>
      <c r="E1564" s="9" t="str">
        <f>IFERROR(__xludf.DUMMYFUNCTION("""COMPUTED_VALUE"""),""",")</f>
        <v>",</v>
      </c>
    </row>
    <row r="1565">
      <c r="A1565" s="9" t="str">
        <f>IFERROR(__xludf.DUMMYFUNCTION("""COMPUTED_VALUE"""),"""")</f>
        <v>"</v>
      </c>
      <c r="B1565" s="9" t="s">
        <v>1574</v>
      </c>
      <c r="C1565" s="9" t="str">
        <f>IFERROR(__xludf.DUMMYFUNCTION("""COMPUTED_VALUE"""),""":""")</f>
        <v>":"</v>
      </c>
      <c r="D1565" s="24">
        <v>6.2005979458241782E18</v>
      </c>
      <c r="E1565" s="9" t="str">
        <f>IFERROR(__xludf.DUMMYFUNCTION("""COMPUTED_VALUE"""),""",")</f>
        <v>",</v>
      </c>
    </row>
    <row r="1566">
      <c r="A1566" s="9" t="str">
        <f>IFERROR(__xludf.DUMMYFUNCTION("""COMPUTED_VALUE"""),"""")</f>
        <v>"</v>
      </c>
      <c r="B1566" s="9" t="s">
        <v>1575</v>
      </c>
      <c r="C1566" s="9" t="str">
        <f>IFERROR(__xludf.DUMMYFUNCTION("""COMPUTED_VALUE"""),""":""")</f>
        <v>":"</v>
      </c>
      <c r="D1566" s="24">
        <v>6.1925217681952225E18</v>
      </c>
      <c r="E1566" s="9" t="str">
        <f>IFERROR(__xludf.DUMMYFUNCTION("""COMPUTED_VALUE"""),""",")</f>
        <v>",</v>
      </c>
    </row>
    <row r="1567">
      <c r="A1567" s="9" t="str">
        <f>IFERROR(__xludf.DUMMYFUNCTION("""COMPUTED_VALUE"""),"""")</f>
        <v>"</v>
      </c>
      <c r="B1567" s="9" t="s">
        <v>1576</v>
      </c>
      <c r="C1567" s="9" t="str">
        <f>IFERROR(__xludf.DUMMYFUNCTION("""COMPUTED_VALUE"""),""":""")</f>
        <v>":"</v>
      </c>
      <c r="D1567" s="24">
        <v>2.0248888511809958E19</v>
      </c>
      <c r="E1567" s="9" t="str">
        <f>IFERROR(__xludf.DUMMYFUNCTION("""COMPUTED_VALUE"""),""",")</f>
        <v>",</v>
      </c>
    </row>
    <row r="1568">
      <c r="A1568" s="9" t="str">
        <f>IFERROR(__xludf.DUMMYFUNCTION("""COMPUTED_VALUE"""),"""")</f>
        <v>"</v>
      </c>
      <c r="B1568" s="9" t="s">
        <v>1577</v>
      </c>
      <c r="C1568" s="9" t="str">
        <f>IFERROR(__xludf.DUMMYFUNCTION("""COMPUTED_VALUE"""),""":""")</f>
        <v>":"</v>
      </c>
      <c r="D1568" s="24">
        <v>6.2005979458241782E18</v>
      </c>
      <c r="E1568" s="9" t="str">
        <f>IFERROR(__xludf.DUMMYFUNCTION("""COMPUTED_VALUE"""),""",")</f>
        <v>",</v>
      </c>
    </row>
    <row r="1569">
      <c r="A1569" s="9" t="str">
        <f>IFERROR(__xludf.DUMMYFUNCTION("""COMPUTED_VALUE"""),"""")</f>
        <v>"</v>
      </c>
      <c r="B1569" s="9" t="s">
        <v>1578</v>
      </c>
      <c r="C1569" s="9" t="str">
        <f>IFERROR(__xludf.DUMMYFUNCTION("""COMPUTED_VALUE"""),""":""")</f>
        <v>":"</v>
      </c>
      <c r="D1569" s="24">
        <v>6.2005979458241782E18</v>
      </c>
      <c r="E1569" s="9" t="str">
        <f>IFERROR(__xludf.DUMMYFUNCTION("""COMPUTED_VALUE"""),""",")</f>
        <v>",</v>
      </c>
    </row>
    <row r="1570">
      <c r="A1570" s="9" t="str">
        <f>IFERROR(__xludf.DUMMYFUNCTION("""COMPUTED_VALUE"""),"""")</f>
        <v>"</v>
      </c>
      <c r="B1570" s="9" t="s">
        <v>1579</v>
      </c>
      <c r="C1570" s="9" t="str">
        <f>IFERROR(__xludf.DUMMYFUNCTION("""COMPUTED_VALUE"""),""":""")</f>
        <v>":"</v>
      </c>
      <c r="D1570" s="24">
        <v>6.2005979458241782E18</v>
      </c>
      <c r="E1570" s="9" t="str">
        <f>IFERROR(__xludf.DUMMYFUNCTION("""COMPUTED_VALUE"""),""",")</f>
        <v>",</v>
      </c>
    </row>
    <row r="1571">
      <c r="A1571" s="9" t="str">
        <f>IFERROR(__xludf.DUMMYFUNCTION("""COMPUTED_VALUE"""),"""")</f>
        <v>"</v>
      </c>
      <c r="B1571" s="9" t="s">
        <v>1580</v>
      </c>
      <c r="C1571" s="9" t="str">
        <f>IFERROR(__xludf.DUMMYFUNCTION("""COMPUTED_VALUE"""),""":""")</f>
        <v>":"</v>
      </c>
      <c r="D1571" s="24">
        <v>2.370807133454798E19</v>
      </c>
      <c r="E1571" s="9" t="str">
        <f>IFERROR(__xludf.DUMMYFUNCTION("""COMPUTED_VALUE"""),""",")</f>
        <v>",</v>
      </c>
    </row>
    <row r="1572">
      <c r="A1572" s="9" t="str">
        <f>IFERROR(__xludf.DUMMYFUNCTION("""COMPUTED_VALUE"""),"""")</f>
        <v>"</v>
      </c>
      <c r="B1572" s="9" t="s">
        <v>1581</v>
      </c>
      <c r="C1572" s="9" t="str">
        <f>IFERROR(__xludf.DUMMYFUNCTION("""COMPUTED_VALUE"""),""":""")</f>
        <v>":"</v>
      </c>
      <c r="D1572" s="24">
        <v>1.4027961235790889E18</v>
      </c>
      <c r="E1572" s="9" t="str">
        <f>IFERROR(__xludf.DUMMYFUNCTION("""COMPUTED_VALUE"""),""",")</f>
        <v>",</v>
      </c>
    </row>
    <row r="1573">
      <c r="A1573" s="9" t="str">
        <f>IFERROR(__xludf.DUMMYFUNCTION("""COMPUTED_VALUE"""),"""")</f>
        <v>"</v>
      </c>
      <c r="B1573" s="9" t="s">
        <v>1582</v>
      </c>
      <c r="C1573" s="9" t="str">
        <f>IFERROR(__xludf.DUMMYFUNCTION("""COMPUTED_VALUE"""),""":""")</f>
        <v>":"</v>
      </c>
      <c r="D1573" s="24">
        <v>1.58805068183262438E18</v>
      </c>
      <c r="E1573" s="9" t="str">
        <f>IFERROR(__xludf.DUMMYFUNCTION("""COMPUTED_VALUE"""),""",")</f>
        <v>",</v>
      </c>
    </row>
    <row r="1574">
      <c r="A1574" s="9" t="str">
        <f>IFERROR(__xludf.DUMMYFUNCTION("""COMPUTED_VALUE"""),"""")</f>
        <v>"</v>
      </c>
      <c r="B1574" s="9" t="s">
        <v>1583</v>
      </c>
      <c r="C1574" s="9" t="str">
        <f>IFERROR(__xludf.DUMMYFUNCTION("""COMPUTED_VALUE"""),""":""")</f>
        <v>":"</v>
      </c>
      <c r="D1574" s="24">
        <v>6.2005979458241782E18</v>
      </c>
      <c r="E1574" s="9" t="str">
        <f>IFERROR(__xludf.DUMMYFUNCTION("""COMPUTED_VALUE"""),""",")</f>
        <v>",</v>
      </c>
    </row>
    <row r="1575">
      <c r="A1575" s="9" t="str">
        <f>IFERROR(__xludf.DUMMYFUNCTION("""COMPUTED_VALUE"""),"""")</f>
        <v>"</v>
      </c>
      <c r="B1575" s="9" t="s">
        <v>1584</v>
      </c>
      <c r="C1575" s="9" t="str">
        <f>IFERROR(__xludf.DUMMYFUNCTION("""COMPUTED_VALUE"""),""":""")</f>
        <v>":"</v>
      </c>
      <c r="D1575" s="24">
        <v>6.2005979458241782E18</v>
      </c>
      <c r="E1575" s="9" t="str">
        <f>IFERROR(__xludf.DUMMYFUNCTION("""COMPUTED_VALUE"""),""",")</f>
        <v>",</v>
      </c>
    </row>
    <row r="1576">
      <c r="A1576" s="9" t="str">
        <f>IFERROR(__xludf.DUMMYFUNCTION("""COMPUTED_VALUE"""),"""")</f>
        <v>"</v>
      </c>
      <c r="B1576" s="9" t="s">
        <v>1585</v>
      </c>
      <c r="C1576" s="9" t="str">
        <f>IFERROR(__xludf.DUMMYFUNCTION("""COMPUTED_VALUE"""),""":""")</f>
        <v>":"</v>
      </c>
      <c r="D1576" s="24">
        <v>2.0248888511809958E19</v>
      </c>
      <c r="E1576" s="9" t="str">
        <f>IFERROR(__xludf.DUMMYFUNCTION("""COMPUTED_VALUE"""),""",")</f>
        <v>",</v>
      </c>
    </row>
    <row r="1577">
      <c r="A1577" s="9" t="str">
        <f>IFERROR(__xludf.DUMMYFUNCTION("""COMPUTED_VALUE"""),"""")</f>
        <v>"</v>
      </c>
      <c r="B1577" s="9" t="s">
        <v>1586</v>
      </c>
      <c r="C1577" s="9" t="str">
        <f>IFERROR(__xludf.DUMMYFUNCTION("""COMPUTED_VALUE"""),""":""")</f>
        <v>":"</v>
      </c>
      <c r="D1577" s="24">
        <v>6.2005979458241782E18</v>
      </c>
      <c r="E1577" s="9" t="str">
        <f>IFERROR(__xludf.DUMMYFUNCTION("""COMPUTED_VALUE"""),""",")</f>
        <v>",</v>
      </c>
    </row>
    <row r="1578">
      <c r="A1578" s="9" t="str">
        <f>IFERROR(__xludf.DUMMYFUNCTION("""COMPUTED_VALUE"""),"""")</f>
        <v>"</v>
      </c>
      <c r="B1578" s="9" t="s">
        <v>1587</v>
      </c>
      <c r="C1578" s="9" t="str">
        <f>IFERROR(__xludf.DUMMYFUNCTION("""COMPUTED_VALUE"""),""":""")</f>
        <v>":"</v>
      </c>
      <c r="D1578" s="24">
        <v>6.2005979458241782E18</v>
      </c>
      <c r="E1578" s="9" t="str">
        <f>IFERROR(__xludf.DUMMYFUNCTION("""COMPUTED_VALUE"""),""",")</f>
        <v>",</v>
      </c>
    </row>
    <row r="1579">
      <c r="A1579" s="9" t="str">
        <f>IFERROR(__xludf.DUMMYFUNCTION("""COMPUTED_VALUE"""),"""")</f>
        <v>"</v>
      </c>
      <c r="B1579" s="9" t="s">
        <v>1588</v>
      </c>
      <c r="C1579" s="9" t="str">
        <f>IFERROR(__xludf.DUMMYFUNCTION("""COMPUTED_VALUE"""),""":""")</f>
        <v>":"</v>
      </c>
      <c r="D1579" s="24">
        <v>6.2005979458241782E18</v>
      </c>
      <c r="E1579" s="9" t="str">
        <f>IFERROR(__xludf.DUMMYFUNCTION("""COMPUTED_VALUE"""),""",")</f>
        <v>",</v>
      </c>
    </row>
    <row r="1580">
      <c r="A1580" s="9" t="str">
        <f>IFERROR(__xludf.DUMMYFUNCTION("""COMPUTED_VALUE"""),"""")</f>
        <v>"</v>
      </c>
      <c r="B1580" s="9" t="s">
        <v>1589</v>
      </c>
      <c r="C1580" s="9" t="str">
        <f>IFERROR(__xludf.DUMMYFUNCTION("""COMPUTED_VALUE"""),""":""")</f>
        <v>":"</v>
      </c>
      <c r="D1580" s="24">
        <v>6.2005979458241782E18</v>
      </c>
      <c r="E1580" s="9" t="str">
        <f>IFERROR(__xludf.DUMMYFUNCTION("""COMPUTED_VALUE"""),""",")</f>
        <v>",</v>
      </c>
    </row>
    <row r="1581">
      <c r="A1581" s="9" t="str">
        <f>IFERROR(__xludf.DUMMYFUNCTION("""COMPUTED_VALUE"""),"""")</f>
        <v>"</v>
      </c>
      <c r="B1581" s="9" t="s">
        <v>1590</v>
      </c>
      <c r="C1581" s="9" t="str">
        <f>IFERROR(__xludf.DUMMYFUNCTION("""COMPUTED_VALUE"""),""":""")</f>
        <v>":"</v>
      </c>
      <c r="D1581" s="24">
        <v>2.00542468306635136E18</v>
      </c>
      <c r="E1581" s="9" t="str">
        <f>IFERROR(__xludf.DUMMYFUNCTION("""COMPUTED_VALUE"""),""",")</f>
        <v>",</v>
      </c>
    </row>
    <row r="1582">
      <c r="A1582" s="9" t="str">
        <f>IFERROR(__xludf.DUMMYFUNCTION("""COMPUTED_VALUE"""),"""")</f>
        <v>"</v>
      </c>
      <c r="B1582" s="9" t="s">
        <v>1591</v>
      </c>
      <c r="C1582" s="9" t="str">
        <f>IFERROR(__xludf.DUMMYFUNCTION("""COMPUTED_VALUE"""),""":""")</f>
        <v>":"</v>
      </c>
      <c r="D1582" s="24">
        <v>5.6323230055203789E18</v>
      </c>
      <c r="E1582" s="9" t="str">
        <f>IFERROR(__xludf.DUMMYFUNCTION("""COMPUTED_VALUE"""),""",")</f>
        <v>",</v>
      </c>
    </row>
    <row r="1583">
      <c r="A1583" s="9" t="str">
        <f>IFERROR(__xludf.DUMMYFUNCTION("""COMPUTED_VALUE"""),"""")</f>
        <v>"</v>
      </c>
      <c r="B1583" s="9" t="s">
        <v>1592</v>
      </c>
      <c r="C1583" s="9" t="str">
        <f>IFERROR(__xludf.DUMMYFUNCTION("""COMPUTED_VALUE"""),""":""")</f>
        <v>":"</v>
      </c>
      <c r="D1583" s="24">
        <v>6.2005979458241782E18</v>
      </c>
      <c r="E1583" s="9" t="str">
        <f>IFERROR(__xludf.DUMMYFUNCTION("""COMPUTED_VALUE"""),""",")</f>
        <v>",</v>
      </c>
    </row>
    <row r="1584">
      <c r="A1584" s="9" t="str">
        <f>IFERROR(__xludf.DUMMYFUNCTION("""COMPUTED_VALUE"""),"""")</f>
        <v>"</v>
      </c>
      <c r="B1584" s="9" t="s">
        <v>1593</v>
      </c>
      <c r="C1584" s="9" t="str">
        <f>IFERROR(__xludf.DUMMYFUNCTION("""COMPUTED_VALUE"""),""":""")</f>
        <v>":"</v>
      </c>
      <c r="D1584" s="24">
        <v>2.0248888511809958E19</v>
      </c>
      <c r="E1584" s="9" t="str">
        <f>IFERROR(__xludf.DUMMYFUNCTION("""COMPUTED_VALUE"""),""",")</f>
        <v>",</v>
      </c>
    </row>
    <row r="1585">
      <c r="A1585" s="9" t="str">
        <f>IFERROR(__xludf.DUMMYFUNCTION("""COMPUTED_VALUE"""),"""")</f>
        <v>"</v>
      </c>
      <c r="B1585" s="9" t="s">
        <v>1594</v>
      </c>
      <c r="C1585" s="9" t="str">
        <f>IFERROR(__xludf.DUMMYFUNCTION("""COMPUTED_VALUE"""),""":""")</f>
        <v>":"</v>
      </c>
      <c r="D1585" s="24">
        <v>6.2005979458241782E18</v>
      </c>
      <c r="E1585" s="9" t="str">
        <f>IFERROR(__xludf.DUMMYFUNCTION("""COMPUTED_VALUE"""),""",")</f>
        <v>",</v>
      </c>
    </row>
    <row r="1586">
      <c r="A1586" s="9" t="str">
        <f>IFERROR(__xludf.DUMMYFUNCTION("""COMPUTED_VALUE"""),"""")</f>
        <v>"</v>
      </c>
      <c r="B1586" s="9" t="s">
        <v>1595</v>
      </c>
      <c r="C1586" s="9" t="str">
        <f>IFERROR(__xludf.DUMMYFUNCTION("""COMPUTED_VALUE"""),""":""")</f>
        <v>":"</v>
      </c>
      <c r="D1586" s="24">
        <v>2.0248888511809958E19</v>
      </c>
      <c r="E1586" s="9" t="str">
        <f>IFERROR(__xludf.DUMMYFUNCTION("""COMPUTED_VALUE"""),""",")</f>
        <v>",</v>
      </c>
    </row>
    <row r="1587">
      <c r="A1587" s="9" t="str">
        <f>IFERROR(__xludf.DUMMYFUNCTION("""COMPUTED_VALUE"""),"""")</f>
        <v>"</v>
      </c>
      <c r="B1587" s="9" t="s">
        <v>1596</v>
      </c>
      <c r="C1587" s="9" t="str">
        <f>IFERROR(__xludf.DUMMYFUNCTION("""COMPUTED_VALUE"""),""":""")</f>
        <v>":"</v>
      </c>
      <c r="D1587" s="24">
        <v>2.06985822787659E19</v>
      </c>
      <c r="E1587" s="9" t="str">
        <f>IFERROR(__xludf.DUMMYFUNCTION("""COMPUTED_VALUE"""),""",")</f>
        <v>",</v>
      </c>
    </row>
    <row r="1588">
      <c r="A1588" s="9" t="str">
        <f>IFERROR(__xludf.DUMMYFUNCTION("""COMPUTED_VALUE"""),"""")</f>
        <v>"</v>
      </c>
      <c r="B1588" s="9" t="s">
        <v>1597</v>
      </c>
      <c r="C1588" s="9" t="str">
        <f>IFERROR(__xludf.DUMMYFUNCTION("""COMPUTED_VALUE"""),""":""")</f>
        <v>":"</v>
      </c>
      <c r="D1588" s="24">
        <v>3.0761345110110826E19</v>
      </c>
      <c r="E1588" s="9" t="str">
        <f>IFERROR(__xludf.DUMMYFUNCTION("""COMPUTED_VALUE"""),""",")</f>
        <v>",</v>
      </c>
    </row>
    <row r="1589">
      <c r="A1589" s="9" t="str">
        <f>IFERROR(__xludf.DUMMYFUNCTION("""COMPUTED_VALUE"""),"""")</f>
        <v>"</v>
      </c>
      <c r="B1589" s="9" t="s">
        <v>1598</v>
      </c>
      <c r="C1589" s="9" t="str">
        <f>IFERROR(__xludf.DUMMYFUNCTION("""COMPUTED_VALUE"""),""":""")</f>
        <v>":"</v>
      </c>
      <c r="D1589" s="24">
        <v>6.2005979458241782E18</v>
      </c>
      <c r="E1589" s="9" t="str">
        <f>IFERROR(__xludf.DUMMYFUNCTION("""COMPUTED_VALUE"""),""",")</f>
        <v>",</v>
      </c>
    </row>
    <row r="1590">
      <c r="A1590" s="9" t="str">
        <f>IFERROR(__xludf.DUMMYFUNCTION("""COMPUTED_VALUE"""),"""")</f>
        <v>"</v>
      </c>
      <c r="B1590" s="9" t="s">
        <v>1599</v>
      </c>
      <c r="C1590" s="9" t="str">
        <f>IFERROR(__xludf.DUMMYFUNCTION("""COMPUTED_VALUE"""),""":""")</f>
        <v>":"</v>
      </c>
      <c r="D1590" s="24">
        <v>3.494619966094978E18</v>
      </c>
      <c r="E1590" s="9" t="str">
        <f>IFERROR(__xludf.DUMMYFUNCTION("""COMPUTED_VALUE"""),""",")</f>
        <v>",</v>
      </c>
    </row>
    <row r="1591">
      <c r="A1591" s="9" t="str">
        <f>IFERROR(__xludf.DUMMYFUNCTION("""COMPUTED_VALUE"""),"""")</f>
        <v>"</v>
      </c>
      <c r="B1591" s="9" t="s">
        <v>1600</v>
      </c>
      <c r="C1591" s="9" t="str">
        <f>IFERROR(__xludf.DUMMYFUNCTION("""COMPUTED_VALUE"""),""":""")</f>
        <v>":"</v>
      </c>
      <c r="D1591" s="24">
        <v>6.0174831603263334E18</v>
      </c>
      <c r="E1591" s="9" t="str">
        <f>IFERROR(__xludf.DUMMYFUNCTION("""COMPUTED_VALUE"""),""",")</f>
        <v>",</v>
      </c>
    </row>
    <row r="1592">
      <c r="A1592" s="9" t="str">
        <f>IFERROR(__xludf.DUMMYFUNCTION("""COMPUTED_VALUE"""),"""")</f>
        <v>"</v>
      </c>
      <c r="B1592" s="9" t="s">
        <v>1601</v>
      </c>
      <c r="C1592" s="9" t="str">
        <f>IFERROR(__xludf.DUMMYFUNCTION("""COMPUTED_VALUE"""),""":""")</f>
        <v>":"</v>
      </c>
      <c r="D1592" s="24">
        <v>6.2005979458241782E18</v>
      </c>
      <c r="E1592" s="9" t="str">
        <f>IFERROR(__xludf.DUMMYFUNCTION("""COMPUTED_VALUE"""),""",")</f>
        <v>",</v>
      </c>
    </row>
    <row r="1593">
      <c r="A1593" s="9" t="str">
        <f>IFERROR(__xludf.DUMMYFUNCTION("""COMPUTED_VALUE"""),"""")</f>
        <v>"</v>
      </c>
      <c r="B1593" s="9" t="s">
        <v>1602</v>
      </c>
      <c r="C1593" s="9" t="str">
        <f>IFERROR(__xludf.DUMMYFUNCTION("""COMPUTED_VALUE"""),""":""")</f>
        <v>":"</v>
      </c>
      <c r="D1593" s="24">
        <v>2.7614029593309553E18</v>
      </c>
      <c r="E1593" s="9" t="str">
        <f>IFERROR(__xludf.DUMMYFUNCTION("""COMPUTED_VALUE"""),""",")</f>
        <v>",</v>
      </c>
    </row>
    <row r="1594">
      <c r="A1594" s="9" t="str">
        <f>IFERROR(__xludf.DUMMYFUNCTION("""COMPUTED_VALUE"""),"""")</f>
        <v>"</v>
      </c>
      <c r="B1594" s="9" t="s">
        <v>1603</v>
      </c>
      <c r="C1594" s="9" t="str">
        <f>IFERROR(__xludf.DUMMYFUNCTION("""COMPUTED_VALUE"""),""":""")</f>
        <v>":"</v>
      </c>
      <c r="D1594" s="24">
        <v>8.2450199038658683E18</v>
      </c>
      <c r="E1594" s="9" t="str">
        <f>IFERROR(__xludf.DUMMYFUNCTION("""COMPUTED_VALUE"""),""",")</f>
        <v>",</v>
      </c>
    </row>
    <row r="1595">
      <c r="A1595" s="9" t="str">
        <f>IFERROR(__xludf.DUMMYFUNCTION("""COMPUTED_VALUE"""),"""")</f>
        <v>"</v>
      </c>
      <c r="B1595" s="9" t="s">
        <v>1604</v>
      </c>
      <c r="C1595" s="9" t="str">
        <f>IFERROR(__xludf.DUMMYFUNCTION("""COMPUTED_VALUE"""),""":""")</f>
        <v>":"</v>
      </c>
      <c r="D1595" s="24">
        <v>2.532279317622833E20</v>
      </c>
      <c r="E1595" s="9" t="str">
        <f>IFERROR(__xludf.DUMMYFUNCTION("""COMPUTED_VALUE"""),""",")</f>
        <v>",</v>
      </c>
    </row>
    <row r="1596">
      <c r="A1596" s="9" t="str">
        <f>IFERROR(__xludf.DUMMYFUNCTION("""COMPUTED_VALUE"""),"""")</f>
        <v>"</v>
      </c>
      <c r="B1596" s="9" t="s">
        <v>1605</v>
      </c>
      <c r="C1596" s="9" t="str">
        <f>IFERROR(__xludf.DUMMYFUNCTION("""COMPUTED_VALUE"""),""":""")</f>
        <v>":"</v>
      </c>
      <c r="D1596" s="24">
        <v>6.2005979458241782E18</v>
      </c>
      <c r="E1596" s="9" t="str">
        <f>IFERROR(__xludf.DUMMYFUNCTION("""COMPUTED_VALUE"""),""",")</f>
        <v>",</v>
      </c>
    </row>
    <row r="1597">
      <c r="A1597" s="9" t="str">
        <f>IFERROR(__xludf.DUMMYFUNCTION("""COMPUTED_VALUE"""),"""")</f>
        <v>"</v>
      </c>
      <c r="B1597" s="9" t="s">
        <v>1606</v>
      </c>
      <c r="C1597" s="9" t="str">
        <f>IFERROR(__xludf.DUMMYFUNCTION("""COMPUTED_VALUE"""),""":""")</f>
        <v>":"</v>
      </c>
      <c r="D1597" s="24">
        <v>4.9832986582599997E18</v>
      </c>
      <c r="E1597" s="9" t="str">
        <f>IFERROR(__xludf.DUMMYFUNCTION("""COMPUTED_VALUE"""),""",")</f>
        <v>",</v>
      </c>
    </row>
    <row r="1598">
      <c r="A1598" s="9" t="str">
        <f>IFERROR(__xludf.DUMMYFUNCTION("""COMPUTED_VALUE"""),"""")</f>
        <v>"</v>
      </c>
      <c r="B1598" s="9" t="s">
        <v>1607</v>
      </c>
      <c r="C1598" s="9" t="str">
        <f>IFERROR(__xludf.DUMMYFUNCTION("""COMPUTED_VALUE"""),""":""")</f>
        <v>":"</v>
      </c>
      <c r="D1598" s="24">
        <v>2.8905171661635666E19</v>
      </c>
      <c r="E1598" s="9" t="str">
        <f>IFERROR(__xludf.DUMMYFUNCTION("""COMPUTED_VALUE"""),""",")</f>
        <v>",</v>
      </c>
    </row>
    <row r="1599">
      <c r="A1599" s="9" t="str">
        <f>IFERROR(__xludf.DUMMYFUNCTION("""COMPUTED_VALUE"""),"""")</f>
        <v>"</v>
      </c>
      <c r="B1599" s="9" t="s">
        <v>1608</v>
      </c>
      <c r="C1599" s="9" t="str">
        <f>IFERROR(__xludf.DUMMYFUNCTION("""COMPUTED_VALUE"""),""":""")</f>
        <v>":"</v>
      </c>
      <c r="D1599" s="24">
        <v>6.2005979458241782E18</v>
      </c>
      <c r="E1599" s="9" t="str">
        <f>IFERROR(__xludf.DUMMYFUNCTION("""COMPUTED_VALUE"""),""",")</f>
        <v>",</v>
      </c>
    </row>
    <row r="1600">
      <c r="A1600" s="9" t="str">
        <f>IFERROR(__xludf.DUMMYFUNCTION("""COMPUTED_VALUE"""),"""")</f>
        <v>"</v>
      </c>
      <c r="B1600" s="9" t="s">
        <v>1609</v>
      </c>
      <c r="C1600" s="9" t="str">
        <f>IFERROR(__xludf.DUMMYFUNCTION("""COMPUTED_VALUE"""),""":""")</f>
        <v>":"</v>
      </c>
      <c r="D1600" s="24">
        <v>4.6486436445420001E18</v>
      </c>
      <c r="E1600" s="9" t="str">
        <f>IFERROR(__xludf.DUMMYFUNCTION("""COMPUTED_VALUE"""),""",")</f>
        <v>",</v>
      </c>
    </row>
    <row r="1601">
      <c r="A1601" s="9" t="str">
        <f>IFERROR(__xludf.DUMMYFUNCTION("""COMPUTED_VALUE"""),"""")</f>
        <v>"</v>
      </c>
      <c r="B1601" s="9" t="s">
        <v>1610</v>
      </c>
      <c r="C1601" s="9" t="str">
        <f>IFERROR(__xludf.DUMMYFUNCTION("""COMPUTED_VALUE"""),""":""")</f>
        <v>":"</v>
      </c>
      <c r="D1601" s="24">
        <v>1.9744542448603714E19</v>
      </c>
      <c r="E1601" s="9" t="str">
        <f>IFERROR(__xludf.DUMMYFUNCTION("""COMPUTED_VALUE"""),""",")</f>
        <v>",</v>
      </c>
    </row>
    <row r="1602">
      <c r="A1602" s="9" t="str">
        <f>IFERROR(__xludf.DUMMYFUNCTION("""COMPUTED_VALUE"""),"""")</f>
        <v>"</v>
      </c>
      <c r="B1602" s="9" t="s">
        <v>1611</v>
      </c>
      <c r="C1602" s="9" t="str">
        <f>IFERROR(__xludf.DUMMYFUNCTION("""COMPUTED_VALUE"""),""":""")</f>
        <v>":"</v>
      </c>
      <c r="D1602" s="24">
        <v>4.8080969198765332E18</v>
      </c>
      <c r="E1602" s="9" t="str">
        <f>IFERROR(__xludf.DUMMYFUNCTION("""COMPUTED_VALUE"""),""",")</f>
        <v>",</v>
      </c>
    </row>
    <row r="1603">
      <c r="A1603" s="9" t="str">
        <f>IFERROR(__xludf.DUMMYFUNCTION("""COMPUTED_VALUE"""),"""")</f>
        <v>"</v>
      </c>
      <c r="B1603" s="9" t="s">
        <v>1612</v>
      </c>
      <c r="C1603" s="9" t="str">
        <f>IFERROR(__xludf.DUMMYFUNCTION("""COMPUTED_VALUE"""),""":""")</f>
        <v>":"</v>
      </c>
      <c r="D1603" s="24">
        <v>6.2005979458241782E18</v>
      </c>
      <c r="E1603" s="9" t="str">
        <f>IFERROR(__xludf.DUMMYFUNCTION("""COMPUTED_VALUE"""),""",")</f>
        <v>",</v>
      </c>
    </row>
    <row r="1604">
      <c r="A1604" s="9" t="str">
        <f>IFERROR(__xludf.DUMMYFUNCTION("""COMPUTED_VALUE"""),"""")</f>
        <v>"</v>
      </c>
      <c r="B1604" s="9" t="s">
        <v>1613</v>
      </c>
      <c r="C1604" s="9" t="str">
        <f>IFERROR(__xludf.DUMMYFUNCTION("""COMPUTED_VALUE"""),""":""")</f>
        <v>":"</v>
      </c>
      <c r="D1604" s="24">
        <v>5.7034251959980667E18</v>
      </c>
      <c r="E1604" s="9" t="str">
        <f>IFERROR(__xludf.DUMMYFUNCTION("""COMPUTED_VALUE"""),""",")</f>
        <v>",</v>
      </c>
    </row>
    <row r="1605">
      <c r="A1605" s="9" t="str">
        <f>IFERROR(__xludf.DUMMYFUNCTION("""COMPUTED_VALUE"""),"""")</f>
        <v>"</v>
      </c>
      <c r="B1605" s="9" t="s">
        <v>1614</v>
      </c>
      <c r="C1605" s="9" t="str">
        <f>IFERROR(__xludf.DUMMYFUNCTION("""COMPUTED_VALUE"""),""":""")</f>
        <v>":"</v>
      </c>
      <c r="D1605" s="24">
        <v>1.5610611401157714E19</v>
      </c>
      <c r="E1605" s="9" t="str">
        <f>IFERROR(__xludf.DUMMYFUNCTION("""COMPUTED_VALUE"""),""",")</f>
        <v>",</v>
      </c>
    </row>
    <row r="1606">
      <c r="A1606" s="9" t="str">
        <f>IFERROR(__xludf.DUMMYFUNCTION("""COMPUTED_VALUE"""),"""")</f>
        <v>"</v>
      </c>
      <c r="B1606" s="9" t="s">
        <v>1615</v>
      </c>
      <c r="C1606" s="9" t="str">
        <f>IFERROR(__xludf.DUMMYFUNCTION("""COMPUTED_VALUE"""),""":""")</f>
        <v>":"</v>
      </c>
      <c r="D1606" s="24">
        <v>6.2005979458241782E18</v>
      </c>
      <c r="E1606" s="9" t="str">
        <f>IFERROR(__xludf.DUMMYFUNCTION("""COMPUTED_VALUE"""),""",")</f>
        <v>",</v>
      </c>
    </row>
    <row r="1607">
      <c r="A1607" s="9" t="str">
        <f>IFERROR(__xludf.DUMMYFUNCTION("""COMPUTED_VALUE"""),"""")</f>
        <v>"</v>
      </c>
      <c r="B1607" s="9" t="s">
        <v>1616</v>
      </c>
      <c r="C1607" s="9" t="str">
        <f>IFERROR(__xludf.DUMMYFUNCTION("""COMPUTED_VALUE"""),""":""")</f>
        <v>":"</v>
      </c>
      <c r="D1607" s="24">
        <v>2.0248888511809958E19</v>
      </c>
      <c r="E1607" s="9" t="str">
        <f>IFERROR(__xludf.DUMMYFUNCTION("""COMPUTED_VALUE"""),""",")</f>
        <v>",</v>
      </c>
    </row>
    <row r="1608">
      <c r="A1608" s="9" t="str">
        <f>IFERROR(__xludf.DUMMYFUNCTION("""COMPUTED_VALUE"""),"""")</f>
        <v>"</v>
      </c>
      <c r="B1608" s="9" t="s">
        <v>1617</v>
      </c>
      <c r="C1608" s="9" t="str">
        <f>IFERROR(__xludf.DUMMYFUNCTION("""COMPUTED_VALUE"""),""":""")</f>
        <v>":"</v>
      </c>
      <c r="D1608" s="24">
        <v>4.0401766708799114E18</v>
      </c>
      <c r="E1608" s="9" t="str">
        <f>IFERROR(__xludf.DUMMYFUNCTION("""COMPUTED_VALUE"""),""",")</f>
        <v>",</v>
      </c>
    </row>
    <row r="1609">
      <c r="A1609" s="9" t="str">
        <f>IFERROR(__xludf.DUMMYFUNCTION("""COMPUTED_VALUE"""),"""")</f>
        <v>"</v>
      </c>
      <c r="B1609" s="9" t="s">
        <v>1618</v>
      </c>
      <c r="C1609" s="9" t="str">
        <f>IFERROR(__xludf.DUMMYFUNCTION("""COMPUTED_VALUE"""),""":""")</f>
        <v>":"</v>
      </c>
      <c r="D1609" s="24">
        <v>6.2005979458241782E18</v>
      </c>
      <c r="E1609" s="9" t="str">
        <f>IFERROR(__xludf.DUMMYFUNCTION("""COMPUTED_VALUE"""),""",")</f>
        <v>",</v>
      </c>
    </row>
    <row r="1610">
      <c r="A1610" s="9" t="str">
        <f>IFERROR(__xludf.DUMMYFUNCTION("""COMPUTED_VALUE"""),"""")</f>
        <v>"</v>
      </c>
      <c r="B1610" s="9" t="s">
        <v>1619</v>
      </c>
      <c r="C1610" s="9" t="str">
        <f>IFERROR(__xludf.DUMMYFUNCTION("""COMPUTED_VALUE"""),""":""")</f>
        <v>":"</v>
      </c>
      <c r="D1610" s="24">
        <v>6.2005979458241782E18</v>
      </c>
      <c r="E1610" s="9" t="str">
        <f>IFERROR(__xludf.DUMMYFUNCTION("""COMPUTED_VALUE"""),""",")</f>
        <v>",</v>
      </c>
    </row>
    <row r="1611">
      <c r="A1611" s="9" t="str">
        <f>IFERROR(__xludf.DUMMYFUNCTION("""COMPUTED_VALUE"""),"""")</f>
        <v>"</v>
      </c>
      <c r="B1611" s="9" t="s">
        <v>1620</v>
      </c>
      <c r="C1611" s="9" t="str">
        <f>IFERROR(__xludf.DUMMYFUNCTION("""COMPUTED_VALUE"""),""":""")</f>
        <v>":"</v>
      </c>
      <c r="D1611" s="24">
        <v>2.0248888511809958E19</v>
      </c>
      <c r="E1611" s="9" t="str">
        <f>IFERROR(__xludf.DUMMYFUNCTION("""COMPUTED_VALUE"""),""",")</f>
        <v>",</v>
      </c>
    </row>
    <row r="1612">
      <c r="A1612" s="9" t="str">
        <f>IFERROR(__xludf.DUMMYFUNCTION("""COMPUTED_VALUE"""),"""")</f>
        <v>"</v>
      </c>
      <c r="B1612" s="9" t="s">
        <v>1621</v>
      </c>
      <c r="C1612" s="9" t="str">
        <f>IFERROR(__xludf.DUMMYFUNCTION("""COMPUTED_VALUE"""),""":""")</f>
        <v>":"</v>
      </c>
      <c r="D1612" s="24">
        <v>6.2005979458241782E18</v>
      </c>
      <c r="E1612" s="9" t="str">
        <f>IFERROR(__xludf.DUMMYFUNCTION("""COMPUTED_VALUE"""),""",")</f>
        <v>",</v>
      </c>
    </row>
    <row r="1613">
      <c r="A1613" s="9" t="str">
        <f>IFERROR(__xludf.DUMMYFUNCTION("""COMPUTED_VALUE"""),"""")</f>
        <v>"</v>
      </c>
      <c r="B1613" s="9" t="s">
        <v>1622</v>
      </c>
      <c r="C1613" s="9" t="str">
        <f>IFERROR(__xludf.DUMMYFUNCTION("""COMPUTED_VALUE"""),""":""")</f>
        <v>":"</v>
      </c>
      <c r="D1613" s="24">
        <v>2.0248888511809958E19</v>
      </c>
      <c r="E1613" s="9" t="str">
        <f>IFERROR(__xludf.DUMMYFUNCTION("""COMPUTED_VALUE"""),""",")</f>
        <v>",</v>
      </c>
    </row>
    <row r="1614">
      <c r="A1614" s="9" t="str">
        <f>IFERROR(__xludf.DUMMYFUNCTION("""COMPUTED_VALUE"""),"""")</f>
        <v>"</v>
      </c>
      <c r="B1614" s="9" t="s">
        <v>1623</v>
      </c>
      <c r="C1614" s="9" t="str">
        <f>IFERROR(__xludf.DUMMYFUNCTION("""COMPUTED_VALUE"""),""":""")</f>
        <v>":"</v>
      </c>
      <c r="D1614" s="24">
        <v>2.349187240812684E19</v>
      </c>
      <c r="E1614" s="9" t="str">
        <f>IFERROR(__xludf.DUMMYFUNCTION("""COMPUTED_VALUE"""),""",")</f>
        <v>",</v>
      </c>
    </row>
    <row r="1615">
      <c r="A1615" s="9" t="str">
        <f>IFERROR(__xludf.DUMMYFUNCTION("""COMPUTED_VALUE"""),"""")</f>
        <v>"</v>
      </c>
      <c r="B1615" s="9" t="s">
        <v>1624</v>
      </c>
      <c r="C1615" s="9" t="str">
        <f>IFERROR(__xludf.DUMMYFUNCTION("""COMPUTED_VALUE"""),""":""")</f>
        <v>":"</v>
      </c>
      <c r="D1615" s="24">
        <v>6.0263697826910003E18</v>
      </c>
      <c r="E1615" s="9" t="str">
        <f>IFERROR(__xludf.DUMMYFUNCTION("""COMPUTED_VALUE"""),""",")</f>
        <v>",</v>
      </c>
    </row>
    <row r="1616">
      <c r="A1616" s="9" t="str">
        <f>IFERROR(__xludf.DUMMYFUNCTION("""COMPUTED_VALUE"""),"""")</f>
        <v>"</v>
      </c>
      <c r="B1616" s="9" t="s">
        <v>1625</v>
      </c>
      <c r="C1616" s="9" t="str">
        <f>IFERROR(__xludf.DUMMYFUNCTION("""COMPUTED_VALUE"""),""":""")</f>
        <v>":"</v>
      </c>
      <c r="D1616" s="24">
        <v>2.0248888511809958E19</v>
      </c>
      <c r="E1616" s="9" t="str">
        <f>IFERROR(__xludf.DUMMYFUNCTION("""COMPUTED_VALUE"""),""",")</f>
        <v>",</v>
      </c>
    </row>
    <row r="1617">
      <c r="A1617" s="9" t="str">
        <f>IFERROR(__xludf.DUMMYFUNCTION("""COMPUTED_VALUE"""),"""")</f>
        <v>"</v>
      </c>
      <c r="B1617" s="9" t="s">
        <v>1626</v>
      </c>
      <c r="C1617" s="9" t="str">
        <f>IFERROR(__xludf.DUMMYFUNCTION("""COMPUTED_VALUE"""),""":""")</f>
        <v>":"</v>
      </c>
      <c r="D1617" s="24">
        <v>4.4898224496809779E18</v>
      </c>
      <c r="E1617" s="9" t="str">
        <f>IFERROR(__xludf.DUMMYFUNCTION("""COMPUTED_VALUE"""),""",")</f>
        <v>",</v>
      </c>
    </row>
    <row r="1618">
      <c r="A1618" s="9" t="str">
        <f>IFERROR(__xludf.DUMMYFUNCTION("""COMPUTED_VALUE"""),"""")</f>
        <v>"</v>
      </c>
      <c r="B1618" s="9" t="s">
        <v>1627</v>
      </c>
      <c r="C1618" s="9" t="str">
        <f>IFERROR(__xludf.DUMMYFUNCTION("""COMPUTED_VALUE"""),""":""")</f>
        <v>":"</v>
      </c>
      <c r="D1618" s="24">
        <v>2.0248888511809958E19</v>
      </c>
      <c r="E1618" s="9" t="str">
        <f>IFERROR(__xludf.DUMMYFUNCTION("""COMPUTED_VALUE"""),""",")</f>
        <v>",</v>
      </c>
    </row>
    <row r="1619">
      <c r="A1619" s="9" t="str">
        <f>IFERROR(__xludf.DUMMYFUNCTION("""COMPUTED_VALUE"""),"""")</f>
        <v>"</v>
      </c>
      <c r="B1619" s="9" t="s">
        <v>1628</v>
      </c>
      <c r="C1619" s="9" t="str">
        <f>IFERROR(__xludf.DUMMYFUNCTION("""COMPUTED_VALUE"""),""":""")</f>
        <v>":"</v>
      </c>
      <c r="D1619" s="24">
        <v>6.6329957986664315E18</v>
      </c>
      <c r="E1619" s="9" t="str">
        <f>IFERROR(__xludf.DUMMYFUNCTION("""COMPUTED_VALUE"""),""",")</f>
        <v>",</v>
      </c>
    </row>
    <row r="1620">
      <c r="A1620" s="9" t="str">
        <f>IFERROR(__xludf.DUMMYFUNCTION("""COMPUTED_VALUE"""),"""")</f>
        <v>"</v>
      </c>
      <c r="B1620" s="9" t="s">
        <v>1629</v>
      </c>
      <c r="C1620" s="9" t="str">
        <f>IFERROR(__xludf.DUMMYFUNCTION("""COMPUTED_VALUE"""),""":""")</f>
        <v>":"</v>
      </c>
      <c r="D1620" s="24">
        <v>5.5503500904195113E18</v>
      </c>
      <c r="E1620" s="9" t="str">
        <f>IFERROR(__xludf.DUMMYFUNCTION("""COMPUTED_VALUE"""),""",")</f>
        <v>",</v>
      </c>
    </row>
    <row r="1621">
      <c r="A1621" s="9" t="str">
        <f>IFERROR(__xludf.DUMMYFUNCTION("""COMPUTED_VALUE"""),"""")</f>
        <v>"</v>
      </c>
      <c r="B1621" s="9" t="s">
        <v>1630</v>
      </c>
      <c r="C1621" s="9" t="str">
        <f>IFERROR(__xludf.DUMMYFUNCTION("""COMPUTED_VALUE"""),""":""")</f>
        <v>":"</v>
      </c>
      <c r="D1621" s="24">
        <v>6.2005979458241782E18</v>
      </c>
      <c r="E1621" s="9" t="str">
        <f>IFERROR(__xludf.DUMMYFUNCTION("""COMPUTED_VALUE"""),""",")</f>
        <v>",</v>
      </c>
    </row>
    <row r="1622">
      <c r="A1622" s="9" t="str">
        <f>IFERROR(__xludf.DUMMYFUNCTION("""COMPUTED_VALUE"""),"""")</f>
        <v>"</v>
      </c>
      <c r="B1622" s="9" t="s">
        <v>1631</v>
      </c>
      <c r="C1622" s="9" t="str">
        <f>IFERROR(__xludf.DUMMYFUNCTION("""COMPUTED_VALUE"""),""":""")</f>
        <v>":"</v>
      </c>
      <c r="D1622" s="24">
        <v>6.2005979458241782E18</v>
      </c>
      <c r="E1622" s="9" t="str">
        <f>IFERROR(__xludf.DUMMYFUNCTION("""COMPUTED_VALUE"""),""",")</f>
        <v>",</v>
      </c>
    </row>
    <row r="1623">
      <c r="A1623" s="9" t="str">
        <f>IFERROR(__xludf.DUMMYFUNCTION("""COMPUTED_VALUE"""),"""")</f>
        <v>"</v>
      </c>
      <c r="B1623" s="9" t="s">
        <v>1632</v>
      </c>
      <c r="C1623" s="9" t="str">
        <f>IFERROR(__xludf.DUMMYFUNCTION("""COMPUTED_VALUE"""),""":""")</f>
        <v>":"</v>
      </c>
      <c r="D1623" s="24">
        <v>6.2005979458241782E18</v>
      </c>
      <c r="E1623" s="9" t="str">
        <f>IFERROR(__xludf.DUMMYFUNCTION("""COMPUTED_VALUE"""),""",")</f>
        <v>",</v>
      </c>
    </row>
    <row r="1624">
      <c r="A1624" s="9" t="str">
        <f>IFERROR(__xludf.DUMMYFUNCTION("""COMPUTED_VALUE"""),"""")</f>
        <v>"</v>
      </c>
      <c r="B1624" s="9" t="s">
        <v>1633</v>
      </c>
      <c r="C1624" s="9" t="str">
        <f>IFERROR(__xludf.DUMMYFUNCTION("""COMPUTED_VALUE"""),""":""")</f>
        <v>":"</v>
      </c>
      <c r="D1624" s="24">
        <v>5.7002706003401515E19</v>
      </c>
      <c r="E1624" s="9" t="str">
        <f>IFERROR(__xludf.DUMMYFUNCTION("""COMPUTED_VALUE"""),""",")</f>
        <v>",</v>
      </c>
    </row>
    <row r="1625">
      <c r="A1625" s="9" t="str">
        <f>IFERROR(__xludf.DUMMYFUNCTION("""COMPUTED_VALUE"""),"""")</f>
        <v>"</v>
      </c>
      <c r="B1625" s="9" t="s">
        <v>1634</v>
      </c>
      <c r="C1625" s="9" t="str">
        <f>IFERROR(__xludf.DUMMYFUNCTION("""COMPUTED_VALUE"""),""":""")</f>
        <v>":"</v>
      </c>
      <c r="D1625" s="24">
        <v>6.2005979458241782E18</v>
      </c>
      <c r="E1625" s="9" t="str">
        <f>IFERROR(__xludf.DUMMYFUNCTION("""COMPUTED_VALUE"""),""",")</f>
        <v>",</v>
      </c>
    </row>
    <row r="1626">
      <c r="A1626" s="9" t="str">
        <f>IFERROR(__xludf.DUMMYFUNCTION("""COMPUTED_VALUE"""),"""")</f>
        <v>"</v>
      </c>
      <c r="B1626" s="9" t="s">
        <v>1635</v>
      </c>
      <c r="C1626" s="9" t="str">
        <f>IFERROR(__xludf.DUMMYFUNCTION("""COMPUTED_VALUE"""),""":""")</f>
        <v>":"</v>
      </c>
      <c r="D1626" s="24">
        <v>1.9920279784719778E19</v>
      </c>
      <c r="E1626" s="9" t="str">
        <f>IFERROR(__xludf.DUMMYFUNCTION("""COMPUTED_VALUE"""),""",")</f>
        <v>",</v>
      </c>
    </row>
    <row r="1627">
      <c r="A1627" s="9" t="str">
        <f>IFERROR(__xludf.DUMMYFUNCTION("""COMPUTED_VALUE"""),"""")</f>
        <v>"</v>
      </c>
      <c r="B1627" s="9" t="s">
        <v>1636</v>
      </c>
      <c r="C1627" s="9" t="str">
        <f>IFERROR(__xludf.DUMMYFUNCTION("""COMPUTED_VALUE"""),""":""")</f>
        <v>":"</v>
      </c>
      <c r="D1627" s="24">
        <v>6.2005979458241782E18</v>
      </c>
      <c r="E1627" s="9" t="str">
        <f>IFERROR(__xludf.DUMMYFUNCTION("""COMPUTED_VALUE"""),""",")</f>
        <v>",</v>
      </c>
    </row>
    <row r="1628">
      <c r="A1628" s="9" t="str">
        <f>IFERROR(__xludf.DUMMYFUNCTION("""COMPUTED_VALUE"""),"""")</f>
        <v>"</v>
      </c>
      <c r="B1628" s="9" t="s">
        <v>1637</v>
      </c>
      <c r="C1628" s="9" t="str">
        <f>IFERROR(__xludf.DUMMYFUNCTION("""COMPUTED_VALUE"""),""":""")</f>
        <v>":"</v>
      </c>
      <c r="D1628" s="24">
        <v>6.2005979458241782E18</v>
      </c>
      <c r="E1628" s="9" t="str">
        <f>IFERROR(__xludf.DUMMYFUNCTION("""COMPUTED_VALUE"""),""",")</f>
        <v>",</v>
      </c>
    </row>
    <row r="1629">
      <c r="A1629" s="9" t="str">
        <f>IFERROR(__xludf.DUMMYFUNCTION("""COMPUTED_VALUE"""),"""")</f>
        <v>"</v>
      </c>
      <c r="B1629" s="9" t="s">
        <v>1638</v>
      </c>
      <c r="C1629" s="9" t="str">
        <f>IFERROR(__xludf.DUMMYFUNCTION("""COMPUTED_VALUE"""),""":""")</f>
        <v>":"</v>
      </c>
      <c r="D1629" s="24">
        <v>2.0248888511809958E19</v>
      </c>
      <c r="E1629" s="9" t="str">
        <f>IFERROR(__xludf.DUMMYFUNCTION("""COMPUTED_VALUE"""),""",")</f>
        <v>",</v>
      </c>
    </row>
    <row r="1630">
      <c r="A1630" s="9" t="str">
        <f>IFERROR(__xludf.DUMMYFUNCTION("""COMPUTED_VALUE"""),"""")</f>
        <v>"</v>
      </c>
      <c r="B1630" s="9" t="s">
        <v>1639</v>
      </c>
      <c r="C1630" s="9" t="str">
        <f>IFERROR(__xludf.DUMMYFUNCTION("""COMPUTED_VALUE"""),""":""")</f>
        <v>":"</v>
      </c>
      <c r="D1630" s="24">
        <v>6.2005979458241782E18</v>
      </c>
      <c r="E1630" s="9" t="str">
        <f>IFERROR(__xludf.DUMMYFUNCTION("""COMPUTED_VALUE"""),""",")</f>
        <v>",</v>
      </c>
    </row>
    <row r="1631">
      <c r="A1631" s="9" t="str">
        <f>IFERROR(__xludf.DUMMYFUNCTION("""COMPUTED_VALUE"""),"""")</f>
        <v>"</v>
      </c>
      <c r="B1631" s="9" t="s">
        <v>1640</v>
      </c>
      <c r="C1631" s="9" t="str">
        <f>IFERROR(__xludf.DUMMYFUNCTION("""COMPUTED_VALUE"""),""":""")</f>
        <v>":"</v>
      </c>
      <c r="D1631" s="24">
        <v>4.9218034252796625E19</v>
      </c>
      <c r="E1631" s="9" t="str">
        <f>IFERROR(__xludf.DUMMYFUNCTION("""COMPUTED_VALUE"""),""",")</f>
        <v>",</v>
      </c>
    </row>
    <row r="1632">
      <c r="A1632" s="9" t="str">
        <f>IFERROR(__xludf.DUMMYFUNCTION("""COMPUTED_VALUE"""),"""")</f>
        <v>"</v>
      </c>
      <c r="B1632" s="9" t="s">
        <v>1641</v>
      </c>
      <c r="C1632" s="9" t="str">
        <f>IFERROR(__xludf.DUMMYFUNCTION("""COMPUTED_VALUE"""),""":""")</f>
        <v>":"</v>
      </c>
      <c r="D1632" s="24">
        <v>5.5096775795195331E18</v>
      </c>
      <c r="E1632" s="9" t="str">
        <f>IFERROR(__xludf.DUMMYFUNCTION("""COMPUTED_VALUE"""),""",")</f>
        <v>",</v>
      </c>
    </row>
    <row r="1633">
      <c r="A1633" s="9" t="str">
        <f>IFERROR(__xludf.DUMMYFUNCTION("""COMPUTED_VALUE"""),"""")</f>
        <v>"</v>
      </c>
      <c r="B1633" s="9" t="s">
        <v>1642</v>
      </c>
      <c r="C1633" s="9" t="str">
        <f>IFERROR(__xludf.DUMMYFUNCTION("""COMPUTED_VALUE"""),""":""")</f>
        <v>":"</v>
      </c>
      <c r="D1633" s="24">
        <v>1.7430704371125932E19</v>
      </c>
      <c r="E1633" s="9" t="str">
        <f>IFERROR(__xludf.DUMMYFUNCTION("""COMPUTED_VALUE"""),""",")</f>
        <v>",</v>
      </c>
    </row>
    <row r="1634">
      <c r="A1634" s="9" t="str">
        <f>IFERROR(__xludf.DUMMYFUNCTION("""COMPUTED_VALUE"""),"""")</f>
        <v>"</v>
      </c>
      <c r="B1634" s="9" t="s">
        <v>1643</v>
      </c>
      <c r="C1634" s="9" t="str">
        <f>IFERROR(__xludf.DUMMYFUNCTION("""COMPUTED_VALUE"""),""":""")</f>
        <v>":"</v>
      </c>
      <c r="D1634" s="24">
        <v>2.0248888511809958E19</v>
      </c>
      <c r="E1634" s="9" t="str">
        <f>IFERROR(__xludf.DUMMYFUNCTION("""COMPUTED_VALUE"""),""",")</f>
        <v>",</v>
      </c>
    </row>
    <row r="1635">
      <c r="A1635" s="9" t="str">
        <f>IFERROR(__xludf.DUMMYFUNCTION("""COMPUTED_VALUE"""),"""")</f>
        <v>"</v>
      </c>
      <c r="B1635" s="9" t="s">
        <v>1644</v>
      </c>
      <c r="C1635" s="9" t="str">
        <f>IFERROR(__xludf.DUMMYFUNCTION("""COMPUTED_VALUE"""),""":""")</f>
        <v>":"</v>
      </c>
      <c r="D1635" s="24">
        <v>2.0248888511809958E19</v>
      </c>
      <c r="E1635" s="9" t="str">
        <f>IFERROR(__xludf.DUMMYFUNCTION("""COMPUTED_VALUE"""),""",")</f>
        <v>",</v>
      </c>
    </row>
    <row r="1636">
      <c r="A1636" s="9" t="str">
        <f>IFERROR(__xludf.DUMMYFUNCTION("""COMPUTED_VALUE"""),"""")</f>
        <v>"</v>
      </c>
      <c r="B1636" s="9" t="s">
        <v>1645</v>
      </c>
      <c r="C1636" s="9" t="str">
        <f>IFERROR(__xludf.DUMMYFUNCTION("""COMPUTED_VALUE"""),""":""")</f>
        <v>":"</v>
      </c>
      <c r="D1636" s="24">
        <v>2.34676931847902272E17</v>
      </c>
      <c r="E1636" s="9" t="str">
        <f>IFERROR(__xludf.DUMMYFUNCTION("""COMPUTED_VALUE"""),""",")</f>
        <v>",</v>
      </c>
    </row>
    <row r="1637">
      <c r="A1637" s="9" t="str">
        <f>IFERROR(__xludf.DUMMYFUNCTION("""COMPUTED_VALUE"""),"""")</f>
        <v>"</v>
      </c>
      <c r="B1637" s="9" t="s">
        <v>1646</v>
      </c>
      <c r="C1637" s="9" t="str">
        <f>IFERROR(__xludf.DUMMYFUNCTION("""COMPUTED_VALUE"""),""":""")</f>
        <v>":"</v>
      </c>
      <c r="D1637" s="24">
        <v>6.2005979458241782E18</v>
      </c>
      <c r="E1637" s="9" t="str">
        <f>IFERROR(__xludf.DUMMYFUNCTION("""COMPUTED_VALUE"""),""",")</f>
        <v>",</v>
      </c>
    </row>
    <row r="1638">
      <c r="A1638" s="9" t="str">
        <f>IFERROR(__xludf.DUMMYFUNCTION("""COMPUTED_VALUE"""),"""")</f>
        <v>"</v>
      </c>
      <c r="B1638" s="9" t="s">
        <v>1647</v>
      </c>
      <c r="C1638" s="9" t="str">
        <f>IFERROR(__xludf.DUMMYFUNCTION("""COMPUTED_VALUE"""),""":""")</f>
        <v>":"</v>
      </c>
      <c r="D1638" s="24">
        <v>2.2679194144217203E19</v>
      </c>
      <c r="E1638" s="9" t="str">
        <f>IFERROR(__xludf.DUMMYFUNCTION("""COMPUTED_VALUE"""),""",")</f>
        <v>",</v>
      </c>
    </row>
    <row r="1639">
      <c r="A1639" s="9" t="str">
        <f>IFERROR(__xludf.DUMMYFUNCTION("""COMPUTED_VALUE"""),"""")</f>
        <v>"</v>
      </c>
      <c r="B1639" s="9" t="s">
        <v>1648</v>
      </c>
      <c r="C1639" s="9" t="str">
        <f>IFERROR(__xludf.DUMMYFUNCTION("""COMPUTED_VALUE"""),""":""")</f>
        <v>":"</v>
      </c>
      <c r="D1639" s="24">
        <v>3.9326149220380897E18</v>
      </c>
      <c r="E1639" s="9" t="str">
        <f>IFERROR(__xludf.DUMMYFUNCTION("""COMPUTED_VALUE"""),""",")</f>
        <v>",</v>
      </c>
    </row>
    <row r="1640">
      <c r="A1640" s="9" t="str">
        <f>IFERROR(__xludf.DUMMYFUNCTION("""COMPUTED_VALUE"""),"""")</f>
        <v>"</v>
      </c>
      <c r="B1640" s="9" t="s">
        <v>1649</v>
      </c>
      <c r="C1640" s="9" t="str">
        <f>IFERROR(__xludf.DUMMYFUNCTION("""COMPUTED_VALUE"""),""":""")</f>
        <v>":"</v>
      </c>
      <c r="D1640" s="24">
        <v>6.2005979458241782E18</v>
      </c>
      <c r="E1640" s="9" t="str">
        <f>IFERROR(__xludf.DUMMYFUNCTION("""COMPUTED_VALUE"""),""",")</f>
        <v>",</v>
      </c>
    </row>
    <row r="1641">
      <c r="A1641" s="9" t="str">
        <f>IFERROR(__xludf.DUMMYFUNCTION("""COMPUTED_VALUE"""),"""")</f>
        <v>"</v>
      </c>
      <c r="B1641" s="9" t="s">
        <v>1650</v>
      </c>
      <c r="C1641" s="9" t="str">
        <f>IFERROR(__xludf.DUMMYFUNCTION("""COMPUTED_VALUE"""),""":""")</f>
        <v>":"</v>
      </c>
      <c r="D1641" s="24">
        <v>6.2005979458241782E18</v>
      </c>
      <c r="E1641" s="9" t="str">
        <f>IFERROR(__xludf.DUMMYFUNCTION("""COMPUTED_VALUE"""),""",")</f>
        <v>",</v>
      </c>
    </row>
    <row r="1642">
      <c r="A1642" s="9" t="str">
        <f>IFERROR(__xludf.DUMMYFUNCTION("""COMPUTED_VALUE"""),"""")</f>
        <v>"</v>
      </c>
      <c r="B1642" s="9" t="s">
        <v>1651</v>
      </c>
      <c r="C1642" s="9" t="str">
        <f>IFERROR(__xludf.DUMMYFUNCTION("""COMPUTED_VALUE"""),""":""")</f>
        <v>":"</v>
      </c>
      <c r="D1642" s="24">
        <v>7.2120748665751521E18</v>
      </c>
      <c r="E1642" s="9" t="str">
        <f>IFERROR(__xludf.DUMMYFUNCTION("""COMPUTED_VALUE"""),""",")</f>
        <v>",</v>
      </c>
    </row>
    <row r="1643">
      <c r="A1643" s="9" t="str">
        <f>IFERROR(__xludf.DUMMYFUNCTION("""COMPUTED_VALUE"""),"""")</f>
        <v>"</v>
      </c>
      <c r="B1643" s="9" t="s">
        <v>1652</v>
      </c>
      <c r="C1643" s="9" t="str">
        <f>IFERROR(__xludf.DUMMYFUNCTION("""COMPUTED_VALUE"""),""":""")</f>
        <v>":"</v>
      </c>
      <c r="D1643" s="24">
        <v>2.002875941453273E19</v>
      </c>
      <c r="E1643" s="9" t="str">
        <f>IFERROR(__xludf.DUMMYFUNCTION("""COMPUTED_VALUE"""),""",")</f>
        <v>",</v>
      </c>
    </row>
    <row r="1644">
      <c r="A1644" s="9" t="str">
        <f>IFERROR(__xludf.DUMMYFUNCTION("""COMPUTED_VALUE"""),"""")</f>
        <v>"</v>
      </c>
      <c r="B1644" s="9" t="s">
        <v>1653</v>
      </c>
      <c r="C1644" s="9" t="str">
        <f>IFERROR(__xludf.DUMMYFUNCTION("""COMPUTED_VALUE"""),""":""")</f>
        <v>":"</v>
      </c>
      <c r="D1644" s="24">
        <v>7.0545406754420834E19</v>
      </c>
      <c r="E1644" s="9" t="str">
        <f>IFERROR(__xludf.DUMMYFUNCTION("""COMPUTED_VALUE"""),""",")</f>
        <v>",</v>
      </c>
    </row>
    <row r="1645">
      <c r="A1645" s="9" t="str">
        <f>IFERROR(__xludf.DUMMYFUNCTION("""COMPUTED_VALUE"""),"""")</f>
        <v>"</v>
      </c>
      <c r="B1645" s="9" t="s">
        <v>1654</v>
      </c>
      <c r="C1645" s="9" t="str">
        <f>IFERROR(__xludf.DUMMYFUNCTION("""COMPUTED_VALUE"""),""":""")</f>
        <v>":"</v>
      </c>
      <c r="D1645" s="24">
        <v>6.2005979458241782E18</v>
      </c>
      <c r="E1645" s="9" t="str">
        <f>IFERROR(__xludf.DUMMYFUNCTION("""COMPUTED_VALUE"""),""",")</f>
        <v>",</v>
      </c>
    </row>
    <row r="1646">
      <c r="A1646" s="9" t="str">
        <f>IFERROR(__xludf.DUMMYFUNCTION("""COMPUTED_VALUE"""),"""")</f>
        <v>"</v>
      </c>
      <c r="B1646" s="9" t="s">
        <v>1655</v>
      </c>
      <c r="C1646" s="9" t="str">
        <f>IFERROR(__xludf.DUMMYFUNCTION("""COMPUTED_VALUE"""),""":""")</f>
        <v>":"</v>
      </c>
      <c r="D1646" s="24">
        <v>6.2005979458241782E18</v>
      </c>
      <c r="E1646" s="9" t="str">
        <f>IFERROR(__xludf.DUMMYFUNCTION("""COMPUTED_VALUE"""),""",")</f>
        <v>",</v>
      </c>
    </row>
    <row r="1647">
      <c r="A1647" s="9" t="str">
        <f>IFERROR(__xludf.DUMMYFUNCTION("""COMPUTED_VALUE"""),"""")</f>
        <v>"</v>
      </c>
      <c r="B1647" s="9" t="s">
        <v>1656</v>
      </c>
      <c r="C1647" s="9" t="str">
        <f>IFERROR(__xludf.DUMMYFUNCTION("""COMPUTED_VALUE"""),""":""")</f>
        <v>":"</v>
      </c>
      <c r="D1647" s="24">
        <v>4.249695592760066E18</v>
      </c>
      <c r="E1647" s="9" t="str">
        <f>IFERROR(__xludf.DUMMYFUNCTION("""COMPUTED_VALUE"""),""",")</f>
        <v>",</v>
      </c>
    </row>
    <row r="1648">
      <c r="A1648" s="9" t="str">
        <f>IFERROR(__xludf.DUMMYFUNCTION("""COMPUTED_VALUE"""),"""")</f>
        <v>"</v>
      </c>
      <c r="B1648" s="9" t="s">
        <v>1657</v>
      </c>
      <c r="C1648" s="9" t="str">
        <f>IFERROR(__xludf.DUMMYFUNCTION("""COMPUTED_VALUE"""),""":""")</f>
        <v>":"</v>
      </c>
      <c r="D1648" s="24">
        <v>5.7221502624771113E18</v>
      </c>
      <c r="E1648" s="9" t="str">
        <f>IFERROR(__xludf.DUMMYFUNCTION("""COMPUTED_VALUE"""),""",")</f>
        <v>",</v>
      </c>
    </row>
    <row r="1649">
      <c r="A1649" s="9" t="str">
        <f>IFERROR(__xludf.DUMMYFUNCTION("""COMPUTED_VALUE"""),"""")</f>
        <v>"</v>
      </c>
      <c r="B1649" s="9" t="s">
        <v>1658</v>
      </c>
      <c r="C1649" s="9" t="str">
        <f>IFERROR(__xludf.DUMMYFUNCTION("""COMPUTED_VALUE"""),""":""")</f>
        <v>":"</v>
      </c>
      <c r="D1649" s="24">
        <v>5.9612250141515776E18</v>
      </c>
      <c r="E1649" s="9" t="str">
        <f>IFERROR(__xludf.DUMMYFUNCTION("""COMPUTED_VALUE"""),""",")</f>
        <v>",</v>
      </c>
    </row>
    <row r="1650">
      <c r="A1650" s="9" t="str">
        <f>IFERROR(__xludf.DUMMYFUNCTION("""COMPUTED_VALUE"""),"""")</f>
        <v>"</v>
      </c>
      <c r="B1650" s="9" t="s">
        <v>1659</v>
      </c>
      <c r="C1650" s="9" t="str">
        <f>IFERROR(__xludf.DUMMYFUNCTION("""COMPUTED_VALUE"""),""":""")</f>
        <v>":"</v>
      </c>
      <c r="D1650" s="24">
        <v>5.2038379177268666E17</v>
      </c>
      <c r="E1650" s="9" t="str">
        <f>IFERROR(__xludf.DUMMYFUNCTION("""COMPUTED_VALUE"""),""",")</f>
        <v>",</v>
      </c>
    </row>
    <row r="1651">
      <c r="A1651" s="9" t="str">
        <f>IFERROR(__xludf.DUMMYFUNCTION("""COMPUTED_VALUE"""),"""")</f>
        <v>"</v>
      </c>
      <c r="B1651" s="9" t="s">
        <v>1660</v>
      </c>
      <c r="C1651" s="9" t="str">
        <f>IFERROR(__xludf.DUMMYFUNCTION("""COMPUTED_VALUE"""),""":""")</f>
        <v>":"</v>
      </c>
      <c r="D1651" s="24">
        <v>6.2005979458241782E18</v>
      </c>
      <c r="E1651" s="9" t="str">
        <f>IFERROR(__xludf.DUMMYFUNCTION("""COMPUTED_VALUE"""),""",")</f>
        <v>",</v>
      </c>
    </row>
    <row r="1652">
      <c r="A1652" s="9" t="str">
        <f>IFERROR(__xludf.DUMMYFUNCTION("""COMPUTED_VALUE"""),"""")</f>
        <v>"</v>
      </c>
      <c r="B1652" s="9" t="s">
        <v>1661</v>
      </c>
      <c r="C1652" s="9" t="str">
        <f>IFERROR(__xludf.DUMMYFUNCTION("""COMPUTED_VALUE"""),""":""")</f>
        <v>":"</v>
      </c>
      <c r="D1652" s="24">
        <v>6.5218265207404405E19</v>
      </c>
      <c r="E1652" s="9" t="str">
        <f>IFERROR(__xludf.DUMMYFUNCTION("""COMPUTED_VALUE"""),""",")</f>
        <v>",</v>
      </c>
    </row>
    <row r="1653">
      <c r="A1653" s="9" t="str">
        <f>IFERROR(__xludf.DUMMYFUNCTION("""COMPUTED_VALUE"""),"""")</f>
        <v>"</v>
      </c>
      <c r="B1653" s="9" t="s">
        <v>1662</v>
      </c>
      <c r="C1653" s="9" t="str">
        <f>IFERROR(__xludf.DUMMYFUNCTION("""COMPUTED_VALUE"""),""":""")</f>
        <v>":"</v>
      </c>
      <c r="D1653" s="24">
        <v>6.2005979458241782E18</v>
      </c>
      <c r="E1653" s="9" t="str">
        <f>IFERROR(__xludf.DUMMYFUNCTION("""COMPUTED_VALUE"""),""",")</f>
        <v>",</v>
      </c>
    </row>
    <row r="1654">
      <c r="A1654" s="9" t="str">
        <f>IFERROR(__xludf.DUMMYFUNCTION("""COMPUTED_VALUE"""),"""")</f>
        <v>"</v>
      </c>
      <c r="B1654" s="9" t="s">
        <v>1663</v>
      </c>
      <c r="C1654" s="9" t="str">
        <f>IFERROR(__xludf.DUMMYFUNCTION("""COMPUTED_VALUE"""),""":""")</f>
        <v>":"</v>
      </c>
      <c r="D1654" s="24">
        <v>4.5158926281126446E18</v>
      </c>
      <c r="E1654" s="9" t="str">
        <f>IFERROR(__xludf.DUMMYFUNCTION("""COMPUTED_VALUE"""),""",")</f>
        <v>",</v>
      </c>
    </row>
    <row r="1655">
      <c r="A1655" s="9" t="str">
        <f>IFERROR(__xludf.DUMMYFUNCTION("""COMPUTED_VALUE"""),"""")</f>
        <v>"</v>
      </c>
      <c r="B1655" s="9" t="s">
        <v>1664</v>
      </c>
      <c r="C1655" s="9" t="str">
        <f>IFERROR(__xludf.DUMMYFUNCTION("""COMPUTED_VALUE"""),""":""")</f>
        <v>":"</v>
      </c>
      <c r="D1655" s="24">
        <v>2.2843275628863468E19</v>
      </c>
      <c r="E1655" s="9" t="str">
        <f>IFERROR(__xludf.DUMMYFUNCTION("""COMPUTED_VALUE"""),""",")</f>
        <v>",</v>
      </c>
    </row>
    <row r="1656">
      <c r="A1656" s="9" t="str">
        <f>IFERROR(__xludf.DUMMYFUNCTION("""COMPUTED_VALUE"""),"""")</f>
        <v>"</v>
      </c>
      <c r="B1656" s="9" t="s">
        <v>1665</v>
      </c>
      <c r="C1656" s="9" t="str">
        <f>IFERROR(__xludf.DUMMYFUNCTION("""COMPUTED_VALUE"""),""":""")</f>
        <v>":"</v>
      </c>
      <c r="D1656" s="24">
        <v>4.6802735575540664E18</v>
      </c>
      <c r="E1656" s="9" t="str">
        <f>IFERROR(__xludf.DUMMYFUNCTION("""COMPUTED_VALUE"""),""",")</f>
        <v>",</v>
      </c>
    </row>
    <row r="1657">
      <c r="A1657" s="9" t="str">
        <f>IFERROR(__xludf.DUMMYFUNCTION("""COMPUTED_VALUE"""),"""")</f>
        <v>"</v>
      </c>
      <c r="B1657" s="9" t="s">
        <v>1666</v>
      </c>
      <c r="C1657" s="9" t="str">
        <f>IFERROR(__xludf.DUMMYFUNCTION("""COMPUTED_VALUE"""),""":""")</f>
        <v>":"</v>
      </c>
      <c r="D1657" s="24">
        <v>6.2005979458241782E18</v>
      </c>
      <c r="E1657" s="9" t="str">
        <f>IFERROR(__xludf.DUMMYFUNCTION("""COMPUTED_VALUE"""),""",")</f>
        <v>",</v>
      </c>
    </row>
    <row r="1658">
      <c r="A1658" s="9" t="str">
        <f>IFERROR(__xludf.DUMMYFUNCTION("""COMPUTED_VALUE"""),"""")</f>
        <v>"</v>
      </c>
      <c r="B1658" s="9" t="s">
        <v>1667</v>
      </c>
      <c r="C1658" s="9" t="str">
        <f>IFERROR(__xludf.DUMMYFUNCTION("""COMPUTED_VALUE"""),""":""")</f>
        <v>":"</v>
      </c>
      <c r="D1658" s="24">
        <v>6.2005979458241782E18</v>
      </c>
      <c r="E1658" s="9" t="str">
        <f>IFERROR(__xludf.DUMMYFUNCTION("""COMPUTED_VALUE"""),""",")</f>
        <v>",</v>
      </c>
    </row>
    <row r="1659">
      <c r="A1659" s="9" t="str">
        <f>IFERROR(__xludf.DUMMYFUNCTION("""COMPUTED_VALUE"""),"""")</f>
        <v>"</v>
      </c>
      <c r="B1659" s="9" t="s">
        <v>1668</v>
      </c>
      <c r="C1659" s="9" t="str">
        <f>IFERROR(__xludf.DUMMYFUNCTION("""COMPUTED_VALUE"""),""":""")</f>
        <v>":"</v>
      </c>
      <c r="D1659" s="24">
        <v>5.8826343407931556E18</v>
      </c>
      <c r="E1659" s="9" t="str">
        <f>IFERROR(__xludf.DUMMYFUNCTION("""COMPUTED_VALUE"""),""",")</f>
        <v>",</v>
      </c>
    </row>
    <row r="1660">
      <c r="A1660" s="9" t="str">
        <f>IFERROR(__xludf.DUMMYFUNCTION("""COMPUTED_VALUE"""),"""")</f>
        <v>"</v>
      </c>
      <c r="B1660" s="9" t="s">
        <v>1669</v>
      </c>
      <c r="C1660" s="9" t="str">
        <f>IFERROR(__xludf.DUMMYFUNCTION("""COMPUTED_VALUE"""),""":""")</f>
        <v>":"</v>
      </c>
      <c r="D1660" s="24">
        <v>6.2005979458241782E18</v>
      </c>
      <c r="E1660" s="9" t="str">
        <f>IFERROR(__xludf.DUMMYFUNCTION("""COMPUTED_VALUE"""),""",")</f>
        <v>",</v>
      </c>
    </row>
    <row r="1661">
      <c r="A1661" s="9" t="str">
        <f>IFERROR(__xludf.DUMMYFUNCTION("""COMPUTED_VALUE"""),"""")</f>
        <v>"</v>
      </c>
      <c r="B1661" s="9" t="s">
        <v>1670</v>
      </c>
      <c r="C1661" s="9" t="str">
        <f>IFERROR(__xludf.DUMMYFUNCTION("""COMPUTED_VALUE"""),""":""")</f>
        <v>":"</v>
      </c>
      <c r="D1661" s="24">
        <v>2.023046771828149E19</v>
      </c>
      <c r="E1661" s="9" t="str">
        <f>IFERROR(__xludf.DUMMYFUNCTION("""COMPUTED_VALUE"""),""",")</f>
        <v>",</v>
      </c>
    </row>
    <row r="1662">
      <c r="A1662" s="9" t="str">
        <f>IFERROR(__xludf.DUMMYFUNCTION("""COMPUTED_VALUE"""),"""")</f>
        <v>"</v>
      </c>
      <c r="B1662" s="9" t="s">
        <v>1671</v>
      </c>
      <c r="C1662" s="9" t="str">
        <f>IFERROR(__xludf.DUMMYFUNCTION("""COMPUTED_VALUE"""),""":""")</f>
        <v>":"</v>
      </c>
      <c r="D1662" s="24">
        <v>2.2843275628863468E19</v>
      </c>
      <c r="E1662" s="9" t="str">
        <f>IFERROR(__xludf.DUMMYFUNCTION("""COMPUTED_VALUE"""),""",")</f>
        <v>",</v>
      </c>
    </row>
    <row r="1663">
      <c r="A1663" s="9" t="str">
        <f>IFERROR(__xludf.DUMMYFUNCTION("""COMPUTED_VALUE"""),"""")</f>
        <v>"</v>
      </c>
      <c r="B1663" s="9" t="s">
        <v>1672</v>
      </c>
      <c r="C1663" s="9" t="str">
        <f>IFERROR(__xludf.DUMMYFUNCTION("""COMPUTED_VALUE"""),""":""")</f>
        <v>":"</v>
      </c>
      <c r="D1663" s="24">
        <v>6.2005979458241782E18</v>
      </c>
      <c r="E1663" s="9" t="str">
        <f>IFERROR(__xludf.DUMMYFUNCTION("""COMPUTED_VALUE"""),""",")</f>
        <v>",</v>
      </c>
    </row>
    <row r="1664">
      <c r="A1664" s="9" t="str">
        <f>IFERROR(__xludf.DUMMYFUNCTION("""COMPUTED_VALUE"""),"""")</f>
        <v>"</v>
      </c>
      <c r="B1664" s="9" t="s">
        <v>1673</v>
      </c>
      <c r="C1664" s="9" t="str">
        <f>IFERROR(__xludf.DUMMYFUNCTION("""COMPUTED_VALUE"""),""":""")</f>
        <v>":"</v>
      </c>
      <c r="D1664" s="24">
        <v>6.2005979458241782E18</v>
      </c>
      <c r="E1664" s="9" t="str">
        <f>IFERROR(__xludf.DUMMYFUNCTION("""COMPUTED_VALUE"""),""",")</f>
        <v>",</v>
      </c>
    </row>
    <row r="1665">
      <c r="A1665" s="9" t="str">
        <f>IFERROR(__xludf.DUMMYFUNCTION("""COMPUTED_VALUE"""),"""")</f>
        <v>"</v>
      </c>
      <c r="B1665" s="9" t="s">
        <v>1674</v>
      </c>
      <c r="C1665" s="9" t="str">
        <f>IFERROR(__xludf.DUMMYFUNCTION("""COMPUTED_VALUE"""),""":""")</f>
        <v>":"</v>
      </c>
      <c r="D1665" s="24">
        <v>4.792235109371418E19</v>
      </c>
      <c r="E1665" s="9" t="str">
        <f>IFERROR(__xludf.DUMMYFUNCTION("""COMPUTED_VALUE"""),""",")</f>
        <v>",</v>
      </c>
    </row>
    <row r="1666">
      <c r="A1666" s="9" t="str">
        <f>IFERROR(__xludf.DUMMYFUNCTION("""COMPUTED_VALUE"""),"""")</f>
        <v>"</v>
      </c>
      <c r="B1666" s="9" t="s">
        <v>1675</v>
      </c>
      <c r="C1666" s="9" t="str">
        <f>IFERROR(__xludf.DUMMYFUNCTION("""COMPUTED_VALUE"""),""":""")</f>
        <v>":"</v>
      </c>
      <c r="D1666" s="24">
        <v>6.2005979458241782E18</v>
      </c>
      <c r="E1666" s="9" t="str">
        <f>IFERROR(__xludf.DUMMYFUNCTION("""COMPUTED_VALUE"""),""",")</f>
        <v>",</v>
      </c>
    </row>
    <row r="1667">
      <c r="A1667" s="9" t="str">
        <f>IFERROR(__xludf.DUMMYFUNCTION("""COMPUTED_VALUE"""),"""")</f>
        <v>"</v>
      </c>
      <c r="B1667" s="9" t="s">
        <v>1676</v>
      </c>
      <c r="C1667" s="9" t="str">
        <f>IFERROR(__xludf.DUMMYFUNCTION("""COMPUTED_VALUE"""),""":""")</f>
        <v>":"</v>
      </c>
      <c r="D1667" s="24">
        <v>1.0153092564216576E19</v>
      </c>
      <c r="E1667" s="9" t="str">
        <f>IFERROR(__xludf.DUMMYFUNCTION("""COMPUTED_VALUE"""),""",")</f>
        <v>",</v>
      </c>
    </row>
    <row r="1668">
      <c r="A1668" s="9" t="str">
        <f>IFERROR(__xludf.DUMMYFUNCTION("""COMPUTED_VALUE"""),"""")</f>
        <v>"</v>
      </c>
      <c r="B1668" s="9" t="s">
        <v>1677</v>
      </c>
      <c r="C1668" s="9" t="str">
        <f>IFERROR(__xludf.DUMMYFUNCTION("""COMPUTED_VALUE"""),""":""")</f>
        <v>":"</v>
      </c>
      <c r="D1668" s="24">
        <v>6.2005979458241782E18</v>
      </c>
      <c r="E1668" s="9" t="str">
        <f>IFERROR(__xludf.DUMMYFUNCTION("""COMPUTED_VALUE"""),""",")</f>
        <v>",</v>
      </c>
    </row>
    <row r="1669">
      <c r="A1669" s="9" t="str">
        <f>IFERROR(__xludf.DUMMYFUNCTION("""COMPUTED_VALUE"""),"""")</f>
        <v>"</v>
      </c>
      <c r="B1669" s="9" t="s">
        <v>1678</v>
      </c>
      <c r="C1669" s="9" t="str">
        <f>IFERROR(__xludf.DUMMYFUNCTION("""COMPUTED_VALUE"""),""":""")</f>
        <v>":"</v>
      </c>
      <c r="D1669" s="24">
        <v>6.2005979458241782E18</v>
      </c>
      <c r="E1669" s="9" t="str">
        <f>IFERROR(__xludf.DUMMYFUNCTION("""COMPUTED_VALUE"""),""",")</f>
        <v>",</v>
      </c>
    </row>
    <row r="1670">
      <c r="A1670" s="9" t="str">
        <f>IFERROR(__xludf.DUMMYFUNCTION("""COMPUTED_VALUE"""),"""")</f>
        <v>"</v>
      </c>
      <c r="B1670" s="9" t="s">
        <v>1679</v>
      </c>
      <c r="C1670" s="9" t="str">
        <f>IFERROR(__xludf.DUMMYFUNCTION("""COMPUTED_VALUE"""),""":""")</f>
        <v>":"</v>
      </c>
      <c r="D1670" s="24">
        <v>6.2005979458241782E18</v>
      </c>
      <c r="E1670" s="9" t="str">
        <f>IFERROR(__xludf.DUMMYFUNCTION("""COMPUTED_VALUE"""),""",")</f>
        <v>",</v>
      </c>
    </row>
    <row r="1671">
      <c r="A1671" s="9" t="str">
        <f>IFERROR(__xludf.DUMMYFUNCTION("""COMPUTED_VALUE"""),"""")</f>
        <v>"</v>
      </c>
      <c r="B1671" s="9" t="s">
        <v>1680</v>
      </c>
      <c r="C1671" s="9" t="str">
        <f>IFERROR(__xludf.DUMMYFUNCTION("""COMPUTED_VALUE"""),""":""")</f>
        <v>":"</v>
      </c>
      <c r="D1671" s="24">
        <v>6.2005979458241782E18</v>
      </c>
      <c r="E1671" s="9" t="str">
        <f>IFERROR(__xludf.DUMMYFUNCTION("""COMPUTED_VALUE"""),""",")</f>
        <v>",</v>
      </c>
    </row>
    <row r="1672">
      <c r="A1672" s="9" t="str">
        <f>IFERROR(__xludf.DUMMYFUNCTION("""COMPUTED_VALUE"""),"""")</f>
        <v>"</v>
      </c>
      <c r="B1672" s="9" t="s">
        <v>1681</v>
      </c>
      <c r="C1672" s="9" t="str">
        <f>IFERROR(__xludf.DUMMYFUNCTION("""COMPUTED_VALUE"""),""":""")</f>
        <v>":"</v>
      </c>
      <c r="D1672" s="24">
        <v>9.0102560590213335E18</v>
      </c>
      <c r="E1672" s="9" t="str">
        <f>IFERROR(__xludf.DUMMYFUNCTION("""COMPUTED_VALUE"""),""",")</f>
        <v>",</v>
      </c>
    </row>
    <row r="1673">
      <c r="A1673" s="9" t="str">
        <f>IFERROR(__xludf.DUMMYFUNCTION("""COMPUTED_VALUE"""),"""")</f>
        <v>"</v>
      </c>
      <c r="B1673" s="9" t="s">
        <v>1682</v>
      </c>
      <c r="C1673" s="9" t="str">
        <f>IFERROR(__xludf.DUMMYFUNCTION("""COMPUTED_VALUE"""),""":""")</f>
        <v>":"</v>
      </c>
      <c r="D1673" s="24">
        <v>3.506619849754282E19</v>
      </c>
      <c r="E1673" s="9" t="str">
        <f>IFERROR(__xludf.DUMMYFUNCTION("""COMPUTED_VALUE"""),""",")</f>
        <v>",</v>
      </c>
    </row>
    <row r="1674">
      <c r="A1674" s="9" t="str">
        <f>IFERROR(__xludf.DUMMYFUNCTION("""COMPUTED_VALUE"""),"""")</f>
        <v>"</v>
      </c>
      <c r="B1674" s="9" t="s">
        <v>1683</v>
      </c>
      <c r="C1674" s="9" t="str">
        <f>IFERROR(__xludf.DUMMYFUNCTION("""COMPUTED_VALUE"""),""":""")</f>
        <v>":"</v>
      </c>
      <c r="D1674" s="24">
        <v>6.2005979458241782E18</v>
      </c>
      <c r="E1674" s="9" t="str">
        <f>IFERROR(__xludf.DUMMYFUNCTION("""COMPUTED_VALUE"""),""",")</f>
        <v>",</v>
      </c>
    </row>
    <row r="1675">
      <c r="A1675" s="9" t="str">
        <f>IFERROR(__xludf.DUMMYFUNCTION("""COMPUTED_VALUE"""),"""")</f>
        <v>"</v>
      </c>
      <c r="B1675" s="9" t="s">
        <v>1684</v>
      </c>
      <c r="C1675" s="9" t="str">
        <f>IFERROR(__xludf.DUMMYFUNCTION("""COMPUTED_VALUE"""),""":""")</f>
        <v>":"</v>
      </c>
      <c r="D1675" s="24">
        <v>5.597256089110862E19</v>
      </c>
      <c r="E1675" s="9" t="str">
        <f>IFERROR(__xludf.DUMMYFUNCTION("""COMPUTED_VALUE"""),""",")</f>
        <v>",</v>
      </c>
    </row>
    <row r="1676">
      <c r="A1676" s="9" t="str">
        <f>IFERROR(__xludf.DUMMYFUNCTION("""COMPUTED_VALUE"""),"""")</f>
        <v>"</v>
      </c>
      <c r="B1676" s="9" t="s">
        <v>1685</v>
      </c>
      <c r="C1676" s="9" t="str">
        <f>IFERROR(__xludf.DUMMYFUNCTION("""COMPUTED_VALUE"""),""":""")</f>
        <v>":"</v>
      </c>
      <c r="D1676" s="24">
        <v>6.2005979458241782E18</v>
      </c>
      <c r="E1676" s="9" t="str">
        <f>IFERROR(__xludf.DUMMYFUNCTION("""COMPUTED_VALUE"""),""",")</f>
        <v>",</v>
      </c>
    </row>
    <row r="1677">
      <c r="A1677" s="9" t="str">
        <f>IFERROR(__xludf.DUMMYFUNCTION("""COMPUTED_VALUE"""),"""")</f>
        <v>"</v>
      </c>
      <c r="B1677" s="9" t="s">
        <v>1686</v>
      </c>
      <c r="C1677" s="9" t="str">
        <f>IFERROR(__xludf.DUMMYFUNCTION("""COMPUTED_VALUE"""),""":""")</f>
        <v>":"</v>
      </c>
      <c r="D1677" s="24">
        <v>6.2005979458241782E18</v>
      </c>
      <c r="E1677" s="9" t="str">
        <f>IFERROR(__xludf.DUMMYFUNCTION("""COMPUTED_VALUE"""),""",")</f>
        <v>",</v>
      </c>
    </row>
    <row r="1678">
      <c r="A1678" s="9" t="str">
        <f>IFERROR(__xludf.DUMMYFUNCTION("""COMPUTED_VALUE"""),"""")</f>
        <v>"</v>
      </c>
      <c r="B1678" s="9" t="s">
        <v>1687</v>
      </c>
      <c r="C1678" s="9" t="str">
        <f>IFERROR(__xludf.DUMMYFUNCTION("""COMPUTED_VALUE"""),""":""")</f>
        <v>":"</v>
      </c>
      <c r="D1678" s="24">
        <v>6.2005979458241782E18</v>
      </c>
      <c r="E1678" s="9" t="str">
        <f>IFERROR(__xludf.DUMMYFUNCTION("""COMPUTED_VALUE"""),""",")</f>
        <v>",</v>
      </c>
    </row>
    <row r="1679">
      <c r="A1679" s="9" t="str">
        <f>IFERROR(__xludf.DUMMYFUNCTION("""COMPUTED_VALUE"""),"""")</f>
        <v>"</v>
      </c>
      <c r="B1679" s="9" t="s">
        <v>1688</v>
      </c>
      <c r="C1679" s="9" t="str">
        <f>IFERROR(__xludf.DUMMYFUNCTION("""COMPUTED_VALUE"""),""":""")</f>
        <v>":"</v>
      </c>
      <c r="D1679" s="24">
        <v>2.0177008697117622E19</v>
      </c>
      <c r="E1679" s="9" t="str">
        <f>IFERROR(__xludf.DUMMYFUNCTION("""COMPUTED_VALUE"""),""",")</f>
        <v>",</v>
      </c>
    </row>
    <row r="1680">
      <c r="A1680" s="9" t="str">
        <f>IFERROR(__xludf.DUMMYFUNCTION("""COMPUTED_VALUE"""),"""")</f>
        <v>"</v>
      </c>
      <c r="B1680" s="9" t="s">
        <v>1689</v>
      </c>
      <c r="C1680" s="9" t="str">
        <f>IFERROR(__xludf.DUMMYFUNCTION("""COMPUTED_VALUE"""),""":""")</f>
        <v>":"</v>
      </c>
      <c r="D1680" s="24">
        <v>5.5775782256979343E18</v>
      </c>
      <c r="E1680" s="9" t="str">
        <f>IFERROR(__xludf.DUMMYFUNCTION("""COMPUTED_VALUE"""),""",")</f>
        <v>",</v>
      </c>
    </row>
    <row r="1681">
      <c r="A1681" s="9" t="str">
        <f>IFERROR(__xludf.DUMMYFUNCTION("""COMPUTED_VALUE"""),"""")</f>
        <v>"</v>
      </c>
      <c r="B1681" s="9" t="s">
        <v>1690</v>
      </c>
      <c r="C1681" s="9" t="str">
        <f>IFERROR(__xludf.DUMMYFUNCTION("""COMPUTED_VALUE"""),""":""")</f>
        <v>":"</v>
      </c>
      <c r="D1681" s="24">
        <v>5.4664882941331855E18</v>
      </c>
      <c r="E1681" s="9" t="str">
        <f>IFERROR(__xludf.DUMMYFUNCTION("""COMPUTED_VALUE"""),""",")</f>
        <v>",</v>
      </c>
    </row>
    <row r="1682">
      <c r="A1682" s="9" t="str">
        <f>IFERROR(__xludf.DUMMYFUNCTION("""COMPUTED_VALUE"""),"""")</f>
        <v>"</v>
      </c>
      <c r="B1682" s="9" t="s">
        <v>1691</v>
      </c>
      <c r="C1682" s="9" t="str">
        <f>IFERROR(__xludf.DUMMYFUNCTION("""COMPUTED_VALUE"""),""":""")</f>
        <v>":"</v>
      </c>
      <c r="D1682" s="24">
        <v>2.0248888511809958E19</v>
      </c>
      <c r="E1682" s="9" t="str">
        <f>IFERROR(__xludf.DUMMYFUNCTION("""COMPUTED_VALUE"""),""",")</f>
        <v>",</v>
      </c>
    </row>
    <row r="1683">
      <c r="A1683" s="9" t="str">
        <f>IFERROR(__xludf.DUMMYFUNCTION("""COMPUTED_VALUE"""),"""")</f>
        <v>"</v>
      </c>
      <c r="B1683" s="9" t="s">
        <v>1692</v>
      </c>
      <c r="C1683" s="9" t="str">
        <f>IFERROR(__xludf.DUMMYFUNCTION("""COMPUTED_VALUE"""),""":""")</f>
        <v>":"</v>
      </c>
      <c r="D1683" s="24">
        <v>2.0248888511809958E19</v>
      </c>
      <c r="E1683" s="9" t="str">
        <f>IFERROR(__xludf.DUMMYFUNCTION("""COMPUTED_VALUE"""),""",")</f>
        <v>",</v>
      </c>
    </row>
    <row r="1684">
      <c r="A1684" s="9" t="str">
        <f>IFERROR(__xludf.DUMMYFUNCTION("""COMPUTED_VALUE"""),"""")</f>
        <v>"</v>
      </c>
      <c r="B1684" s="9" t="s">
        <v>1693</v>
      </c>
      <c r="C1684" s="9" t="str">
        <f>IFERROR(__xludf.DUMMYFUNCTION("""COMPUTED_VALUE"""),""":""")</f>
        <v>":"</v>
      </c>
      <c r="D1684" s="24">
        <v>5.8649252640586004E18</v>
      </c>
      <c r="E1684" s="9" t="str">
        <f>IFERROR(__xludf.DUMMYFUNCTION("""COMPUTED_VALUE"""),""",")</f>
        <v>",</v>
      </c>
    </row>
    <row r="1685">
      <c r="A1685" s="9" t="str">
        <f>IFERROR(__xludf.DUMMYFUNCTION("""COMPUTED_VALUE"""),"""")</f>
        <v>"</v>
      </c>
      <c r="B1685" s="9" t="s">
        <v>1694</v>
      </c>
      <c r="C1685" s="9" t="str">
        <f>IFERROR(__xludf.DUMMYFUNCTION("""COMPUTED_VALUE"""),""":""")</f>
        <v>":"</v>
      </c>
      <c r="D1685" s="24">
        <v>6.2005979458241782E18</v>
      </c>
      <c r="E1685" s="9" t="str">
        <f>IFERROR(__xludf.DUMMYFUNCTION("""COMPUTED_VALUE"""),""",")</f>
        <v>",</v>
      </c>
    </row>
    <row r="1686">
      <c r="A1686" s="9" t="str">
        <f>IFERROR(__xludf.DUMMYFUNCTION("""COMPUTED_VALUE"""),"""")</f>
        <v>"</v>
      </c>
      <c r="B1686" s="9" t="s">
        <v>1695</v>
      </c>
      <c r="C1686" s="9" t="str">
        <f>IFERROR(__xludf.DUMMYFUNCTION("""COMPUTED_VALUE"""),""":""")</f>
        <v>":"</v>
      </c>
      <c r="D1686" s="24">
        <v>1.760780988540462E19</v>
      </c>
      <c r="E1686" s="9" t="str">
        <f>IFERROR(__xludf.DUMMYFUNCTION("""COMPUTED_VALUE"""),""",")</f>
        <v>",</v>
      </c>
    </row>
    <row r="1687">
      <c r="A1687" s="9" t="str">
        <f>IFERROR(__xludf.DUMMYFUNCTION("""COMPUTED_VALUE"""),"""")</f>
        <v>"</v>
      </c>
      <c r="B1687" s="9" t="s">
        <v>1696</v>
      </c>
      <c r="C1687" s="9" t="str">
        <f>IFERROR(__xludf.DUMMYFUNCTION("""COMPUTED_VALUE"""),""":""")</f>
        <v>":"</v>
      </c>
      <c r="D1687" s="24">
        <v>6.2005979458241782E18</v>
      </c>
      <c r="E1687" s="9" t="str">
        <f>IFERROR(__xludf.DUMMYFUNCTION("""COMPUTED_VALUE"""),""",")</f>
        <v>",</v>
      </c>
    </row>
    <row r="1688">
      <c r="A1688" s="9" t="str">
        <f>IFERROR(__xludf.DUMMYFUNCTION("""COMPUTED_VALUE"""),"""")</f>
        <v>"</v>
      </c>
      <c r="B1688" s="9" t="s">
        <v>1697</v>
      </c>
      <c r="C1688" s="9" t="str">
        <f>IFERROR(__xludf.DUMMYFUNCTION("""COMPUTED_VALUE"""),""":""")</f>
        <v>":"</v>
      </c>
      <c r="D1688" s="24">
        <v>2.0248888511809958E19</v>
      </c>
      <c r="E1688" s="9" t="str">
        <f>IFERROR(__xludf.DUMMYFUNCTION("""COMPUTED_VALUE"""),""",")</f>
        <v>",</v>
      </c>
    </row>
    <row r="1689">
      <c r="A1689" s="9" t="str">
        <f>IFERROR(__xludf.DUMMYFUNCTION("""COMPUTED_VALUE"""),"""")</f>
        <v>"</v>
      </c>
      <c r="B1689" s="9" t="s">
        <v>1698</v>
      </c>
      <c r="C1689" s="9" t="str">
        <f>IFERROR(__xludf.DUMMYFUNCTION("""COMPUTED_VALUE"""),""":""")</f>
        <v>":"</v>
      </c>
      <c r="D1689" s="24">
        <v>3.3109283027857777E18</v>
      </c>
      <c r="E1689" s="9" t="str">
        <f>IFERROR(__xludf.DUMMYFUNCTION("""COMPUTED_VALUE"""),""",")</f>
        <v>",</v>
      </c>
    </row>
    <row r="1690">
      <c r="A1690" s="9" t="str">
        <f>IFERROR(__xludf.DUMMYFUNCTION("""COMPUTED_VALUE"""),"""")</f>
        <v>"</v>
      </c>
      <c r="B1690" s="9" t="s">
        <v>1699</v>
      </c>
      <c r="C1690" s="9" t="str">
        <f>IFERROR(__xludf.DUMMYFUNCTION("""COMPUTED_VALUE"""),""":""")</f>
        <v>":"</v>
      </c>
      <c r="D1690" s="24">
        <v>6.2005979458241782E18</v>
      </c>
      <c r="E1690" s="9" t="str">
        <f>IFERROR(__xludf.DUMMYFUNCTION("""COMPUTED_VALUE"""),""",")</f>
        <v>",</v>
      </c>
    </row>
    <row r="1691">
      <c r="A1691" s="9" t="str">
        <f>IFERROR(__xludf.DUMMYFUNCTION("""COMPUTED_VALUE"""),"""")</f>
        <v>"</v>
      </c>
      <c r="B1691" s="9" t="s">
        <v>1700</v>
      </c>
      <c r="C1691" s="9" t="str">
        <f>IFERROR(__xludf.DUMMYFUNCTION("""COMPUTED_VALUE"""),""":""")</f>
        <v>":"</v>
      </c>
      <c r="D1691" s="24">
        <v>3.4391690343791334E18</v>
      </c>
      <c r="E1691" s="9" t="str">
        <f>IFERROR(__xludf.DUMMYFUNCTION("""COMPUTED_VALUE"""),""",")</f>
        <v>",</v>
      </c>
    </row>
    <row r="1692">
      <c r="A1692" s="9" t="str">
        <f>IFERROR(__xludf.DUMMYFUNCTION("""COMPUTED_VALUE"""),"""")</f>
        <v>"</v>
      </c>
      <c r="B1692" s="9" t="s">
        <v>1701</v>
      </c>
      <c r="C1692" s="9" t="str">
        <f>IFERROR(__xludf.DUMMYFUNCTION("""COMPUTED_VALUE"""),""":""")</f>
        <v>":"</v>
      </c>
      <c r="D1692" s="24">
        <v>6.2005979458241782E18</v>
      </c>
      <c r="E1692" s="9" t="str">
        <f>IFERROR(__xludf.DUMMYFUNCTION("""COMPUTED_VALUE"""),""",")</f>
        <v>",</v>
      </c>
    </row>
    <row r="1693">
      <c r="A1693" s="9" t="str">
        <f>IFERROR(__xludf.DUMMYFUNCTION("""COMPUTED_VALUE"""),"""")</f>
        <v>"</v>
      </c>
      <c r="B1693" s="9" t="s">
        <v>1702</v>
      </c>
      <c r="C1693" s="9" t="str">
        <f>IFERROR(__xludf.DUMMYFUNCTION("""COMPUTED_VALUE"""),""":""")</f>
        <v>":"</v>
      </c>
      <c r="D1693" s="24">
        <v>6.2005979458241782E18</v>
      </c>
      <c r="E1693" s="9" t="str">
        <f>IFERROR(__xludf.DUMMYFUNCTION("""COMPUTED_VALUE"""),""",")</f>
        <v>",</v>
      </c>
    </row>
    <row r="1694">
      <c r="A1694" s="9" t="str">
        <f>IFERROR(__xludf.DUMMYFUNCTION("""COMPUTED_VALUE"""),"""")</f>
        <v>"</v>
      </c>
      <c r="B1694" s="9" t="s">
        <v>1703</v>
      </c>
      <c r="C1694" s="9" t="str">
        <f>IFERROR(__xludf.DUMMYFUNCTION("""COMPUTED_VALUE"""),""":""")</f>
        <v>":"</v>
      </c>
      <c r="D1694" s="24">
        <v>1.3049867523815645E19</v>
      </c>
      <c r="E1694" s="9" t="str">
        <f>IFERROR(__xludf.DUMMYFUNCTION("""COMPUTED_VALUE"""),""",")</f>
        <v>",</v>
      </c>
    </row>
    <row r="1695">
      <c r="A1695" s="9" t="str">
        <f>IFERROR(__xludf.DUMMYFUNCTION("""COMPUTED_VALUE"""),"""")</f>
        <v>"</v>
      </c>
      <c r="B1695" s="9" t="s">
        <v>1704</v>
      </c>
      <c r="C1695" s="9" t="str">
        <f>IFERROR(__xludf.DUMMYFUNCTION("""COMPUTED_VALUE"""),""":""")</f>
        <v>":"</v>
      </c>
      <c r="D1695" s="24">
        <v>6.2005979458241782E18</v>
      </c>
      <c r="E1695" s="9" t="str">
        <f>IFERROR(__xludf.DUMMYFUNCTION("""COMPUTED_VALUE"""),""",")</f>
        <v>",</v>
      </c>
    </row>
    <row r="1696">
      <c r="A1696" s="9" t="str">
        <f>IFERROR(__xludf.DUMMYFUNCTION("""COMPUTED_VALUE"""),"""")</f>
        <v>"</v>
      </c>
      <c r="B1696" s="9" t="s">
        <v>1705</v>
      </c>
      <c r="C1696" s="9" t="str">
        <f>IFERROR(__xludf.DUMMYFUNCTION("""COMPUTED_VALUE"""),""":""")</f>
        <v>":"</v>
      </c>
      <c r="D1696" s="24">
        <v>8.3625872100354499E18</v>
      </c>
      <c r="E1696" s="9" t="str">
        <f>IFERROR(__xludf.DUMMYFUNCTION("""COMPUTED_VALUE"""),""",")</f>
        <v>",</v>
      </c>
    </row>
    <row r="1697">
      <c r="A1697" s="9" t="str">
        <f>IFERROR(__xludf.DUMMYFUNCTION("""COMPUTED_VALUE"""),"""")</f>
        <v>"</v>
      </c>
      <c r="B1697" s="9" t="s">
        <v>1706</v>
      </c>
      <c r="C1697" s="9" t="str">
        <f>IFERROR(__xludf.DUMMYFUNCTION("""COMPUTED_VALUE"""),""":""")</f>
        <v>":"</v>
      </c>
      <c r="D1697" s="24">
        <v>6.2005979458241782E18</v>
      </c>
      <c r="E1697" s="9" t="str">
        <f>IFERROR(__xludf.DUMMYFUNCTION("""COMPUTED_VALUE"""),""",")</f>
        <v>",</v>
      </c>
    </row>
    <row r="1698">
      <c r="A1698" s="9" t="str">
        <f>IFERROR(__xludf.DUMMYFUNCTION("""COMPUTED_VALUE"""),"""")</f>
        <v>"</v>
      </c>
      <c r="B1698" s="9" t="s">
        <v>1707</v>
      </c>
      <c r="C1698" s="9" t="str">
        <f>IFERROR(__xludf.DUMMYFUNCTION("""COMPUTED_VALUE"""),""":""")</f>
        <v>":"</v>
      </c>
      <c r="D1698" s="24">
        <v>2.0487728157015454E19</v>
      </c>
      <c r="E1698" s="9" t="str">
        <f>IFERROR(__xludf.DUMMYFUNCTION("""COMPUTED_VALUE"""),""",")</f>
        <v>",</v>
      </c>
    </row>
    <row r="1699">
      <c r="A1699" s="9" t="str">
        <f>IFERROR(__xludf.DUMMYFUNCTION("""COMPUTED_VALUE"""),"""")</f>
        <v>"</v>
      </c>
      <c r="B1699" s="9" t="s">
        <v>1708</v>
      </c>
      <c r="C1699" s="9" t="str">
        <f>IFERROR(__xludf.DUMMYFUNCTION("""COMPUTED_VALUE"""),""":""")</f>
        <v>":"</v>
      </c>
      <c r="D1699" s="24">
        <v>6.2005979458241782E18</v>
      </c>
      <c r="E1699" s="9" t="str">
        <f>IFERROR(__xludf.DUMMYFUNCTION("""COMPUTED_VALUE"""),""",")</f>
        <v>",</v>
      </c>
    </row>
    <row r="1700">
      <c r="A1700" s="9" t="str">
        <f>IFERROR(__xludf.DUMMYFUNCTION("""COMPUTED_VALUE"""),"""")</f>
        <v>"</v>
      </c>
      <c r="B1700" s="9" t="s">
        <v>1709</v>
      </c>
      <c r="C1700" s="9" t="str">
        <f>IFERROR(__xludf.DUMMYFUNCTION("""COMPUTED_VALUE"""),""":""")</f>
        <v>":"</v>
      </c>
      <c r="D1700" s="24">
        <v>6.2005979458241782E18</v>
      </c>
      <c r="E1700" s="9" t="str">
        <f>IFERROR(__xludf.DUMMYFUNCTION("""COMPUTED_VALUE"""),""",")</f>
        <v>",</v>
      </c>
    </row>
    <row r="1701">
      <c r="A1701" s="9" t="str">
        <f>IFERROR(__xludf.DUMMYFUNCTION("""COMPUTED_VALUE"""),"""")</f>
        <v>"</v>
      </c>
      <c r="B1701" s="9" t="s">
        <v>1710</v>
      </c>
      <c r="C1701" s="9" t="str">
        <f>IFERROR(__xludf.DUMMYFUNCTION("""COMPUTED_VALUE"""),""":""")</f>
        <v>":"</v>
      </c>
      <c r="D1701" s="24">
        <v>1.745220461762691E19</v>
      </c>
      <c r="E1701" s="9" t="str">
        <f>IFERROR(__xludf.DUMMYFUNCTION("""COMPUTED_VALUE"""),""",")</f>
        <v>",</v>
      </c>
    </row>
    <row r="1702">
      <c r="A1702" s="9" t="str">
        <f>IFERROR(__xludf.DUMMYFUNCTION("""COMPUTED_VALUE"""),"""")</f>
        <v>"</v>
      </c>
      <c r="B1702" s="9" t="s">
        <v>1711</v>
      </c>
      <c r="C1702" s="9" t="str">
        <f>IFERROR(__xludf.DUMMYFUNCTION("""COMPUTED_VALUE"""),""":""")</f>
        <v>":"</v>
      </c>
      <c r="D1702" s="24">
        <v>3.1419785505396664E18</v>
      </c>
      <c r="E1702" s="9" t="str">
        <f>IFERROR(__xludf.DUMMYFUNCTION("""COMPUTED_VALUE"""),""",")</f>
        <v>",</v>
      </c>
    </row>
    <row r="1703">
      <c r="A1703" s="9" t="str">
        <f>IFERROR(__xludf.DUMMYFUNCTION("""COMPUTED_VALUE"""),"""")</f>
        <v>"</v>
      </c>
      <c r="B1703" s="9" t="s">
        <v>1712</v>
      </c>
      <c r="C1703" s="9" t="str">
        <f>IFERROR(__xludf.DUMMYFUNCTION("""COMPUTED_VALUE"""),""":""")</f>
        <v>":"</v>
      </c>
      <c r="D1703" s="24">
        <v>6.2005979458241782E18</v>
      </c>
      <c r="E1703" s="9" t="str">
        <f>IFERROR(__xludf.DUMMYFUNCTION("""COMPUTED_VALUE"""),""",")</f>
        <v>",</v>
      </c>
    </row>
    <row r="1704">
      <c r="A1704" s="9" t="str">
        <f>IFERROR(__xludf.DUMMYFUNCTION("""COMPUTED_VALUE"""),"""")</f>
        <v>"</v>
      </c>
      <c r="B1704" s="9" t="s">
        <v>1713</v>
      </c>
      <c r="C1704" s="9" t="str">
        <f>IFERROR(__xludf.DUMMYFUNCTION("""COMPUTED_VALUE"""),""":""")</f>
        <v>":"</v>
      </c>
      <c r="D1704" s="24">
        <v>6.6330064344601928E18</v>
      </c>
      <c r="E1704" s="9" t="str">
        <f>IFERROR(__xludf.DUMMYFUNCTION("""COMPUTED_VALUE"""),""",")</f>
        <v>",</v>
      </c>
    </row>
    <row r="1705">
      <c r="A1705" s="9" t="str">
        <f>IFERROR(__xludf.DUMMYFUNCTION("""COMPUTED_VALUE"""),"""")</f>
        <v>"</v>
      </c>
      <c r="B1705" s="9" t="s">
        <v>1714</v>
      </c>
      <c r="C1705" s="9" t="str">
        <f>IFERROR(__xludf.DUMMYFUNCTION("""COMPUTED_VALUE"""),""":""")</f>
        <v>":"</v>
      </c>
      <c r="D1705" s="24">
        <v>3.463913815760411E19</v>
      </c>
      <c r="E1705" s="9" t="str">
        <f>IFERROR(__xludf.DUMMYFUNCTION("""COMPUTED_VALUE"""),""",")</f>
        <v>",</v>
      </c>
    </row>
    <row r="1706">
      <c r="A1706" s="9" t="str">
        <f>IFERROR(__xludf.DUMMYFUNCTION("""COMPUTED_VALUE"""),"""")</f>
        <v>"</v>
      </c>
      <c r="B1706" s="9" t="s">
        <v>1715</v>
      </c>
      <c r="C1706" s="9" t="str">
        <f>IFERROR(__xludf.DUMMYFUNCTION("""COMPUTED_VALUE"""),""":""")</f>
        <v>":"</v>
      </c>
      <c r="D1706" s="24">
        <v>6.0395739489725778E18</v>
      </c>
      <c r="E1706" s="9" t="str">
        <f>IFERROR(__xludf.DUMMYFUNCTION("""COMPUTED_VALUE"""),""",")</f>
        <v>",</v>
      </c>
    </row>
    <row r="1707">
      <c r="A1707" s="9" t="str">
        <f>IFERROR(__xludf.DUMMYFUNCTION("""COMPUTED_VALUE"""),"""")</f>
        <v>"</v>
      </c>
      <c r="B1707" s="9" t="s">
        <v>1716</v>
      </c>
      <c r="C1707" s="9" t="str">
        <f>IFERROR(__xludf.DUMMYFUNCTION("""COMPUTED_VALUE"""),""":""")</f>
        <v>":"</v>
      </c>
      <c r="D1707" s="24">
        <v>2.0248888511809958E19</v>
      </c>
      <c r="E1707" s="9" t="str">
        <f>IFERROR(__xludf.DUMMYFUNCTION("""COMPUTED_VALUE"""),""",")</f>
        <v>",</v>
      </c>
    </row>
    <row r="1708">
      <c r="A1708" s="9" t="str">
        <f>IFERROR(__xludf.DUMMYFUNCTION("""COMPUTED_VALUE"""),"""")</f>
        <v>"</v>
      </c>
      <c r="B1708" s="9" t="s">
        <v>1717</v>
      </c>
      <c r="C1708" s="9" t="str">
        <f>IFERROR(__xludf.DUMMYFUNCTION("""COMPUTED_VALUE"""),""":""")</f>
        <v>":"</v>
      </c>
      <c r="D1708" s="24">
        <v>5.8392363221711114E18</v>
      </c>
      <c r="E1708" s="9" t="str">
        <f>IFERROR(__xludf.DUMMYFUNCTION("""COMPUTED_VALUE"""),""",")</f>
        <v>",</v>
      </c>
    </row>
    <row r="1709">
      <c r="A1709" s="9" t="str">
        <f>IFERROR(__xludf.DUMMYFUNCTION("""COMPUTED_VALUE"""),"""")</f>
        <v>"</v>
      </c>
      <c r="B1709" s="9" t="s">
        <v>1718</v>
      </c>
      <c r="C1709" s="9" t="str">
        <f>IFERROR(__xludf.DUMMYFUNCTION("""COMPUTED_VALUE"""),""":""")</f>
        <v>":"</v>
      </c>
      <c r="D1709" s="24">
        <v>5.6027501236834007E18</v>
      </c>
      <c r="E1709" s="9" t="str">
        <f>IFERROR(__xludf.DUMMYFUNCTION("""COMPUTED_VALUE"""),""",")</f>
        <v>",</v>
      </c>
    </row>
    <row r="1710">
      <c r="A1710" s="9" t="str">
        <f>IFERROR(__xludf.DUMMYFUNCTION("""COMPUTED_VALUE"""),"""")</f>
        <v>"</v>
      </c>
      <c r="B1710" s="9" t="s">
        <v>1719</v>
      </c>
      <c r="C1710" s="9" t="str">
        <f>IFERROR(__xludf.DUMMYFUNCTION("""COMPUTED_VALUE"""),""":""")</f>
        <v>":"</v>
      </c>
      <c r="D1710" s="24">
        <v>6.2005979458241782E18</v>
      </c>
      <c r="E1710" s="9" t="str">
        <f>IFERROR(__xludf.DUMMYFUNCTION("""COMPUTED_VALUE"""),""",")</f>
        <v>",</v>
      </c>
    </row>
    <row r="1711">
      <c r="A1711" s="9" t="str">
        <f>IFERROR(__xludf.DUMMYFUNCTION("""COMPUTED_VALUE"""),"""")</f>
        <v>"</v>
      </c>
      <c r="B1711" s="9" t="s">
        <v>1720</v>
      </c>
      <c r="C1711" s="9" t="str">
        <f>IFERROR(__xludf.DUMMYFUNCTION("""COMPUTED_VALUE"""),""":""")</f>
        <v>":"</v>
      </c>
      <c r="D1711" s="24">
        <v>5.7428533472910223E18</v>
      </c>
      <c r="E1711" s="9" t="str">
        <f>IFERROR(__xludf.DUMMYFUNCTION("""COMPUTED_VALUE"""),""",")</f>
        <v>",</v>
      </c>
    </row>
    <row r="1712">
      <c r="A1712" s="9" t="str">
        <f>IFERROR(__xludf.DUMMYFUNCTION("""COMPUTED_VALUE"""),"""")</f>
        <v>"</v>
      </c>
      <c r="B1712" s="9" t="s">
        <v>1721</v>
      </c>
      <c r="C1712" s="9" t="str">
        <f>IFERROR(__xludf.DUMMYFUNCTION("""COMPUTED_VALUE"""),""":""")</f>
        <v>":"</v>
      </c>
      <c r="D1712" s="24">
        <v>6.2005979458241782E18</v>
      </c>
      <c r="E1712" s="9" t="str">
        <f>IFERROR(__xludf.DUMMYFUNCTION("""COMPUTED_VALUE"""),""",")</f>
        <v>",</v>
      </c>
    </row>
    <row r="1713">
      <c r="A1713" s="9" t="str">
        <f>IFERROR(__xludf.DUMMYFUNCTION("""COMPUTED_VALUE"""),"""")</f>
        <v>"</v>
      </c>
      <c r="B1713" s="9" t="s">
        <v>1722</v>
      </c>
      <c r="C1713" s="9" t="str">
        <f>IFERROR(__xludf.DUMMYFUNCTION("""COMPUTED_VALUE"""),""":""")</f>
        <v>":"</v>
      </c>
      <c r="D1713" s="24">
        <v>5.3915187317128878E18</v>
      </c>
      <c r="E1713" s="9" t="str">
        <f>IFERROR(__xludf.DUMMYFUNCTION("""COMPUTED_VALUE"""),""",")</f>
        <v>",</v>
      </c>
    </row>
    <row r="1714">
      <c r="A1714" s="9" t="str">
        <f>IFERROR(__xludf.DUMMYFUNCTION("""COMPUTED_VALUE"""),"""")</f>
        <v>"</v>
      </c>
      <c r="B1714" s="9" t="s">
        <v>1723</v>
      </c>
      <c r="C1714" s="9" t="str">
        <f>IFERROR(__xludf.DUMMYFUNCTION("""COMPUTED_VALUE"""),""":""")</f>
        <v>":"</v>
      </c>
      <c r="D1714" s="24">
        <v>2.0248888511809958E19</v>
      </c>
      <c r="E1714" s="9" t="str">
        <f>IFERROR(__xludf.DUMMYFUNCTION("""COMPUTED_VALUE"""),""",")</f>
        <v>",</v>
      </c>
    </row>
    <row r="1715">
      <c r="A1715" s="9" t="str">
        <f>IFERROR(__xludf.DUMMYFUNCTION("""COMPUTED_VALUE"""),"""")</f>
        <v>"</v>
      </c>
      <c r="B1715" s="9" t="s">
        <v>1724</v>
      </c>
      <c r="C1715" s="9" t="str">
        <f>IFERROR(__xludf.DUMMYFUNCTION("""COMPUTED_VALUE"""),""":""")</f>
        <v>":"</v>
      </c>
      <c r="D1715" s="24">
        <v>6.2005979458241782E18</v>
      </c>
      <c r="E1715" s="9" t="str">
        <f>IFERROR(__xludf.DUMMYFUNCTION("""COMPUTED_VALUE"""),""",")</f>
        <v>",</v>
      </c>
    </row>
    <row r="1716">
      <c r="A1716" s="9" t="str">
        <f>IFERROR(__xludf.DUMMYFUNCTION("""COMPUTED_VALUE"""),"""")</f>
        <v>"</v>
      </c>
      <c r="B1716" s="9" t="s">
        <v>1725</v>
      </c>
      <c r="C1716" s="9" t="str">
        <f>IFERROR(__xludf.DUMMYFUNCTION("""COMPUTED_VALUE"""),""":""")</f>
        <v>":"</v>
      </c>
      <c r="D1716" s="24">
        <v>2.0248888511809958E19</v>
      </c>
      <c r="E1716" s="9" t="str">
        <f>IFERROR(__xludf.DUMMYFUNCTION("""COMPUTED_VALUE"""),""",")</f>
        <v>",</v>
      </c>
    </row>
    <row r="1717">
      <c r="A1717" s="9" t="str">
        <f>IFERROR(__xludf.DUMMYFUNCTION("""COMPUTED_VALUE"""),"""")</f>
        <v>"</v>
      </c>
      <c r="B1717" s="9" t="s">
        <v>1726</v>
      </c>
      <c r="C1717" s="9" t="str">
        <f>IFERROR(__xludf.DUMMYFUNCTION("""COMPUTED_VALUE"""),""":""")</f>
        <v>":"</v>
      </c>
      <c r="D1717" s="24">
        <v>6.2005979458241782E18</v>
      </c>
      <c r="E1717" s="9" t="str">
        <f>IFERROR(__xludf.DUMMYFUNCTION("""COMPUTED_VALUE"""),""",")</f>
        <v>",</v>
      </c>
    </row>
    <row r="1718">
      <c r="A1718" s="9" t="str">
        <f>IFERROR(__xludf.DUMMYFUNCTION("""COMPUTED_VALUE"""),"""")</f>
        <v>"</v>
      </c>
      <c r="B1718" s="9" t="s">
        <v>1727</v>
      </c>
      <c r="C1718" s="9" t="str">
        <f>IFERROR(__xludf.DUMMYFUNCTION("""COMPUTED_VALUE"""),""":""")</f>
        <v>":"</v>
      </c>
      <c r="D1718" s="24">
        <v>6.2005979458241782E18</v>
      </c>
      <c r="E1718" s="9" t="str">
        <f>IFERROR(__xludf.DUMMYFUNCTION("""COMPUTED_VALUE"""),""",")</f>
        <v>",</v>
      </c>
    </row>
    <row r="1719">
      <c r="A1719" s="9" t="str">
        <f>IFERROR(__xludf.DUMMYFUNCTION("""COMPUTED_VALUE"""),"""")</f>
        <v>"</v>
      </c>
      <c r="B1719" s="9" t="s">
        <v>1728</v>
      </c>
      <c r="C1719" s="9" t="str">
        <f>IFERROR(__xludf.DUMMYFUNCTION("""COMPUTED_VALUE"""),""":""")</f>
        <v>":"</v>
      </c>
      <c r="D1719" s="24">
        <v>2.2024686966258446E19</v>
      </c>
      <c r="E1719" s="9" t="str">
        <f>IFERROR(__xludf.DUMMYFUNCTION("""COMPUTED_VALUE"""),""",")</f>
        <v>",</v>
      </c>
    </row>
    <row r="1720">
      <c r="A1720" s="9" t="str">
        <f>IFERROR(__xludf.DUMMYFUNCTION("""COMPUTED_VALUE"""),"""")</f>
        <v>"</v>
      </c>
      <c r="B1720" s="9" t="s">
        <v>1729</v>
      </c>
      <c r="C1720" s="9" t="str">
        <f>IFERROR(__xludf.DUMMYFUNCTION("""COMPUTED_VALUE"""),""":""")</f>
        <v>":"</v>
      </c>
      <c r="D1720" s="24">
        <v>2.2843275628863468E19</v>
      </c>
      <c r="E1720" s="9" t="str">
        <f>IFERROR(__xludf.DUMMYFUNCTION("""COMPUTED_VALUE"""),""",")</f>
        <v>",</v>
      </c>
    </row>
    <row r="1721">
      <c r="A1721" s="9" t="str">
        <f>IFERROR(__xludf.DUMMYFUNCTION("""COMPUTED_VALUE"""),"""")</f>
        <v>"</v>
      </c>
      <c r="B1721" s="9" t="s">
        <v>1730</v>
      </c>
      <c r="C1721" s="9" t="str">
        <f>IFERROR(__xludf.DUMMYFUNCTION("""COMPUTED_VALUE"""),""":""")</f>
        <v>":"</v>
      </c>
      <c r="D1721" s="24">
        <v>5.7094400961213563E18</v>
      </c>
      <c r="E1721" s="9" t="str">
        <f>IFERROR(__xludf.DUMMYFUNCTION("""COMPUTED_VALUE"""),""",")</f>
        <v>",</v>
      </c>
    </row>
    <row r="1722">
      <c r="A1722" s="9" t="str">
        <f>IFERROR(__xludf.DUMMYFUNCTION("""COMPUTED_VALUE"""),"""")</f>
        <v>"</v>
      </c>
      <c r="B1722" s="9" t="s">
        <v>1731</v>
      </c>
      <c r="C1722" s="9" t="str">
        <f>IFERROR(__xludf.DUMMYFUNCTION("""COMPUTED_VALUE"""),""":""")</f>
        <v>":"</v>
      </c>
      <c r="D1722" s="24">
        <v>6.2005979458241782E18</v>
      </c>
      <c r="E1722" s="9" t="str">
        <f>IFERROR(__xludf.DUMMYFUNCTION("""COMPUTED_VALUE"""),""",")</f>
        <v>",</v>
      </c>
    </row>
    <row r="1723">
      <c r="A1723" s="9" t="str">
        <f>IFERROR(__xludf.DUMMYFUNCTION("""COMPUTED_VALUE"""),"""")</f>
        <v>"</v>
      </c>
      <c r="B1723" s="9" t="s">
        <v>1732</v>
      </c>
      <c r="C1723" s="9" t="str">
        <f>IFERROR(__xludf.DUMMYFUNCTION("""COMPUTED_VALUE"""),""":""")</f>
        <v>":"</v>
      </c>
      <c r="D1723" s="24">
        <v>2.0248888511809958E19</v>
      </c>
      <c r="E1723" s="9" t="str">
        <f>IFERROR(__xludf.DUMMYFUNCTION("""COMPUTED_VALUE"""),""",")</f>
        <v>",</v>
      </c>
    </row>
    <row r="1724">
      <c r="A1724" s="9" t="str">
        <f>IFERROR(__xludf.DUMMYFUNCTION("""COMPUTED_VALUE"""),"""")</f>
        <v>"</v>
      </c>
      <c r="B1724" s="9" t="s">
        <v>1733</v>
      </c>
      <c r="C1724" s="9" t="str">
        <f>IFERROR(__xludf.DUMMYFUNCTION("""COMPUTED_VALUE"""),""":""")</f>
        <v>":"</v>
      </c>
      <c r="D1724" s="24">
        <v>5.9690241835616891E18</v>
      </c>
      <c r="E1724" s="9" t="str">
        <f>IFERROR(__xludf.DUMMYFUNCTION("""COMPUTED_VALUE"""),""",")</f>
        <v>",</v>
      </c>
    </row>
    <row r="1725">
      <c r="A1725" s="9" t="str">
        <f>IFERROR(__xludf.DUMMYFUNCTION("""COMPUTED_VALUE"""),"""")</f>
        <v>"</v>
      </c>
      <c r="B1725" s="9" t="s">
        <v>1734</v>
      </c>
      <c r="C1725" s="9" t="str">
        <f>IFERROR(__xludf.DUMMYFUNCTION("""COMPUTED_VALUE"""),""":""")</f>
        <v>":"</v>
      </c>
      <c r="D1725" s="24">
        <v>6.2005979458241782E18</v>
      </c>
      <c r="E1725" s="9" t="str">
        <f>IFERROR(__xludf.DUMMYFUNCTION("""COMPUTED_VALUE"""),""",")</f>
        <v>",</v>
      </c>
    </row>
    <row r="1726">
      <c r="A1726" s="9" t="str">
        <f>IFERROR(__xludf.DUMMYFUNCTION("""COMPUTED_VALUE"""),"""")</f>
        <v>"</v>
      </c>
      <c r="B1726" s="9" t="s">
        <v>1735</v>
      </c>
      <c r="C1726" s="9" t="str">
        <f>IFERROR(__xludf.DUMMYFUNCTION("""COMPUTED_VALUE"""),""":""")</f>
        <v>":"</v>
      </c>
      <c r="D1726" s="24">
        <v>6.2005979458241782E18</v>
      </c>
      <c r="E1726" s="9" t="str">
        <f>IFERROR(__xludf.DUMMYFUNCTION("""COMPUTED_VALUE"""),""",")</f>
        <v>",</v>
      </c>
    </row>
    <row r="1727">
      <c r="A1727" s="9" t="str">
        <f>IFERROR(__xludf.DUMMYFUNCTION("""COMPUTED_VALUE"""),"""")</f>
        <v>"</v>
      </c>
      <c r="B1727" s="9" t="s">
        <v>1736</v>
      </c>
      <c r="C1727" s="9" t="str">
        <f>IFERROR(__xludf.DUMMYFUNCTION("""COMPUTED_VALUE"""),""":""")</f>
        <v>":"</v>
      </c>
      <c r="D1727" s="24">
        <v>6.2005979458241782E18</v>
      </c>
      <c r="E1727" s="9" t="str">
        <f>IFERROR(__xludf.DUMMYFUNCTION("""COMPUTED_VALUE"""),""",")</f>
        <v>",</v>
      </c>
    </row>
    <row r="1728">
      <c r="A1728" s="9" t="str">
        <f>IFERROR(__xludf.DUMMYFUNCTION("""COMPUTED_VALUE"""),"""")</f>
        <v>"</v>
      </c>
      <c r="B1728" s="9" t="s">
        <v>1737</v>
      </c>
      <c r="C1728" s="9" t="str">
        <f>IFERROR(__xludf.DUMMYFUNCTION("""COMPUTED_VALUE"""),""":""")</f>
        <v>":"</v>
      </c>
      <c r="D1728" s="24">
        <v>2.1403271773488267E19</v>
      </c>
      <c r="E1728" s="9" t="str">
        <f>IFERROR(__xludf.DUMMYFUNCTION("""COMPUTED_VALUE"""),""",")</f>
        <v>",</v>
      </c>
    </row>
    <row r="1729">
      <c r="A1729" s="9" t="str">
        <f>IFERROR(__xludf.DUMMYFUNCTION("""COMPUTED_VALUE"""),"""")</f>
        <v>"</v>
      </c>
      <c r="B1729" s="9" t="s">
        <v>1738</v>
      </c>
      <c r="C1729" s="9" t="str">
        <f>IFERROR(__xludf.DUMMYFUNCTION("""COMPUTED_VALUE"""),""":""")</f>
        <v>":"</v>
      </c>
      <c r="D1729" s="24">
        <v>6.6329957986664315E18</v>
      </c>
      <c r="E1729" s="9" t="str">
        <f>IFERROR(__xludf.DUMMYFUNCTION("""COMPUTED_VALUE"""),""",")</f>
        <v>",</v>
      </c>
    </row>
    <row r="1730">
      <c r="A1730" s="9" t="str">
        <f>IFERROR(__xludf.DUMMYFUNCTION("""COMPUTED_VALUE"""),"""")</f>
        <v>"</v>
      </c>
      <c r="B1730" s="9" t="s">
        <v>1739</v>
      </c>
      <c r="C1730" s="9" t="str">
        <f>IFERROR(__xludf.DUMMYFUNCTION("""COMPUTED_VALUE"""),""":""")</f>
        <v>":"</v>
      </c>
      <c r="D1730" s="24">
        <v>6.178941152226177E18</v>
      </c>
      <c r="E1730" s="9" t="str">
        <f>IFERROR(__xludf.DUMMYFUNCTION("""COMPUTED_VALUE"""),""",")</f>
        <v>",</v>
      </c>
    </row>
    <row r="1731">
      <c r="A1731" s="9" t="str">
        <f>IFERROR(__xludf.DUMMYFUNCTION("""COMPUTED_VALUE"""),"""")</f>
        <v>"</v>
      </c>
      <c r="B1731" s="9" t="s">
        <v>1740</v>
      </c>
      <c r="C1731" s="9" t="str">
        <f>IFERROR(__xludf.DUMMYFUNCTION("""COMPUTED_VALUE"""),""":""")</f>
        <v>":"</v>
      </c>
      <c r="D1731" s="24">
        <v>6.2005979458241782E18</v>
      </c>
      <c r="E1731" s="9" t="str">
        <f>IFERROR(__xludf.DUMMYFUNCTION("""COMPUTED_VALUE"""),""",")</f>
        <v>",</v>
      </c>
    </row>
    <row r="1732">
      <c r="A1732" s="9" t="str">
        <f>IFERROR(__xludf.DUMMYFUNCTION("""COMPUTED_VALUE"""),"""")</f>
        <v>"</v>
      </c>
      <c r="B1732" s="9" t="s">
        <v>1741</v>
      </c>
      <c r="C1732" s="9" t="str">
        <f>IFERROR(__xludf.DUMMYFUNCTION("""COMPUTED_VALUE"""),""":""")</f>
        <v>":"</v>
      </c>
      <c r="D1732" s="24">
        <v>9.0102560590213335E18</v>
      </c>
      <c r="E1732" s="9" t="str">
        <f>IFERROR(__xludf.DUMMYFUNCTION("""COMPUTED_VALUE"""),""",")</f>
        <v>",</v>
      </c>
    </row>
    <row r="1733">
      <c r="A1733" s="9" t="str">
        <f>IFERROR(__xludf.DUMMYFUNCTION("""COMPUTED_VALUE"""),"""")</f>
        <v>"</v>
      </c>
      <c r="B1733" s="9" t="s">
        <v>1742</v>
      </c>
      <c r="C1733" s="9" t="str">
        <f>IFERROR(__xludf.DUMMYFUNCTION("""COMPUTED_VALUE"""),""":""")</f>
        <v>":"</v>
      </c>
      <c r="D1733" s="24">
        <v>2.0170817522108264E19</v>
      </c>
      <c r="E1733" s="9" t="str">
        <f>IFERROR(__xludf.DUMMYFUNCTION("""COMPUTED_VALUE"""),""",")</f>
        <v>",</v>
      </c>
    </row>
    <row r="1734">
      <c r="A1734" s="9" t="str">
        <f>IFERROR(__xludf.DUMMYFUNCTION("""COMPUTED_VALUE"""),"""")</f>
        <v>"</v>
      </c>
      <c r="B1734" s="9" t="s">
        <v>1743</v>
      </c>
      <c r="C1734" s="9" t="str">
        <f>IFERROR(__xludf.DUMMYFUNCTION("""COMPUTED_VALUE"""),""":""")</f>
        <v>":"</v>
      </c>
      <c r="D1734" s="24">
        <v>6.2005979458241782E18</v>
      </c>
      <c r="E1734" s="9" t="str">
        <f>IFERROR(__xludf.DUMMYFUNCTION("""COMPUTED_VALUE"""),""",")</f>
        <v>",</v>
      </c>
    </row>
    <row r="1735">
      <c r="A1735" s="9" t="str">
        <f>IFERROR(__xludf.DUMMYFUNCTION("""COMPUTED_VALUE"""),"""")</f>
        <v>"</v>
      </c>
      <c r="B1735" s="9" t="s">
        <v>1744</v>
      </c>
      <c r="C1735" s="9" t="str">
        <f>IFERROR(__xludf.DUMMYFUNCTION("""COMPUTED_VALUE"""),""":""")</f>
        <v>":"</v>
      </c>
      <c r="D1735" s="24">
        <v>2.7678843981037887E19</v>
      </c>
      <c r="E1735" s="9" t="str">
        <f>IFERROR(__xludf.DUMMYFUNCTION("""COMPUTED_VALUE"""),""",")</f>
        <v>",</v>
      </c>
    </row>
    <row r="1736">
      <c r="A1736" s="9" t="str">
        <f>IFERROR(__xludf.DUMMYFUNCTION("""COMPUTED_VALUE"""),"""")</f>
        <v>"</v>
      </c>
      <c r="B1736" s="9" t="s">
        <v>1745</v>
      </c>
      <c r="C1736" s="9" t="str">
        <f>IFERROR(__xludf.DUMMYFUNCTION("""COMPUTED_VALUE"""),""":""")</f>
        <v>":"</v>
      </c>
      <c r="D1736" s="24">
        <v>2.0248888511809958E19</v>
      </c>
      <c r="E1736" s="9" t="str">
        <f>IFERROR(__xludf.DUMMYFUNCTION("""COMPUTED_VALUE"""),""",")</f>
        <v>",</v>
      </c>
    </row>
    <row r="1737">
      <c r="A1737" s="9" t="str">
        <f>IFERROR(__xludf.DUMMYFUNCTION("""COMPUTED_VALUE"""),"""")</f>
        <v>"</v>
      </c>
      <c r="B1737" s="9" t="s">
        <v>1746</v>
      </c>
      <c r="C1737" s="9" t="str">
        <f>IFERROR(__xludf.DUMMYFUNCTION("""COMPUTED_VALUE"""),""":""")</f>
        <v>":"</v>
      </c>
      <c r="D1737" s="24">
        <v>6.2005979458241782E18</v>
      </c>
      <c r="E1737" s="9" t="str">
        <f>IFERROR(__xludf.DUMMYFUNCTION("""COMPUTED_VALUE"""),""",")</f>
        <v>",</v>
      </c>
    </row>
    <row r="1738">
      <c r="A1738" s="9" t="str">
        <f>IFERROR(__xludf.DUMMYFUNCTION("""COMPUTED_VALUE"""),"""")</f>
        <v>"</v>
      </c>
      <c r="B1738" s="9" t="s">
        <v>1747</v>
      </c>
      <c r="C1738" s="9" t="str">
        <f>IFERROR(__xludf.DUMMYFUNCTION("""COMPUTED_VALUE"""),""":""")</f>
        <v>":"</v>
      </c>
      <c r="D1738" s="24">
        <v>2.8672501528102892E18</v>
      </c>
      <c r="E1738" s="9" t="str">
        <f>IFERROR(__xludf.DUMMYFUNCTION("""COMPUTED_VALUE"""),""",")</f>
        <v>",</v>
      </c>
    </row>
    <row r="1739">
      <c r="A1739" s="9" t="str">
        <f>IFERROR(__xludf.DUMMYFUNCTION("""COMPUTED_VALUE"""),"""")</f>
        <v>"</v>
      </c>
      <c r="B1739" s="9" t="s">
        <v>1748</v>
      </c>
      <c r="C1739" s="9" t="str">
        <f>IFERROR(__xludf.DUMMYFUNCTION("""COMPUTED_VALUE"""),""":""")</f>
        <v>":"</v>
      </c>
      <c r="D1739" s="24">
        <v>2.0248888511809958E19</v>
      </c>
      <c r="E1739" s="9" t="str">
        <f>IFERROR(__xludf.DUMMYFUNCTION("""COMPUTED_VALUE"""),""",")</f>
        <v>",</v>
      </c>
    </row>
    <row r="1740">
      <c r="A1740" s="9" t="str">
        <f>IFERROR(__xludf.DUMMYFUNCTION("""COMPUTED_VALUE"""),"""")</f>
        <v>"</v>
      </c>
      <c r="B1740" s="9" t="s">
        <v>1749</v>
      </c>
      <c r="C1740" s="9" t="str">
        <f>IFERROR(__xludf.DUMMYFUNCTION("""COMPUTED_VALUE"""),""":""")</f>
        <v>":"</v>
      </c>
      <c r="D1740" s="24">
        <v>2.2808683800636092E19</v>
      </c>
      <c r="E1740" s="9" t="str">
        <f>IFERROR(__xludf.DUMMYFUNCTION("""COMPUTED_VALUE"""),""",")</f>
        <v>",</v>
      </c>
    </row>
    <row r="1741">
      <c r="A1741" s="9" t="str">
        <f>IFERROR(__xludf.DUMMYFUNCTION("""COMPUTED_VALUE"""),"""")</f>
        <v>"</v>
      </c>
      <c r="B1741" s="9" t="s">
        <v>1750</v>
      </c>
      <c r="C1741" s="9" t="str">
        <f>IFERROR(__xludf.DUMMYFUNCTION("""COMPUTED_VALUE"""),""":""")</f>
        <v>":"</v>
      </c>
      <c r="D1741" s="24">
        <v>6.2005979458241782E18</v>
      </c>
      <c r="E1741" s="9" t="str">
        <f>IFERROR(__xludf.DUMMYFUNCTION("""COMPUTED_VALUE"""),""",")</f>
        <v>",</v>
      </c>
    </row>
    <row r="1742">
      <c r="A1742" s="9" t="str">
        <f>IFERROR(__xludf.DUMMYFUNCTION("""COMPUTED_VALUE"""),"""")</f>
        <v>"</v>
      </c>
      <c r="B1742" s="9" t="s">
        <v>1751</v>
      </c>
      <c r="C1742" s="9" t="str">
        <f>IFERROR(__xludf.DUMMYFUNCTION("""COMPUTED_VALUE"""),""":""")</f>
        <v>":"</v>
      </c>
      <c r="D1742" s="24">
        <v>5.3129208919776901E18</v>
      </c>
      <c r="E1742" s="9" t="str">
        <f>IFERROR(__xludf.DUMMYFUNCTION("""COMPUTED_VALUE"""),""",")</f>
        <v>",</v>
      </c>
    </row>
    <row r="1743">
      <c r="A1743" s="9" t="str">
        <f>IFERROR(__xludf.DUMMYFUNCTION("""COMPUTED_VALUE"""),"""")</f>
        <v>"</v>
      </c>
      <c r="B1743" s="9" t="s">
        <v>1752</v>
      </c>
      <c r="C1743" s="9" t="str">
        <f>IFERROR(__xludf.DUMMYFUNCTION("""COMPUTED_VALUE"""),""":""")</f>
        <v>":"</v>
      </c>
      <c r="D1743" s="24">
        <v>4.8711781604600658E18</v>
      </c>
      <c r="E1743" s="9" t="str">
        <f>IFERROR(__xludf.DUMMYFUNCTION("""COMPUTED_VALUE"""),""",")</f>
        <v>",</v>
      </c>
    </row>
    <row r="1744">
      <c r="A1744" s="9" t="str">
        <f>IFERROR(__xludf.DUMMYFUNCTION("""COMPUTED_VALUE"""),"""")</f>
        <v>"</v>
      </c>
      <c r="B1744" s="9" t="s">
        <v>1753</v>
      </c>
      <c r="C1744" s="9" t="str">
        <f>IFERROR(__xludf.DUMMYFUNCTION("""COMPUTED_VALUE"""),""":""")</f>
        <v>":"</v>
      </c>
      <c r="D1744" s="24">
        <v>6.2005979458241782E18</v>
      </c>
      <c r="E1744" s="9" t="str">
        <f>IFERROR(__xludf.DUMMYFUNCTION("""COMPUTED_VALUE"""),""",")</f>
        <v>",</v>
      </c>
    </row>
    <row r="1745">
      <c r="A1745" s="9" t="str">
        <f>IFERROR(__xludf.DUMMYFUNCTION("""COMPUTED_VALUE"""),"""")</f>
        <v>"</v>
      </c>
      <c r="B1745" s="9" t="s">
        <v>1754</v>
      </c>
      <c r="C1745" s="9" t="str">
        <f>IFERROR(__xludf.DUMMYFUNCTION("""COMPUTED_VALUE"""),""":""")</f>
        <v>":"</v>
      </c>
      <c r="D1745" s="24">
        <v>6.2005979458241782E18</v>
      </c>
      <c r="E1745" s="9" t="str">
        <f>IFERROR(__xludf.DUMMYFUNCTION("""COMPUTED_VALUE"""),""",")</f>
        <v>",</v>
      </c>
    </row>
    <row r="1746">
      <c r="A1746" s="9" t="str">
        <f>IFERROR(__xludf.DUMMYFUNCTION("""COMPUTED_VALUE"""),"""")</f>
        <v>"</v>
      </c>
      <c r="B1746" s="9" t="s">
        <v>1755</v>
      </c>
      <c r="C1746" s="9" t="str">
        <f>IFERROR(__xludf.DUMMYFUNCTION("""COMPUTED_VALUE"""),""":""")</f>
        <v>":"</v>
      </c>
      <c r="D1746" s="24">
        <v>5.5353767354637107E18</v>
      </c>
      <c r="E1746" s="9" t="str">
        <f>IFERROR(__xludf.DUMMYFUNCTION("""COMPUTED_VALUE"""),""",")</f>
        <v>",</v>
      </c>
    </row>
    <row r="1747">
      <c r="A1747" s="9" t="str">
        <f>IFERROR(__xludf.DUMMYFUNCTION("""COMPUTED_VALUE"""),"""")</f>
        <v>"</v>
      </c>
      <c r="B1747" s="9" t="s">
        <v>1756</v>
      </c>
      <c r="C1747" s="9" t="str">
        <f>IFERROR(__xludf.DUMMYFUNCTION("""COMPUTED_VALUE"""),""":""")</f>
        <v>":"</v>
      </c>
      <c r="D1747" s="24">
        <v>6.2005979458241782E18</v>
      </c>
      <c r="E1747" s="9" t="str">
        <f>IFERROR(__xludf.DUMMYFUNCTION("""COMPUTED_VALUE"""),""",")</f>
        <v>",</v>
      </c>
    </row>
    <row r="1748">
      <c r="A1748" s="9" t="str">
        <f>IFERROR(__xludf.DUMMYFUNCTION("""COMPUTED_VALUE"""),"""")</f>
        <v>"</v>
      </c>
      <c r="B1748" s="9" t="s">
        <v>1757</v>
      </c>
      <c r="C1748" s="9" t="str">
        <f>IFERROR(__xludf.DUMMYFUNCTION("""COMPUTED_VALUE"""),""":""")</f>
        <v>":"</v>
      </c>
      <c r="D1748" s="24">
        <v>6.2005979458241782E18</v>
      </c>
      <c r="E1748" s="9" t="str">
        <f>IFERROR(__xludf.DUMMYFUNCTION("""COMPUTED_VALUE"""),""",")</f>
        <v>",</v>
      </c>
    </row>
    <row r="1749">
      <c r="A1749" s="9" t="str">
        <f>IFERROR(__xludf.DUMMYFUNCTION("""COMPUTED_VALUE"""),"""")</f>
        <v>"</v>
      </c>
      <c r="B1749" s="9" t="s">
        <v>1758</v>
      </c>
      <c r="C1749" s="9" t="str">
        <f>IFERROR(__xludf.DUMMYFUNCTION("""COMPUTED_VALUE"""),""":""")</f>
        <v>":"</v>
      </c>
      <c r="D1749" s="24">
        <v>6.6269749304018214E17</v>
      </c>
      <c r="E1749" s="9" t="str">
        <f>IFERROR(__xludf.DUMMYFUNCTION("""COMPUTED_VALUE"""),""",")</f>
        <v>",</v>
      </c>
    </row>
    <row r="1750">
      <c r="A1750" s="9" t="str">
        <f>IFERROR(__xludf.DUMMYFUNCTION("""COMPUTED_VALUE"""),"""")</f>
        <v>"</v>
      </c>
      <c r="B1750" s="9" t="s">
        <v>1759</v>
      </c>
      <c r="C1750" s="9" t="str">
        <f>IFERROR(__xludf.DUMMYFUNCTION("""COMPUTED_VALUE"""),""":""")</f>
        <v>":"</v>
      </c>
      <c r="D1750" s="24">
        <v>5.933400689686401E18</v>
      </c>
      <c r="E1750" s="9" t="str">
        <f>IFERROR(__xludf.DUMMYFUNCTION("""COMPUTED_VALUE"""),""",")</f>
        <v>",</v>
      </c>
    </row>
    <row r="1751">
      <c r="A1751" s="9" t="str">
        <f>IFERROR(__xludf.DUMMYFUNCTION("""COMPUTED_VALUE"""),"""")</f>
        <v>"</v>
      </c>
      <c r="B1751" s="9" t="s">
        <v>1760</v>
      </c>
      <c r="C1751" s="9" t="str">
        <f>IFERROR(__xludf.DUMMYFUNCTION("""COMPUTED_VALUE"""),""":""")</f>
        <v>":"</v>
      </c>
      <c r="D1751" s="24">
        <v>6.2005979458241782E18</v>
      </c>
      <c r="E1751" s="9" t="str">
        <f>IFERROR(__xludf.DUMMYFUNCTION("""COMPUTED_VALUE"""),""",")</f>
        <v>",</v>
      </c>
    </row>
    <row r="1752">
      <c r="A1752" s="9" t="str">
        <f>IFERROR(__xludf.DUMMYFUNCTION("""COMPUTED_VALUE"""),"""")</f>
        <v>"</v>
      </c>
      <c r="B1752" s="9" t="s">
        <v>1761</v>
      </c>
      <c r="C1752" s="9" t="str">
        <f>IFERROR(__xludf.DUMMYFUNCTION("""COMPUTED_VALUE"""),""":""")</f>
        <v>":"</v>
      </c>
      <c r="D1752" s="24">
        <v>6.2005979458241782E18</v>
      </c>
      <c r="E1752" s="9" t="str">
        <f>IFERROR(__xludf.DUMMYFUNCTION("""COMPUTED_VALUE"""),""",")</f>
        <v>",</v>
      </c>
    </row>
    <row r="1753">
      <c r="A1753" s="9" t="str">
        <f>IFERROR(__xludf.DUMMYFUNCTION("""COMPUTED_VALUE"""),"""")</f>
        <v>"</v>
      </c>
      <c r="B1753" s="9" t="s">
        <v>1762</v>
      </c>
      <c r="C1753" s="9" t="str">
        <f>IFERROR(__xludf.DUMMYFUNCTION("""COMPUTED_VALUE"""),""":""")</f>
        <v>":"</v>
      </c>
      <c r="D1753" s="24">
        <v>2.0248888511809958E19</v>
      </c>
      <c r="E1753" s="9" t="str">
        <f>IFERROR(__xludf.DUMMYFUNCTION("""COMPUTED_VALUE"""),""",")</f>
        <v>",</v>
      </c>
    </row>
    <row r="1754">
      <c r="A1754" s="9" t="str">
        <f>IFERROR(__xludf.DUMMYFUNCTION("""COMPUTED_VALUE"""),"""")</f>
        <v>"</v>
      </c>
      <c r="B1754" s="9" t="s">
        <v>1763</v>
      </c>
      <c r="C1754" s="9" t="str">
        <f>IFERROR(__xludf.DUMMYFUNCTION("""COMPUTED_VALUE"""),""":""")</f>
        <v>":"</v>
      </c>
      <c r="D1754" s="24">
        <v>6.2005979458241782E18</v>
      </c>
      <c r="E1754" s="9" t="str">
        <f>IFERROR(__xludf.DUMMYFUNCTION("""COMPUTED_VALUE"""),""",")</f>
        <v>",</v>
      </c>
    </row>
    <row r="1755">
      <c r="A1755" s="9" t="str">
        <f>IFERROR(__xludf.DUMMYFUNCTION("""COMPUTED_VALUE"""),"""")</f>
        <v>"</v>
      </c>
      <c r="B1755" s="9" t="s">
        <v>1764</v>
      </c>
      <c r="C1755" s="9" t="str">
        <f>IFERROR(__xludf.DUMMYFUNCTION("""COMPUTED_VALUE"""),""":""")</f>
        <v>":"</v>
      </c>
      <c r="D1755" s="24">
        <v>5.6578527742982881E18</v>
      </c>
      <c r="E1755" s="9" t="str">
        <f>IFERROR(__xludf.DUMMYFUNCTION("""COMPUTED_VALUE"""),""",")</f>
        <v>",</v>
      </c>
    </row>
    <row r="1756">
      <c r="A1756" s="9" t="str">
        <f>IFERROR(__xludf.DUMMYFUNCTION("""COMPUTED_VALUE"""),"""")</f>
        <v>"</v>
      </c>
      <c r="B1756" s="9" t="s">
        <v>1765</v>
      </c>
      <c r="C1756" s="9" t="str">
        <f>IFERROR(__xludf.DUMMYFUNCTION("""COMPUTED_VALUE"""),""":""")</f>
        <v>":"</v>
      </c>
      <c r="D1756" s="24">
        <v>6.2005979458241782E18</v>
      </c>
      <c r="E1756" s="9" t="str">
        <f>IFERROR(__xludf.DUMMYFUNCTION("""COMPUTED_VALUE"""),""",")</f>
        <v>",</v>
      </c>
    </row>
    <row r="1757">
      <c r="A1757" s="9" t="str">
        <f>IFERROR(__xludf.DUMMYFUNCTION("""COMPUTED_VALUE"""),"""")</f>
        <v>"</v>
      </c>
      <c r="B1757" s="9" t="s">
        <v>1766</v>
      </c>
      <c r="C1757" s="9" t="str">
        <f>IFERROR(__xludf.DUMMYFUNCTION("""COMPUTED_VALUE"""),""":""")</f>
        <v>":"</v>
      </c>
      <c r="D1757" s="24">
        <v>6.012860087753705E19</v>
      </c>
      <c r="E1757" s="9" t="str">
        <f>IFERROR(__xludf.DUMMYFUNCTION("""COMPUTED_VALUE"""),""",")</f>
        <v>",</v>
      </c>
    </row>
    <row r="1758">
      <c r="A1758" s="9" t="str">
        <f>IFERROR(__xludf.DUMMYFUNCTION("""COMPUTED_VALUE"""),"""")</f>
        <v>"</v>
      </c>
      <c r="B1758" s="9" t="s">
        <v>1767</v>
      </c>
      <c r="C1758" s="9" t="str">
        <f>IFERROR(__xludf.DUMMYFUNCTION("""COMPUTED_VALUE"""),""":""")</f>
        <v>":"</v>
      </c>
      <c r="D1758" s="24">
        <v>2.0248888511809958E19</v>
      </c>
      <c r="E1758" s="9" t="str">
        <f>IFERROR(__xludf.DUMMYFUNCTION("""COMPUTED_VALUE"""),""",")</f>
        <v>",</v>
      </c>
    </row>
    <row r="1759">
      <c r="A1759" s="9" t="str">
        <f>IFERROR(__xludf.DUMMYFUNCTION("""COMPUTED_VALUE"""),"""")</f>
        <v>"</v>
      </c>
      <c r="B1759" s="9" t="s">
        <v>1768</v>
      </c>
      <c r="C1759" s="9" t="str">
        <f>IFERROR(__xludf.DUMMYFUNCTION("""COMPUTED_VALUE"""),""":""")</f>
        <v>":"</v>
      </c>
      <c r="D1759" s="24">
        <v>4.6698986908965335E18</v>
      </c>
      <c r="E1759" s="9" t="str">
        <f>IFERROR(__xludf.DUMMYFUNCTION("""COMPUTED_VALUE"""),""",")</f>
        <v>",</v>
      </c>
    </row>
    <row r="1760">
      <c r="A1760" s="9" t="str">
        <f>IFERROR(__xludf.DUMMYFUNCTION("""COMPUTED_VALUE"""),"""")</f>
        <v>"</v>
      </c>
      <c r="B1760" s="9" t="s">
        <v>1769</v>
      </c>
      <c r="C1760" s="9" t="str">
        <f>IFERROR(__xludf.DUMMYFUNCTION("""COMPUTED_VALUE"""),""":""")</f>
        <v>":"</v>
      </c>
      <c r="D1760" s="24">
        <v>6.2005979458241782E18</v>
      </c>
      <c r="E1760" s="9" t="str">
        <f>IFERROR(__xludf.DUMMYFUNCTION("""COMPUTED_VALUE"""),""",")</f>
        <v>",</v>
      </c>
    </row>
    <row r="1761">
      <c r="A1761" s="9" t="str">
        <f>IFERROR(__xludf.DUMMYFUNCTION("""COMPUTED_VALUE"""),"""")</f>
        <v>"</v>
      </c>
      <c r="B1761" s="9" t="s">
        <v>1770</v>
      </c>
      <c r="C1761" s="9" t="str">
        <f>IFERROR(__xludf.DUMMYFUNCTION("""COMPUTED_VALUE"""),""":""")</f>
        <v>":"</v>
      </c>
      <c r="D1761" s="24">
        <v>4.4252373317224223E18</v>
      </c>
      <c r="E1761" s="9" t="str">
        <f>IFERROR(__xludf.DUMMYFUNCTION("""COMPUTED_VALUE"""),""",")</f>
        <v>",</v>
      </c>
    </row>
    <row r="1762">
      <c r="A1762" s="9" t="str">
        <f>IFERROR(__xludf.DUMMYFUNCTION("""COMPUTED_VALUE"""),"""")</f>
        <v>"</v>
      </c>
      <c r="B1762" s="9" t="s">
        <v>1771</v>
      </c>
      <c r="C1762" s="9" t="str">
        <f>IFERROR(__xludf.DUMMYFUNCTION("""COMPUTED_VALUE"""),""":""")</f>
        <v>":"</v>
      </c>
      <c r="D1762" s="24">
        <v>6.6329957986664315E18</v>
      </c>
      <c r="E1762" s="9" t="str">
        <f>IFERROR(__xludf.DUMMYFUNCTION("""COMPUTED_VALUE"""),""",")</f>
        <v>",</v>
      </c>
    </row>
    <row r="1763">
      <c r="A1763" s="9" t="str">
        <f>IFERROR(__xludf.DUMMYFUNCTION("""COMPUTED_VALUE"""),"""")</f>
        <v>"</v>
      </c>
      <c r="B1763" s="9" t="s">
        <v>1772</v>
      </c>
      <c r="C1763" s="9" t="str">
        <f>IFERROR(__xludf.DUMMYFUNCTION("""COMPUTED_VALUE"""),""":""")</f>
        <v>":"</v>
      </c>
      <c r="D1763" s="24">
        <v>9.3207203652956224E16</v>
      </c>
      <c r="E1763" s="9" t="str">
        <f>IFERROR(__xludf.DUMMYFUNCTION("""COMPUTED_VALUE"""),""",")</f>
        <v>",</v>
      </c>
    </row>
    <row r="1764">
      <c r="A1764" s="9" t="str">
        <f>IFERROR(__xludf.DUMMYFUNCTION("""COMPUTED_VALUE"""),"""")</f>
        <v>"</v>
      </c>
      <c r="B1764" s="9" t="s">
        <v>1773</v>
      </c>
      <c r="C1764" s="9" t="str">
        <f>IFERROR(__xludf.DUMMYFUNCTION("""COMPUTED_VALUE"""),""":""")</f>
        <v>":"</v>
      </c>
      <c r="D1764" s="24">
        <v>6.2005979458241782E18</v>
      </c>
      <c r="E1764" s="9" t="str">
        <f>IFERROR(__xludf.DUMMYFUNCTION("""COMPUTED_VALUE"""),""",")</f>
        <v>",</v>
      </c>
    </row>
    <row r="1765">
      <c r="A1765" s="9" t="str">
        <f>IFERROR(__xludf.DUMMYFUNCTION("""COMPUTED_VALUE"""),"""")</f>
        <v>"</v>
      </c>
      <c r="B1765" s="9" t="s">
        <v>1774</v>
      </c>
      <c r="C1765" s="9" t="str">
        <f>IFERROR(__xludf.DUMMYFUNCTION("""COMPUTED_VALUE"""),""":""")</f>
        <v>":"</v>
      </c>
      <c r="D1765" s="24">
        <v>1.917484838473285E19</v>
      </c>
      <c r="E1765" s="9" t="str">
        <f>IFERROR(__xludf.DUMMYFUNCTION("""COMPUTED_VALUE"""),""",")</f>
        <v>",</v>
      </c>
    </row>
    <row r="1766">
      <c r="A1766" s="9" t="str">
        <f>IFERROR(__xludf.DUMMYFUNCTION("""COMPUTED_VALUE"""),"""")</f>
        <v>"</v>
      </c>
      <c r="B1766" s="9" t="s">
        <v>1775</v>
      </c>
      <c r="C1766" s="9" t="str">
        <f>IFERROR(__xludf.DUMMYFUNCTION("""COMPUTED_VALUE"""),""":""")</f>
        <v>":"</v>
      </c>
      <c r="D1766" s="24">
        <v>2.0236914158528635E19</v>
      </c>
      <c r="E1766" s="9" t="str">
        <f>IFERROR(__xludf.DUMMYFUNCTION("""COMPUTED_VALUE"""),""",")</f>
        <v>",</v>
      </c>
    </row>
    <row r="1767">
      <c r="A1767" s="9" t="str">
        <f>IFERROR(__xludf.DUMMYFUNCTION("""COMPUTED_VALUE"""),"""")</f>
        <v>"</v>
      </c>
      <c r="B1767" s="9" t="s">
        <v>1776</v>
      </c>
      <c r="C1767" s="9" t="str">
        <f>IFERROR(__xludf.DUMMYFUNCTION("""COMPUTED_VALUE"""),""":""")</f>
        <v>":"</v>
      </c>
      <c r="D1767" s="24">
        <v>1.957828773721282E19</v>
      </c>
      <c r="E1767" s="9" t="str">
        <f>IFERROR(__xludf.DUMMYFUNCTION("""COMPUTED_VALUE"""),""",")</f>
        <v>",</v>
      </c>
    </row>
    <row r="1768">
      <c r="A1768" s="9" t="str">
        <f>IFERROR(__xludf.DUMMYFUNCTION("""COMPUTED_VALUE"""),"""")</f>
        <v>"</v>
      </c>
      <c r="B1768" s="9" t="s">
        <v>1777</v>
      </c>
      <c r="C1768" s="9" t="str">
        <f>IFERROR(__xludf.DUMMYFUNCTION("""COMPUTED_VALUE"""),""":""")</f>
        <v>":"</v>
      </c>
      <c r="D1768" s="24">
        <v>6.2005979458241782E18</v>
      </c>
      <c r="E1768" s="9" t="str">
        <f>IFERROR(__xludf.DUMMYFUNCTION("""COMPUTED_VALUE"""),""",")</f>
        <v>",</v>
      </c>
    </row>
    <row r="1769">
      <c r="A1769" s="9" t="str">
        <f>IFERROR(__xludf.DUMMYFUNCTION("""COMPUTED_VALUE"""),"""")</f>
        <v>"</v>
      </c>
      <c r="B1769" s="9" t="s">
        <v>1778</v>
      </c>
      <c r="C1769" s="9" t="str">
        <f>IFERROR(__xludf.DUMMYFUNCTION("""COMPUTED_VALUE"""),""":""")</f>
        <v>":"</v>
      </c>
      <c r="D1769" s="24">
        <v>5.4586922928505682E18</v>
      </c>
      <c r="E1769" s="9" t="str">
        <f>IFERROR(__xludf.DUMMYFUNCTION("""COMPUTED_VALUE"""),""",")</f>
        <v>",</v>
      </c>
    </row>
    <row r="1770">
      <c r="A1770" s="9" t="str">
        <f>IFERROR(__xludf.DUMMYFUNCTION("""COMPUTED_VALUE"""),"""")</f>
        <v>"</v>
      </c>
      <c r="B1770" s="9" t="s">
        <v>1779</v>
      </c>
      <c r="C1770" s="9" t="str">
        <f>IFERROR(__xludf.DUMMYFUNCTION("""COMPUTED_VALUE"""),""":""")</f>
        <v>":"</v>
      </c>
      <c r="D1770" s="24">
        <v>7.5323833325783204E18</v>
      </c>
      <c r="E1770" s="9" t="str">
        <f>IFERROR(__xludf.DUMMYFUNCTION("""COMPUTED_VALUE"""),""",")</f>
        <v>",</v>
      </c>
    </row>
    <row r="1771">
      <c r="A1771" s="9" t="str">
        <f>IFERROR(__xludf.DUMMYFUNCTION("""COMPUTED_VALUE"""),"""")</f>
        <v>"</v>
      </c>
      <c r="B1771" s="9" t="s">
        <v>1780</v>
      </c>
      <c r="C1771" s="9" t="str">
        <f>IFERROR(__xludf.DUMMYFUNCTION("""COMPUTED_VALUE"""),""":""")</f>
        <v>":"</v>
      </c>
      <c r="D1771" s="24">
        <v>6.2005979458241782E18</v>
      </c>
      <c r="E1771" s="9" t="str">
        <f>IFERROR(__xludf.DUMMYFUNCTION("""COMPUTED_VALUE"""),""",")</f>
        <v>",</v>
      </c>
    </row>
    <row r="1772">
      <c r="A1772" s="9" t="str">
        <f>IFERROR(__xludf.DUMMYFUNCTION("""COMPUTED_VALUE"""),"""")</f>
        <v>"</v>
      </c>
      <c r="B1772" s="9" t="s">
        <v>1781</v>
      </c>
      <c r="C1772" s="9" t="str">
        <f>IFERROR(__xludf.DUMMYFUNCTION("""COMPUTED_VALUE"""),""":""")</f>
        <v>":"</v>
      </c>
      <c r="D1772" s="24">
        <v>1.74392303986128E19</v>
      </c>
      <c r="E1772" s="9" t="str">
        <f>IFERROR(__xludf.DUMMYFUNCTION("""COMPUTED_VALUE"""),""",")</f>
        <v>",</v>
      </c>
    </row>
    <row r="1773">
      <c r="A1773" s="9" t="str">
        <f>IFERROR(__xludf.DUMMYFUNCTION("""COMPUTED_VALUE"""),"""")</f>
        <v>"</v>
      </c>
      <c r="B1773" s="9" t="s">
        <v>1782</v>
      </c>
      <c r="C1773" s="9" t="str">
        <f>IFERROR(__xludf.DUMMYFUNCTION("""COMPUTED_VALUE"""),""":""")</f>
        <v>":"</v>
      </c>
      <c r="D1773" s="24">
        <v>2.988461522368789E19</v>
      </c>
      <c r="E1773" s="9" t="str">
        <f>IFERROR(__xludf.DUMMYFUNCTION("""COMPUTED_VALUE"""),""",")</f>
        <v>",</v>
      </c>
    </row>
    <row r="1774">
      <c r="A1774" s="9" t="str">
        <f>IFERROR(__xludf.DUMMYFUNCTION("""COMPUTED_VALUE"""),"""")</f>
        <v>"</v>
      </c>
      <c r="B1774" s="9" t="s">
        <v>1783</v>
      </c>
      <c r="C1774" s="9" t="str">
        <f>IFERROR(__xludf.DUMMYFUNCTION("""COMPUTED_VALUE"""),""":""")</f>
        <v>":"</v>
      </c>
      <c r="D1774" s="24">
        <v>3.8284425451799112E18</v>
      </c>
      <c r="E1774" s="9" t="str">
        <f>IFERROR(__xludf.DUMMYFUNCTION("""COMPUTED_VALUE"""),""",")</f>
        <v>",</v>
      </c>
    </row>
    <row r="1775">
      <c r="A1775" s="9" t="str">
        <f>IFERROR(__xludf.DUMMYFUNCTION("""COMPUTED_VALUE"""),"""")</f>
        <v>"</v>
      </c>
      <c r="B1775" s="9" t="s">
        <v>1784</v>
      </c>
      <c r="C1775" s="9" t="str">
        <f>IFERROR(__xludf.DUMMYFUNCTION("""COMPUTED_VALUE"""),""":""")</f>
        <v>":"</v>
      </c>
      <c r="D1775" s="24">
        <v>6.2005979458241782E18</v>
      </c>
      <c r="E1775" s="9" t="str">
        <f>IFERROR(__xludf.DUMMYFUNCTION("""COMPUTED_VALUE"""),""",")</f>
        <v>",</v>
      </c>
    </row>
    <row r="1776">
      <c r="A1776" s="9" t="str">
        <f>IFERROR(__xludf.DUMMYFUNCTION("""COMPUTED_VALUE"""),"""")</f>
        <v>"</v>
      </c>
      <c r="B1776" s="9" t="s">
        <v>1785</v>
      </c>
      <c r="C1776" s="9" t="str">
        <f>IFERROR(__xludf.DUMMYFUNCTION("""COMPUTED_VALUE"""),""":""")</f>
        <v>":"</v>
      </c>
      <c r="D1776" s="24">
        <v>6.2005979458241782E18</v>
      </c>
      <c r="E1776" s="9" t="str">
        <f>IFERROR(__xludf.DUMMYFUNCTION("""COMPUTED_VALUE"""),""",")</f>
        <v>",</v>
      </c>
    </row>
    <row r="1777">
      <c r="A1777" s="9" t="str">
        <f>IFERROR(__xludf.DUMMYFUNCTION("""COMPUTED_VALUE"""),"""")</f>
        <v>"</v>
      </c>
      <c r="B1777" s="9" t="s">
        <v>1786</v>
      </c>
      <c r="C1777" s="9" t="str">
        <f>IFERROR(__xludf.DUMMYFUNCTION("""COMPUTED_VALUE"""),""":""")</f>
        <v>":"</v>
      </c>
      <c r="D1777" s="24">
        <v>6.6329957986664315E18</v>
      </c>
      <c r="E1777" s="9" t="str">
        <f>IFERROR(__xludf.DUMMYFUNCTION("""COMPUTED_VALUE"""),""",")</f>
        <v>",</v>
      </c>
    </row>
    <row r="1778">
      <c r="A1778" s="9" t="str">
        <f>IFERROR(__xludf.DUMMYFUNCTION("""COMPUTED_VALUE"""),"""")</f>
        <v>"</v>
      </c>
      <c r="B1778" s="9" t="s">
        <v>1787</v>
      </c>
      <c r="C1778" s="9" t="str">
        <f>IFERROR(__xludf.DUMMYFUNCTION("""COMPUTED_VALUE"""),""":""")</f>
        <v>":"</v>
      </c>
      <c r="D1778" s="24">
        <v>2.200442388112311E19</v>
      </c>
      <c r="E1778" s="9" t="str">
        <f>IFERROR(__xludf.DUMMYFUNCTION("""COMPUTED_VALUE"""),""",")</f>
        <v>",</v>
      </c>
    </row>
    <row r="1779">
      <c r="A1779" s="9" t="str">
        <f>IFERROR(__xludf.DUMMYFUNCTION("""COMPUTED_VALUE"""),"""")</f>
        <v>"</v>
      </c>
      <c r="B1779" s="9" t="s">
        <v>1788</v>
      </c>
      <c r="C1779" s="9" t="str">
        <f>IFERROR(__xludf.DUMMYFUNCTION("""COMPUTED_VALUE"""),""":""")</f>
        <v>":"</v>
      </c>
      <c r="D1779" s="24">
        <v>6.7782529698915717E18</v>
      </c>
      <c r="E1779" s="9" t="str">
        <f>IFERROR(__xludf.DUMMYFUNCTION("""COMPUTED_VALUE"""),""",")</f>
        <v>",</v>
      </c>
    </row>
    <row r="1780">
      <c r="A1780" s="9" t="str">
        <f>IFERROR(__xludf.DUMMYFUNCTION("""COMPUTED_VALUE"""),"""")</f>
        <v>"</v>
      </c>
      <c r="B1780" s="9" t="s">
        <v>1789</v>
      </c>
      <c r="C1780" s="9" t="str">
        <f>IFERROR(__xludf.DUMMYFUNCTION("""COMPUTED_VALUE"""),""":""")</f>
        <v>":"</v>
      </c>
      <c r="D1780" s="24">
        <v>6.2005979458241782E18</v>
      </c>
      <c r="E1780" s="9" t="str">
        <f>IFERROR(__xludf.DUMMYFUNCTION("""COMPUTED_VALUE"""),""",")</f>
        <v>",</v>
      </c>
    </row>
    <row r="1781">
      <c r="A1781" s="9" t="str">
        <f>IFERROR(__xludf.DUMMYFUNCTION("""COMPUTED_VALUE"""),"""")</f>
        <v>"</v>
      </c>
      <c r="B1781" s="9" t="s">
        <v>1790</v>
      </c>
      <c r="C1781" s="9" t="str">
        <f>IFERROR(__xludf.DUMMYFUNCTION("""COMPUTED_VALUE"""),""":""")</f>
        <v>":"</v>
      </c>
      <c r="D1781" s="24">
        <v>2.6089654279642445E18</v>
      </c>
      <c r="E1781" s="9" t="str">
        <f>IFERROR(__xludf.DUMMYFUNCTION("""COMPUTED_VALUE"""),""",")</f>
        <v>",</v>
      </c>
    </row>
    <row r="1782">
      <c r="A1782" s="9" t="str">
        <f>IFERROR(__xludf.DUMMYFUNCTION("""COMPUTED_VALUE"""),"""")</f>
        <v>"</v>
      </c>
      <c r="B1782" s="9" t="s">
        <v>1791</v>
      </c>
      <c r="C1782" s="9" t="str">
        <f>IFERROR(__xludf.DUMMYFUNCTION("""COMPUTED_VALUE"""),""":""")</f>
        <v>":"</v>
      </c>
      <c r="D1782" s="24">
        <v>5.6592462438055567E18</v>
      </c>
      <c r="E1782" s="9" t="str">
        <f>IFERROR(__xludf.DUMMYFUNCTION("""COMPUTED_VALUE"""),""",")</f>
        <v>",</v>
      </c>
    </row>
    <row r="1783">
      <c r="A1783" s="9" t="str">
        <f>IFERROR(__xludf.DUMMYFUNCTION("""COMPUTED_VALUE"""),"""")</f>
        <v>"</v>
      </c>
      <c r="B1783" s="9" t="s">
        <v>1792</v>
      </c>
      <c r="C1783" s="9" t="str">
        <f>IFERROR(__xludf.DUMMYFUNCTION("""COMPUTED_VALUE"""),""":""")</f>
        <v>":"</v>
      </c>
      <c r="D1783" s="24">
        <v>2.0248888511809958E19</v>
      </c>
      <c r="E1783" s="9" t="str">
        <f>IFERROR(__xludf.DUMMYFUNCTION("""COMPUTED_VALUE"""),""",")</f>
        <v>",</v>
      </c>
    </row>
    <row r="1784">
      <c r="A1784" s="9" t="str">
        <f>IFERROR(__xludf.DUMMYFUNCTION("""COMPUTED_VALUE"""),"""")</f>
        <v>"</v>
      </c>
      <c r="B1784" s="9" t="s">
        <v>1793</v>
      </c>
      <c r="C1784" s="9" t="str">
        <f>IFERROR(__xludf.DUMMYFUNCTION("""COMPUTED_VALUE"""),""":""")</f>
        <v>":"</v>
      </c>
      <c r="D1784" s="24">
        <v>6.2005979458241782E18</v>
      </c>
      <c r="E1784" s="9" t="str">
        <f>IFERROR(__xludf.DUMMYFUNCTION("""COMPUTED_VALUE"""),""",")</f>
        <v>",</v>
      </c>
    </row>
    <row r="1785">
      <c r="A1785" s="9" t="str">
        <f>IFERROR(__xludf.DUMMYFUNCTION("""COMPUTED_VALUE"""),"""")</f>
        <v>"</v>
      </c>
      <c r="B1785" s="9" t="s">
        <v>1794</v>
      </c>
      <c r="C1785" s="9" t="str">
        <f>IFERROR(__xludf.DUMMYFUNCTION("""COMPUTED_VALUE"""),""":""")</f>
        <v>":"</v>
      </c>
      <c r="D1785" s="24">
        <v>1.9541037101196843E20</v>
      </c>
      <c r="E1785" s="9" t="str">
        <f>IFERROR(__xludf.DUMMYFUNCTION("""COMPUTED_VALUE"""),""",")</f>
        <v>",</v>
      </c>
    </row>
    <row r="1786">
      <c r="A1786" s="9" t="str">
        <f>IFERROR(__xludf.DUMMYFUNCTION("""COMPUTED_VALUE"""),"""")</f>
        <v>"</v>
      </c>
      <c r="B1786" s="9" t="s">
        <v>1795</v>
      </c>
      <c r="C1786" s="9" t="str">
        <f>IFERROR(__xludf.DUMMYFUNCTION("""COMPUTED_VALUE"""),""":""")</f>
        <v>":"</v>
      </c>
      <c r="D1786" s="24">
        <v>6.2005979458241782E18</v>
      </c>
      <c r="E1786" s="9" t="str">
        <f>IFERROR(__xludf.DUMMYFUNCTION("""COMPUTED_VALUE"""),""",")</f>
        <v>",</v>
      </c>
    </row>
    <row r="1787">
      <c r="A1787" s="9" t="str">
        <f>IFERROR(__xludf.DUMMYFUNCTION("""COMPUTED_VALUE"""),"""")</f>
        <v>"</v>
      </c>
      <c r="B1787" s="9" t="s">
        <v>1796</v>
      </c>
      <c r="C1787" s="9" t="str">
        <f>IFERROR(__xludf.DUMMYFUNCTION("""COMPUTED_VALUE"""),""":""")</f>
        <v>":"</v>
      </c>
      <c r="D1787" s="24">
        <v>2.0248888511809958E19</v>
      </c>
      <c r="E1787" s="9" t="str">
        <f>IFERROR(__xludf.DUMMYFUNCTION("""COMPUTED_VALUE"""),""",")</f>
        <v>",</v>
      </c>
    </row>
    <row r="1788">
      <c r="A1788" s="9" t="str">
        <f>IFERROR(__xludf.DUMMYFUNCTION("""COMPUTED_VALUE"""),"""")</f>
        <v>"</v>
      </c>
      <c r="B1788" s="9" t="s">
        <v>1797</v>
      </c>
      <c r="C1788" s="9" t="str">
        <f>IFERROR(__xludf.DUMMYFUNCTION("""COMPUTED_VALUE"""),""":""")</f>
        <v>":"</v>
      </c>
      <c r="D1788" s="24">
        <v>2.0248888511809958E19</v>
      </c>
      <c r="E1788" s="9" t="str">
        <f>IFERROR(__xludf.DUMMYFUNCTION("""COMPUTED_VALUE"""),""",")</f>
        <v>",</v>
      </c>
    </row>
    <row r="1789">
      <c r="A1789" s="9" t="str">
        <f>IFERROR(__xludf.DUMMYFUNCTION("""COMPUTED_VALUE"""),"""")</f>
        <v>"</v>
      </c>
      <c r="B1789" s="9" t="s">
        <v>1798</v>
      </c>
      <c r="C1789" s="9" t="str">
        <f>IFERROR(__xludf.DUMMYFUNCTION("""COMPUTED_VALUE"""),""":""")</f>
        <v>":"</v>
      </c>
      <c r="D1789" s="24">
        <v>2.370807133454798E19</v>
      </c>
      <c r="E1789" s="9" t="str">
        <f>IFERROR(__xludf.DUMMYFUNCTION("""COMPUTED_VALUE"""),""",")</f>
        <v>",</v>
      </c>
    </row>
    <row r="1790">
      <c r="A1790" s="9" t="str">
        <f>IFERROR(__xludf.DUMMYFUNCTION("""COMPUTED_VALUE"""),"""")</f>
        <v>"</v>
      </c>
      <c r="B1790" s="9" t="s">
        <v>1799</v>
      </c>
      <c r="C1790" s="9" t="str">
        <f>IFERROR(__xludf.DUMMYFUNCTION("""COMPUTED_VALUE"""),""":""")</f>
        <v>":"</v>
      </c>
      <c r="D1790" s="24">
        <v>2.0248888511809958E19</v>
      </c>
      <c r="E1790" s="9" t="str">
        <f>IFERROR(__xludf.DUMMYFUNCTION("""COMPUTED_VALUE"""),""",")</f>
        <v>",</v>
      </c>
    </row>
    <row r="1791">
      <c r="A1791" s="9" t="str">
        <f>IFERROR(__xludf.DUMMYFUNCTION("""COMPUTED_VALUE"""),"""")</f>
        <v>"</v>
      </c>
      <c r="B1791" s="9" t="s">
        <v>1800</v>
      </c>
      <c r="C1791" s="9" t="str">
        <f>IFERROR(__xludf.DUMMYFUNCTION("""COMPUTED_VALUE"""),""":""")</f>
        <v>":"</v>
      </c>
      <c r="D1791" s="24">
        <v>5.8632904558269563E18</v>
      </c>
      <c r="E1791" s="9" t="str">
        <f>IFERROR(__xludf.DUMMYFUNCTION("""COMPUTED_VALUE"""),""",")</f>
        <v>",</v>
      </c>
    </row>
    <row r="1792">
      <c r="A1792" s="9" t="str">
        <f>IFERROR(__xludf.DUMMYFUNCTION("""COMPUTED_VALUE"""),"""")</f>
        <v>"</v>
      </c>
      <c r="B1792" s="9" t="s">
        <v>1801</v>
      </c>
      <c r="C1792" s="9" t="str">
        <f>IFERROR(__xludf.DUMMYFUNCTION("""COMPUTED_VALUE"""),""":""")</f>
        <v>":"</v>
      </c>
      <c r="D1792" s="24">
        <v>6.2005979458241782E18</v>
      </c>
      <c r="E1792" s="9" t="str">
        <f>IFERROR(__xludf.DUMMYFUNCTION("""COMPUTED_VALUE"""),""",")</f>
        <v>",</v>
      </c>
    </row>
    <row r="1793">
      <c r="A1793" s="9" t="str">
        <f>IFERROR(__xludf.DUMMYFUNCTION("""COMPUTED_VALUE"""),"""")</f>
        <v>"</v>
      </c>
      <c r="B1793" s="9" t="s">
        <v>1802</v>
      </c>
      <c r="C1793" s="9" t="str">
        <f>IFERROR(__xludf.DUMMYFUNCTION("""COMPUTED_VALUE"""),""":""")</f>
        <v>":"</v>
      </c>
      <c r="D1793" s="24">
        <v>2.0248888511809958E19</v>
      </c>
      <c r="E1793" s="9" t="str">
        <f>IFERROR(__xludf.DUMMYFUNCTION("""COMPUTED_VALUE"""),""",")</f>
        <v>",</v>
      </c>
    </row>
    <row r="1794">
      <c r="A1794" s="9" t="str">
        <f>IFERROR(__xludf.DUMMYFUNCTION("""COMPUTED_VALUE"""),"""")</f>
        <v>"</v>
      </c>
      <c r="B1794" s="9" t="s">
        <v>1803</v>
      </c>
      <c r="C1794" s="9" t="str">
        <f>IFERROR(__xludf.DUMMYFUNCTION("""COMPUTED_VALUE"""),""":""")</f>
        <v>":"</v>
      </c>
      <c r="D1794" s="24">
        <v>2.0248888511809958E19</v>
      </c>
      <c r="E1794" s="9" t="str">
        <f>IFERROR(__xludf.DUMMYFUNCTION("""COMPUTED_VALUE"""),""",")</f>
        <v>",</v>
      </c>
    </row>
    <row r="1795">
      <c r="A1795" s="9" t="str">
        <f>IFERROR(__xludf.DUMMYFUNCTION("""COMPUTED_VALUE"""),"""")</f>
        <v>"</v>
      </c>
      <c r="B1795" s="9" t="s">
        <v>1804</v>
      </c>
      <c r="C1795" s="9" t="str">
        <f>IFERROR(__xludf.DUMMYFUNCTION("""COMPUTED_VALUE"""),""":""")</f>
        <v>":"</v>
      </c>
      <c r="D1795" s="24">
        <v>6.2005979458241782E18</v>
      </c>
      <c r="E1795" s="9" t="str">
        <f>IFERROR(__xludf.DUMMYFUNCTION("""COMPUTED_VALUE"""),""",")</f>
        <v>",</v>
      </c>
    </row>
    <row r="1796">
      <c r="A1796" s="9" t="str">
        <f>IFERROR(__xludf.DUMMYFUNCTION("""COMPUTED_VALUE"""),"""")</f>
        <v>"</v>
      </c>
      <c r="B1796" s="9" t="s">
        <v>1805</v>
      </c>
      <c r="C1796" s="9" t="str">
        <f>IFERROR(__xludf.DUMMYFUNCTION("""COMPUTED_VALUE"""),""":""")</f>
        <v>":"</v>
      </c>
      <c r="D1796" s="24">
        <v>2.0248888511809958E19</v>
      </c>
      <c r="E1796" s="9" t="str">
        <f>IFERROR(__xludf.DUMMYFUNCTION("""COMPUTED_VALUE"""),""",")</f>
        <v>",</v>
      </c>
    </row>
    <row r="1797">
      <c r="A1797" s="9" t="str">
        <f>IFERROR(__xludf.DUMMYFUNCTION("""COMPUTED_VALUE"""),"""")</f>
        <v>"</v>
      </c>
      <c r="B1797" s="9" t="s">
        <v>1806</v>
      </c>
      <c r="C1797" s="9" t="str">
        <f>IFERROR(__xludf.DUMMYFUNCTION("""COMPUTED_VALUE"""),""":""")</f>
        <v>":"</v>
      </c>
      <c r="D1797" s="24">
        <v>4.750632119028222E18</v>
      </c>
      <c r="E1797" s="9" t="str">
        <f>IFERROR(__xludf.DUMMYFUNCTION("""COMPUTED_VALUE"""),""",")</f>
        <v>",</v>
      </c>
    </row>
    <row r="1798">
      <c r="A1798" s="9" t="str">
        <f>IFERROR(__xludf.DUMMYFUNCTION("""COMPUTED_VALUE"""),"""")</f>
        <v>"</v>
      </c>
      <c r="B1798" s="9" t="s">
        <v>1807</v>
      </c>
      <c r="C1798" s="9" t="str">
        <f>IFERROR(__xludf.DUMMYFUNCTION("""COMPUTED_VALUE"""),""":""")</f>
        <v>":"</v>
      </c>
      <c r="D1798" s="24">
        <v>6.2005979458241782E18</v>
      </c>
      <c r="E1798" s="9" t="str">
        <f>IFERROR(__xludf.DUMMYFUNCTION("""COMPUTED_VALUE"""),""",")</f>
        <v>",</v>
      </c>
    </row>
    <row r="1799">
      <c r="A1799" s="9" t="str">
        <f>IFERROR(__xludf.DUMMYFUNCTION("""COMPUTED_VALUE"""),"""")</f>
        <v>"</v>
      </c>
      <c r="B1799" s="9" t="s">
        <v>1808</v>
      </c>
      <c r="C1799" s="9" t="str">
        <f>IFERROR(__xludf.DUMMYFUNCTION("""COMPUTED_VALUE"""),""":""")</f>
        <v>":"</v>
      </c>
      <c r="D1799" s="24">
        <v>5.6144239832876442E18</v>
      </c>
      <c r="E1799" s="9" t="str">
        <f>IFERROR(__xludf.DUMMYFUNCTION("""COMPUTED_VALUE"""),""",")</f>
        <v>",</v>
      </c>
    </row>
    <row r="1800">
      <c r="A1800" s="9" t="str">
        <f>IFERROR(__xludf.DUMMYFUNCTION("""COMPUTED_VALUE"""),"""")</f>
        <v>"</v>
      </c>
      <c r="B1800" s="9" t="s">
        <v>1809</v>
      </c>
      <c r="C1800" s="9" t="str">
        <f>IFERROR(__xludf.DUMMYFUNCTION("""COMPUTED_VALUE"""),""":""")</f>
        <v>":"</v>
      </c>
      <c r="D1800" s="24">
        <v>6.2005979458241782E18</v>
      </c>
      <c r="E1800" s="9" t="str">
        <f>IFERROR(__xludf.DUMMYFUNCTION("""COMPUTED_VALUE"""),""",")</f>
        <v>",</v>
      </c>
    </row>
    <row r="1801">
      <c r="A1801" s="9" t="str">
        <f>IFERROR(__xludf.DUMMYFUNCTION("""COMPUTED_VALUE"""),"""")</f>
        <v>"</v>
      </c>
      <c r="B1801" s="9" t="s">
        <v>1810</v>
      </c>
      <c r="C1801" s="9" t="str">
        <f>IFERROR(__xludf.DUMMYFUNCTION("""COMPUTED_VALUE"""),""":""")</f>
        <v>":"</v>
      </c>
      <c r="D1801" s="24">
        <v>6.6329957986664315E18</v>
      </c>
      <c r="E1801" s="9" t="str">
        <f>IFERROR(__xludf.DUMMYFUNCTION("""COMPUTED_VALUE"""),""",")</f>
        <v>",</v>
      </c>
    </row>
    <row r="1802">
      <c r="A1802" s="9" t="str">
        <f>IFERROR(__xludf.DUMMYFUNCTION("""COMPUTED_VALUE"""),"""")</f>
        <v>"</v>
      </c>
      <c r="B1802" s="9" t="s">
        <v>1811</v>
      </c>
      <c r="C1802" s="9" t="str">
        <f>IFERROR(__xludf.DUMMYFUNCTION("""COMPUTED_VALUE"""),""":""")</f>
        <v>":"</v>
      </c>
      <c r="D1802" s="24">
        <v>1.7332019299661713E19</v>
      </c>
      <c r="E1802" s="9" t="str">
        <f>IFERROR(__xludf.DUMMYFUNCTION("""COMPUTED_VALUE"""),""",")</f>
        <v>",</v>
      </c>
    </row>
    <row r="1803">
      <c r="A1803" s="9" t="str">
        <f>IFERROR(__xludf.DUMMYFUNCTION("""COMPUTED_VALUE"""),"""")</f>
        <v>"</v>
      </c>
      <c r="B1803" s="9" t="s">
        <v>1812</v>
      </c>
      <c r="C1803" s="9" t="str">
        <f>IFERROR(__xludf.DUMMYFUNCTION("""COMPUTED_VALUE"""),""":""")</f>
        <v>":"</v>
      </c>
      <c r="D1803" s="24">
        <v>2.0209972804073222E19</v>
      </c>
      <c r="E1803" s="9" t="str">
        <f>IFERROR(__xludf.DUMMYFUNCTION("""COMPUTED_VALUE"""),""",")</f>
        <v>",</v>
      </c>
    </row>
    <row r="1804">
      <c r="A1804" s="9" t="str">
        <f>IFERROR(__xludf.DUMMYFUNCTION("""COMPUTED_VALUE"""),"""")</f>
        <v>"</v>
      </c>
      <c r="B1804" s="9" t="s">
        <v>1813</v>
      </c>
      <c r="C1804" s="9" t="str">
        <f>IFERROR(__xludf.DUMMYFUNCTION("""COMPUTED_VALUE"""),""":""")</f>
        <v>":"</v>
      </c>
      <c r="D1804" s="24">
        <v>1.2909449745722927E20</v>
      </c>
      <c r="E1804" s="9" t="str">
        <f>IFERROR(__xludf.DUMMYFUNCTION("""COMPUTED_VALUE"""),""",")</f>
        <v>",</v>
      </c>
    </row>
    <row r="1805">
      <c r="A1805" s="9" t="str">
        <f>IFERROR(__xludf.DUMMYFUNCTION("""COMPUTED_VALUE"""),"""")</f>
        <v>"</v>
      </c>
      <c r="B1805" s="9" t="s">
        <v>1814</v>
      </c>
      <c r="C1805" s="9" t="str">
        <f>IFERROR(__xludf.DUMMYFUNCTION("""COMPUTED_VALUE"""),""":""")</f>
        <v>":"</v>
      </c>
      <c r="D1805" s="24">
        <v>5.8913300537798676E18</v>
      </c>
      <c r="E1805" s="9" t="str">
        <f>IFERROR(__xludf.DUMMYFUNCTION("""COMPUTED_VALUE"""),""",")</f>
        <v>",</v>
      </c>
    </row>
    <row r="1806">
      <c r="A1806" s="9" t="str">
        <f>IFERROR(__xludf.DUMMYFUNCTION("""COMPUTED_VALUE"""),"""")</f>
        <v>"</v>
      </c>
      <c r="B1806" s="9" t="s">
        <v>1815</v>
      </c>
      <c r="C1806" s="9" t="str">
        <f>IFERROR(__xludf.DUMMYFUNCTION("""COMPUTED_VALUE"""),""":""")</f>
        <v>":"</v>
      </c>
      <c r="D1806" s="24">
        <v>4.7567545132961331E18</v>
      </c>
      <c r="E1806" s="9" t="str">
        <f>IFERROR(__xludf.DUMMYFUNCTION("""COMPUTED_VALUE"""),""",")</f>
        <v>",</v>
      </c>
    </row>
    <row r="1807">
      <c r="A1807" s="9" t="str">
        <f>IFERROR(__xludf.DUMMYFUNCTION("""COMPUTED_VALUE"""),"""")</f>
        <v>"</v>
      </c>
      <c r="B1807" s="9" t="s">
        <v>1816</v>
      </c>
      <c r="C1807" s="9" t="str">
        <f>IFERROR(__xludf.DUMMYFUNCTION("""COMPUTED_VALUE"""),""":""")</f>
        <v>":"</v>
      </c>
      <c r="D1807" s="24">
        <v>2.9309048891361804E19</v>
      </c>
      <c r="E1807" s="9" t="str">
        <f>IFERROR(__xludf.DUMMYFUNCTION("""COMPUTED_VALUE"""),""",")</f>
        <v>",</v>
      </c>
    </row>
    <row r="1808">
      <c r="A1808" s="9" t="str">
        <f>IFERROR(__xludf.DUMMYFUNCTION("""COMPUTED_VALUE"""),"""")</f>
        <v>"</v>
      </c>
      <c r="B1808" s="9" t="s">
        <v>1817</v>
      </c>
      <c r="C1808" s="9" t="str">
        <f>IFERROR(__xludf.DUMMYFUNCTION("""COMPUTED_VALUE"""),""":""")</f>
        <v>":"</v>
      </c>
      <c r="D1808" s="24">
        <v>6.2005979458241782E18</v>
      </c>
      <c r="E1808" s="9" t="str">
        <f>IFERROR(__xludf.DUMMYFUNCTION("""COMPUTED_VALUE"""),""",")</f>
        <v>",</v>
      </c>
    </row>
    <row r="1809">
      <c r="A1809" s="9" t="str">
        <f>IFERROR(__xludf.DUMMYFUNCTION("""COMPUTED_VALUE"""),"""")</f>
        <v>"</v>
      </c>
      <c r="B1809" s="9" t="s">
        <v>1818</v>
      </c>
      <c r="C1809" s="9" t="str">
        <f>IFERROR(__xludf.DUMMYFUNCTION("""COMPUTED_VALUE"""),""":""")</f>
        <v>":"</v>
      </c>
      <c r="D1809" s="24">
        <v>5.6859574753796884E18</v>
      </c>
      <c r="E1809" s="9" t="str">
        <f>IFERROR(__xludf.DUMMYFUNCTION("""COMPUTED_VALUE"""),""",")</f>
        <v>",</v>
      </c>
    </row>
    <row r="1810">
      <c r="A1810" s="9" t="str">
        <f>IFERROR(__xludf.DUMMYFUNCTION("""COMPUTED_VALUE"""),"""")</f>
        <v>"</v>
      </c>
      <c r="B1810" s="9" t="s">
        <v>1819</v>
      </c>
      <c r="C1810" s="9" t="str">
        <f>IFERROR(__xludf.DUMMYFUNCTION("""COMPUTED_VALUE"""),""":""")</f>
        <v>":"</v>
      </c>
      <c r="D1810" s="24">
        <v>6.2005979458241782E18</v>
      </c>
      <c r="E1810" s="9" t="str">
        <f>IFERROR(__xludf.DUMMYFUNCTION("""COMPUTED_VALUE"""),""",")</f>
        <v>",</v>
      </c>
    </row>
    <row r="1811">
      <c r="A1811" s="9" t="str">
        <f>IFERROR(__xludf.DUMMYFUNCTION("""COMPUTED_VALUE"""),"""")</f>
        <v>"</v>
      </c>
      <c r="B1811" s="9" t="s">
        <v>1820</v>
      </c>
      <c r="C1811" s="9" t="str">
        <f>IFERROR(__xludf.DUMMYFUNCTION("""COMPUTED_VALUE"""),""":""")</f>
        <v>":"</v>
      </c>
      <c r="D1811" s="24">
        <v>2.0248888511809958E19</v>
      </c>
      <c r="E1811" s="9" t="str">
        <f>IFERROR(__xludf.DUMMYFUNCTION("""COMPUTED_VALUE"""),""",")</f>
        <v>",</v>
      </c>
    </row>
    <row r="1812">
      <c r="A1812" s="9" t="str">
        <f>IFERROR(__xludf.DUMMYFUNCTION("""COMPUTED_VALUE"""),"""")</f>
        <v>"</v>
      </c>
      <c r="B1812" s="9" t="s">
        <v>1821</v>
      </c>
      <c r="C1812" s="9" t="str">
        <f>IFERROR(__xludf.DUMMYFUNCTION("""COMPUTED_VALUE"""),""":""")</f>
        <v>":"</v>
      </c>
      <c r="D1812" s="24">
        <v>6.2005979458241782E18</v>
      </c>
      <c r="E1812" s="9" t="str">
        <f>IFERROR(__xludf.DUMMYFUNCTION("""COMPUTED_VALUE"""),""",")</f>
        <v>",</v>
      </c>
    </row>
    <row r="1813">
      <c r="A1813" s="9" t="str">
        <f>IFERROR(__xludf.DUMMYFUNCTION("""COMPUTED_VALUE"""),"""")</f>
        <v>"</v>
      </c>
      <c r="B1813" s="9" t="s">
        <v>1822</v>
      </c>
      <c r="C1813" s="9" t="str">
        <f>IFERROR(__xludf.DUMMYFUNCTION("""COMPUTED_VALUE"""),""":""")</f>
        <v>":"</v>
      </c>
      <c r="D1813" s="24">
        <v>1.4682393857943757E19</v>
      </c>
      <c r="E1813" s="9" t="str">
        <f>IFERROR(__xludf.DUMMYFUNCTION("""COMPUTED_VALUE"""),""",")</f>
        <v>",</v>
      </c>
    </row>
    <row r="1814">
      <c r="A1814" s="9" t="str">
        <f>IFERROR(__xludf.DUMMYFUNCTION("""COMPUTED_VALUE"""),"""")</f>
        <v>"</v>
      </c>
      <c r="B1814" s="9" t="s">
        <v>1823</v>
      </c>
      <c r="C1814" s="9" t="str">
        <f>IFERROR(__xludf.DUMMYFUNCTION("""COMPUTED_VALUE"""),""":""")</f>
        <v>":"</v>
      </c>
      <c r="D1814" s="24">
        <v>6.2005979458241782E18</v>
      </c>
      <c r="E1814" s="9" t="str">
        <f>IFERROR(__xludf.DUMMYFUNCTION("""COMPUTED_VALUE"""),""",")</f>
        <v>",</v>
      </c>
    </row>
    <row r="1815">
      <c r="A1815" s="9" t="str">
        <f>IFERROR(__xludf.DUMMYFUNCTION("""COMPUTED_VALUE"""),"""")</f>
        <v>"</v>
      </c>
      <c r="B1815" s="9" t="s">
        <v>1824</v>
      </c>
      <c r="C1815" s="9" t="str">
        <f>IFERROR(__xludf.DUMMYFUNCTION("""COMPUTED_VALUE"""),""":""")</f>
        <v>":"</v>
      </c>
      <c r="D1815" s="24">
        <v>6.2005979458241782E18</v>
      </c>
      <c r="E1815" s="9" t="str">
        <f>IFERROR(__xludf.DUMMYFUNCTION("""COMPUTED_VALUE"""),""",")</f>
        <v>",</v>
      </c>
    </row>
    <row r="1816">
      <c r="A1816" s="9" t="str">
        <f>IFERROR(__xludf.DUMMYFUNCTION("""COMPUTED_VALUE"""),"""")</f>
        <v>"</v>
      </c>
      <c r="B1816" s="9" t="s">
        <v>1825</v>
      </c>
      <c r="C1816" s="9" t="str">
        <f>IFERROR(__xludf.DUMMYFUNCTION("""COMPUTED_VALUE"""),""":""")</f>
        <v>":"</v>
      </c>
      <c r="D1816" s="24">
        <v>6.2005979458241782E18</v>
      </c>
      <c r="E1816" s="9" t="str">
        <f>IFERROR(__xludf.DUMMYFUNCTION("""COMPUTED_VALUE"""),""",")</f>
        <v>",</v>
      </c>
    </row>
    <row r="1817">
      <c r="A1817" s="9" t="str">
        <f>IFERROR(__xludf.DUMMYFUNCTION("""COMPUTED_VALUE"""),"""")</f>
        <v>"</v>
      </c>
      <c r="B1817" s="9" t="s">
        <v>1826</v>
      </c>
      <c r="C1817" s="9" t="str">
        <f>IFERROR(__xludf.DUMMYFUNCTION("""COMPUTED_VALUE"""),""":""")</f>
        <v>":"</v>
      </c>
      <c r="D1817" s="24">
        <v>6.2005979458241782E18</v>
      </c>
      <c r="E1817" s="9" t="str">
        <f>IFERROR(__xludf.DUMMYFUNCTION("""COMPUTED_VALUE"""),""",")</f>
        <v>",</v>
      </c>
    </row>
    <row r="1818">
      <c r="A1818" s="9" t="str">
        <f>IFERROR(__xludf.DUMMYFUNCTION("""COMPUTED_VALUE"""),"""")</f>
        <v>"</v>
      </c>
      <c r="B1818" s="9" t="s">
        <v>1827</v>
      </c>
      <c r="C1818" s="9" t="str">
        <f>IFERROR(__xludf.DUMMYFUNCTION("""COMPUTED_VALUE"""),""":""")</f>
        <v>":"</v>
      </c>
      <c r="D1818" s="24">
        <v>2.0248888511809958E19</v>
      </c>
      <c r="E1818" s="9" t="str">
        <f>IFERROR(__xludf.DUMMYFUNCTION("""COMPUTED_VALUE"""),""",")</f>
        <v>",</v>
      </c>
    </row>
    <row r="1819">
      <c r="A1819" s="9" t="str">
        <f>IFERROR(__xludf.DUMMYFUNCTION("""COMPUTED_VALUE"""),"""")</f>
        <v>"</v>
      </c>
      <c r="B1819" s="9" t="s">
        <v>1828</v>
      </c>
      <c r="C1819" s="9" t="str">
        <f>IFERROR(__xludf.DUMMYFUNCTION("""COMPUTED_VALUE"""),""":""")</f>
        <v>":"</v>
      </c>
      <c r="D1819" s="24">
        <v>6.2005979458241782E18</v>
      </c>
      <c r="E1819" s="9" t="str">
        <f>IFERROR(__xludf.DUMMYFUNCTION("""COMPUTED_VALUE"""),""",")</f>
        <v>",</v>
      </c>
    </row>
    <row r="1820">
      <c r="A1820" s="9" t="str">
        <f>IFERROR(__xludf.DUMMYFUNCTION("""COMPUTED_VALUE"""),"""")</f>
        <v>"</v>
      </c>
      <c r="B1820" s="9" t="s">
        <v>1829</v>
      </c>
      <c r="C1820" s="9" t="str">
        <f>IFERROR(__xludf.DUMMYFUNCTION("""COMPUTED_VALUE"""),""":""")</f>
        <v>":"</v>
      </c>
      <c r="D1820" s="24">
        <v>6.2005979458241782E18</v>
      </c>
      <c r="E1820" s="9" t="str">
        <f>IFERROR(__xludf.DUMMYFUNCTION("""COMPUTED_VALUE"""),""",")</f>
        <v>",</v>
      </c>
    </row>
    <row r="1821">
      <c r="A1821" s="9" t="str">
        <f>IFERROR(__xludf.DUMMYFUNCTION("""COMPUTED_VALUE"""),"""")</f>
        <v>"</v>
      </c>
      <c r="B1821" s="9" t="s">
        <v>1830</v>
      </c>
      <c r="C1821" s="9" t="str">
        <f>IFERROR(__xludf.DUMMYFUNCTION("""COMPUTED_VALUE"""),""":""")</f>
        <v>":"</v>
      </c>
      <c r="D1821" s="24">
        <v>6.2005979458241782E18</v>
      </c>
      <c r="E1821" s="9" t="str">
        <f>IFERROR(__xludf.DUMMYFUNCTION("""COMPUTED_VALUE"""),""",")</f>
        <v>",</v>
      </c>
    </row>
    <row r="1822">
      <c r="A1822" s="9" t="str">
        <f>IFERROR(__xludf.DUMMYFUNCTION("""COMPUTED_VALUE"""),"""")</f>
        <v>"</v>
      </c>
      <c r="B1822" s="9" t="s">
        <v>1831</v>
      </c>
      <c r="C1822" s="9" t="str">
        <f>IFERROR(__xludf.DUMMYFUNCTION("""COMPUTED_VALUE"""),""":""")</f>
        <v>":"</v>
      </c>
      <c r="D1822" s="24">
        <v>8.0660828599479654E18</v>
      </c>
      <c r="E1822" s="9" t="str">
        <f>IFERROR(__xludf.DUMMYFUNCTION("""COMPUTED_VALUE"""),""",")</f>
        <v>",</v>
      </c>
    </row>
    <row r="1823">
      <c r="A1823" s="9" t="str">
        <f>IFERROR(__xludf.DUMMYFUNCTION("""COMPUTED_VALUE"""),"""")</f>
        <v>"</v>
      </c>
      <c r="B1823" s="9" t="s">
        <v>1832</v>
      </c>
      <c r="C1823" s="9" t="str">
        <f>IFERROR(__xludf.DUMMYFUNCTION("""COMPUTED_VALUE"""),""":""")</f>
        <v>":"</v>
      </c>
      <c r="D1823" s="24">
        <v>1.8806328751516E19</v>
      </c>
      <c r="E1823" s="9" t="str">
        <f>IFERROR(__xludf.DUMMYFUNCTION("""COMPUTED_VALUE"""),""",")</f>
        <v>",</v>
      </c>
    </row>
    <row r="1824">
      <c r="A1824" s="9" t="str">
        <f>IFERROR(__xludf.DUMMYFUNCTION("""COMPUTED_VALUE"""),"""")</f>
        <v>"</v>
      </c>
      <c r="B1824" s="9" t="s">
        <v>1833</v>
      </c>
      <c r="C1824" s="9" t="str">
        <f>IFERROR(__xludf.DUMMYFUNCTION("""COMPUTED_VALUE"""),""":""")</f>
        <v>":"</v>
      </c>
      <c r="D1824" s="24">
        <v>6.2005979458241782E18</v>
      </c>
      <c r="E1824" s="9" t="str">
        <f>IFERROR(__xludf.DUMMYFUNCTION("""COMPUTED_VALUE"""),""",")</f>
        <v>",</v>
      </c>
    </row>
    <row r="1825">
      <c r="A1825" s="9" t="str">
        <f>IFERROR(__xludf.DUMMYFUNCTION("""COMPUTED_VALUE"""),"""")</f>
        <v>"</v>
      </c>
      <c r="B1825" s="9" t="s">
        <v>1834</v>
      </c>
      <c r="C1825" s="9" t="str">
        <f>IFERROR(__xludf.DUMMYFUNCTION("""COMPUTED_VALUE"""),""":""")</f>
        <v>":"</v>
      </c>
      <c r="D1825" s="24">
        <v>6.2005979458241782E18</v>
      </c>
      <c r="E1825" s="9" t="str">
        <f>IFERROR(__xludf.DUMMYFUNCTION("""COMPUTED_VALUE"""),""",")</f>
        <v>",</v>
      </c>
    </row>
    <row r="1826">
      <c r="A1826" s="9" t="str">
        <f>IFERROR(__xludf.DUMMYFUNCTION("""COMPUTED_VALUE"""),"""")</f>
        <v>"</v>
      </c>
      <c r="B1826" s="9" t="s">
        <v>1835</v>
      </c>
      <c r="C1826" s="9" t="str">
        <f>IFERROR(__xludf.DUMMYFUNCTION("""COMPUTED_VALUE"""),""":""")</f>
        <v>":"</v>
      </c>
      <c r="D1826" s="24">
        <v>2.3327561224046805E19</v>
      </c>
      <c r="E1826" s="9" t="str">
        <f>IFERROR(__xludf.DUMMYFUNCTION("""COMPUTED_VALUE"""),""",")</f>
        <v>",</v>
      </c>
    </row>
    <row r="1827">
      <c r="A1827" s="9" t="str">
        <f>IFERROR(__xludf.DUMMYFUNCTION("""COMPUTED_VALUE"""),"""")</f>
        <v>"</v>
      </c>
      <c r="B1827" s="9" t="s">
        <v>1836</v>
      </c>
      <c r="C1827" s="9" t="str">
        <f>IFERROR(__xludf.DUMMYFUNCTION("""COMPUTED_VALUE"""),""":""")</f>
        <v>":"</v>
      </c>
      <c r="D1827" s="24">
        <v>3.6741013616440443E18</v>
      </c>
      <c r="E1827" s="9" t="str">
        <f>IFERROR(__xludf.DUMMYFUNCTION("""COMPUTED_VALUE"""),""",")</f>
        <v>",</v>
      </c>
    </row>
    <row r="1828">
      <c r="A1828" s="9" t="str">
        <f>IFERROR(__xludf.DUMMYFUNCTION("""COMPUTED_VALUE"""),"""")</f>
        <v>"</v>
      </c>
      <c r="B1828" s="9" t="s">
        <v>1837</v>
      </c>
      <c r="C1828" s="9" t="str">
        <f>IFERROR(__xludf.DUMMYFUNCTION("""COMPUTED_VALUE"""),""":""")</f>
        <v>":"</v>
      </c>
      <c r="D1828" s="24">
        <v>5.5834919926984448E18</v>
      </c>
      <c r="E1828" s="9" t="str">
        <f>IFERROR(__xludf.DUMMYFUNCTION("""COMPUTED_VALUE"""),""",")</f>
        <v>",</v>
      </c>
    </row>
    <row r="1829">
      <c r="A1829" s="9" t="str">
        <f>IFERROR(__xludf.DUMMYFUNCTION("""COMPUTED_VALUE"""),"""")</f>
        <v>"</v>
      </c>
      <c r="B1829" s="9" t="s">
        <v>1838</v>
      </c>
      <c r="C1829" s="9" t="str">
        <f>IFERROR(__xludf.DUMMYFUNCTION("""COMPUTED_VALUE"""),""":""")</f>
        <v>":"</v>
      </c>
      <c r="D1829" s="24">
        <v>6.2005979458241782E18</v>
      </c>
      <c r="E1829" s="9" t="str">
        <f>IFERROR(__xludf.DUMMYFUNCTION("""COMPUTED_VALUE"""),""",")</f>
        <v>",</v>
      </c>
    </row>
    <row r="1830">
      <c r="A1830" s="9" t="str">
        <f>IFERROR(__xludf.DUMMYFUNCTION("""COMPUTED_VALUE"""),"""")</f>
        <v>"</v>
      </c>
      <c r="B1830" s="9" t="s">
        <v>1839</v>
      </c>
      <c r="C1830" s="9" t="str">
        <f>IFERROR(__xludf.DUMMYFUNCTION("""COMPUTED_VALUE"""),""":""")</f>
        <v>":"</v>
      </c>
      <c r="D1830" s="24">
        <v>6.2005979458241782E18</v>
      </c>
      <c r="E1830" s="9" t="str">
        <f>IFERROR(__xludf.DUMMYFUNCTION("""COMPUTED_VALUE"""),""",")</f>
        <v>",</v>
      </c>
    </row>
    <row r="1831">
      <c r="A1831" s="9" t="str">
        <f>IFERROR(__xludf.DUMMYFUNCTION("""COMPUTED_VALUE"""),"""")</f>
        <v>"</v>
      </c>
      <c r="B1831" s="9" t="s">
        <v>1840</v>
      </c>
      <c r="C1831" s="9" t="str">
        <f>IFERROR(__xludf.DUMMYFUNCTION("""COMPUTED_VALUE"""),""":""")</f>
        <v>":"</v>
      </c>
      <c r="D1831" s="24">
        <v>3.647245595045133E19</v>
      </c>
      <c r="E1831" s="9" t="str">
        <f>IFERROR(__xludf.DUMMYFUNCTION("""COMPUTED_VALUE"""),""",")</f>
        <v>",</v>
      </c>
    </row>
    <row r="1832">
      <c r="A1832" s="9" t="str">
        <f>IFERROR(__xludf.DUMMYFUNCTION("""COMPUTED_VALUE"""),"""")</f>
        <v>"</v>
      </c>
      <c r="B1832" s="9" t="s">
        <v>1841</v>
      </c>
      <c r="C1832" s="9" t="str">
        <f>IFERROR(__xludf.DUMMYFUNCTION("""COMPUTED_VALUE"""),""":""")</f>
        <v>":"</v>
      </c>
      <c r="D1832" s="24">
        <v>6.2005979458241782E18</v>
      </c>
      <c r="E1832" s="9" t="str">
        <f>IFERROR(__xludf.DUMMYFUNCTION("""COMPUTED_VALUE"""),""",")</f>
        <v>",</v>
      </c>
    </row>
    <row r="1833">
      <c r="A1833" s="9" t="str">
        <f>IFERROR(__xludf.DUMMYFUNCTION("""COMPUTED_VALUE"""),"""")</f>
        <v>"</v>
      </c>
      <c r="B1833" s="9" t="s">
        <v>1842</v>
      </c>
      <c r="C1833" s="9" t="str">
        <f>IFERROR(__xludf.DUMMYFUNCTION("""COMPUTED_VALUE"""),""":""")</f>
        <v>":"</v>
      </c>
      <c r="D1833" s="24">
        <v>5.7726886945143327E18</v>
      </c>
      <c r="E1833" s="9" t="str">
        <f>IFERROR(__xludf.DUMMYFUNCTION("""COMPUTED_VALUE"""),""",")</f>
        <v>",</v>
      </c>
    </row>
    <row r="1834">
      <c r="A1834" s="9" t="str">
        <f>IFERROR(__xludf.DUMMYFUNCTION("""COMPUTED_VALUE"""),"""")</f>
        <v>"</v>
      </c>
      <c r="B1834" s="9" t="s">
        <v>1843</v>
      </c>
      <c r="C1834" s="9" t="str">
        <f>IFERROR(__xludf.DUMMYFUNCTION("""COMPUTED_VALUE"""),""":""")</f>
        <v>":"</v>
      </c>
      <c r="D1834" s="24">
        <v>2.457286704023249E19</v>
      </c>
      <c r="E1834" s="9" t="str">
        <f>IFERROR(__xludf.DUMMYFUNCTION("""COMPUTED_VALUE"""),""",")</f>
        <v>",</v>
      </c>
    </row>
    <row r="1835">
      <c r="A1835" s="9" t="str">
        <f>IFERROR(__xludf.DUMMYFUNCTION("""COMPUTED_VALUE"""),"""")</f>
        <v>"</v>
      </c>
      <c r="B1835" s="9" t="s">
        <v>1844</v>
      </c>
      <c r="C1835" s="9" t="str">
        <f>IFERROR(__xludf.DUMMYFUNCTION("""COMPUTED_VALUE"""),""":""")</f>
        <v>":"</v>
      </c>
      <c r="D1835" s="24">
        <v>5.8959138109913334E18</v>
      </c>
      <c r="E1835" s="9" t="str">
        <f>IFERROR(__xludf.DUMMYFUNCTION("""COMPUTED_VALUE"""),""",")</f>
        <v>",</v>
      </c>
    </row>
    <row r="1836">
      <c r="A1836" s="9" t="str">
        <f>IFERROR(__xludf.DUMMYFUNCTION("""COMPUTED_VALUE"""),"""")</f>
        <v>"</v>
      </c>
      <c r="B1836" s="9" t="s">
        <v>1845</v>
      </c>
      <c r="C1836" s="9" t="str">
        <f>IFERROR(__xludf.DUMMYFUNCTION("""COMPUTED_VALUE"""),""":""")</f>
        <v>":"</v>
      </c>
      <c r="D1836" s="24">
        <v>3.819867839983871E19</v>
      </c>
      <c r="E1836" s="9" t="str">
        <f>IFERROR(__xludf.DUMMYFUNCTION("""COMPUTED_VALUE"""),""",")</f>
        <v>",</v>
      </c>
    </row>
    <row r="1837">
      <c r="A1837" s="9" t="str">
        <f>IFERROR(__xludf.DUMMYFUNCTION("""COMPUTED_VALUE"""),"""")</f>
        <v>"</v>
      </c>
      <c r="B1837" s="9" t="s">
        <v>1846</v>
      </c>
      <c r="C1837" s="9" t="str">
        <f>IFERROR(__xludf.DUMMYFUNCTION("""COMPUTED_VALUE"""),""":""")</f>
        <v>":"</v>
      </c>
      <c r="D1837" s="24">
        <v>6.2005979458241782E18</v>
      </c>
      <c r="E1837" s="9" t="str">
        <f>IFERROR(__xludf.DUMMYFUNCTION("""COMPUTED_VALUE"""),""",")</f>
        <v>",</v>
      </c>
    </row>
    <row r="1838">
      <c r="A1838" s="9" t="str">
        <f>IFERROR(__xludf.DUMMYFUNCTION("""COMPUTED_VALUE"""),"""")</f>
        <v>"</v>
      </c>
      <c r="B1838" s="9" t="s">
        <v>1847</v>
      </c>
      <c r="C1838" s="9" t="str">
        <f>IFERROR(__xludf.DUMMYFUNCTION("""COMPUTED_VALUE"""),""":""")</f>
        <v>":"</v>
      </c>
      <c r="D1838" s="24">
        <v>2.0248888511809958E19</v>
      </c>
      <c r="E1838" s="9" t="str">
        <f>IFERROR(__xludf.DUMMYFUNCTION("""COMPUTED_VALUE"""),""",")</f>
        <v>",</v>
      </c>
    </row>
    <row r="1839">
      <c r="A1839" s="9" t="str">
        <f>IFERROR(__xludf.DUMMYFUNCTION("""COMPUTED_VALUE"""),"""")</f>
        <v>"</v>
      </c>
      <c r="B1839" s="9" t="s">
        <v>1848</v>
      </c>
      <c r="C1839" s="9" t="str">
        <f>IFERROR(__xludf.DUMMYFUNCTION("""COMPUTED_VALUE"""),""":""")</f>
        <v>":"</v>
      </c>
      <c r="D1839" s="24">
        <v>3.4950415508446597E19</v>
      </c>
      <c r="E1839" s="9" t="str">
        <f>IFERROR(__xludf.DUMMYFUNCTION("""COMPUTED_VALUE"""),""",")</f>
        <v>",</v>
      </c>
    </row>
    <row r="1840">
      <c r="A1840" s="9" t="str">
        <f>IFERROR(__xludf.DUMMYFUNCTION("""COMPUTED_VALUE"""),"""")</f>
        <v>"</v>
      </c>
      <c r="B1840" s="9" t="s">
        <v>1849</v>
      </c>
      <c r="C1840" s="9" t="str">
        <f>IFERROR(__xludf.DUMMYFUNCTION("""COMPUTED_VALUE"""),""":""")</f>
        <v>":"</v>
      </c>
      <c r="D1840" s="24">
        <v>6.6329957986664315E18</v>
      </c>
      <c r="E1840" s="9" t="str">
        <f>IFERROR(__xludf.DUMMYFUNCTION("""COMPUTED_VALUE"""),""",")</f>
        <v>",</v>
      </c>
    </row>
    <row r="1841">
      <c r="A1841" s="9" t="str">
        <f>IFERROR(__xludf.DUMMYFUNCTION("""COMPUTED_VALUE"""),"""")</f>
        <v>"</v>
      </c>
      <c r="B1841" s="9" t="s">
        <v>1850</v>
      </c>
      <c r="C1841" s="9" t="str">
        <f>IFERROR(__xludf.DUMMYFUNCTION("""COMPUTED_VALUE"""),""":""")</f>
        <v>":"</v>
      </c>
      <c r="D1841" s="24">
        <v>6.2005979458241782E18</v>
      </c>
      <c r="E1841" s="9" t="str">
        <f>IFERROR(__xludf.DUMMYFUNCTION("""COMPUTED_VALUE"""),""",")</f>
        <v>",</v>
      </c>
    </row>
    <row r="1842">
      <c r="A1842" s="9" t="str">
        <f>IFERROR(__xludf.DUMMYFUNCTION("""COMPUTED_VALUE"""),"""")</f>
        <v>"</v>
      </c>
      <c r="B1842" s="9" t="s">
        <v>1851</v>
      </c>
      <c r="C1842" s="9" t="str">
        <f>IFERROR(__xludf.DUMMYFUNCTION("""COMPUTED_VALUE"""),""":""")</f>
        <v>":"</v>
      </c>
      <c r="D1842" s="24">
        <v>1.3228193790512579E19</v>
      </c>
      <c r="E1842" s="9" t="str">
        <f>IFERROR(__xludf.DUMMYFUNCTION("""COMPUTED_VALUE"""),""",")</f>
        <v>",</v>
      </c>
    </row>
    <row r="1843">
      <c r="A1843" s="9" t="str">
        <f>IFERROR(__xludf.DUMMYFUNCTION("""COMPUTED_VALUE"""),"""")</f>
        <v>"</v>
      </c>
      <c r="B1843" s="9" t="s">
        <v>1852</v>
      </c>
      <c r="C1843" s="9" t="str">
        <f>IFERROR(__xludf.DUMMYFUNCTION("""COMPUTED_VALUE"""),""":""")</f>
        <v>":"</v>
      </c>
      <c r="D1843" s="24">
        <v>5.8246256931854223E18</v>
      </c>
      <c r="E1843" s="9" t="str">
        <f>IFERROR(__xludf.DUMMYFUNCTION("""COMPUTED_VALUE"""),""",")</f>
        <v>",</v>
      </c>
    </row>
    <row r="1844">
      <c r="A1844" s="9" t="str">
        <f>IFERROR(__xludf.DUMMYFUNCTION("""COMPUTED_VALUE"""),"""")</f>
        <v>"</v>
      </c>
      <c r="B1844" s="9" t="s">
        <v>1853</v>
      </c>
      <c r="C1844" s="9" t="str">
        <f>IFERROR(__xludf.DUMMYFUNCTION("""COMPUTED_VALUE"""),""":""")</f>
        <v>":"</v>
      </c>
      <c r="D1844" s="24">
        <v>4.6209412300685107E18</v>
      </c>
      <c r="E1844" s="9" t="str">
        <f>IFERROR(__xludf.DUMMYFUNCTION("""COMPUTED_VALUE"""),""",")</f>
        <v>",</v>
      </c>
    </row>
    <row r="1845">
      <c r="A1845" s="9" t="str">
        <f>IFERROR(__xludf.DUMMYFUNCTION("""COMPUTED_VALUE"""),"""")</f>
        <v>"</v>
      </c>
      <c r="B1845" s="9" t="s">
        <v>1854</v>
      </c>
      <c r="C1845" s="9" t="str">
        <f>IFERROR(__xludf.DUMMYFUNCTION("""COMPUTED_VALUE"""),""":""")</f>
        <v>":"</v>
      </c>
      <c r="D1845" s="24">
        <v>5.780798119419707E19</v>
      </c>
      <c r="E1845" s="9" t="str">
        <f>IFERROR(__xludf.DUMMYFUNCTION("""COMPUTED_VALUE"""),""",")</f>
        <v>",</v>
      </c>
    </row>
    <row r="1846">
      <c r="A1846" s="9" t="str">
        <f>IFERROR(__xludf.DUMMYFUNCTION("""COMPUTED_VALUE"""),"""")</f>
        <v>"</v>
      </c>
      <c r="B1846" s="9" t="s">
        <v>1855</v>
      </c>
      <c r="C1846" s="9" t="str">
        <f>IFERROR(__xludf.DUMMYFUNCTION("""COMPUTED_VALUE"""),""":""")</f>
        <v>":"</v>
      </c>
      <c r="D1846" s="24">
        <v>6.2005979458241782E18</v>
      </c>
      <c r="E1846" s="9" t="str">
        <f>IFERROR(__xludf.DUMMYFUNCTION("""COMPUTED_VALUE"""),""",")</f>
        <v>",</v>
      </c>
    </row>
    <row r="1847">
      <c r="A1847" s="9" t="str">
        <f>IFERROR(__xludf.DUMMYFUNCTION("""COMPUTED_VALUE"""),"""")</f>
        <v>"</v>
      </c>
      <c r="B1847" s="9" t="s">
        <v>1856</v>
      </c>
      <c r="C1847" s="9" t="str">
        <f>IFERROR(__xludf.DUMMYFUNCTION("""COMPUTED_VALUE"""),""":""")</f>
        <v>":"</v>
      </c>
      <c r="D1847" s="24">
        <v>5.236767908416303E19</v>
      </c>
      <c r="E1847" s="9" t="str">
        <f>IFERROR(__xludf.DUMMYFUNCTION("""COMPUTED_VALUE"""),""",")</f>
        <v>",</v>
      </c>
    </row>
    <row r="1848">
      <c r="A1848" s="9" t="str">
        <f>IFERROR(__xludf.DUMMYFUNCTION("""COMPUTED_VALUE"""),"""")</f>
        <v>"</v>
      </c>
      <c r="B1848" s="9" t="s">
        <v>1857</v>
      </c>
      <c r="C1848" s="9" t="str">
        <f>IFERROR(__xludf.DUMMYFUNCTION("""COMPUTED_VALUE"""),""":""")</f>
        <v>":"</v>
      </c>
      <c r="D1848" s="24">
        <v>6.3691774326160067E18</v>
      </c>
      <c r="E1848" s="9" t="str">
        <f>IFERROR(__xludf.DUMMYFUNCTION("""COMPUTED_VALUE"""),""",")</f>
        <v>",</v>
      </c>
    </row>
    <row r="1849">
      <c r="A1849" s="9" t="str">
        <f>IFERROR(__xludf.DUMMYFUNCTION("""COMPUTED_VALUE"""),"""")</f>
        <v>"</v>
      </c>
      <c r="B1849" s="9" t="s">
        <v>1858</v>
      </c>
      <c r="C1849" s="9" t="str">
        <f>IFERROR(__xludf.DUMMYFUNCTION("""COMPUTED_VALUE"""),""":""")</f>
        <v>":"</v>
      </c>
      <c r="D1849" s="24">
        <v>2.0248888511809958E19</v>
      </c>
      <c r="E1849" s="9" t="str">
        <f>IFERROR(__xludf.DUMMYFUNCTION("""COMPUTED_VALUE"""),""",")</f>
        <v>",</v>
      </c>
    </row>
    <row r="1850">
      <c r="A1850" s="9" t="str">
        <f>IFERROR(__xludf.DUMMYFUNCTION("""COMPUTED_VALUE"""),"""")</f>
        <v>"</v>
      </c>
      <c r="B1850" s="9" t="s">
        <v>1859</v>
      </c>
      <c r="C1850" s="9" t="str">
        <f>IFERROR(__xludf.DUMMYFUNCTION("""COMPUTED_VALUE"""),""":""")</f>
        <v>":"</v>
      </c>
      <c r="D1850" s="24">
        <v>2.0350371457019556E19</v>
      </c>
      <c r="E1850" s="9" t="str">
        <f>IFERROR(__xludf.DUMMYFUNCTION("""COMPUTED_VALUE"""),""",")</f>
        <v>",</v>
      </c>
    </row>
    <row r="1851">
      <c r="A1851" s="9" t="str">
        <f>IFERROR(__xludf.DUMMYFUNCTION("""COMPUTED_VALUE"""),"""")</f>
        <v>"</v>
      </c>
      <c r="B1851" s="9" t="s">
        <v>1860</v>
      </c>
      <c r="C1851" s="9" t="str">
        <f>IFERROR(__xludf.DUMMYFUNCTION("""COMPUTED_VALUE"""),""":""")</f>
        <v>":"</v>
      </c>
      <c r="D1851" s="24">
        <v>2.2843275628863468E19</v>
      </c>
      <c r="E1851" s="9" t="str">
        <f>IFERROR(__xludf.DUMMYFUNCTION("""COMPUTED_VALUE"""),""",")</f>
        <v>",</v>
      </c>
    </row>
    <row r="1852">
      <c r="A1852" s="9" t="str">
        <f>IFERROR(__xludf.DUMMYFUNCTION("""COMPUTED_VALUE"""),"""")</f>
        <v>"</v>
      </c>
      <c r="B1852" s="9" t="s">
        <v>1861</v>
      </c>
      <c r="C1852" s="9" t="str">
        <f>IFERROR(__xludf.DUMMYFUNCTION("""COMPUTED_VALUE"""),""":""")</f>
        <v>":"</v>
      </c>
      <c r="D1852" s="24">
        <v>2.0248888511809958E19</v>
      </c>
      <c r="E1852" s="9" t="str">
        <f>IFERROR(__xludf.DUMMYFUNCTION("""COMPUTED_VALUE"""),""",")</f>
        <v>",</v>
      </c>
    </row>
    <row r="1853">
      <c r="A1853" s="9" t="str">
        <f>IFERROR(__xludf.DUMMYFUNCTION("""COMPUTED_VALUE"""),"""")</f>
        <v>"</v>
      </c>
      <c r="B1853" s="9" t="s">
        <v>1862</v>
      </c>
      <c r="C1853" s="9" t="str">
        <f>IFERROR(__xludf.DUMMYFUNCTION("""COMPUTED_VALUE"""),""":""")</f>
        <v>":"</v>
      </c>
      <c r="D1853" s="24">
        <v>1.61166001394872013E18</v>
      </c>
      <c r="E1853" s="9" t="str">
        <f>IFERROR(__xludf.DUMMYFUNCTION("""COMPUTED_VALUE"""),""",")</f>
        <v>",</v>
      </c>
    </row>
    <row r="1854">
      <c r="A1854" s="9" t="str">
        <f>IFERROR(__xludf.DUMMYFUNCTION("""COMPUTED_VALUE"""),"""")</f>
        <v>"</v>
      </c>
      <c r="B1854" s="9" t="s">
        <v>1863</v>
      </c>
      <c r="C1854" s="9" t="str">
        <f>IFERROR(__xludf.DUMMYFUNCTION("""COMPUTED_VALUE"""),""":""")</f>
        <v>":"</v>
      </c>
      <c r="D1854" s="24">
        <v>2.0248888511809958E19</v>
      </c>
      <c r="E1854" s="9" t="str">
        <f>IFERROR(__xludf.DUMMYFUNCTION("""COMPUTED_VALUE"""),""",")</f>
        <v>",</v>
      </c>
    </row>
    <row r="1855">
      <c r="A1855" s="9" t="str">
        <f>IFERROR(__xludf.DUMMYFUNCTION("""COMPUTED_VALUE"""),"""")</f>
        <v>"</v>
      </c>
      <c r="B1855" s="9" t="s">
        <v>1864</v>
      </c>
      <c r="C1855" s="9" t="str">
        <f>IFERROR(__xludf.DUMMYFUNCTION("""COMPUTED_VALUE"""),""":""")</f>
        <v>":"</v>
      </c>
      <c r="D1855" s="24">
        <v>5.9390611774218445E18</v>
      </c>
      <c r="E1855" s="9" t="str">
        <f>IFERROR(__xludf.DUMMYFUNCTION("""COMPUTED_VALUE"""),""",")</f>
        <v>",</v>
      </c>
    </row>
    <row r="1856">
      <c r="A1856" s="9" t="str">
        <f>IFERROR(__xludf.DUMMYFUNCTION("""COMPUTED_VALUE"""),"""")</f>
        <v>"</v>
      </c>
      <c r="B1856" s="9" t="s">
        <v>1865</v>
      </c>
      <c r="C1856" s="9" t="str">
        <f>IFERROR(__xludf.DUMMYFUNCTION("""COMPUTED_VALUE"""),""":""")</f>
        <v>":"</v>
      </c>
      <c r="D1856" s="24">
        <v>2.0767765935220662E19</v>
      </c>
      <c r="E1856" s="9" t="str">
        <f>IFERROR(__xludf.DUMMYFUNCTION("""COMPUTED_VALUE"""),""",")</f>
        <v>",</v>
      </c>
    </row>
    <row r="1857">
      <c r="A1857" s="9" t="str">
        <f>IFERROR(__xludf.DUMMYFUNCTION("""COMPUTED_VALUE"""),"""")</f>
        <v>"</v>
      </c>
      <c r="B1857" s="9" t="s">
        <v>1866</v>
      </c>
      <c r="C1857" s="9" t="str">
        <f>IFERROR(__xludf.DUMMYFUNCTION("""COMPUTED_VALUE"""),""":""")</f>
        <v>":"</v>
      </c>
      <c r="D1857" s="24">
        <v>2.0248888511809958E19</v>
      </c>
      <c r="E1857" s="9" t="str">
        <f>IFERROR(__xludf.DUMMYFUNCTION("""COMPUTED_VALUE"""),""",")</f>
        <v>",</v>
      </c>
    </row>
    <row r="1858">
      <c r="A1858" s="9" t="str">
        <f>IFERROR(__xludf.DUMMYFUNCTION("""COMPUTED_VALUE"""),"""")</f>
        <v>"</v>
      </c>
      <c r="B1858" s="9" t="s">
        <v>1867</v>
      </c>
      <c r="C1858" s="9" t="str">
        <f>IFERROR(__xludf.DUMMYFUNCTION("""COMPUTED_VALUE"""),""":""")</f>
        <v>":"</v>
      </c>
      <c r="D1858" s="24">
        <v>6.2005979458241782E18</v>
      </c>
      <c r="E1858" s="9" t="str">
        <f>IFERROR(__xludf.DUMMYFUNCTION("""COMPUTED_VALUE"""),""",")</f>
        <v>",</v>
      </c>
    </row>
    <row r="1859">
      <c r="A1859" s="9" t="str">
        <f>IFERROR(__xludf.DUMMYFUNCTION("""COMPUTED_VALUE"""),"""")</f>
        <v>"</v>
      </c>
      <c r="B1859" s="9" t="s">
        <v>1868</v>
      </c>
      <c r="C1859" s="9" t="str">
        <f>IFERROR(__xludf.DUMMYFUNCTION("""COMPUTED_VALUE"""),""":""")</f>
        <v>":"</v>
      </c>
      <c r="D1859" s="24">
        <v>6.2005979458241782E18</v>
      </c>
      <c r="E1859" s="9" t="str">
        <f>IFERROR(__xludf.DUMMYFUNCTION("""COMPUTED_VALUE"""),""",")</f>
        <v>",</v>
      </c>
    </row>
    <row r="1860">
      <c r="A1860" s="9" t="str">
        <f>IFERROR(__xludf.DUMMYFUNCTION("""COMPUTED_VALUE"""),"""")</f>
        <v>"</v>
      </c>
      <c r="B1860" s="9" t="s">
        <v>1869</v>
      </c>
      <c r="C1860" s="9" t="str">
        <f>IFERROR(__xludf.DUMMYFUNCTION("""COMPUTED_VALUE"""),""":""")</f>
        <v>":"</v>
      </c>
      <c r="D1860" s="24">
        <v>6.025442433634574E19</v>
      </c>
      <c r="E1860" s="9" t="str">
        <f>IFERROR(__xludf.DUMMYFUNCTION("""COMPUTED_VALUE"""),""",")</f>
        <v>",</v>
      </c>
    </row>
    <row r="1861">
      <c r="A1861" s="9" t="str">
        <f>IFERROR(__xludf.DUMMYFUNCTION("""COMPUTED_VALUE"""),"""")</f>
        <v>"</v>
      </c>
      <c r="B1861" s="9" t="s">
        <v>1870</v>
      </c>
      <c r="C1861" s="9" t="str">
        <f>IFERROR(__xludf.DUMMYFUNCTION("""COMPUTED_VALUE"""),""":""")</f>
        <v>":"</v>
      </c>
      <c r="D1861" s="24">
        <v>6.2005979458241782E18</v>
      </c>
      <c r="E1861" s="9" t="str">
        <f>IFERROR(__xludf.DUMMYFUNCTION("""COMPUTED_VALUE"""),""",")</f>
        <v>",</v>
      </c>
    </row>
    <row r="1862">
      <c r="A1862" s="9" t="str">
        <f>IFERROR(__xludf.DUMMYFUNCTION("""COMPUTED_VALUE"""),"""")</f>
        <v>"</v>
      </c>
      <c r="B1862" s="9" t="s">
        <v>1871</v>
      </c>
      <c r="C1862" s="9" t="str">
        <f>IFERROR(__xludf.DUMMYFUNCTION("""COMPUTED_VALUE"""),""":""")</f>
        <v>":"</v>
      </c>
      <c r="D1862" s="24">
        <v>2.068993432170905E19</v>
      </c>
      <c r="E1862" s="9" t="str">
        <f>IFERROR(__xludf.DUMMYFUNCTION("""COMPUTED_VALUE"""),""",")</f>
        <v>",</v>
      </c>
    </row>
    <row r="1863">
      <c r="A1863" s="9" t="str">
        <f>IFERROR(__xludf.DUMMYFUNCTION("""COMPUTED_VALUE"""),"""")</f>
        <v>"</v>
      </c>
      <c r="B1863" s="9" t="s">
        <v>1872</v>
      </c>
      <c r="C1863" s="9" t="str">
        <f>IFERROR(__xludf.DUMMYFUNCTION("""COMPUTED_VALUE"""),""":""")</f>
        <v>":"</v>
      </c>
      <c r="D1863" s="24">
        <v>5.5072382646527334E18</v>
      </c>
      <c r="E1863" s="9" t="str">
        <f>IFERROR(__xludf.DUMMYFUNCTION("""COMPUTED_VALUE"""),""",")</f>
        <v>",</v>
      </c>
    </row>
    <row r="1864">
      <c r="A1864" s="9" t="str">
        <f>IFERROR(__xludf.DUMMYFUNCTION("""COMPUTED_VALUE"""),"""")</f>
        <v>"</v>
      </c>
      <c r="B1864" s="9" t="s">
        <v>1873</v>
      </c>
      <c r="C1864" s="9" t="str">
        <f>IFERROR(__xludf.DUMMYFUNCTION("""COMPUTED_VALUE"""),""":""")</f>
        <v>":"</v>
      </c>
      <c r="D1864" s="24">
        <v>2.0248888511809958E19</v>
      </c>
      <c r="E1864" s="9" t="str">
        <f>IFERROR(__xludf.DUMMYFUNCTION("""COMPUTED_VALUE"""),""",")</f>
        <v>",</v>
      </c>
    </row>
    <row r="1865">
      <c r="A1865" s="9" t="str">
        <f>IFERROR(__xludf.DUMMYFUNCTION("""COMPUTED_VALUE"""),"""")</f>
        <v>"</v>
      </c>
      <c r="B1865" s="9" t="s">
        <v>1874</v>
      </c>
      <c r="C1865" s="9" t="str">
        <f>IFERROR(__xludf.DUMMYFUNCTION("""COMPUTED_VALUE"""),""":""")</f>
        <v>":"</v>
      </c>
      <c r="D1865" s="24">
        <v>4.309425418036801E18</v>
      </c>
      <c r="E1865" s="9" t="str">
        <f>IFERROR(__xludf.DUMMYFUNCTION("""COMPUTED_VALUE"""),""",")</f>
        <v>",</v>
      </c>
    </row>
    <row r="1866">
      <c r="A1866" s="9" t="str">
        <f>IFERROR(__xludf.DUMMYFUNCTION("""COMPUTED_VALUE"""),"""")</f>
        <v>"</v>
      </c>
      <c r="B1866" s="9" t="s">
        <v>1875</v>
      </c>
      <c r="C1866" s="9" t="str">
        <f>IFERROR(__xludf.DUMMYFUNCTION("""COMPUTED_VALUE"""),""":""")</f>
        <v>":"</v>
      </c>
      <c r="D1866" s="24">
        <v>6.2005979458241782E18</v>
      </c>
      <c r="E1866" s="9" t="str">
        <f>IFERROR(__xludf.DUMMYFUNCTION("""COMPUTED_VALUE"""),""",")</f>
        <v>",</v>
      </c>
    </row>
    <row r="1867">
      <c r="A1867" s="9" t="str">
        <f>IFERROR(__xludf.DUMMYFUNCTION("""COMPUTED_VALUE"""),"""")</f>
        <v>"</v>
      </c>
      <c r="B1867" s="9" t="s">
        <v>1876</v>
      </c>
      <c r="C1867" s="9" t="str">
        <f>IFERROR(__xludf.DUMMYFUNCTION("""COMPUTED_VALUE"""),""":""")</f>
        <v>":"</v>
      </c>
      <c r="D1867" s="24">
        <v>4.3188716285021112E18</v>
      </c>
      <c r="E1867" s="9" t="str">
        <f>IFERROR(__xludf.DUMMYFUNCTION("""COMPUTED_VALUE"""),""",")</f>
        <v>",</v>
      </c>
    </row>
    <row r="1868">
      <c r="A1868" s="9" t="str">
        <f>IFERROR(__xludf.DUMMYFUNCTION("""COMPUTED_VALUE"""),"""")</f>
        <v>"</v>
      </c>
      <c r="B1868" s="9" t="s">
        <v>1877</v>
      </c>
      <c r="C1868" s="9" t="str">
        <f>IFERROR(__xludf.DUMMYFUNCTION("""COMPUTED_VALUE"""),""":""")</f>
        <v>":"</v>
      </c>
      <c r="D1868" s="24">
        <v>6.2005979458241782E18</v>
      </c>
      <c r="E1868" s="9" t="str">
        <f>IFERROR(__xludf.DUMMYFUNCTION("""COMPUTED_VALUE"""),""",")</f>
        <v>",</v>
      </c>
    </row>
    <row r="1869">
      <c r="A1869" s="9" t="str">
        <f>IFERROR(__xludf.DUMMYFUNCTION("""COMPUTED_VALUE"""),"""")</f>
        <v>"</v>
      </c>
      <c r="B1869" s="9" t="s">
        <v>1878</v>
      </c>
      <c r="C1869" s="9" t="str">
        <f>IFERROR(__xludf.DUMMYFUNCTION("""COMPUTED_VALUE"""),""":""")</f>
        <v>":"</v>
      </c>
      <c r="D1869" s="24">
        <v>6.5282584005500918E18</v>
      </c>
      <c r="E1869" s="9" t="str">
        <f>IFERROR(__xludf.DUMMYFUNCTION("""COMPUTED_VALUE"""),""",")</f>
        <v>",</v>
      </c>
    </row>
    <row r="1870">
      <c r="A1870" s="9" t="str">
        <f>IFERROR(__xludf.DUMMYFUNCTION("""COMPUTED_VALUE"""),"""")</f>
        <v>"</v>
      </c>
      <c r="B1870" s="9" t="s">
        <v>1879</v>
      </c>
      <c r="C1870" s="9" t="str">
        <f>IFERROR(__xludf.DUMMYFUNCTION("""COMPUTED_VALUE"""),""":""")</f>
        <v>":"</v>
      </c>
      <c r="D1870" s="24">
        <v>6.2005979458241782E18</v>
      </c>
      <c r="E1870" s="9" t="str">
        <f>IFERROR(__xludf.DUMMYFUNCTION("""COMPUTED_VALUE"""),""",")</f>
        <v>",</v>
      </c>
    </row>
    <row r="1871">
      <c r="A1871" s="9" t="str">
        <f>IFERROR(__xludf.DUMMYFUNCTION("""COMPUTED_VALUE"""),"""")</f>
        <v>"</v>
      </c>
      <c r="B1871" s="9" t="s">
        <v>1880</v>
      </c>
      <c r="C1871" s="9" t="str">
        <f>IFERROR(__xludf.DUMMYFUNCTION("""COMPUTED_VALUE"""),""":""")</f>
        <v>":"</v>
      </c>
      <c r="D1871" s="24">
        <v>2.0248888511809958E19</v>
      </c>
      <c r="E1871" s="9" t="str">
        <f>IFERROR(__xludf.DUMMYFUNCTION("""COMPUTED_VALUE"""),""",")</f>
        <v>",</v>
      </c>
    </row>
    <row r="1872">
      <c r="A1872" s="9" t="str">
        <f>IFERROR(__xludf.DUMMYFUNCTION("""COMPUTED_VALUE"""),"""")</f>
        <v>"</v>
      </c>
      <c r="B1872" s="9" t="s">
        <v>1881</v>
      </c>
      <c r="C1872" s="9" t="str">
        <f>IFERROR(__xludf.DUMMYFUNCTION("""COMPUTED_VALUE"""),""":""")</f>
        <v>":"</v>
      </c>
      <c r="D1872" s="24">
        <v>6.2005979458241782E18</v>
      </c>
      <c r="E1872" s="9" t="str">
        <f>IFERROR(__xludf.DUMMYFUNCTION("""COMPUTED_VALUE"""),""",")</f>
        <v>",</v>
      </c>
    </row>
    <row r="1873">
      <c r="A1873" s="9" t="str">
        <f>IFERROR(__xludf.DUMMYFUNCTION("""COMPUTED_VALUE"""),"""")</f>
        <v>"</v>
      </c>
      <c r="B1873" s="9" t="s">
        <v>1882</v>
      </c>
      <c r="C1873" s="9" t="str">
        <f>IFERROR(__xludf.DUMMYFUNCTION("""COMPUTED_VALUE"""),""":""")</f>
        <v>":"</v>
      </c>
      <c r="D1873" s="24">
        <v>2.0248888511809958E19</v>
      </c>
      <c r="E1873" s="9" t="str">
        <f>IFERROR(__xludf.DUMMYFUNCTION("""COMPUTED_VALUE"""),""",")</f>
        <v>",</v>
      </c>
    </row>
    <row r="1874">
      <c r="A1874" s="9" t="str">
        <f>IFERROR(__xludf.DUMMYFUNCTION("""COMPUTED_VALUE"""),"""")</f>
        <v>"</v>
      </c>
      <c r="B1874" s="9" t="s">
        <v>1883</v>
      </c>
      <c r="C1874" s="9" t="str">
        <f>IFERROR(__xludf.DUMMYFUNCTION("""COMPUTED_VALUE"""),""":""")</f>
        <v>":"</v>
      </c>
      <c r="D1874" s="24">
        <v>9.3159928428530048E16</v>
      </c>
      <c r="E1874" s="9" t="str">
        <f>IFERROR(__xludf.DUMMYFUNCTION("""COMPUTED_VALUE"""),""",")</f>
        <v>",</v>
      </c>
    </row>
    <row r="1875">
      <c r="A1875" s="9" t="str">
        <f>IFERROR(__xludf.DUMMYFUNCTION("""COMPUTED_VALUE"""),"""")</f>
        <v>"</v>
      </c>
      <c r="B1875" s="9" t="s">
        <v>1884</v>
      </c>
      <c r="C1875" s="9" t="str">
        <f>IFERROR(__xludf.DUMMYFUNCTION("""COMPUTED_VALUE"""),""":""")</f>
        <v>":"</v>
      </c>
      <c r="D1875" s="24">
        <v>5.7135079814433331E18</v>
      </c>
      <c r="E1875" s="9" t="str">
        <f>IFERROR(__xludf.DUMMYFUNCTION("""COMPUTED_VALUE"""),""",")</f>
        <v>",</v>
      </c>
    </row>
    <row r="1876">
      <c r="A1876" s="9" t="str">
        <f>IFERROR(__xludf.DUMMYFUNCTION("""COMPUTED_VALUE"""),"""")</f>
        <v>"</v>
      </c>
      <c r="B1876" s="9" t="s">
        <v>1885</v>
      </c>
      <c r="C1876" s="9" t="str">
        <f>IFERROR(__xludf.DUMMYFUNCTION("""COMPUTED_VALUE"""),""":""")</f>
        <v>":"</v>
      </c>
      <c r="D1876" s="24">
        <v>5.9274633298288456E18</v>
      </c>
      <c r="E1876" s="9" t="str">
        <f>IFERROR(__xludf.DUMMYFUNCTION("""COMPUTED_VALUE"""),""",")</f>
        <v>",</v>
      </c>
    </row>
    <row r="1877">
      <c r="A1877" s="9" t="str">
        <f>IFERROR(__xludf.DUMMYFUNCTION("""COMPUTED_VALUE"""),"""")</f>
        <v>"</v>
      </c>
      <c r="B1877" s="9" t="s">
        <v>1886</v>
      </c>
      <c r="C1877" s="9" t="str">
        <f>IFERROR(__xludf.DUMMYFUNCTION("""COMPUTED_VALUE"""),""":""")</f>
        <v>":"</v>
      </c>
      <c r="D1877" s="24">
        <v>2.0248888511809958E19</v>
      </c>
      <c r="E1877" s="9" t="str">
        <f>IFERROR(__xludf.DUMMYFUNCTION("""COMPUTED_VALUE"""),""",")</f>
        <v>",</v>
      </c>
    </row>
    <row r="1878">
      <c r="A1878" s="9" t="str">
        <f>IFERROR(__xludf.DUMMYFUNCTION("""COMPUTED_VALUE"""),"""")</f>
        <v>"</v>
      </c>
      <c r="B1878" s="9" t="s">
        <v>1887</v>
      </c>
      <c r="C1878" s="9" t="str">
        <f>IFERROR(__xludf.DUMMYFUNCTION("""COMPUTED_VALUE"""),""":""")</f>
        <v>":"</v>
      </c>
      <c r="D1878" s="24">
        <v>1.2501764031177112E19</v>
      </c>
      <c r="E1878" s="9" t="str">
        <f>IFERROR(__xludf.DUMMYFUNCTION("""COMPUTED_VALUE"""),""",")</f>
        <v>",</v>
      </c>
    </row>
    <row r="1879">
      <c r="A1879" s="9" t="str">
        <f>IFERROR(__xludf.DUMMYFUNCTION("""COMPUTED_VALUE"""),"""")</f>
        <v>"</v>
      </c>
      <c r="B1879" s="9" t="s">
        <v>1888</v>
      </c>
      <c r="C1879" s="9" t="str">
        <f>IFERROR(__xludf.DUMMYFUNCTION("""COMPUTED_VALUE"""),""":""")</f>
        <v>":"</v>
      </c>
      <c r="D1879" s="24">
        <v>6.2005979458241782E18</v>
      </c>
      <c r="E1879" s="9" t="str">
        <f>IFERROR(__xludf.DUMMYFUNCTION("""COMPUTED_VALUE"""),""",")</f>
        <v>",</v>
      </c>
    </row>
    <row r="1880">
      <c r="A1880" s="9" t="str">
        <f>IFERROR(__xludf.DUMMYFUNCTION("""COMPUTED_VALUE"""),"""")</f>
        <v>"</v>
      </c>
      <c r="B1880" s="9" t="s">
        <v>1889</v>
      </c>
      <c r="C1880" s="9" t="str">
        <f>IFERROR(__xludf.DUMMYFUNCTION("""COMPUTED_VALUE"""),""":""")</f>
        <v>":"</v>
      </c>
      <c r="D1880" s="24">
        <v>5.8305887915334226E18</v>
      </c>
      <c r="E1880" s="9" t="str">
        <f>IFERROR(__xludf.DUMMYFUNCTION("""COMPUTED_VALUE"""),""",")</f>
        <v>",</v>
      </c>
    </row>
    <row r="1881">
      <c r="A1881" s="9" t="str">
        <f>IFERROR(__xludf.DUMMYFUNCTION("""COMPUTED_VALUE"""),"""")</f>
        <v>"</v>
      </c>
      <c r="B1881" s="9" t="s">
        <v>1890</v>
      </c>
      <c r="C1881" s="9" t="str">
        <f>IFERROR(__xludf.DUMMYFUNCTION("""COMPUTED_VALUE"""),""":""")</f>
        <v>":"</v>
      </c>
      <c r="D1881" s="24">
        <v>6.2005979458241782E18</v>
      </c>
      <c r="E1881" s="9" t="str">
        <f>IFERROR(__xludf.DUMMYFUNCTION("""COMPUTED_VALUE"""),""",")</f>
        <v>",</v>
      </c>
    </row>
    <row r="1882">
      <c r="A1882" s="9" t="str">
        <f>IFERROR(__xludf.DUMMYFUNCTION("""COMPUTED_VALUE"""),"""")</f>
        <v>"</v>
      </c>
      <c r="B1882" s="9" t="s">
        <v>1891</v>
      </c>
      <c r="C1882" s="9" t="str">
        <f>IFERROR(__xludf.DUMMYFUNCTION("""COMPUTED_VALUE"""),""":""")</f>
        <v>":"</v>
      </c>
      <c r="D1882" s="24">
        <v>1.9847068969090314E19</v>
      </c>
      <c r="E1882" s="9" t="str">
        <f>IFERROR(__xludf.DUMMYFUNCTION("""COMPUTED_VALUE"""),""",")</f>
        <v>",</v>
      </c>
    </row>
    <row r="1883">
      <c r="A1883" s="9" t="str">
        <f>IFERROR(__xludf.DUMMYFUNCTION("""COMPUTED_VALUE"""),"""")</f>
        <v>"</v>
      </c>
      <c r="B1883" s="9" t="s">
        <v>1892</v>
      </c>
      <c r="C1883" s="9" t="str">
        <f>IFERROR(__xludf.DUMMYFUNCTION("""COMPUTED_VALUE"""),""":""")</f>
        <v>":"</v>
      </c>
      <c r="D1883" s="24">
        <v>5.9814584612988436E18</v>
      </c>
      <c r="E1883" s="9" t="str">
        <f>IFERROR(__xludf.DUMMYFUNCTION("""COMPUTED_VALUE"""),""",")</f>
        <v>",</v>
      </c>
    </row>
    <row r="1884">
      <c r="A1884" s="9" t="str">
        <f>IFERROR(__xludf.DUMMYFUNCTION("""COMPUTED_VALUE"""),"""")</f>
        <v>"</v>
      </c>
      <c r="B1884" s="9" t="s">
        <v>1893</v>
      </c>
      <c r="C1884" s="9" t="str">
        <f>IFERROR(__xludf.DUMMYFUNCTION("""COMPUTED_VALUE"""),""":""")</f>
        <v>":"</v>
      </c>
      <c r="D1884" s="24">
        <v>1.0361073615263623E19</v>
      </c>
      <c r="E1884" s="9" t="str">
        <f>IFERROR(__xludf.DUMMYFUNCTION("""COMPUTED_VALUE"""),""",")</f>
        <v>",</v>
      </c>
    </row>
    <row r="1885">
      <c r="A1885" s="9" t="str">
        <f>IFERROR(__xludf.DUMMYFUNCTION("""COMPUTED_VALUE"""),"""")</f>
        <v>"</v>
      </c>
      <c r="B1885" s="9" t="s">
        <v>1894</v>
      </c>
      <c r="C1885" s="9" t="str">
        <f>IFERROR(__xludf.DUMMYFUNCTION("""COMPUTED_VALUE"""),""":""")</f>
        <v>":"</v>
      </c>
      <c r="D1885" s="24">
        <v>4.5893841980035564E18</v>
      </c>
      <c r="E1885" s="9" t="str">
        <f>IFERROR(__xludf.DUMMYFUNCTION("""COMPUTED_VALUE"""),""",")</f>
        <v>",</v>
      </c>
    </row>
    <row r="1886">
      <c r="A1886" s="9" t="str">
        <f>IFERROR(__xludf.DUMMYFUNCTION("""COMPUTED_VALUE"""),"""")</f>
        <v>"</v>
      </c>
      <c r="B1886" s="9" t="s">
        <v>1895</v>
      </c>
      <c r="C1886" s="9" t="str">
        <f>IFERROR(__xludf.DUMMYFUNCTION("""COMPUTED_VALUE"""),""":""")</f>
        <v>":"</v>
      </c>
      <c r="D1886" s="24">
        <v>6.2005979458241782E18</v>
      </c>
      <c r="E1886" s="9" t="str">
        <f>IFERROR(__xludf.DUMMYFUNCTION("""COMPUTED_VALUE"""),""",")</f>
        <v>",</v>
      </c>
    </row>
    <row r="1887">
      <c r="A1887" s="9" t="str">
        <f>IFERROR(__xludf.DUMMYFUNCTION("""COMPUTED_VALUE"""),"""")</f>
        <v>"</v>
      </c>
      <c r="B1887" s="9" t="s">
        <v>1896</v>
      </c>
      <c r="C1887" s="9" t="str">
        <f>IFERROR(__xludf.DUMMYFUNCTION("""COMPUTED_VALUE"""),""":""")</f>
        <v>":"</v>
      </c>
      <c r="D1887" s="24">
        <v>5.9444421915881779E18</v>
      </c>
      <c r="E1887" s="9" t="str">
        <f>IFERROR(__xludf.DUMMYFUNCTION("""COMPUTED_VALUE"""),""",")</f>
        <v>",</v>
      </c>
    </row>
    <row r="1888">
      <c r="A1888" s="9" t="str">
        <f>IFERROR(__xludf.DUMMYFUNCTION("""COMPUTED_VALUE"""),"""")</f>
        <v>"</v>
      </c>
      <c r="B1888" s="9" t="s">
        <v>1897</v>
      </c>
      <c r="C1888" s="9" t="str">
        <f>IFERROR(__xludf.DUMMYFUNCTION("""COMPUTED_VALUE"""),""":""")</f>
        <v>":"</v>
      </c>
      <c r="D1888" s="24">
        <v>6.2005979458241782E18</v>
      </c>
      <c r="E1888" s="9" t="str">
        <f>IFERROR(__xludf.DUMMYFUNCTION("""COMPUTED_VALUE"""),""",")</f>
        <v>",</v>
      </c>
    </row>
    <row r="1889">
      <c r="A1889" s="9" t="str">
        <f>IFERROR(__xludf.DUMMYFUNCTION("""COMPUTED_VALUE"""),"""")</f>
        <v>"</v>
      </c>
      <c r="B1889" s="9" t="s">
        <v>1898</v>
      </c>
      <c r="C1889" s="9" t="str">
        <f>IFERROR(__xludf.DUMMYFUNCTION("""COMPUTED_VALUE"""),""":""")</f>
        <v>":"</v>
      </c>
      <c r="D1889" s="24">
        <v>1.8431895928524177E19</v>
      </c>
      <c r="E1889" s="9" t="str">
        <f>IFERROR(__xludf.DUMMYFUNCTION("""COMPUTED_VALUE"""),""",")</f>
        <v>",</v>
      </c>
    </row>
    <row r="1890">
      <c r="A1890" s="9" t="str">
        <f>IFERROR(__xludf.DUMMYFUNCTION("""COMPUTED_VALUE"""),"""")</f>
        <v>"</v>
      </c>
      <c r="B1890" s="9" t="s">
        <v>1899</v>
      </c>
      <c r="C1890" s="9" t="str">
        <f>IFERROR(__xludf.DUMMYFUNCTION("""COMPUTED_VALUE"""),""":""")</f>
        <v>":"</v>
      </c>
      <c r="D1890" s="24">
        <v>1.981168857338809E19</v>
      </c>
      <c r="E1890" s="9" t="str">
        <f>IFERROR(__xludf.DUMMYFUNCTION("""COMPUTED_VALUE"""),""",")</f>
        <v>",</v>
      </c>
    </row>
    <row r="1891">
      <c r="A1891" s="9" t="str">
        <f>IFERROR(__xludf.DUMMYFUNCTION("""COMPUTED_VALUE"""),"""")</f>
        <v>"</v>
      </c>
      <c r="B1891" s="9" t="s">
        <v>1900</v>
      </c>
      <c r="C1891" s="9" t="str">
        <f>IFERROR(__xludf.DUMMYFUNCTION("""COMPUTED_VALUE"""),""":""")</f>
        <v>":"</v>
      </c>
      <c r="D1891" s="24">
        <v>6.2005979458241782E18</v>
      </c>
      <c r="E1891" s="9" t="str">
        <f>IFERROR(__xludf.DUMMYFUNCTION("""COMPUTED_VALUE"""),""",")</f>
        <v>",</v>
      </c>
    </row>
    <row r="1892">
      <c r="A1892" s="9" t="str">
        <f>IFERROR(__xludf.DUMMYFUNCTION("""COMPUTED_VALUE"""),"""")</f>
        <v>"</v>
      </c>
      <c r="B1892" s="9" t="s">
        <v>1901</v>
      </c>
      <c r="C1892" s="9" t="str">
        <f>IFERROR(__xludf.DUMMYFUNCTION("""COMPUTED_VALUE"""),""":""")</f>
        <v>":"</v>
      </c>
      <c r="D1892" s="24">
        <v>2.8353896468988442E18</v>
      </c>
      <c r="E1892" s="9" t="str">
        <f>IFERROR(__xludf.DUMMYFUNCTION("""COMPUTED_VALUE"""),""",")</f>
        <v>",</v>
      </c>
    </row>
    <row r="1893">
      <c r="A1893" s="9" t="str">
        <f>IFERROR(__xludf.DUMMYFUNCTION("""COMPUTED_VALUE"""),"""")</f>
        <v>"</v>
      </c>
      <c r="B1893" s="9" t="s">
        <v>1902</v>
      </c>
      <c r="C1893" s="9" t="str">
        <f>IFERROR(__xludf.DUMMYFUNCTION("""COMPUTED_VALUE"""),""":""")</f>
        <v>":"</v>
      </c>
      <c r="D1893" s="24">
        <v>6.2005979458241782E18</v>
      </c>
      <c r="E1893" s="9" t="str">
        <f>IFERROR(__xludf.DUMMYFUNCTION("""COMPUTED_VALUE"""),""",")</f>
        <v>",</v>
      </c>
    </row>
    <row r="1894">
      <c r="A1894" s="9" t="str">
        <f>IFERROR(__xludf.DUMMYFUNCTION("""COMPUTED_VALUE"""),"""")</f>
        <v>"</v>
      </c>
      <c r="B1894" s="9" t="s">
        <v>1903</v>
      </c>
      <c r="C1894" s="9" t="str">
        <f>IFERROR(__xludf.DUMMYFUNCTION("""COMPUTED_VALUE"""),""":""")</f>
        <v>":"</v>
      </c>
      <c r="D1894" s="24">
        <v>2.457286704023249E19</v>
      </c>
      <c r="E1894" s="9" t="str">
        <f>IFERROR(__xludf.DUMMYFUNCTION("""COMPUTED_VALUE"""),""",")</f>
        <v>",</v>
      </c>
    </row>
    <row r="1895">
      <c r="A1895" s="9" t="str">
        <f>IFERROR(__xludf.DUMMYFUNCTION("""COMPUTED_VALUE"""),"""")</f>
        <v>"</v>
      </c>
      <c r="B1895" s="9" t="s">
        <v>1904</v>
      </c>
      <c r="C1895" s="9" t="str">
        <f>IFERROR(__xludf.DUMMYFUNCTION("""COMPUTED_VALUE"""),""":""")</f>
        <v>":"</v>
      </c>
      <c r="D1895" s="24">
        <v>4.9714118388290888E18</v>
      </c>
      <c r="E1895" s="9" t="str">
        <f>IFERROR(__xludf.DUMMYFUNCTION("""COMPUTED_VALUE"""),""",")</f>
        <v>",</v>
      </c>
    </row>
    <row r="1896">
      <c r="A1896" s="9" t="str">
        <f>IFERROR(__xludf.DUMMYFUNCTION("""COMPUTED_VALUE"""),"""")</f>
        <v>"</v>
      </c>
      <c r="B1896" s="9" t="s">
        <v>1905</v>
      </c>
      <c r="C1896" s="9" t="str">
        <f>IFERROR(__xludf.DUMMYFUNCTION("""COMPUTED_VALUE"""),""":""")</f>
        <v>":"</v>
      </c>
      <c r="D1896" s="24">
        <v>6.2005979458241782E18</v>
      </c>
      <c r="E1896" s="9" t="str">
        <f>IFERROR(__xludf.DUMMYFUNCTION("""COMPUTED_VALUE"""),""",")</f>
        <v>",</v>
      </c>
    </row>
    <row r="1897">
      <c r="A1897" s="9" t="str">
        <f>IFERROR(__xludf.DUMMYFUNCTION("""COMPUTED_VALUE"""),"""")</f>
        <v>"</v>
      </c>
      <c r="B1897" s="9" t="s">
        <v>1906</v>
      </c>
      <c r="C1897" s="9" t="str">
        <f>IFERROR(__xludf.DUMMYFUNCTION("""COMPUTED_VALUE"""),""":""")</f>
        <v>":"</v>
      </c>
      <c r="D1897" s="24">
        <v>5.6293688216202445E17</v>
      </c>
      <c r="E1897" s="9" t="str">
        <f>IFERROR(__xludf.DUMMYFUNCTION("""COMPUTED_VALUE"""),""",")</f>
        <v>",</v>
      </c>
    </row>
    <row r="1898">
      <c r="A1898" s="9" t="str">
        <f>IFERROR(__xludf.DUMMYFUNCTION("""COMPUTED_VALUE"""),"""")</f>
        <v>"</v>
      </c>
      <c r="B1898" s="9" t="s">
        <v>1907</v>
      </c>
      <c r="C1898" s="9" t="str">
        <f>IFERROR(__xludf.DUMMYFUNCTION("""COMPUTED_VALUE"""),""":""")</f>
        <v>":"</v>
      </c>
      <c r="D1898" s="24">
        <v>6.2005979458241782E18</v>
      </c>
      <c r="E1898" s="9" t="str">
        <f>IFERROR(__xludf.DUMMYFUNCTION("""COMPUTED_VALUE"""),""",")</f>
        <v>",</v>
      </c>
    </row>
    <row r="1899">
      <c r="A1899" s="9" t="str">
        <f>IFERROR(__xludf.DUMMYFUNCTION("""COMPUTED_VALUE"""),"""")</f>
        <v>"</v>
      </c>
      <c r="B1899" s="9" t="s">
        <v>1908</v>
      </c>
      <c r="C1899" s="9" t="str">
        <f>IFERROR(__xludf.DUMMYFUNCTION("""COMPUTED_VALUE"""),""":""")</f>
        <v>":"</v>
      </c>
      <c r="D1899" s="24">
        <v>6.2005979458241782E18</v>
      </c>
      <c r="E1899" s="9" t="str">
        <f>IFERROR(__xludf.DUMMYFUNCTION("""COMPUTED_VALUE"""),""",")</f>
        <v>",</v>
      </c>
    </row>
    <row r="1900">
      <c r="A1900" s="9" t="str">
        <f>IFERROR(__xludf.DUMMYFUNCTION("""COMPUTED_VALUE"""),"""")</f>
        <v>"</v>
      </c>
      <c r="B1900" s="9" t="s">
        <v>1909</v>
      </c>
      <c r="C1900" s="9" t="str">
        <f>IFERROR(__xludf.DUMMYFUNCTION("""COMPUTED_VALUE"""),""":""")</f>
        <v>":"</v>
      </c>
      <c r="D1900" s="24">
        <v>5.9525740279912223E18</v>
      </c>
      <c r="E1900" s="9" t="str">
        <f>IFERROR(__xludf.DUMMYFUNCTION("""COMPUTED_VALUE"""),""",")</f>
        <v>",</v>
      </c>
    </row>
    <row r="1901">
      <c r="A1901" s="9" t="str">
        <f>IFERROR(__xludf.DUMMYFUNCTION("""COMPUTED_VALUE"""),"""")</f>
        <v>"</v>
      </c>
      <c r="B1901" s="9" t="s">
        <v>1910</v>
      </c>
      <c r="C1901" s="9" t="str">
        <f>IFERROR(__xludf.DUMMYFUNCTION("""COMPUTED_VALUE"""),""":""")</f>
        <v>":"</v>
      </c>
      <c r="D1901" s="24">
        <v>7.8581370480108667E18</v>
      </c>
      <c r="E1901" s="9" t="str">
        <f>IFERROR(__xludf.DUMMYFUNCTION("""COMPUTED_VALUE"""),""",")</f>
        <v>",</v>
      </c>
    </row>
    <row r="1902">
      <c r="A1902" s="9" t="str">
        <f>IFERROR(__xludf.DUMMYFUNCTION("""COMPUTED_VALUE"""),"""")</f>
        <v>"</v>
      </c>
      <c r="B1902" s="9" t="s">
        <v>1911</v>
      </c>
      <c r="C1902" s="9" t="str">
        <f>IFERROR(__xludf.DUMMYFUNCTION("""COMPUTED_VALUE"""),""":""")</f>
        <v>":"</v>
      </c>
      <c r="D1902" s="24">
        <v>1.7579420712687024E19</v>
      </c>
      <c r="E1902" s="9" t="str">
        <f>IFERROR(__xludf.DUMMYFUNCTION("""COMPUTED_VALUE"""),""",")</f>
        <v>",</v>
      </c>
    </row>
    <row r="1903">
      <c r="A1903" s="9" t="str">
        <f>IFERROR(__xludf.DUMMYFUNCTION("""COMPUTED_VALUE"""),"""")</f>
        <v>"</v>
      </c>
      <c r="B1903" s="9" t="s">
        <v>1912</v>
      </c>
      <c r="C1903" s="9" t="str">
        <f>IFERROR(__xludf.DUMMYFUNCTION("""COMPUTED_VALUE"""),""":""")</f>
        <v>":"</v>
      </c>
      <c r="D1903" s="24">
        <v>6.2005979458241782E18</v>
      </c>
      <c r="E1903" s="9" t="str">
        <f>IFERROR(__xludf.DUMMYFUNCTION("""COMPUTED_VALUE"""),""",")</f>
        <v>",</v>
      </c>
    </row>
    <row r="1904">
      <c r="A1904" s="9" t="str">
        <f>IFERROR(__xludf.DUMMYFUNCTION("""COMPUTED_VALUE"""),"""")</f>
        <v>"</v>
      </c>
      <c r="B1904" s="9" t="s">
        <v>1913</v>
      </c>
      <c r="C1904" s="9" t="str">
        <f>IFERROR(__xludf.DUMMYFUNCTION("""COMPUTED_VALUE"""),""":""")</f>
        <v>":"</v>
      </c>
      <c r="D1904" s="24">
        <v>2.0248888511809958E19</v>
      </c>
      <c r="E1904" s="9" t="str">
        <f>IFERROR(__xludf.DUMMYFUNCTION("""COMPUTED_VALUE"""),""",")</f>
        <v>",</v>
      </c>
    </row>
    <row r="1905">
      <c r="A1905" s="9" t="str">
        <f>IFERROR(__xludf.DUMMYFUNCTION("""COMPUTED_VALUE"""),"""")</f>
        <v>"</v>
      </c>
      <c r="B1905" s="9" t="s">
        <v>1914</v>
      </c>
      <c r="C1905" s="9" t="str">
        <f>IFERROR(__xludf.DUMMYFUNCTION("""COMPUTED_VALUE"""),""":""")</f>
        <v>":"</v>
      </c>
      <c r="D1905" s="24">
        <v>3.1527639394120223E18</v>
      </c>
      <c r="E1905" s="9" t="str">
        <f>IFERROR(__xludf.DUMMYFUNCTION("""COMPUTED_VALUE"""),""",")</f>
        <v>",</v>
      </c>
    </row>
    <row r="1906">
      <c r="A1906" s="9" t="str">
        <f>IFERROR(__xludf.DUMMYFUNCTION("""COMPUTED_VALUE"""),"""")</f>
        <v>"</v>
      </c>
      <c r="B1906" s="9" t="s">
        <v>1915</v>
      </c>
      <c r="C1906" s="9" t="str">
        <f>IFERROR(__xludf.DUMMYFUNCTION("""COMPUTED_VALUE"""),""":""")</f>
        <v>":"</v>
      </c>
      <c r="D1906" s="24">
        <v>9.7387459091202E18</v>
      </c>
      <c r="E1906" s="9" t="str">
        <f>IFERROR(__xludf.DUMMYFUNCTION("""COMPUTED_VALUE"""),""",")</f>
        <v>",</v>
      </c>
    </row>
    <row r="1907">
      <c r="A1907" s="9" t="str">
        <f>IFERROR(__xludf.DUMMYFUNCTION("""COMPUTED_VALUE"""),"""")</f>
        <v>"</v>
      </c>
      <c r="B1907" s="9" t="s">
        <v>1916</v>
      </c>
      <c r="C1907" s="9" t="str">
        <f>IFERROR(__xludf.DUMMYFUNCTION("""COMPUTED_VALUE"""),""":""")</f>
        <v>":"</v>
      </c>
      <c r="D1907" s="24">
        <v>6.2005979458241782E18</v>
      </c>
      <c r="E1907" s="9" t="str">
        <f>IFERROR(__xludf.DUMMYFUNCTION("""COMPUTED_VALUE"""),""",")</f>
        <v>",</v>
      </c>
    </row>
    <row r="1908">
      <c r="A1908" s="9" t="str">
        <f>IFERROR(__xludf.DUMMYFUNCTION("""COMPUTED_VALUE"""),"""")</f>
        <v>"</v>
      </c>
      <c r="B1908" s="9" t="s">
        <v>1917</v>
      </c>
      <c r="C1908" s="9" t="str">
        <f>IFERROR(__xludf.DUMMYFUNCTION("""COMPUTED_VALUE"""),""":""")</f>
        <v>":"</v>
      </c>
      <c r="D1908" s="24">
        <v>2.5636593262749176E19</v>
      </c>
      <c r="E1908" s="9" t="str">
        <f>IFERROR(__xludf.DUMMYFUNCTION("""COMPUTED_VALUE"""),""",")</f>
        <v>",</v>
      </c>
    </row>
    <row r="1909">
      <c r="A1909" s="9" t="str">
        <f>IFERROR(__xludf.DUMMYFUNCTION("""COMPUTED_VALUE"""),"""")</f>
        <v>"</v>
      </c>
      <c r="B1909" s="9" t="s">
        <v>1918</v>
      </c>
      <c r="C1909" s="9" t="str">
        <f>IFERROR(__xludf.DUMMYFUNCTION("""COMPUTED_VALUE"""),""":""")</f>
        <v>":"</v>
      </c>
      <c r="D1909" s="24">
        <v>4.1721767672829444E19</v>
      </c>
      <c r="E1909" s="9" t="str">
        <f>IFERROR(__xludf.DUMMYFUNCTION("""COMPUTED_VALUE"""),""",")</f>
        <v>",</v>
      </c>
    </row>
    <row r="1910">
      <c r="A1910" s="9" t="str">
        <f>IFERROR(__xludf.DUMMYFUNCTION("""COMPUTED_VALUE"""),"""")</f>
        <v>"</v>
      </c>
      <c r="B1910" s="9" t="s">
        <v>1919</v>
      </c>
      <c r="C1910" s="9" t="str">
        <f>IFERROR(__xludf.DUMMYFUNCTION("""COMPUTED_VALUE"""),""":""")</f>
        <v>":"</v>
      </c>
      <c r="D1910" s="24">
        <v>3.4950931688165753E19</v>
      </c>
      <c r="E1910" s="9" t="str">
        <f>IFERROR(__xludf.DUMMYFUNCTION("""COMPUTED_VALUE"""),""",")</f>
        <v>",</v>
      </c>
    </row>
    <row r="1911">
      <c r="A1911" s="9" t="str">
        <f>IFERROR(__xludf.DUMMYFUNCTION("""COMPUTED_VALUE"""),"""")</f>
        <v>"</v>
      </c>
      <c r="B1911" s="9" t="s">
        <v>1920</v>
      </c>
      <c r="C1911" s="9" t="str">
        <f>IFERROR(__xludf.DUMMYFUNCTION("""COMPUTED_VALUE"""),""":""")</f>
        <v>":"</v>
      </c>
      <c r="D1911" s="24">
        <v>6.2005979458241782E18</v>
      </c>
      <c r="E1911" s="9" t="str">
        <f>IFERROR(__xludf.DUMMYFUNCTION("""COMPUTED_VALUE"""),""",")</f>
        <v>",</v>
      </c>
    </row>
    <row r="1912">
      <c r="A1912" s="9" t="str">
        <f>IFERROR(__xludf.DUMMYFUNCTION("""COMPUTED_VALUE"""),"""")</f>
        <v>"</v>
      </c>
      <c r="B1912" s="9" t="s">
        <v>1921</v>
      </c>
      <c r="C1912" s="9" t="str">
        <f>IFERROR(__xludf.DUMMYFUNCTION("""COMPUTED_VALUE"""),""":""")</f>
        <v>":"</v>
      </c>
      <c r="D1912" s="24">
        <v>5.483655838072489E18</v>
      </c>
      <c r="E1912" s="9" t="str">
        <f>IFERROR(__xludf.DUMMYFUNCTION("""COMPUTED_VALUE"""),""",")</f>
        <v>",</v>
      </c>
    </row>
    <row r="1913">
      <c r="A1913" s="9" t="str">
        <f>IFERROR(__xludf.DUMMYFUNCTION("""COMPUTED_VALUE"""),"""")</f>
        <v>"</v>
      </c>
      <c r="B1913" s="9" t="s">
        <v>1922</v>
      </c>
      <c r="C1913" s="9" t="str">
        <f>IFERROR(__xludf.DUMMYFUNCTION("""COMPUTED_VALUE"""),""":""")</f>
        <v>":"</v>
      </c>
      <c r="D1913" s="24">
        <v>2.0248888511809958E19</v>
      </c>
      <c r="E1913" s="9" t="str">
        <f>IFERROR(__xludf.DUMMYFUNCTION("""COMPUTED_VALUE"""),""",")</f>
        <v>",</v>
      </c>
    </row>
    <row r="1914">
      <c r="A1914" s="9" t="str">
        <f>IFERROR(__xludf.DUMMYFUNCTION("""COMPUTED_VALUE"""),"""")</f>
        <v>"</v>
      </c>
      <c r="B1914" s="9" t="s">
        <v>1923</v>
      </c>
      <c r="C1914" s="9" t="str">
        <f>IFERROR(__xludf.DUMMYFUNCTION("""COMPUTED_VALUE"""),""":""")</f>
        <v>":"</v>
      </c>
      <c r="D1914" s="24">
        <v>4.6401788438664223E18</v>
      </c>
      <c r="E1914" s="9" t="str">
        <f>IFERROR(__xludf.DUMMYFUNCTION("""COMPUTED_VALUE"""),""",")</f>
        <v>",</v>
      </c>
    </row>
    <row r="1915">
      <c r="A1915" s="9" t="str">
        <f>IFERROR(__xludf.DUMMYFUNCTION("""COMPUTED_VALUE"""),"""")</f>
        <v>"</v>
      </c>
      <c r="B1915" s="9" t="s">
        <v>1924</v>
      </c>
      <c r="C1915" s="9" t="str">
        <f>IFERROR(__xludf.DUMMYFUNCTION("""COMPUTED_VALUE"""),""":""")</f>
        <v>":"</v>
      </c>
      <c r="D1915" s="24">
        <v>6.3129357255137894E18</v>
      </c>
      <c r="E1915" s="9" t="str">
        <f>IFERROR(__xludf.DUMMYFUNCTION("""COMPUTED_VALUE"""),""",")</f>
        <v>",</v>
      </c>
    </row>
    <row r="1916">
      <c r="A1916" s="9" t="str">
        <f>IFERROR(__xludf.DUMMYFUNCTION("""COMPUTED_VALUE"""),"""")</f>
        <v>"</v>
      </c>
      <c r="B1916" s="9" t="s">
        <v>1925</v>
      </c>
      <c r="C1916" s="9" t="str">
        <f>IFERROR(__xludf.DUMMYFUNCTION("""COMPUTED_VALUE"""),""":""")</f>
        <v>":"</v>
      </c>
      <c r="D1916" s="24">
        <v>2.0248888511809958E19</v>
      </c>
      <c r="E1916" s="9" t="str">
        <f>IFERROR(__xludf.DUMMYFUNCTION("""COMPUTED_VALUE"""),""",")</f>
        <v>",</v>
      </c>
    </row>
    <row r="1917">
      <c r="A1917" s="9" t="str">
        <f>IFERROR(__xludf.DUMMYFUNCTION("""COMPUTED_VALUE"""),"""")</f>
        <v>"</v>
      </c>
      <c r="B1917" s="9" t="s">
        <v>1926</v>
      </c>
      <c r="C1917" s="9" t="str">
        <f>IFERROR(__xludf.DUMMYFUNCTION("""COMPUTED_VALUE"""),""":""")</f>
        <v>":"</v>
      </c>
      <c r="D1917" s="24">
        <v>6.2005979458241782E18</v>
      </c>
      <c r="E1917" s="9" t="str">
        <f>IFERROR(__xludf.DUMMYFUNCTION("""COMPUTED_VALUE"""),""",")</f>
        <v>",</v>
      </c>
    </row>
    <row r="1918">
      <c r="A1918" s="9" t="str">
        <f>IFERROR(__xludf.DUMMYFUNCTION("""COMPUTED_VALUE"""),"""")</f>
        <v>"</v>
      </c>
      <c r="B1918" s="9" t="s">
        <v>1927</v>
      </c>
      <c r="C1918" s="9" t="str">
        <f>IFERROR(__xludf.DUMMYFUNCTION("""COMPUTED_VALUE"""),""":""")</f>
        <v>":"</v>
      </c>
      <c r="D1918" s="24">
        <v>1.985499090452753E19</v>
      </c>
      <c r="E1918" s="9" t="str">
        <f>IFERROR(__xludf.DUMMYFUNCTION("""COMPUTED_VALUE"""),""",")</f>
        <v>",</v>
      </c>
    </row>
    <row r="1919">
      <c r="A1919" s="9" t="str">
        <f>IFERROR(__xludf.DUMMYFUNCTION("""COMPUTED_VALUE"""),"""")</f>
        <v>"</v>
      </c>
      <c r="B1919" s="9" t="s">
        <v>1928</v>
      </c>
      <c r="C1919" s="9" t="str">
        <f>IFERROR(__xludf.DUMMYFUNCTION("""COMPUTED_VALUE"""),""":""")</f>
        <v>":"</v>
      </c>
      <c r="D1919" s="24">
        <v>6.2005979458241782E18</v>
      </c>
      <c r="E1919" s="9" t="str">
        <f>IFERROR(__xludf.DUMMYFUNCTION("""COMPUTED_VALUE"""),""",")</f>
        <v>",</v>
      </c>
    </row>
    <row r="1920">
      <c r="A1920" s="9" t="str">
        <f>IFERROR(__xludf.DUMMYFUNCTION("""COMPUTED_VALUE"""),"""")</f>
        <v>"</v>
      </c>
      <c r="B1920" s="9" t="s">
        <v>1929</v>
      </c>
      <c r="C1920" s="9" t="str">
        <f>IFERROR(__xludf.DUMMYFUNCTION("""COMPUTED_VALUE"""),""":""")</f>
        <v>":"</v>
      </c>
      <c r="D1920" s="24">
        <v>5.8800879401422223E18</v>
      </c>
      <c r="E1920" s="9" t="str">
        <f>IFERROR(__xludf.DUMMYFUNCTION("""COMPUTED_VALUE"""),""",")</f>
        <v>",</v>
      </c>
    </row>
    <row r="1921">
      <c r="A1921" s="9" t="str">
        <f>IFERROR(__xludf.DUMMYFUNCTION("""COMPUTED_VALUE"""),"""")</f>
        <v>"</v>
      </c>
      <c r="B1921" s="9" t="s">
        <v>1930</v>
      </c>
      <c r="C1921" s="9" t="str">
        <f>IFERROR(__xludf.DUMMYFUNCTION("""COMPUTED_VALUE"""),""":""")</f>
        <v>":"</v>
      </c>
      <c r="D1921" s="24">
        <v>4.8364663977428675E18</v>
      </c>
      <c r="E1921" s="9" t="str">
        <f>IFERROR(__xludf.DUMMYFUNCTION("""COMPUTED_VALUE"""),""",")</f>
        <v>",</v>
      </c>
    </row>
    <row r="1922">
      <c r="A1922" s="9" t="str">
        <f>IFERROR(__xludf.DUMMYFUNCTION("""COMPUTED_VALUE"""),"""")</f>
        <v>"</v>
      </c>
      <c r="B1922" s="9" t="s">
        <v>1931</v>
      </c>
      <c r="C1922" s="9" t="str">
        <f>IFERROR(__xludf.DUMMYFUNCTION("""COMPUTED_VALUE"""),""":""")</f>
        <v>":"</v>
      </c>
      <c r="D1922" s="24">
        <v>2.2843275628863468E19</v>
      </c>
      <c r="E1922" s="9" t="str">
        <f>IFERROR(__xludf.DUMMYFUNCTION("""COMPUTED_VALUE"""),""",")</f>
        <v>",</v>
      </c>
    </row>
    <row r="1923">
      <c r="A1923" s="9" t="str">
        <f>IFERROR(__xludf.DUMMYFUNCTION("""COMPUTED_VALUE"""),"""")</f>
        <v>"</v>
      </c>
      <c r="B1923" s="9" t="s">
        <v>1932</v>
      </c>
      <c r="C1923" s="9" t="str">
        <f>IFERROR(__xludf.DUMMYFUNCTION("""COMPUTED_VALUE"""),""":""")</f>
        <v>":"</v>
      </c>
      <c r="D1923" s="24">
        <v>6.2005979458241782E18</v>
      </c>
      <c r="E1923" s="9" t="str">
        <f>IFERROR(__xludf.DUMMYFUNCTION("""COMPUTED_VALUE"""),""",")</f>
        <v>",</v>
      </c>
    </row>
    <row r="1924">
      <c r="A1924" s="9" t="str">
        <f>IFERROR(__xludf.DUMMYFUNCTION("""COMPUTED_VALUE"""),"""")</f>
        <v>"</v>
      </c>
      <c r="B1924" s="9" t="s">
        <v>1933</v>
      </c>
      <c r="C1924" s="9" t="str">
        <f>IFERROR(__xludf.DUMMYFUNCTION("""COMPUTED_VALUE"""),""":""")</f>
        <v>":"</v>
      </c>
      <c r="D1924" s="24">
        <v>2.3316648838423777E18</v>
      </c>
      <c r="E1924" s="9" t="str">
        <f>IFERROR(__xludf.DUMMYFUNCTION("""COMPUTED_VALUE"""),""",")</f>
        <v>",</v>
      </c>
    </row>
    <row r="1925">
      <c r="A1925" s="9" t="str">
        <f>IFERROR(__xludf.DUMMYFUNCTION("""COMPUTED_VALUE"""),"""")</f>
        <v>"</v>
      </c>
      <c r="B1925" s="9" t="s">
        <v>1934</v>
      </c>
      <c r="C1925" s="9" t="str">
        <f>IFERROR(__xludf.DUMMYFUNCTION("""COMPUTED_VALUE"""),""":""")</f>
        <v>":"</v>
      </c>
      <c r="D1925" s="24">
        <v>2.0248888511809958E19</v>
      </c>
      <c r="E1925" s="9" t="str">
        <f>IFERROR(__xludf.DUMMYFUNCTION("""COMPUTED_VALUE"""),""",")</f>
        <v>",</v>
      </c>
    </row>
    <row r="1926">
      <c r="A1926" s="9" t="str">
        <f>IFERROR(__xludf.DUMMYFUNCTION("""COMPUTED_VALUE"""),"""")</f>
        <v>"</v>
      </c>
      <c r="B1926" s="9" t="s">
        <v>1935</v>
      </c>
      <c r="C1926" s="9" t="str">
        <f>IFERROR(__xludf.DUMMYFUNCTION("""COMPUTED_VALUE"""),""":""")</f>
        <v>":"</v>
      </c>
      <c r="D1926" s="24">
        <v>6.2005979458241782E18</v>
      </c>
      <c r="E1926" s="9" t="str">
        <f>IFERROR(__xludf.DUMMYFUNCTION("""COMPUTED_VALUE"""),""",")</f>
        <v>",</v>
      </c>
    </row>
    <row r="1927">
      <c r="A1927" s="9" t="str">
        <f>IFERROR(__xludf.DUMMYFUNCTION("""COMPUTED_VALUE"""),"""")</f>
        <v>"</v>
      </c>
      <c r="B1927" s="9" t="s">
        <v>1936</v>
      </c>
      <c r="C1927" s="9" t="str">
        <f>IFERROR(__xludf.DUMMYFUNCTION("""COMPUTED_VALUE"""),""":""")</f>
        <v>":"</v>
      </c>
      <c r="D1927" s="24">
        <v>6.2005979458241782E18</v>
      </c>
      <c r="E1927" s="9" t="str">
        <f>IFERROR(__xludf.DUMMYFUNCTION("""COMPUTED_VALUE"""),""",")</f>
        <v>",</v>
      </c>
    </row>
    <row r="1928">
      <c r="A1928" s="9" t="str">
        <f>IFERROR(__xludf.DUMMYFUNCTION("""COMPUTED_VALUE"""),"""")</f>
        <v>"</v>
      </c>
      <c r="B1928" s="9" t="s">
        <v>1937</v>
      </c>
      <c r="C1928" s="9" t="str">
        <f>IFERROR(__xludf.DUMMYFUNCTION("""COMPUTED_VALUE"""),""":""")</f>
        <v>":"</v>
      </c>
      <c r="D1928" s="24">
        <v>2.0248888511809958E19</v>
      </c>
      <c r="E1928" s="9" t="str">
        <f>IFERROR(__xludf.DUMMYFUNCTION("""COMPUTED_VALUE"""),""",")</f>
        <v>",</v>
      </c>
    </row>
    <row r="1929">
      <c r="A1929" s="9" t="str">
        <f>IFERROR(__xludf.DUMMYFUNCTION("""COMPUTED_VALUE"""),"""")</f>
        <v>"</v>
      </c>
      <c r="B1929" s="9" t="s">
        <v>1938</v>
      </c>
      <c r="C1929" s="9" t="str">
        <f>IFERROR(__xludf.DUMMYFUNCTION("""COMPUTED_VALUE"""),""":""")</f>
        <v>":"</v>
      </c>
      <c r="D1929" s="24">
        <v>2.32907468708558E19</v>
      </c>
      <c r="E1929" s="9" t="str">
        <f>IFERROR(__xludf.DUMMYFUNCTION("""COMPUTED_VALUE"""),""",")</f>
        <v>",</v>
      </c>
    </row>
    <row r="1930">
      <c r="A1930" s="9" t="str">
        <f>IFERROR(__xludf.DUMMYFUNCTION("""COMPUTED_VALUE"""),"""")</f>
        <v>"</v>
      </c>
      <c r="B1930" s="9" t="s">
        <v>1939</v>
      </c>
      <c r="C1930" s="9" t="str">
        <f>IFERROR(__xludf.DUMMYFUNCTION("""COMPUTED_VALUE"""),""":""")</f>
        <v>":"</v>
      </c>
      <c r="D1930" s="24">
        <v>5.8252381573684449E18</v>
      </c>
      <c r="E1930" s="9" t="str">
        <f>IFERROR(__xludf.DUMMYFUNCTION("""COMPUTED_VALUE"""),""",")</f>
        <v>",</v>
      </c>
    </row>
    <row r="1931">
      <c r="A1931" s="9" t="str">
        <f>IFERROR(__xludf.DUMMYFUNCTION("""COMPUTED_VALUE"""),"""")</f>
        <v>"</v>
      </c>
      <c r="B1931" s="9" t="s">
        <v>1940</v>
      </c>
      <c r="C1931" s="9" t="str">
        <f>IFERROR(__xludf.DUMMYFUNCTION("""COMPUTED_VALUE"""),""":""")</f>
        <v>":"</v>
      </c>
      <c r="D1931" s="24">
        <v>6.2005979458241782E18</v>
      </c>
      <c r="E1931" s="9" t="str">
        <f>IFERROR(__xludf.DUMMYFUNCTION("""COMPUTED_VALUE"""),""",")</f>
        <v>",</v>
      </c>
    </row>
    <row r="1932">
      <c r="A1932" s="9" t="str">
        <f>IFERROR(__xludf.DUMMYFUNCTION("""COMPUTED_VALUE"""),"""")</f>
        <v>"</v>
      </c>
      <c r="B1932" s="9" t="s">
        <v>1941</v>
      </c>
      <c r="C1932" s="9" t="str">
        <f>IFERROR(__xludf.DUMMYFUNCTION("""COMPUTED_VALUE"""),""":""")</f>
        <v>":"</v>
      </c>
      <c r="D1932" s="24">
        <v>4.9442397645978665E18</v>
      </c>
      <c r="E1932" s="9" t="str">
        <f>IFERROR(__xludf.DUMMYFUNCTION("""COMPUTED_VALUE"""),""",")</f>
        <v>",</v>
      </c>
    </row>
    <row r="1933">
      <c r="A1933" s="9" t="str">
        <f>IFERROR(__xludf.DUMMYFUNCTION("""COMPUTED_VALUE"""),"""")</f>
        <v>"</v>
      </c>
      <c r="B1933" s="9" t="s">
        <v>1942</v>
      </c>
      <c r="C1933" s="9" t="str">
        <f>IFERROR(__xludf.DUMMYFUNCTION("""COMPUTED_VALUE"""),""":""")</f>
        <v>":"</v>
      </c>
      <c r="D1933" s="24">
        <v>5.8694994757999329E18</v>
      </c>
      <c r="E1933" s="9" t="str">
        <f>IFERROR(__xludf.DUMMYFUNCTION("""COMPUTED_VALUE"""),""",")</f>
        <v>",</v>
      </c>
    </row>
    <row r="1934">
      <c r="A1934" s="9" t="str">
        <f>IFERROR(__xludf.DUMMYFUNCTION("""COMPUTED_VALUE"""),"""")</f>
        <v>"</v>
      </c>
      <c r="B1934" s="9" t="s">
        <v>1943</v>
      </c>
      <c r="C1934" s="9" t="str">
        <f>IFERROR(__xludf.DUMMYFUNCTION("""COMPUTED_VALUE"""),""":""")</f>
        <v>":"</v>
      </c>
      <c r="D1934" s="24">
        <v>6.2005979458241782E18</v>
      </c>
      <c r="E1934" s="9" t="str">
        <f>IFERROR(__xludf.DUMMYFUNCTION("""COMPUTED_VALUE"""),""",")</f>
        <v>",</v>
      </c>
    </row>
    <row r="1935">
      <c r="A1935" s="9" t="str">
        <f>IFERROR(__xludf.DUMMYFUNCTION("""COMPUTED_VALUE"""),"""")</f>
        <v>"</v>
      </c>
      <c r="B1935" s="9" t="s">
        <v>1944</v>
      </c>
      <c r="C1935" s="9" t="str">
        <f>IFERROR(__xludf.DUMMYFUNCTION("""COMPUTED_VALUE"""),""":""")</f>
        <v>":"</v>
      </c>
      <c r="D1935" s="24">
        <v>2.6701177896254223E18</v>
      </c>
      <c r="E1935" s="9" t="str">
        <f>IFERROR(__xludf.DUMMYFUNCTION("""COMPUTED_VALUE"""),""",")</f>
        <v>",</v>
      </c>
    </row>
    <row r="1936">
      <c r="A1936" s="9" t="str">
        <f>IFERROR(__xludf.DUMMYFUNCTION("""COMPUTED_VALUE"""),"""")</f>
        <v>"</v>
      </c>
      <c r="B1936" s="9" t="s">
        <v>1945</v>
      </c>
      <c r="C1936" s="9" t="str">
        <f>IFERROR(__xludf.DUMMYFUNCTION("""COMPUTED_VALUE"""),""":""")</f>
        <v>":"</v>
      </c>
      <c r="D1936" s="24">
        <v>6.2005979458241782E18</v>
      </c>
      <c r="E1936" s="9" t="str">
        <f>IFERROR(__xludf.DUMMYFUNCTION("""COMPUTED_VALUE"""),""",")</f>
        <v>",</v>
      </c>
    </row>
    <row r="1937">
      <c r="A1937" s="9" t="str">
        <f>IFERROR(__xludf.DUMMYFUNCTION("""COMPUTED_VALUE"""),"""")</f>
        <v>"</v>
      </c>
      <c r="B1937" s="9" t="s">
        <v>1946</v>
      </c>
      <c r="C1937" s="9" t="str">
        <f>IFERROR(__xludf.DUMMYFUNCTION("""COMPUTED_VALUE"""),""":""")</f>
        <v>":"</v>
      </c>
      <c r="D1937" s="24">
        <v>2.0350746901468247E18</v>
      </c>
      <c r="E1937" s="9" t="str">
        <f>IFERROR(__xludf.DUMMYFUNCTION("""COMPUTED_VALUE"""),""",")</f>
        <v>",</v>
      </c>
    </row>
    <row r="1938">
      <c r="A1938" s="9" t="str">
        <f>IFERROR(__xludf.DUMMYFUNCTION("""COMPUTED_VALUE"""),"""")</f>
        <v>"</v>
      </c>
      <c r="B1938" s="9" t="s">
        <v>1947</v>
      </c>
      <c r="C1938" s="9" t="str">
        <f>IFERROR(__xludf.DUMMYFUNCTION("""COMPUTED_VALUE"""),""":""")</f>
        <v>":"</v>
      </c>
      <c r="D1938" s="24">
        <v>6.2005979458241782E18</v>
      </c>
      <c r="E1938" s="9" t="str">
        <f>IFERROR(__xludf.DUMMYFUNCTION("""COMPUTED_VALUE"""),""",")</f>
        <v>",</v>
      </c>
    </row>
    <row r="1939">
      <c r="A1939" s="9" t="str">
        <f>IFERROR(__xludf.DUMMYFUNCTION("""COMPUTED_VALUE"""),"""")</f>
        <v>"</v>
      </c>
      <c r="B1939" s="9" t="s">
        <v>1948</v>
      </c>
      <c r="C1939" s="9" t="str">
        <f>IFERROR(__xludf.DUMMYFUNCTION("""COMPUTED_VALUE"""),""":""")</f>
        <v>":"</v>
      </c>
      <c r="D1939" s="24">
        <v>6.089428667898174E19</v>
      </c>
      <c r="E1939" s="9" t="str">
        <f>IFERROR(__xludf.DUMMYFUNCTION("""COMPUTED_VALUE"""),""",")</f>
        <v>",</v>
      </c>
    </row>
    <row r="1940">
      <c r="A1940" s="9" t="str">
        <f>IFERROR(__xludf.DUMMYFUNCTION("""COMPUTED_VALUE"""),"""")</f>
        <v>"</v>
      </c>
      <c r="B1940" s="9" t="s">
        <v>1949</v>
      </c>
      <c r="C1940" s="9" t="str">
        <f>IFERROR(__xludf.DUMMYFUNCTION("""COMPUTED_VALUE"""),""":""")</f>
        <v>":"</v>
      </c>
      <c r="D1940" s="24">
        <v>6.2005979458241782E18</v>
      </c>
      <c r="E1940" s="9" t="str">
        <f>IFERROR(__xludf.DUMMYFUNCTION("""COMPUTED_VALUE"""),""",")</f>
        <v>",</v>
      </c>
    </row>
    <row r="1941">
      <c r="A1941" s="9" t="str">
        <f>IFERROR(__xludf.DUMMYFUNCTION("""COMPUTED_VALUE"""),"""")</f>
        <v>"</v>
      </c>
      <c r="B1941" s="9" t="s">
        <v>1950</v>
      </c>
      <c r="C1941" s="9" t="str">
        <f>IFERROR(__xludf.DUMMYFUNCTION("""COMPUTED_VALUE"""),""":""")</f>
        <v>":"</v>
      </c>
      <c r="D1941" s="24">
        <v>8.6242989285465549E17</v>
      </c>
      <c r="E1941" s="9" t="str">
        <f>IFERROR(__xludf.DUMMYFUNCTION("""COMPUTED_VALUE"""),""",")</f>
        <v>",</v>
      </c>
    </row>
    <row r="1942">
      <c r="A1942" s="9" t="str">
        <f>IFERROR(__xludf.DUMMYFUNCTION("""COMPUTED_VALUE"""),"""")</f>
        <v>"</v>
      </c>
      <c r="B1942" s="9" t="s">
        <v>1951</v>
      </c>
      <c r="C1942" s="9" t="str">
        <f>IFERROR(__xludf.DUMMYFUNCTION("""COMPUTED_VALUE"""),""":""")</f>
        <v>":"</v>
      </c>
      <c r="D1942" s="24">
        <v>3.1619508164911297E19</v>
      </c>
      <c r="E1942" s="9" t="str">
        <f>IFERROR(__xludf.DUMMYFUNCTION("""COMPUTED_VALUE"""),""",")</f>
        <v>",</v>
      </c>
    </row>
    <row r="1943">
      <c r="A1943" s="9" t="str">
        <f>IFERROR(__xludf.DUMMYFUNCTION("""COMPUTED_VALUE"""),"""")</f>
        <v>"</v>
      </c>
      <c r="B1943" s="9" t="s">
        <v>1952</v>
      </c>
      <c r="C1943" s="9" t="str">
        <f>IFERROR(__xludf.DUMMYFUNCTION("""COMPUTED_VALUE"""),""":""")</f>
        <v>":"</v>
      </c>
      <c r="D1943" s="24">
        <v>2.603176172321175E18</v>
      </c>
      <c r="E1943" s="9" t="str">
        <f>IFERROR(__xludf.DUMMYFUNCTION("""COMPUTED_VALUE"""),""",")</f>
        <v>",</v>
      </c>
    </row>
    <row r="1944">
      <c r="A1944" s="9" t="str">
        <f>IFERROR(__xludf.DUMMYFUNCTION("""COMPUTED_VALUE"""),"""")</f>
        <v>"</v>
      </c>
      <c r="B1944" s="9" t="s">
        <v>1953</v>
      </c>
      <c r="C1944" s="9" t="str">
        <f>IFERROR(__xludf.DUMMYFUNCTION("""COMPUTED_VALUE"""),""":""")</f>
        <v>":"</v>
      </c>
      <c r="D1944" s="24">
        <v>5.7163315321677332E18</v>
      </c>
      <c r="E1944" s="9" t="str">
        <f>IFERROR(__xludf.DUMMYFUNCTION("""COMPUTED_VALUE"""),""",")</f>
        <v>",</v>
      </c>
    </row>
    <row r="1945">
      <c r="A1945" s="9" t="str">
        <f>IFERROR(__xludf.DUMMYFUNCTION("""COMPUTED_VALUE"""),"""")</f>
        <v>"</v>
      </c>
      <c r="B1945" s="9" t="s">
        <v>1954</v>
      </c>
      <c r="C1945" s="9" t="str">
        <f>IFERROR(__xludf.DUMMYFUNCTION("""COMPUTED_VALUE"""),""":""")</f>
        <v>":"</v>
      </c>
      <c r="D1945" s="24">
        <v>6.2005979458241782E18</v>
      </c>
      <c r="E1945" s="9" t="str">
        <f>IFERROR(__xludf.DUMMYFUNCTION("""COMPUTED_VALUE"""),""",")</f>
        <v>",</v>
      </c>
    </row>
    <row r="1946">
      <c r="A1946" s="9" t="str">
        <f>IFERROR(__xludf.DUMMYFUNCTION("""COMPUTED_VALUE"""),"""")</f>
        <v>"</v>
      </c>
      <c r="B1946" s="9" t="s">
        <v>1955</v>
      </c>
      <c r="C1946" s="9" t="str">
        <f>IFERROR(__xludf.DUMMYFUNCTION("""COMPUTED_VALUE"""),""":""")</f>
        <v>":"</v>
      </c>
      <c r="D1946" s="24">
        <v>5.4905026652204442E18</v>
      </c>
      <c r="E1946" s="9" t="str">
        <f>IFERROR(__xludf.DUMMYFUNCTION("""COMPUTED_VALUE"""),""",")</f>
        <v>",</v>
      </c>
    </row>
    <row r="1947">
      <c r="A1947" s="9" t="str">
        <f>IFERROR(__xludf.DUMMYFUNCTION("""COMPUTED_VALUE"""),"""")</f>
        <v>"</v>
      </c>
      <c r="B1947" s="9" t="s">
        <v>1956</v>
      </c>
      <c r="C1947" s="9" t="str">
        <f>IFERROR(__xludf.DUMMYFUNCTION("""COMPUTED_VALUE"""),""":""")</f>
        <v>":"</v>
      </c>
      <c r="D1947" s="24">
        <v>1.4629572285415645E19</v>
      </c>
      <c r="E1947" s="9" t="str">
        <f>IFERROR(__xludf.DUMMYFUNCTION("""COMPUTED_VALUE"""),""",")</f>
        <v>",</v>
      </c>
    </row>
    <row r="1948">
      <c r="A1948" s="9" t="str">
        <f>IFERROR(__xludf.DUMMYFUNCTION("""COMPUTED_VALUE"""),"""")</f>
        <v>"</v>
      </c>
      <c r="B1948" s="9" t="s">
        <v>1957</v>
      </c>
      <c r="C1948" s="9" t="str">
        <f>IFERROR(__xludf.DUMMYFUNCTION("""COMPUTED_VALUE"""),""":""")</f>
        <v>":"</v>
      </c>
      <c r="D1948" s="24">
        <v>6.2005979458241782E18</v>
      </c>
      <c r="E1948" s="9" t="str">
        <f>IFERROR(__xludf.DUMMYFUNCTION("""COMPUTED_VALUE"""),""",")</f>
        <v>",</v>
      </c>
    </row>
    <row r="1949">
      <c r="A1949" s="9" t="str">
        <f>IFERROR(__xludf.DUMMYFUNCTION("""COMPUTED_VALUE"""),"""")</f>
        <v>"</v>
      </c>
      <c r="B1949" s="9" t="s">
        <v>1958</v>
      </c>
      <c r="C1949" s="9" t="str">
        <f>IFERROR(__xludf.DUMMYFUNCTION("""COMPUTED_VALUE"""),""":""")</f>
        <v>":"</v>
      </c>
      <c r="D1949" s="24">
        <v>2.0248888511809958E19</v>
      </c>
      <c r="E1949" s="9" t="str">
        <f>IFERROR(__xludf.DUMMYFUNCTION("""COMPUTED_VALUE"""),""",")</f>
        <v>",</v>
      </c>
    </row>
    <row r="1950">
      <c r="A1950" s="9" t="str">
        <f>IFERROR(__xludf.DUMMYFUNCTION("""COMPUTED_VALUE"""),"""")</f>
        <v>"</v>
      </c>
      <c r="B1950" s="9" t="s">
        <v>1959</v>
      </c>
      <c r="C1950" s="9" t="str">
        <f>IFERROR(__xludf.DUMMYFUNCTION("""COMPUTED_VALUE"""),""":""")</f>
        <v>":"</v>
      </c>
      <c r="D1950" s="24">
        <v>1.48453938420394701E18</v>
      </c>
      <c r="E1950" s="9" t="str">
        <f>IFERROR(__xludf.DUMMYFUNCTION("""COMPUTED_VALUE"""),""",")</f>
        <v>",</v>
      </c>
    </row>
    <row r="1951">
      <c r="A1951" s="9" t="str">
        <f>IFERROR(__xludf.DUMMYFUNCTION("""COMPUTED_VALUE"""),"""")</f>
        <v>"</v>
      </c>
      <c r="B1951" s="9" t="s">
        <v>1960</v>
      </c>
      <c r="C1951" s="9" t="str">
        <f>IFERROR(__xludf.DUMMYFUNCTION("""COMPUTED_VALUE"""),""":""")</f>
        <v>":"</v>
      </c>
      <c r="D1951" s="24">
        <v>1.9878362065030246E19</v>
      </c>
      <c r="E1951" s="9" t="str">
        <f>IFERROR(__xludf.DUMMYFUNCTION("""COMPUTED_VALUE"""),""",")</f>
        <v>",</v>
      </c>
    </row>
    <row r="1952">
      <c r="A1952" s="9" t="str">
        <f>IFERROR(__xludf.DUMMYFUNCTION("""COMPUTED_VALUE"""),"""")</f>
        <v>"</v>
      </c>
      <c r="B1952" s="9" t="s">
        <v>1961</v>
      </c>
      <c r="C1952" s="9" t="str">
        <f>IFERROR(__xludf.DUMMYFUNCTION("""COMPUTED_VALUE"""),""":""")</f>
        <v>":"</v>
      </c>
      <c r="D1952" s="24">
        <v>5.4696758887648451E18</v>
      </c>
      <c r="E1952" s="9" t="str">
        <f>IFERROR(__xludf.DUMMYFUNCTION("""COMPUTED_VALUE"""),""",")</f>
        <v>",</v>
      </c>
    </row>
    <row r="1953">
      <c r="A1953" s="9" t="str">
        <f>IFERROR(__xludf.DUMMYFUNCTION("""COMPUTED_VALUE"""),"""")</f>
        <v>"</v>
      </c>
      <c r="B1953" s="9" t="s">
        <v>1962</v>
      </c>
      <c r="C1953" s="9" t="str">
        <f>IFERROR(__xludf.DUMMYFUNCTION("""COMPUTED_VALUE"""),""":""")</f>
        <v>":"</v>
      </c>
      <c r="D1953" s="24">
        <v>6.2005979458241782E18</v>
      </c>
      <c r="E1953" s="9" t="str">
        <f>IFERROR(__xludf.DUMMYFUNCTION("""COMPUTED_VALUE"""),""",")</f>
        <v>",</v>
      </c>
    </row>
    <row r="1954">
      <c r="A1954" s="9" t="str">
        <f>IFERROR(__xludf.DUMMYFUNCTION("""COMPUTED_VALUE"""),"""")</f>
        <v>"</v>
      </c>
      <c r="B1954" s="9" t="s">
        <v>1963</v>
      </c>
      <c r="C1954" s="9" t="str">
        <f>IFERROR(__xludf.DUMMYFUNCTION("""COMPUTED_VALUE"""),""":""")</f>
        <v>":"</v>
      </c>
      <c r="D1954" s="24">
        <v>1.0672845908026062E20</v>
      </c>
      <c r="E1954" s="9" t="str">
        <f>IFERROR(__xludf.DUMMYFUNCTION("""COMPUTED_VALUE"""),""",")</f>
        <v>",</v>
      </c>
    </row>
    <row r="1955">
      <c r="A1955" s="9" t="str">
        <f>IFERROR(__xludf.DUMMYFUNCTION("""COMPUTED_VALUE"""),"""")</f>
        <v>"</v>
      </c>
      <c r="B1955" s="9" t="s">
        <v>1964</v>
      </c>
      <c r="C1955" s="9" t="str">
        <f>IFERROR(__xludf.DUMMYFUNCTION("""COMPUTED_VALUE"""),""":""")</f>
        <v>":"</v>
      </c>
      <c r="D1955" s="24">
        <v>3.4950415508446597E19</v>
      </c>
      <c r="E1955" s="9" t="str">
        <f>IFERROR(__xludf.DUMMYFUNCTION("""COMPUTED_VALUE"""),""",")</f>
        <v>",</v>
      </c>
    </row>
    <row r="1956">
      <c r="A1956" s="9" t="str">
        <f>IFERROR(__xludf.DUMMYFUNCTION("""COMPUTED_VALUE"""),"""")</f>
        <v>"</v>
      </c>
      <c r="B1956" s="9" t="s">
        <v>1965</v>
      </c>
      <c r="C1956" s="9" t="str">
        <f>IFERROR(__xludf.DUMMYFUNCTION("""COMPUTED_VALUE"""),""":""")</f>
        <v>":"</v>
      </c>
      <c r="D1956" s="24">
        <v>5.6733844037642895E18</v>
      </c>
      <c r="E1956" s="9" t="str">
        <f>IFERROR(__xludf.DUMMYFUNCTION("""COMPUTED_VALUE"""),""",")</f>
        <v>",</v>
      </c>
    </row>
    <row r="1957">
      <c r="A1957" s="9" t="str">
        <f>IFERROR(__xludf.DUMMYFUNCTION("""COMPUTED_VALUE"""),"""")</f>
        <v>"</v>
      </c>
      <c r="B1957" s="9" t="s">
        <v>1966</v>
      </c>
      <c r="C1957" s="9" t="str">
        <f>IFERROR(__xludf.DUMMYFUNCTION("""COMPUTED_VALUE"""),""":""")</f>
        <v>":"</v>
      </c>
      <c r="D1957" s="24">
        <v>6.2005979458241782E18</v>
      </c>
      <c r="E1957" s="9" t="str">
        <f>IFERROR(__xludf.DUMMYFUNCTION("""COMPUTED_VALUE"""),""",")</f>
        <v>",</v>
      </c>
    </row>
    <row r="1958">
      <c r="A1958" s="9" t="str">
        <f>IFERROR(__xludf.DUMMYFUNCTION("""COMPUTED_VALUE"""),"""")</f>
        <v>"</v>
      </c>
      <c r="B1958" s="9" t="s">
        <v>1967</v>
      </c>
      <c r="C1958" s="9" t="str">
        <f>IFERROR(__xludf.DUMMYFUNCTION("""COMPUTED_VALUE"""),""":""")</f>
        <v>":"</v>
      </c>
      <c r="D1958" s="24">
        <v>1.74392303986128E19</v>
      </c>
      <c r="E1958" s="9" t="str">
        <f>IFERROR(__xludf.DUMMYFUNCTION("""COMPUTED_VALUE"""),""",")</f>
        <v>",</v>
      </c>
    </row>
    <row r="1959">
      <c r="A1959" s="9" t="str">
        <f>IFERROR(__xludf.DUMMYFUNCTION("""COMPUTED_VALUE"""),"""")</f>
        <v>"</v>
      </c>
      <c r="B1959" s="9" t="s">
        <v>1968</v>
      </c>
      <c r="C1959" s="9" t="str">
        <f>IFERROR(__xludf.DUMMYFUNCTION("""COMPUTED_VALUE"""),""":""")</f>
        <v>":"</v>
      </c>
      <c r="D1959" s="24">
        <v>2.833266059140738E19</v>
      </c>
      <c r="E1959" s="9" t="str">
        <f>IFERROR(__xludf.DUMMYFUNCTION("""COMPUTED_VALUE"""),""",")</f>
        <v>",</v>
      </c>
    </row>
    <row r="1960">
      <c r="A1960" s="9" t="str">
        <f>IFERROR(__xludf.DUMMYFUNCTION("""COMPUTED_VALUE"""),"""")</f>
        <v>"</v>
      </c>
      <c r="B1960" s="9" t="s">
        <v>1969</v>
      </c>
      <c r="C1960" s="9" t="str">
        <f>IFERROR(__xludf.DUMMYFUNCTION("""COMPUTED_VALUE"""),""":""")</f>
        <v>":"</v>
      </c>
      <c r="D1960" s="24">
        <v>2.2954839238504157E19</v>
      </c>
      <c r="E1960" s="9" t="str">
        <f>IFERROR(__xludf.DUMMYFUNCTION("""COMPUTED_VALUE"""),""",")</f>
        <v>",</v>
      </c>
    </row>
    <row r="1961">
      <c r="A1961" s="9" t="str">
        <f>IFERROR(__xludf.DUMMYFUNCTION("""COMPUTED_VALUE"""),"""")</f>
        <v>"</v>
      </c>
      <c r="B1961" s="9" t="s">
        <v>1970</v>
      </c>
      <c r="C1961" s="9" t="str">
        <f>IFERROR(__xludf.DUMMYFUNCTION("""COMPUTED_VALUE"""),""":""")</f>
        <v>":"</v>
      </c>
      <c r="D1961" s="24">
        <v>2.6259218666317287E19</v>
      </c>
      <c r="E1961" s="9" t="str">
        <f>IFERROR(__xludf.DUMMYFUNCTION("""COMPUTED_VALUE"""),""",")</f>
        <v>",</v>
      </c>
    </row>
    <row r="1962">
      <c r="A1962" s="9" t="str">
        <f>IFERROR(__xludf.DUMMYFUNCTION("""COMPUTED_VALUE"""),"""")</f>
        <v>"</v>
      </c>
      <c r="B1962" s="9" t="s">
        <v>1971</v>
      </c>
      <c r="C1962" s="9" t="str">
        <f>IFERROR(__xludf.DUMMYFUNCTION("""COMPUTED_VALUE"""),""":""")</f>
        <v>":"</v>
      </c>
      <c r="D1962" s="24">
        <v>6.2005979458241782E18</v>
      </c>
      <c r="E1962" s="9" t="str">
        <f>IFERROR(__xludf.DUMMYFUNCTION("""COMPUTED_VALUE"""),""",")</f>
        <v>",</v>
      </c>
    </row>
    <row r="1963">
      <c r="A1963" s="9" t="str">
        <f>IFERROR(__xludf.DUMMYFUNCTION("""COMPUTED_VALUE"""),"""")</f>
        <v>"</v>
      </c>
      <c r="B1963" s="9" t="s">
        <v>1972</v>
      </c>
      <c r="C1963" s="9" t="str">
        <f>IFERROR(__xludf.DUMMYFUNCTION("""COMPUTED_VALUE"""),""":""")</f>
        <v>":"</v>
      </c>
      <c r="D1963" s="24">
        <v>2.0248888511809958E19</v>
      </c>
      <c r="E1963" s="9" t="str">
        <f>IFERROR(__xludf.DUMMYFUNCTION("""COMPUTED_VALUE"""),""",")</f>
        <v>",</v>
      </c>
    </row>
    <row r="1964">
      <c r="A1964" s="9" t="str">
        <f>IFERROR(__xludf.DUMMYFUNCTION("""COMPUTED_VALUE"""),"""")</f>
        <v>"</v>
      </c>
      <c r="B1964" s="9" t="s">
        <v>1973</v>
      </c>
      <c r="C1964" s="9" t="str">
        <f>IFERROR(__xludf.DUMMYFUNCTION("""COMPUTED_VALUE"""),""":""")</f>
        <v>":"</v>
      </c>
      <c r="D1964" s="24">
        <v>2.2444006313531036E19</v>
      </c>
      <c r="E1964" s="9" t="str">
        <f>IFERROR(__xludf.DUMMYFUNCTION("""COMPUTED_VALUE"""),""",")</f>
        <v>",</v>
      </c>
    </row>
    <row r="1965">
      <c r="A1965" s="9" t="str">
        <f>IFERROR(__xludf.DUMMYFUNCTION("""COMPUTED_VALUE"""),"""")</f>
        <v>"</v>
      </c>
      <c r="B1965" s="9" t="s">
        <v>1974</v>
      </c>
      <c r="C1965" s="9" t="str">
        <f>IFERROR(__xludf.DUMMYFUNCTION("""COMPUTED_VALUE"""),""":""")</f>
        <v>":"</v>
      </c>
      <c r="D1965" s="24">
        <v>6.0314997080742666E18</v>
      </c>
      <c r="E1965" s="9" t="str">
        <f>IFERROR(__xludf.DUMMYFUNCTION("""COMPUTED_VALUE"""),""",")</f>
        <v>",</v>
      </c>
    </row>
    <row r="1966">
      <c r="A1966" s="9" t="str">
        <f>IFERROR(__xludf.DUMMYFUNCTION("""COMPUTED_VALUE"""),"""")</f>
        <v>"</v>
      </c>
      <c r="B1966" s="9" t="s">
        <v>1975</v>
      </c>
      <c r="C1966" s="9" t="str">
        <f>IFERROR(__xludf.DUMMYFUNCTION("""COMPUTED_VALUE"""),""":""")</f>
        <v>":"</v>
      </c>
      <c r="D1966" s="24">
        <v>4.359837256529151E19</v>
      </c>
      <c r="E1966" s="9" t="str">
        <f>IFERROR(__xludf.DUMMYFUNCTION("""COMPUTED_VALUE"""),""",")</f>
        <v>",</v>
      </c>
    </row>
    <row r="1967">
      <c r="A1967" s="9" t="str">
        <f>IFERROR(__xludf.DUMMYFUNCTION("""COMPUTED_VALUE"""),"""")</f>
        <v>"</v>
      </c>
      <c r="B1967" s="9" t="s">
        <v>1976</v>
      </c>
      <c r="C1967" s="9" t="str">
        <f>IFERROR(__xludf.DUMMYFUNCTION("""COMPUTED_VALUE"""),""":""")</f>
        <v>":"</v>
      </c>
      <c r="D1967" s="24">
        <v>2.0248888511809958E19</v>
      </c>
      <c r="E1967" s="9" t="str">
        <f>IFERROR(__xludf.DUMMYFUNCTION("""COMPUTED_VALUE"""),""",")</f>
        <v>",</v>
      </c>
    </row>
    <row r="1968">
      <c r="A1968" s="9" t="str">
        <f>IFERROR(__xludf.DUMMYFUNCTION("""COMPUTED_VALUE"""),"""")</f>
        <v>"</v>
      </c>
      <c r="B1968" s="9" t="s">
        <v>1977</v>
      </c>
      <c r="C1968" s="9" t="str">
        <f>IFERROR(__xludf.DUMMYFUNCTION("""COMPUTED_VALUE"""),""":""")</f>
        <v>":"</v>
      </c>
      <c r="D1968" s="24">
        <v>4.5005235423701E20</v>
      </c>
      <c r="E1968" s="9" t="str">
        <f>IFERROR(__xludf.DUMMYFUNCTION("""COMPUTED_VALUE"""),""",")</f>
        <v>",</v>
      </c>
    </row>
    <row r="1969">
      <c r="A1969" s="9" t="str">
        <f>IFERROR(__xludf.DUMMYFUNCTION("""COMPUTED_VALUE"""),"""")</f>
        <v>"</v>
      </c>
      <c r="B1969" s="9" t="s">
        <v>1978</v>
      </c>
      <c r="C1969" s="9" t="str">
        <f>IFERROR(__xludf.DUMMYFUNCTION("""COMPUTED_VALUE"""),""":""")</f>
        <v>":"</v>
      </c>
      <c r="D1969" s="24">
        <v>8.1879248283404001E18</v>
      </c>
      <c r="E1969" s="9" t="str">
        <f>IFERROR(__xludf.DUMMYFUNCTION("""COMPUTED_VALUE"""),""",")</f>
        <v>",</v>
      </c>
    </row>
    <row r="1970">
      <c r="A1970" s="9" t="str">
        <f>IFERROR(__xludf.DUMMYFUNCTION("""COMPUTED_VALUE"""),"""")</f>
        <v>"</v>
      </c>
      <c r="B1970" s="9" t="s">
        <v>1979</v>
      </c>
      <c r="C1970" s="9" t="str">
        <f>IFERROR(__xludf.DUMMYFUNCTION("""COMPUTED_VALUE"""),""":""")</f>
        <v>":"</v>
      </c>
      <c r="D1970" s="24">
        <v>5.8673527921902223E18</v>
      </c>
      <c r="E1970" s="9" t="str">
        <f>IFERROR(__xludf.DUMMYFUNCTION("""COMPUTED_VALUE"""),""",")</f>
        <v>",</v>
      </c>
    </row>
    <row r="1971">
      <c r="A1971" s="9" t="str">
        <f>IFERROR(__xludf.DUMMYFUNCTION("""COMPUTED_VALUE"""),"""")</f>
        <v>"</v>
      </c>
      <c r="B1971" s="9" t="s">
        <v>1980</v>
      </c>
      <c r="C1971" s="9" t="str">
        <f>IFERROR(__xludf.DUMMYFUNCTION("""COMPUTED_VALUE"""),""":""")</f>
        <v>":"</v>
      </c>
      <c r="D1971" s="24">
        <v>4.0800059818689556E18</v>
      </c>
      <c r="E1971" s="9" t="str">
        <f>IFERROR(__xludf.DUMMYFUNCTION("""COMPUTED_VALUE"""),""",")</f>
        <v>",</v>
      </c>
    </row>
    <row r="1972">
      <c r="A1972" s="9" t="str">
        <f>IFERROR(__xludf.DUMMYFUNCTION("""COMPUTED_VALUE"""),"""")</f>
        <v>"</v>
      </c>
      <c r="B1972" s="9" t="s">
        <v>1981</v>
      </c>
      <c r="C1972" s="9" t="str">
        <f>IFERROR(__xludf.DUMMYFUNCTION("""COMPUTED_VALUE"""),""":""")</f>
        <v>":"</v>
      </c>
      <c r="D1972" s="24">
        <v>6.2005979458241782E18</v>
      </c>
      <c r="E1972" s="9" t="str">
        <f>IFERROR(__xludf.DUMMYFUNCTION("""COMPUTED_VALUE"""),""",")</f>
        <v>",</v>
      </c>
    </row>
    <row r="1973">
      <c r="A1973" s="9" t="str">
        <f>IFERROR(__xludf.DUMMYFUNCTION("""COMPUTED_VALUE"""),"""")</f>
        <v>"</v>
      </c>
      <c r="B1973" s="9" t="s">
        <v>1982</v>
      </c>
      <c r="C1973" s="9" t="str">
        <f>IFERROR(__xludf.DUMMYFUNCTION("""COMPUTED_VALUE"""),""":""")</f>
        <v>":"</v>
      </c>
      <c r="D1973" s="24">
        <v>1.0371280771624712E19</v>
      </c>
      <c r="E1973" s="9" t="str">
        <f>IFERROR(__xludf.DUMMYFUNCTION("""COMPUTED_VALUE"""),""",")</f>
        <v>",</v>
      </c>
    </row>
    <row r="1974">
      <c r="A1974" s="9" t="str">
        <f>IFERROR(__xludf.DUMMYFUNCTION("""COMPUTED_VALUE"""),"""")</f>
        <v>"</v>
      </c>
      <c r="B1974" s="9" t="s">
        <v>1983</v>
      </c>
      <c r="C1974" s="9" t="str">
        <f>IFERROR(__xludf.DUMMYFUNCTION("""COMPUTED_VALUE"""),""":""")</f>
        <v>":"</v>
      </c>
      <c r="D1974" s="24">
        <v>5.6560852242113556E18</v>
      </c>
      <c r="E1974" s="9" t="str">
        <f>IFERROR(__xludf.DUMMYFUNCTION("""COMPUTED_VALUE"""),""",")</f>
        <v>",</v>
      </c>
    </row>
    <row r="1975">
      <c r="A1975" s="9" t="str">
        <f>IFERROR(__xludf.DUMMYFUNCTION("""COMPUTED_VALUE"""),"""")</f>
        <v>"</v>
      </c>
      <c r="B1975" s="9" t="s">
        <v>1984</v>
      </c>
      <c r="C1975" s="9" t="str">
        <f>IFERROR(__xludf.DUMMYFUNCTION("""COMPUTED_VALUE"""),""":""")</f>
        <v>":"</v>
      </c>
      <c r="D1975" s="24">
        <v>2.0248888511809958E19</v>
      </c>
      <c r="E1975" s="9" t="str">
        <f>IFERROR(__xludf.DUMMYFUNCTION("""COMPUTED_VALUE"""),""",")</f>
        <v>",</v>
      </c>
    </row>
    <row r="1976">
      <c r="A1976" s="9" t="str">
        <f>IFERROR(__xludf.DUMMYFUNCTION("""COMPUTED_VALUE"""),"""")</f>
        <v>"</v>
      </c>
      <c r="B1976" s="9" t="s">
        <v>1985</v>
      </c>
      <c r="C1976" s="9" t="str">
        <f>IFERROR(__xludf.DUMMYFUNCTION("""COMPUTED_VALUE"""),""":""")</f>
        <v>":"</v>
      </c>
      <c r="D1976" s="24">
        <v>1.5710516260915001E19</v>
      </c>
      <c r="E1976" s="9" t="str">
        <f>IFERROR(__xludf.DUMMYFUNCTION("""COMPUTED_VALUE"""),""",")</f>
        <v>",</v>
      </c>
    </row>
    <row r="1977">
      <c r="A1977" s="9" t="str">
        <f>IFERROR(__xludf.DUMMYFUNCTION("""COMPUTED_VALUE"""),"""")</f>
        <v>"</v>
      </c>
      <c r="B1977" s="9" t="s">
        <v>1986</v>
      </c>
      <c r="C1977" s="9" t="str">
        <f>IFERROR(__xludf.DUMMYFUNCTION("""COMPUTED_VALUE"""),""":""")</f>
        <v>":"</v>
      </c>
      <c r="D1977" s="24">
        <v>5.3749196969328445E18</v>
      </c>
      <c r="E1977" s="9" t="str">
        <f>IFERROR(__xludf.DUMMYFUNCTION("""COMPUTED_VALUE"""),""",")</f>
        <v>",</v>
      </c>
    </row>
    <row r="1978">
      <c r="A1978" s="9" t="str">
        <f>IFERROR(__xludf.DUMMYFUNCTION("""COMPUTED_VALUE"""),"""")</f>
        <v>"</v>
      </c>
      <c r="B1978" s="9" t="s">
        <v>1987</v>
      </c>
      <c r="C1978" s="9" t="str">
        <f>IFERROR(__xludf.DUMMYFUNCTION("""COMPUTED_VALUE"""),""":""")</f>
        <v>":"</v>
      </c>
      <c r="D1978" s="24">
        <v>6.2005979458241782E18</v>
      </c>
      <c r="E1978" s="9" t="str">
        <f>IFERROR(__xludf.DUMMYFUNCTION("""COMPUTED_VALUE"""),""",")</f>
        <v>",</v>
      </c>
    </row>
    <row r="1979">
      <c r="A1979" s="9" t="str">
        <f>IFERROR(__xludf.DUMMYFUNCTION("""COMPUTED_VALUE"""),"""")</f>
        <v>"</v>
      </c>
      <c r="B1979" s="9" t="s">
        <v>1988</v>
      </c>
      <c r="C1979" s="9" t="str">
        <f>IFERROR(__xludf.DUMMYFUNCTION("""COMPUTED_VALUE"""),""":""")</f>
        <v>":"</v>
      </c>
      <c r="D1979" s="24">
        <v>5.5464470200521339E18</v>
      </c>
      <c r="E1979" s="9" t="str">
        <f>IFERROR(__xludf.DUMMYFUNCTION("""COMPUTED_VALUE"""),""",")</f>
        <v>",</v>
      </c>
    </row>
    <row r="1980">
      <c r="A1980" s="9" t="str">
        <f>IFERROR(__xludf.DUMMYFUNCTION("""COMPUTED_VALUE"""),"""")</f>
        <v>"</v>
      </c>
      <c r="B1980" s="9" t="s">
        <v>1989</v>
      </c>
      <c r="C1980" s="9" t="str">
        <f>IFERROR(__xludf.DUMMYFUNCTION("""COMPUTED_VALUE"""),""":""")</f>
        <v>":"</v>
      </c>
      <c r="D1980" s="24">
        <v>9.170855650892758E18</v>
      </c>
      <c r="E1980" s="9" t="str">
        <f>IFERROR(__xludf.DUMMYFUNCTION("""COMPUTED_VALUE"""),""",")</f>
        <v>",</v>
      </c>
    </row>
    <row r="1981">
      <c r="A1981" s="9" t="str">
        <f>IFERROR(__xludf.DUMMYFUNCTION("""COMPUTED_VALUE"""),"""")</f>
        <v>"</v>
      </c>
      <c r="B1981" s="9" t="s">
        <v>1990</v>
      </c>
      <c r="C1981" s="9" t="str">
        <f>IFERROR(__xludf.DUMMYFUNCTION("""COMPUTED_VALUE"""),""":""")</f>
        <v>":"</v>
      </c>
      <c r="D1981" s="24">
        <v>6.2005979458241782E18</v>
      </c>
      <c r="E1981" s="9" t="str">
        <f>IFERROR(__xludf.DUMMYFUNCTION("""COMPUTED_VALUE"""),""",")</f>
        <v>",</v>
      </c>
    </row>
    <row r="1982">
      <c r="A1982" s="9" t="str">
        <f>IFERROR(__xludf.DUMMYFUNCTION("""COMPUTED_VALUE"""),"""")</f>
        <v>"</v>
      </c>
      <c r="B1982" s="9" t="s">
        <v>1991</v>
      </c>
      <c r="C1982" s="9" t="str">
        <f>IFERROR(__xludf.DUMMYFUNCTION("""COMPUTED_VALUE"""),""":""")</f>
        <v>":"</v>
      </c>
      <c r="D1982" s="24">
        <v>6.2005979458241782E18</v>
      </c>
      <c r="E1982" s="9" t="str">
        <f>IFERROR(__xludf.DUMMYFUNCTION("""COMPUTED_VALUE"""),""",")</f>
        <v>",</v>
      </c>
    </row>
    <row r="1983">
      <c r="A1983" s="9" t="str">
        <f>IFERROR(__xludf.DUMMYFUNCTION("""COMPUTED_VALUE"""),"""")</f>
        <v>"</v>
      </c>
      <c r="B1983" s="9" t="s">
        <v>1992</v>
      </c>
      <c r="C1983" s="9" t="str">
        <f>IFERROR(__xludf.DUMMYFUNCTION("""COMPUTED_VALUE"""),""":""")</f>
        <v>":"</v>
      </c>
      <c r="D1983" s="24">
        <v>2.0248888511809958E19</v>
      </c>
      <c r="E1983" s="9" t="str">
        <f>IFERROR(__xludf.DUMMYFUNCTION("""COMPUTED_VALUE"""),""",")</f>
        <v>",</v>
      </c>
    </row>
    <row r="1984">
      <c r="A1984" s="9" t="str">
        <f>IFERROR(__xludf.DUMMYFUNCTION("""COMPUTED_VALUE"""),"""")</f>
        <v>"</v>
      </c>
      <c r="B1984" s="9" t="s">
        <v>1993</v>
      </c>
      <c r="C1984" s="9" t="str">
        <f>IFERROR(__xludf.DUMMYFUNCTION("""COMPUTED_VALUE"""),""":""")</f>
        <v>":"</v>
      </c>
      <c r="D1984" s="24">
        <v>6.2005979458241782E18</v>
      </c>
      <c r="E1984" s="9" t="str">
        <f>IFERROR(__xludf.DUMMYFUNCTION("""COMPUTED_VALUE"""),""",")</f>
        <v>",</v>
      </c>
    </row>
    <row r="1985">
      <c r="A1985" s="9" t="str">
        <f>IFERROR(__xludf.DUMMYFUNCTION("""COMPUTED_VALUE"""),"""")</f>
        <v>"</v>
      </c>
      <c r="B1985" s="9" t="s">
        <v>1994</v>
      </c>
      <c r="C1985" s="9" t="str">
        <f>IFERROR(__xludf.DUMMYFUNCTION("""COMPUTED_VALUE"""),""":""")</f>
        <v>":"</v>
      </c>
      <c r="D1985" s="24">
        <v>6.2005979458241782E18</v>
      </c>
      <c r="E1985" s="9" t="str">
        <f>IFERROR(__xludf.DUMMYFUNCTION("""COMPUTED_VALUE"""),""",")</f>
        <v>",</v>
      </c>
    </row>
    <row r="1986">
      <c r="A1986" s="9" t="str">
        <f>IFERROR(__xludf.DUMMYFUNCTION("""COMPUTED_VALUE"""),"""")</f>
        <v>"</v>
      </c>
      <c r="B1986" s="9" t="s">
        <v>1995</v>
      </c>
      <c r="C1986" s="9" t="str">
        <f>IFERROR(__xludf.DUMMYFUNCTION("""COMPUTED_VALUE"""),""":""")</f>
        <v>":"</v>
      </c>
      <c r="D1986" s="24">
        <v>6.2005979458241782E18</v>
      </c>
      <c r="E1986" s="9" t="str">
        <f>IFERROR(__xludf.DUMMYFUNCTION("""COMPUTED_VALUE"""),""",")</f>
        <v>",</v>
      </c>
    </row>
    <row r="1987">
      <c r="A1987" s="9" t="str">
        <f>IFERROR(__xludf.DUMMYFUNCTION("""COMPUTED_VALUE"""),"""")</f>
        <v>"</v>
      </c>
      <c r="B1987" s="9" t="s">
        <v>1996</v>
      </c>
      <c r="C1987" s="9" t="str">
        <f>IFERROR(__xludf.DUMMYFUNCTION("""COMPUTED_VALUE"""),""":""")</f>
        <v>":"</v>
      </c>
      <c r="D1987" s="24">
        <v>2.068128636465221E19</v>
      </c>
      <c r="E1987" s="9" t="str">
        <f>IFERROR(__xludf.DUMMYFUNCTION("""COMPUTED_VALUE"""),""",")</f>
        <v>",</v>
      </c>
    </row>
    <row r="1988">
      <c r="A1988" s="9" t="str">
        <f>IFERROR(__xludf.DUMMYFUNCTION("""COMPUTED_VALUE"""),"""")</f>
        <v>"</v>
      </c>
      <c r="B1988" s="9" t="s">
        <v>1997</v>
      </c>
      <c r="C1988" s="9" t="str">
        <f>IFERROR(__xludf.DUMMYFUNCTION("""COMPUTED_VALUE"""),""":""")</f>
        <v>":"</v>
      </c>
      <c r="D1988" s="24">
        <v>6.2005979458241782E18</v>
      </c>
      <c r="E1988" s="9" t="str">
        <f>IFERROR(__xludf.DUMMYFUNCTION("""COMPUTED_VALUE"""),""",")</f>
        <v>",</v>
      </c>
    </row>
    <row r="1989">
      <c r="A1989" s="9" t="str">
        <f>IFERROR(__xludf.DUMMYFUNCTION("""COMPUTED_VALUE"""),"""")</f>
        <v>"</v>
      </c>
      <c r="B1989" s="9" t="s">
        <v>1998</v>
      </c>
      <c r="C1989" s="9" t="str">
        <f>IFERROR(__xludf.DUMMYFUNCTION("""COMPUTED_VALUE"""),""":""")</f>
        <v>":"</v>
      </c>
      <c r="D1989" s="24">
        <v>6.2005979458241782E18</v>
      </c>
      <c r="E1989" s="9" t="str">
        <f>IFERROR(__xludf.DUMMYFUNCTION("""COMPUTED_VALUE"""),""",")</f>
        <v>",</v>
      </c>
    </row>
    <row r="1990">
      <c r="A1990" s="9" t="str">
        <f>IFERROR(__xludf.DUMMYFUNCTION("""COMPUTED_VALUE"""),"""")</f>
        <v>"</v>
      </c>
      <c r="B1990" s="9" t="s">
        <v>1999</v>
      </c>
      <c r="C1990" s="9" t="str">
        <f>IFERROR(__xludf.DUMMYFUNCTION("""COMPUTED_VALUE"""),""":""")</f>
        <v>":"</v>
      </c>
      <c r="D1990" s="24">
        <v>1.5043692680353024E18</v>
      </c>
      <c r="E1990" s="9" t="str">
        <f>IFERROR(__xludf.DUMMYFUNCTION("""COMPUTED_VALUE"""),""",")</f>
        <v>",</v>
      </c>
    </row>
    <row r="1991">
      <c r="A1991" s="9" t="str">
        <f>IFERROR(__xludf.DUMMYFUNCTION("""COMPUTED_VALUE"""),"""")</f>
        <v>"</v>
      </c>
      <c r="B1991" s="9" t="s">
        <v>2000</v>
      </c>
      <c r="C1991" s="9" t="str">
        <f>IFERROR(__xludf.DUMMYFUNCTION("""COMPUTED_VALUE"""),""":""")</f>
        <v>":"</v>
      </c>
      <c r="D1991" s="24">
        <v>6.9394003008286382E18</v>
      </c>
      <c r="E1991" s="9" t="str">
        <f>IFERROR(__xludf.DUMMYFUNCTION("""COMPUTED_VALUE"""),""",")</f>
        <v>",</v>
      </c>
    </row>
    <row r="1992">
      <c r="A1992" s="9" t="str">
        <f>IFERROR(__xludf.DUMMYFUNCTION("""COMPUTED_VALUE"""),"""")</f>
        <v>"</v>
      </c>
      <c r="B1992" s="9" t="s">
        <v>2001</v>
      </c>
      <c r="C1992" s="9" t="str">
        <f>IFERROR(__xludf.DUMMYFUNCTION("""COMPUTED_VALUE"""),""":""")</f>
        <v>":"</v>
      </c>
      <c r="D1992" s="24">
        <v>1.0642987364666194E20</v>
      </c>
      <c r="E1992" s="9" t="str">
        <f>IFERROR(__xludf.DUMMYFUNCTION("""COMPUTED_VALUE"""),""",")</f>
        <v>",</v>
      </c>
    </row>
    <row r="1993">
      <c r="A1993" s="9" t="str">
        <f>IFERROR(__xludf.DUMMYFUNCTION("""COMPUTED_VALUE"""),"""")</f>
        <v>"</v>
      </c>
      <c r="B1993" s="9" t="s">
        <v>2002</v>
      </c>
      <c r="C1993" s="9" t="str">
        <f>IFERROR(__xludf.DUMMYFUNCTION("""COMPUTED_VALUE"""),""":""")</f>
        <v>":"</v>
      </c>
      <c r="D1993" s="24">
        <v>2.0248888511809958E19</v>
      </c>
      <c r="E1993" s="9" t="str">
        <f>IFERROR(__xludf.DUMMYFUNCTION("""COMPUTED_VALUE"""),""",")</f>
        <v>",</v>
      </c>
    </row>
    <row r="1994">
      <c r="A1994" s="9" t="str">
        <f>IFERROR(__xludf.DUMMYFUNCTION("""COMPUTED_VALUE"""),"""")</f>
        <v>"</v>
      </c>
      <c r="B1994" s="9" t="s">
        <v>2003</v>
      </c>
      <c r="C1994" s="9" t="str">
        <f>IFERROR(__xludf.DUMMYFUNCTION("""COMPUTED_VALUE"""),""":""")</f>
        <v>":"</v>
      </c>
      <c r="D1994" s="24">
        <v>6.2005979458241782E18</v>
      </c>
      <c r="E1994" s="9" t="str">
        <f>IFERROR(__xludf.DUMMYFUNCTION("""COMPUTED_VALUE"""),""",")</f>
        <v>",</v>
      </c>
    </row>
    <row r="1995">
      <c r="A1995" s="9" t="str">
        <f>IFERROR(__xludf.DUMMYFUNCTION("""COMPUTED_VALUE"""),"""")</f>
        <v>"</v>
      </c>
      <c r="B1995" s="9" t="s">
        <v>2004</v>
      </c>
      <c r="C1995" s="9" t="str">
        <f>IFERROR(__xludf.DUMMYFUNCTION("""COMPUTED_VALUE"""),""":""")</f>
        <v>":"</v>
      </c>
      <c r="D1995" s="24">
        <v>2.0248888511809958E19</v>
      </c>
      <c r="E1995" s="9" t="str">
        <f>IFERROR(__xludf.DUMMYFUNCTION("""COMPUTED_VALUE"""),""",")</f>
        <v>",</v>
      </c>
    </row>
    <row r="1996">
      <c r="A1996" s="9" t="str">
        <f>IFERROR(__xludf.DUMMYFUNCTION("""COMPUTED_VALUE"""),"""")</f>
        <v>"</v>
      </c>
      <c r="B1996" s="9" t="s">
        <v>2005</v>
      </c>
      <c r="C1996" s="9" t="str">
        <f>IFERROR(__xludf.DUMMYFUNCTION("""COMPUTED_VALUE"""),""":""")</f>
        <v>":"</v>
      </c>
      <c r="D1996" s="24">
        <v>3.9454610832012001E18</v>
      </c>
      <c r="E1996" s="9" t="str">
        <f>IFERROR(__xludf.DUMMYFUNCTION("""COMPUTED_VALUE"""),""",")</f>
        <v>",</v>
      </c>
    </row>
    <row r="1997">
      <c r="A1997" s="9" t="str">
        <f>IFERROR(__xludf.DUMMYFUNCTION("""COMPUTED_VALUE"""),"""")</f>
        <v>"</v>
      </c>
      <c r="B1997" s="9" t="s">
        <v>2006</v>
      </c>
      <c r="C1997" s="9" t="str">
        <f>IFERROR(__xludf.DUMMYFUNCTION("""COMPUTED_VALUE"""),""":""")</f>
        <v>":"</v>
      </c>
      <c r="D1997" s="24">
        <v>6.2005979458241782E18</v>
      </c>
      <c r="E1997" s="9" t="str">
        <f>IFERROR(__xludf.DUMMYFUNCTION("""COMPUTED_VALUE"""),""",")</f>
        <v>",</v>
      </c>
    </row>
    <row r="1998">
      <c r="A1998" s="9" t="str">
        <f>IFERROR(__xludf.DUMMYFUNCTION("""COMPUTED_VALUE"""),"""")</f>
        <v>"</v>
      </c>
      <c r="B1998" s="9" t="s">
        <v>2007</v>
      </c>
      <c r="C1998" s="9" t="str">
        <f>IFERROR(__xludf.DUMMYFUNCTION("""COMPUTED_VALUE"""),""":""")</f>
        <v>":"</v>
      </c>
      <c r="D1998" s="24">
        <v>1.0437278063522533E19</v>
      </c>
      <c r="E1998" s="9" t="str">
        <f>IFERROR(__xludf.DUMMYFUNCTION("""COMPUTED_VALUE"""),""",")</f>
        <v>",</v>
      </c>
    </row>
    <row r="1999">
      <c r="A1999" s="9" t="str">
        <f>IFERROR(__xludf.DUMMYFUNCTION("""COMPUTED_VALUE"""),"""")</f>
        <v>"</v>
      </c>
      <c r="B1999" s="9" t="s">
        <v>2008</v>
      </c>
      <c r="C1999" s="9" t="str">
        <f>IFERROR(__xludf.DUMMYFUNCTION("""COMPUTED_VALUE"""),""":""")</f>
        <v>":"</v>
      </c>
      <c r="D1999" s="24">
        <v>6.2005979458241782E18</v>
      </c>
      <c r="E1999" s="9" t="str">
        <f>IFERROR(__xludf.DUMMYFUNCTION("""COMPUTED_VALUE"""),""",")</f>
        <v>",</v>
      </c>
    </row>
    <row r="2000">
      <c r="A2000" s="9" t="str">
        <f>IFERROR(__xludf.DUMMYFUNCTION("""COMPUTED_VALUE"""),"""")</f>
        <v>"</v>
      </c>
      <c r="B2000" s="9" t="s">
        <v>2009</v>
      </c>
      <c r="C2000" s="9" t="str">
        <f>IFERROR(__xludf.DUMMYFUNCTION("""COMPUTED_VALUE"""),""":""")</f>
        <v>":"</v>
      </c>
      <c r="D2000" s="24">
        <v>2.0248888511809958E19</v>
      </c>
      <c r="E2000" s="9" t="str">
        <f>IFERROR(__xludf.DUMMYFUNCTION("""COMPUTED_VALUE"""),""",")</f>
        <v>",</v>
      </c>
    </row>
    <row r="2001">
      <c r="A2001" s="9" t="str">
        <f>IFERROR(__xludf.DUMMYFUNCTION("""COMPUTED_VALUE"""),"""")</f>
        <v>"</v>
      </c>
      <c r="B2001" s="9" t="s">
        <v>2010</v>
      </c>
      <c r="C2001" s="9" t="str">
        <f>IFERROR(__xludf.DUMMYFUNCTION("""COMPUTED_VALUE"""),""":""")</f>
        <v>":"</v>
      </c>
      <c r="D2001" s="24">
        <v>6.2054598526554941E18</v>
      </c>
      <c r="E2001" s="9" t="str">
        <f>IFERROR(__xludf.DUMMYFUNCTION("""COMPUTED_VALUE"""),""",")</f>
        <v>",</v>
      </c>
    </row>
    <row r="2002">
      <c r="A2002" s="9" t="str">
        <f>IFERROR(__xludf.DUMMYFUNCTION("""COMPUTED_VALUE"""),"""")</f>
        <v>"</v>
      </c>
      <c r="B2002" s="9" t="s">
        <v>2011</v>
      </c>
      <c r="C2002" s="9" t="str">
        <f>IFERROR(__xludf.DUMMYFUNCTION("""COMPUTED_VALUE"""),""":""")</f>
        <v>":"</v>
      </c>
      <c r="D2002" s="24">
        <v>6.2005979458241782E18</v>
      </c>
      <c r="E2002" s="9" t="str">
        <f>IFERROR(__xludf.DUMMYFUNCTION("""COMPUTED_VALUE"""),""",")</f>
        <v>",</v>
      </c>
    </row>
    <row r="2003">
      <c r="A2003" s="9" t="str">
        <f>IFERROR(__xludf.DUMMYFUNCTION("""COMPUTED_VALUE"""),"""")</f>
        <v>"</v>
      </c>
      <c r="B2003" s="9" t="s">
        <v>2012</v>
      </c>
      <c r="C2003" s="9" t="str">
        <f>IFERROR(__xludf.DUMMYFUNCTION("""COMPUTED_VALUE"""),""":""")</f>
        <v>":"</v>
      </c>
      <c r="D2003" s="24">
        <v>6.2005979458241782E18</v>
      </c>
      <c r="E2003" s="9" t="str">
        <f>IFERROR(__xludf.DUMMYFUNCTION("""COMPUTED_VALUE"""),""",")</f>
        <v>",</v>
      </c>
    </row>
    <row r="2004">
      <c r="A2004" s="9" t="str">
        <f>IFERROR(__xludf.DUMMYFUNCTION("""COMPUTED_VALUE"""),"""")</f>
        <v>"</v>
      </c>
      <c r="B2004" s="9" t="s">
        <v>2013</v>
      </c>
      <c r="C2004" s="9" t="str">
        <f>IFERROR(__xludf.DUMMYFUNCTION("""COMPUTED_VALUE"""),""":""")</f>
        <v>":"</v>
      </c>
      <c r="D2004" s="24">
        <v>6.2005979458241782E18</v>
      </c>
      <c r="E2004" s="9" t="str">
        <f>IFERROR(__xludf.DUMMYFUNCTION("""COMPUTED_VALUE"""),""",")</f>
        <v>",</v>
      </c>
    </row>
    <row r="2005">
      <c r="A2005" s="9" t="str">
        <f>IFERROR(__xludf.DUMMYFUNCTION("""COMPUTED_VALUE"""),"""")</f>
        <v>"</v>
      </c>
      <c r="B2005" s="9" t="s">
        <v>2014</v>
      </c>
      <c r="C2005" s="9" t="str">
        <f>IFERROR(__xludf.DUMMYFUNCTION("""COMPUTED_VALUE"""),""":""")</f>
        <v>":"</v>
      </c>
      <c r="D2005" s="24">
        <v>2.759965201012826E19</v>
      </c>
      <c r="E2005" s="9" t="str">
        <f>IFERROR(__xludf.DUMMYFUNCTION("""COMPUTED_VALUE"""),""",")</f>
        <v>",</v>
      </c>
    </row>
    <row r="2006">
      <c r="A2006" s="9" t="str">
        <f>IFERROR(__xludf.DUMMYFUNCTION("""COMPUTED_VALUE"""),"""")</f>
        <v>"</v>
      </c>
      <c r="B2006" s="9" t="s">
        <v>2015</v>
      </c>
      <c r="C2006" s="9" t="str">
        <f>IFERROR(__xludf.DUMMYFUNCTION("""COMPUTED_VALUE"""),""":""")</f>
        <v>":"</v>
      </c>
      <c r="D2006" s="24">
        <v>2.0335368082378404E19</v>
      </c>
      <c r="E2006" s="9" t="str">
        <f>IFERROR(__xludf.DUMMYFUNCTION("""COMPUTED_VALUE"""),""",")</f>
        <v>",</v>
      </c>
    </row>
    <row r="2007">
      <c r="A2007" s="9" t="str">
        <f>IFERROR(__xludf.DUMMYFUNCTION("""COMPUTED_VALUE"""),"""")</f>
        <v>"</v>
      </c>
      <c r="B2007" s="9" t="s">
        <v>2016</v>
      </c>
      <c r="C2007" s="9" t="str">
        <f>IFERROR(__xludf.DUMMYFUNCTION("""COMPUTED_VALUE"""),""":""")</f>
        <v>":"</v>
      </c>
      <c r="D2007" s="24">
        <v>1.45210830895974912E18</v>
      </c>
      <c r="E2007" s="9" t="str">
        <f>IFERROR(__xludf.DUMMYFUNCTION("""COMPUTED_VALUE"""),""",")</f>
        <v>",</v>
      </c>
    </row>
    <row r="2008">
      <c r="A2008" s="9" t="str">
        <f>IFERROR(__xludf.DUMMYFUNCTION("""COMPUTED_VALUE"""),"""")</f>
        <v>"</v>
      </c>
      <c r="B2008" s="9" t="s">
        <v>2017</v>
      </c>
      <c r="C2008" s="9" t="str">
        <f>IFERROR(__xludf.DUMMYFUNCTION("""COMPUTED_VALUE"""),""":""")</f>
        <v>":"</v>
      </c>
      <c r="D2008" s="24">
        <v>2.0248888511809958E19</v>
      </c>
      <c r="E2008" s="9" t="str">
        <f>IFERROR(__xludf.DUMMYFUNCTION("""COMPUTED_VALUE"""),""",")</f>
        <v>",</v>
      </c>
    </row>
    <row r="2009">
      <c r="A2009" s="9" t="str">
        <f>IFERROR(__xludf.DUMMYFUNCTION("""COMPUTED_VALUE"""),"""")</f>
        <v>"</v>
      </c>
      <c r="B2009" s="9" t="s">
        <v>2018</v>
      </c>
      <c r="C2009" s="9" t="str">
        <f>IFERROR(__xludf.DUMMYFUNCTION("""COMPUTED_VALUE"""),""":""")</f>
        <v>":"</v>
      </c>
      <c r="D2009" s="24">
        <v>3.2113091712660444E18</v>
      </c>
      <c r="E2009" s="9" t="str">
        <f>IFERROR(__xludf.DUMMYFUNCTION("""COMPUTED_VALUE"""),""",")</f>
        <v>",</v>
      </c>
    </row>
    <row r="2010">
      <c r="A2010" s="9" t="str">
        <f>IFERROR(__xludf.DUMMYFUNCTION("""COMPUTED_VALUE"""),"""")</f>
        <v>"</v>
      </c>
      <c r="B2010" s="9" t="s">
        <v>2019</v>
      </c>
      <c r="C2010" s="9" t="str">
        <f>IFERROR(__xludf.DUMMYFUNCTION("""COMPUTED_VALUE"""),""":""")</f>
        <v>":"</v>
      </c>
      <c r="D2010" s="24">
        <v>2.0248888511809958E19</v>
      </c>
      <c r="E2010" s="9" t="str">
        <f>IFERROR(__xludf.DUMMYFUNCTION("""COMPUTED_VALUE"""),""",")</f>
        <v>",</v>
      </c>
    </row>
    <row r="2011">
      <c r="A2011" s="9" t="str">
        <f>IFERROR(__xludf.DUMMYFUNCTION("""COMPUTED_VALUE"""),"""")</f>
        <v>"</v>
      </c>
      <c r="B2011" s="9" t="s">
        <v>2020</v>
      </c>
      <c r="C2011" s="9" t="str">
        <f>IFERROR(__xludf.DUMMYFUNCTION("""COMPUTED_VALUE"""),""":""")</f>
        <v>":"</v>
      </c>
      <c r="D2011" s="24">
        <v>2.024975330751564E19</v>
      </c>
      <c r="E2011" s="9" t="str">
        <f>IFERROR(__xludf.DUMMYFUNCTION("""COMPUTED_VALUE"""),""",")</f>
        <v>",</v>
      </c>
    </row>
    <row r="2012">
      <c r="A2012" s="9" t="str">
        <f>IFERROR(__xludf.DUMMYFUNCTION("""COMPUTED_VALUE"""),"""")</f>
        <v>"</v>
      </c>
      <c r="B2012" s="9" t="s">
        <v>2021</v>
      </c>
      <c r="C2012" s="9" t="str">
        <f>IFERROR(__xludf.DUMMYFUNCTION("""COMPUTED_VALUE"""),""":""")</f>
        <v>":"</v>
      </c>
      <c r="D2012" s="24">
        <v>6.2005979458241782E18</v>
      </c>
      <c r="E2012" s="9" t="str">
        <f>IFERROR(__xludf.DUMMYFUNCTION("""COMPUTED_VALUE"""),""",")</f>
        <v>",</v>
      </c>
    </row>
    <row r="2013">
      <c r="A2013" s="9" t="str">
        <f>IFERROR(__xludf.DUMMYFUNCTION("""COMPUTED_VALUE"""),"""")</f>
        <v>"</v>
      </c>
      <c r="B2013" s="9" t="s">
        <v>2022</v>
      </c>
      <c r="C2013" s="9" t="str">
        <f>IFERROR(__xludf.DUMMYFUNCTION("""COMPUTED_VALUE"""),""":""")</f>
        <v>":"</v>
      </c>
      <c r="D2013" s="24">
        <v>2.6388938022169952E19</v>
      </c>
      <c r="E2013" s="9" t="str">
        <f>IFERROR(__xludf.DUMMYFUNCTION("""COMPUTED_VALUE"""),""",")</f>
        <v>",</v>
      </c>
    </row>
    <row r="2014">
      <c r="A2014" s="9" t="str">
        <f>IFERROR(__xludf.DUMMYFUNCTION("""COMPUTED_VALUE"""),"""")</f>
        <v>"</v>
      </c>
      <c r="B2014" s="9" t="s">
        <v>2023</v>
      </c>
      <c r="C2014" s="9" t="str">
        <f>IFERROR(__xludf.DUMMYFUNCTION("""COMPUTED_VALUE"""),""":""")</f>
        <v>":"</v>
      </c>
      <c r="D2014" s="24">
        <v>2.118443179016884E19</v>
      </c>
      <c r="E2014" s="9" t="str">
        <f>IFERROR(__xludf.DUMMYFUNCTION("""COMPUTED_VALUE"""),""",")</f>
        <v>",</v>
      </c>
    </row>
    <row r="2015">
      <c r="A2015" s="9" t="str">
        <f>IFERROR(__xludf.DUMMYFUNCTION("""COMPUTED_VALUE"""),"""")</f>
        <v>"</v>
      </c>
      <c r="B2015" s="9" t="s">
        <v>2024</v>
      </c>
      <c r="C2015" s="9" t="str">
        <f>IFERROR(__xludf.DUMMYFUNCTION("""COMPUTED_VALUE"""),""":""")</f>
        <v>":"</v>
      </c>
      <c r="D2015" s="24">
        <v>2.08143534914431565E18</v>
      </c>
      <c r="E2015" s="9" t="str">
        <f>IFERROR(__xludf.DUMMYFUNCTION("""COMPUTED_VALUE"""),""",")</f>
        <v>",</v>
      </c>
    </row>
    <row r="2016">
      <c r="A2016" s="9" t="str">
        <f>IFERROR(__xludf.DUMMYFUNCTION("""COMPUTED_VALUE"""),"""")</f>
        <v>"</v>
      </c>
      <c r="B2016" s="9" t="s">
        <v>2025</v>
      </c>
      <c r="C2016" s="9" t="str">
        <f>IFERROR(__xludf.DUMMYFUNCTION("""COMPUTED_VALUE"""),""":""")</f>
        <v>":"</v>
      </c>
      <c r="D2016" s="24">
        <v>4.9072371387307776E18</v>
      </c>
      <c r="E2016" s="9" t="str">
        <f>IFERROR(__xludf.DUMMYFUNCTION("""COMPUTED_VALUE"""),""",")</f>
        <v>",</v>
      </c>
    </row>
    <row r="2017">
      <c r="A2017" s="9" t="str">
        <f>IFERROR(__xludf.DUMMYFUNCTION("""COMPUTED_VALUE"""),"""")</f>
        <v>"</v>
      </c>
      <c r="B2017" s="9" t="s">
        <v>2026</v>
      </c>
      <c r="C2017" s="9" t="str">
        <f>IFERROR(__xludf.DUMMYFUNCTION("""COMPUTED_VALUE"""),""":""")</f>
        <v>":"</v>
      </c>
      <c r="D2017" s="24">
        <v>6.2005979458241782E18</v>
      </c>
      <c r="E2017" s="9" t="str">
        <f>IFERROR(__xludf.DUMMYFUNCTION("""COMPUTED_VALUE"""),""",")</f>
        <v>",</v>
      </c>
    </row>
    <row r="2018">
      <c r="A2018" s="9" t="str">
        <f>IFERROR(__xludf.DUMMYFUNCTION("""COMPUTED_VALUE"""),"""")</f>
        <v>"</v>
      </c>
      <c r="B2018" s="9" t="s">
        <v>2027</v>
      </c>
      <c r="C2018" s="9" t="str">
        <f>IFERROR(__xludf.DUMMYFUNCTION("""COMPUTED_VALUE"""),""":""")</f>
        <v>":"</v>
      </c>
      <c r="D2018" s="24">
        <v>6.2005979458241782E18</v>
      </c>
      <c r="E2018" s="9" t="str">
        <f>IFERROR(__xludf.DUMMYFUNCTION("""COMPUTED_VALUE"""),""",")</f>
        <v>",</v>
      </c>
    </row>
    <row r="2019">
      <c r="A2019" s="9" t="str">
        <f>IFERROR(__xludf.DUMMYFUNCTION("""COMPUTED_VALUE"""),"""")</f>
        <v>"</v>
      </c>
      <c r="B2019" s="9" t="s">
        <v>2028</v>
      </c>
      <c r="C2019" s="9" t="str">
        <f>IFERROR(__xludf.DUMMYFUNCTION("""COMPUTED_VALUE"""),""":""")</f>
        <v>":"</v>
      </c>
      <c r="D2019" s="24">
        <v>2.0248888511809958E19</v>
      </c>
      <c r="E2019" s="9" t="str">
        <f>IFERROR(__xludf.DUMMYFUNCTION("""COMPUTED_VALUE"""),""",")</f>
        <v>",</v>
      </c>
    </row>
    <row r="2020">
      <c r="A2020" s="9" t="str">
        <f>IFERROR(__xludf.DUMMYFUNCTION("""COMPUTED_VALUE"""),"""")</f>
        <v>"</v>
      </c>
      <c r="B2020" s="9" t="s">
        <v>2029</v>
      </c>
      <c r="C2020" s="9" t="str">
        <f>IFERROR(__xludf.DUMMYFUNCTION("""COMPUTED_VALUE"""),""":""")</f>
        <v>":"</v>
      </c>
      <c r="D2020" s="24">
        <v>2.7511042471034315E19</v>
      </c>
      <c r="E2020" s="9" t="str">
        <f>IFERROR(__xludf.DUMMYFUNCTION("""COMPUTED_VALUE"""),""",")</f>
        <v>",</v>
      </c>
    </row>
    <row r="2021">
      <c r="A2021" s="9" t="str">
        <f>IFERROR(__xludf.DUMMYFUNCTION("""COMPUTED_VALUE"""),"""")</f>
        <v>"</v>
      </c>
      <c r="B2021" s="9" t="s">
        <v>2030</v>
      </c>
      <c r="C2021" s="9" t="str">
        <f>IFERROR(__xludf.DUMMYFUNCTION("""COMPUTED_VALUE"""),""":""")</f>
        <v>":"</v>
      </c>
      <c r="D2021" s="24">
        <v>2.0248888511809958E19</v>
      </c>
      <c r="E2021" s="9" t="str">
        <f>IFERROR(__xludf.DUMMYFUNCTION("""COMPUTED_VALUE"""),""",")</f>
        <v>",</v>
      </c>
    </row>
    <row r="2022">
      <c r="A2022" s="9" t="str">
        <f>IFERROR(__xludf.DUMMYFUNCTION("""COMPUTED_VALUE"""),"""")</f>
        <v>"</v>
      </c>
      <c r="B2022" s="9" t="s">
        <v>2031</v>
      </c>
      <c r="C2022" s="9" t="str">
        <f>IFERROR(__xludf.DUMMYFUNCTION("""COMPUTED_VALUE"""),""":""")</f>
        <v>":"</v>
      </c>
      <c r="D2022" s="24">
        <v>2.0248888511809958E19</v>
      </c>
      <c r="E2022" s="9" t="str">
        <f>IFERROR(__xludf.DUMMYFUNCTION("""COMPUTED_VALUE"""),""",")</f>
        <v>",</v>
      </c>
    </row>
    <row r="2023">
      <c r="A2023" s="9" t="str">
        <f>IFERROR(__xludf.DUMMYFUNCTION("""COMPUTED_VALUE"""),"""")</f>
        <v>"</v>
      </c>
      <c r="B2023" s="9" t="s">
        <v>2032</v>
      </c>
      <c r="C2023" s="9" t="str">
        <f>IFERROR(__xludf.DUMMYFUNCTION("""COMPUTED_VALUE"""),""":""")</f>
        <v>":"</v>
      </c>
      <c r="D2023" s="24">
        <v>2.0248888511809958E19</v>
      </c>
      <c r="E2023" s="9" t="str">
        <f>IFERROR(__xludf.DUMMYFUNCTION("""COMPUTED_VALUE"""),""",")</f>
        <v>",</v>
      </c>
    </row>
    <row r="2024">
      <c r="A2024" s="9" t="str">
        <f>IFERROR(__xludf.DUMMYFUNCTION("""COMPUTED_VALUE"""),"""")</f>
        <v>"</v>
      </c>
      <c r="B2024" s="9" t="s">
        <v>2033</v>
      </c>
      <c r="C2024" s="9" t="str">
        <f>IFERROR(__xludf.DUMMYFUNCTION("""COMPUTED_VALUE"""),""":""")</f>
        <v>":"</v>
      </c>
      <c r="D2024" s="24">
        <v>1.6792894706129535E19</v>
      </c>
      <c r="E2024" s="9" t="str">
        <f>IFERROR(__xludf.DUMMYFUNCTION("""COMPUTED_VALUE"""),""",")</f>
        <v>",</v>
      </c>
    </row>
    <row r="2025">
      <c r="A2025" s="9" t="str">
        <f>IFERROR(__xludf.DUMMYFUNCTION("""COMPUTED_VALUE"""),"""")</f>
        <v>"</v>
      </c>
      <c r="B2025" s="9" t="s">
        <v>2034</v>
      </c>
      <c r="C2025" s="9" t="str">
        <f>IFERROR(__xludf.DUMMYFUNCTION("""COMPUTED_VALUE"""),""":""")</f>
        <v>":"</v>
      </c>
      <c r="D2025" s="24">
        <v>2.0248888511809958E19</v>
      </c>
      <c r="E2025" s="9" t="str">
        <f>IFERROR(__xludf.DUMMYFUNCTION("""COMPUTED_VALUE"""),""",")</f>
        <v>",</v>
      </c>
    </row>
    <row r="2026">
      <c r="A2026" s="9" t="str">
        <f>IFERROR(__xludf.DUMMYFUNCTION("""COMPUTED_VALUE"""),"""")</f>
        <v>"</v>
      </c>
      <c r="B2026" s="9" t="s">
        <v>2035</v>
      </c>
      <c r="C2026" s="9" t="str">
        <f>IFERROR(__xludf.DUMMYFUNCTION("""COMPUTED_VALUE"""),""":""")</f>
        <v>":"</v>
      </c>
      <c r="D2026" s="24">
        <v>6.2005979458241782E18</v>
      </c>
      <c r="E2026" s="9" t="str">
        <f>IFERROR(__xludf.DUMMYFUNCTION("""COMPUTED_VALUE"""),""",")</f>
        <v>",</v>
      </c>
    </row>
    <row r="2027">
      <c r="A2027" s="9" t="str">
        <f>IFERROR(__xludf.DUMMYFUNCTION("""COMPUTED_VALUE"""),"""")</f>
        <v>"</v>
      </c>
      <c r="B2027" s="9" t="s">
        <v>2036</v>
      </c>
      <c r="C2027" s="9" t="str">
        <f>IFERROR(__xludf.DUMMYFUNCTION("""COMPUTED_VALUE"""),""":""")</f>
        <v>":"</v>
      </c>
      <c r="D2027" s="24">
        <v>5.5733599170064005E18</v>
      </c>
      <c r="E2027" s="9" t="str">
        <f>IFERROR(__xludf.DUMMYFUNCTION("""COMPUTED_VALUE"""),""",")</f>
        <v>",</v>
      </c>
    </row>
    <row r="2028">
      <c r="A2028" s="9" t="str">
        <f>IFERROR(__xludf.DUMMYFUNCTION("""COMPUTED_VALUE"""),"""")</f>
        <v>"</v>
      </c>
      <c r="B2028" s="9" t="s">
        <v>2037</v>
      </c>
      <c r="C2028" s="9" t="str">
        <f>IFERROR(__xludf.DUMMYFUNCTION("""COMPUTED_VALUE"""),""":""")</f>
        <v>":"</v>
      </c>
      <c r="D2028" s="24">
        <v>2.0248888511809958E19</v>
      </c>
      <c r="E2028" s="9" t="str">
        <f>IFERROR(__xludf.DUMMYFUNCTION("""COMPUTED_VALUE"""),""",")</f>
        <v>",</v>
      </c>
    </row>
    <row r="2029">
      <c r="A2029" s="9" t="str">
        <f>IFERROR(__xludf.DUMMYFUNCTION("""COMPUTED_VALUE"""),"""")</f>
        <v>"</v>
      </c>
      <c r="B2029" s="9" t="s">
        <v>2038</v>
      </c>
      <c r="C2029" s="9" t="str">
        <f>IFERROR(__xludf.DUMMYFUNCTION("""COMPUTED_VALUE"""),""":""")</f>
        <v>":"</v>
      </c>
      <c r="D2029" s="24">
        <v>4.066029219523796E19</v>
      </c>
      <c r="E2029" s="9" t="str">
        <f>IFERROR(__xludf.DUMMYFUNCTION("""COMPUTED_VALUE"""),""",")</f>
        <v>",</v>
      </c>
    </row>
    <row r="2030">
      <c r="A2030" s="9" t="str">
        <f>IFERROR(__xludf.DUMMYFUNCTION("""COMPUTED_VALUE"""),"""")</f>
        <v>"</v>
      </c>
      <c r="B2030" s="9" t="s">
        <v>2039</v>
      </c>
      <c r="C2030" s="9" t="str">
        <f>IFERROR(__xludf.DUMMYFUNCTION("""COMPUTED_VALUE"""),""":""")</f>
        <v>":"</v>
      </c>
      <c r="D2030" s="24">
        <v>6.6329957986664315E18</v>
      </c>
      <c r="E2030" s="9" t="str">
        <f>IFERROR(__xludf.DUMMYFUNCTION("""COMPUTED_VALUE"""),""",")</f>
        <v>",</v>
      </c>
    </row>
    <row r="2031">
      <c r="A2031" s="9" t="str">
        <f>IFERROR(__xludf.DUMMYFUNCTION("""COMPUTED_VALUE"""),"""")</f>
        <v>"</v>
      </c>
      <c r="B2031" s="9" t="s">
        <v>2040</v>
      </c>
      <c r="C2031" s="9" t="str">
        <f>IFERROR(__xludf.DUMMYFUNCTION("""COMPUTED_VALUE"""),""":""")</f>
        <v>":"</v>
      </c>
      <c r="D2031" s="24">
        <v>6.2005979458241782E18</v>
      </c>
      <c r="E2031" s="9" t="str">
        <f>IFERROR(__xludf.DUMMYFUNCTION("""COMPUTED_VALUE"""),""",")</f>
        <v>",</v>
      </c>
    </row>
    <row r="2032">
      <c r="A2032" s="9" t="str">
        <f>IFERROR(__xludf.DUMMYFUNCTION("""COMPUTED_VALUE"""),"""")</f>
        <v>"</v>
      </c>
      <c r="B2032" s="9" t="s">
        <v>2041</v>
      </c>
      <c r="C2032" s="9" t="str">
        <f>IFERROR(__xludf.DUMMYFUNCTION("""COMPUTED_VALUE"""),""":""")</f>
        <v>":"</v>
      </c>
      <c r="D2032" s="24">
        <v>2.28883107948906E19</v>
      </c>
      <c r="E2032" s="9" t="str">
        <f>IFERROR(__xludf.DUMMYFUNCTION("""COMPUTED_VALUE"""),""",")</f>
        <v>",</v>
      </c>
    </row>
    <row r="2033">
      <c r="A2033" s="9" t="str">
        <f>IFERROR(__xludf.DUMMYFUNCTION("""COMPUTED_VALUE"""),"""")</f>
        <v>"</v>
      </c>
      <c r="B2033" s="9" t="s">
        <v>2042</v>
      </c>
      <c r="C2033" s="9" t="str">
        <f>IFERROR(__xludf.DUMMYFUNCTION("""COMPUTED_VALUE"""),""":""")</f>
        <v>":"</v>
      </c>
      <c r="D2033" s="24">
        <v>6.2005979458241782E18</v>
      </c>
      <c r="E2033" s="9" t="str">
        <f>IFERROR(__xludf.DUMMYFUNCTION("""COMPUTED_VALUE"""),""",")</f>
        <v>",</v>
      </c>
    </row>
    <row r="2034">
      <c r="A2034" s="9" t="str">
        <f>IFERROR(__xludf.DUMMYFUNCTION("""COMPUTED_VALUE"""),"""")</f>
        <v>"</v>
      </c>
      <c r="B2034" s="9" t="s">
        <v>2043</v>
      </c>
      <c r="C2034" s="9" t="str">
        <f>IFERROR(__xludf.DUMMYFUNCTION("""COMPUTED_VALUE"""),""":""")</f>
        <v>":"</v>
      </c>
      <c r="D2034" s="24">
        <v>2.2843275628863468E19</v>
      </c>
      <c r="E2034" s="9" t="str">
        <f>IFERROR(__xludf.DUMMYFUNCTION("""COMPUTED_VALUE"""),""",")</f>
        <v>",</v>
      </c>
    </row>
    <row r="2035">
      <c r="A2035" s="9" t="str">
        <f>IFERROR(__xludf.DUMMYFUNCTION("""COMPUTED_VALUE"""),"""")</f>
        <v>"</v>
      </c>
      <c r="B2035" s="9" t="s">
        <v>2044</v>
      </c>
      <c r="C2035" s="9" t="str">
        <f>IFERROR(__xludf.DUMMYFUNCTION("""COMPUTED_VALUE"""),""":""")</f>
        <v>":"</v>
      </c>
      <c r="D2035" s="24">
        <v>3.0194039127181804E19</v>
      </c>
      <c r="E2035" s="9" t="str">
        <f>IFERROR(__xludf.DUMMYFUNCTION("""COMPUTED_VALUE"""),""",")</f>
        <v>",</v>
      </c>
    </row>
    <row r="2036">
      <c r="A2036" s="9" t="str">
        <f>IFERROR(__xludf.DUMMYFUNCTION("""COMPUTED_VALUE"""),"""")</f>
        <v>"</v>
      </c>
      <c r="B2036" s="9" t="s">
        <v>2045</v>
      </c>
      <c r="C2036" s="9" t="str">
        <f>IFERROR(__xludf.DUMMYFUNCTION("""COMPUTED_VALUE"""),""":""")</f>
        <v>":"</v>
      </c>
      <c r="D2036" s="24">
        <v>6.2005979458241782E18</v>
      </c>
      <c r="E2036" s="9" t="str">
        <f>IFERROR(__xludf.DUMMYFUNCTION("""COMPUTED_VALUE"""),""",")</f>
        <v>",</v>
      </c>
    </row>
    <row r="2037">
      <c r="A2037" s="9" t="str">
        <f>IFERROR(__xludf.DUMMYFUNCTION("""COMPUTED_VALUE"""),"""")</f>
        <v>"</v>
      </c>
      <c r="B2037" s="9" t="s">
        <v>2046</v>
      </c>
      <c r="C2037" s="9" t="str">
        <f>IFERROR(__xludf.DUMMYFUNCTION("""COMPUTED_VALUE"""),""":""")</f>
        <v>":"</v>
      </c>
      <c r="D2037" s="24">
        <v>2.198206204980428E19</v>
      </c>
      <c r="E2037" s="9" t="str">
        <f>IFERROR(__xludf.DUMMYFUNCTION("""COMPUTED_VALUE"""),""",")</f>
        <v>",</v>
      </c>
    </row>
    <row r="2038">
      <c r="A2038" s="9" t="str">
        <f>IFERROR(__xludf.DUMMYFUNCTION("""COMPUTED_VALUE"""),"""")</f>
        <v>"</v>
      </c>
      <c r="B2038" s="9" t="s">
        <v>2047</v>
      </c>
      <c r="C2038" s="9" t="str">
        <f>IFERROR(__xludf.DUMMYFUNCTION("""COMPUTED_VALUE"""),""":""")</f>
        <v>":"</v>
      </c>
      <c r="D2038" s="24">
        <v>2.2130948126043005E19</v>
      </c>
      <c r="E2038" s="9" t="str">
        <f>IFERROR(__xludf.DUMMYFUNCTION("""COMPUTED_VALUE"""),""",")</f>
        <v>",</v>
      </c>
    </row>
    <row r="2039">
      <c r="A2039" s="9" t="str">
        <f>IFERROR(__xludf.DUMMYFUNCTION("""COMPUTED_VALUE"""),"""")</f>
        <v>"</v>
      </c>
      <c r="B2039" s="9" t="s">
        <v>2048</v>
      </c>
      <c r="C2039" s="9" t="str">
        <f>IFERROR(__xludf.DUMMYFUNCTION("""COMPUTED_VALUE"""),""":""")</f>
        <v>":"</v>
      </c>
      <c r="D2039" s="24">
        <v>2.0315292193066213E19</v>
      </c>
      <c r="E2039" s="9" t="str">
        <f>IFERROR(__xludf.DUMMYFUNCTION("""COMPUTED_VALUE"""),""",")</f>
        <v>",</v>
      </c>
    </row>
    <row r="2040">
      <c r="A2040" s="9" t="str">
        <f>IFERROR(__xludf.DUMMYFUNCTION("""COMPUTED_VALUE"""),"""")</f>
        <v>"</v>
      </c>
      <c r="B2040" s="9" t="s">
        <v>2049</v>
      </c>
      <c r="C2040" s="9" t="str">
        <f>IFERROR(__xludf.DUMMYFUNCTION("""COMPUTED_VALUE"""),""":""")</f>
        <v>":"</v>
      </c>
      <c r="D2040" s="24">
        <v>6.2005979458241782E18</v>
      </c>
      <c r="E2040" s="9" t="str">
        <f>IFERROR(__xludf.DUMMYFUNCTION("""COMPUTED_VALUE"""),""",")</f>
        <v>",</v>
      </c>
    </row>
    <row r="2041">
      <c r="A2041" s="9" t="str">
        <f>IFERROR(__xludf.DUMMYFUNCTION("""COMPUTED_VALUE"""),"""")</f>
        <v>"</v>
      </c>
      <c r="B2041" s="9" t="s">
        <v>2050</v>
      </c>
      <c r="C2041" s="9" t="str">
        <f>IFERROR(__xludf.DUMMYFUNCTION("""COMPUTED_VALUE"""),""":""")</f>
        <v>":"</v>
      </c>
      <c r="D2041" s="24">
        <v>2.5812896737817797E19</v>
      </c>
      <c r="E2041" s="9" t="str">
        <f>IFERROR(__xludf.DUMMYFUNCTION("""COMPUTED_VALUE"""),""",")</f>
        <v>",</v>
      </c>
    </row>
    <row r="2042">
      <c r="A2042" s="9" t="str">
        <f>IFERROR(__xludf.DUMMYFUNCTION("""COMPUTED_VALUE"""),"""")</f>
        <v>"</v>
      </c>
      <c r="B2042" s="9" t="s">
        <v>2051</v>
      </c>
      <c r="C2042" s="9" t="str">
        <f>IFERROR(__xludf.DUMMYFUNCTION("""COMPUTED_VALUE"""),""":""")</f>
        <v>":"</v>
      </c>
      <c r="D2042" s="24">
        <v>6.2005979458241782E18</v>
      </c>
      <c r="E2042" s="9" t="str">
        <f>IFERROR(__xludf.DUMMYFUNCTION("""COMPUTED_VALUE"""),""",")</f>
        <v>",</v>
      </c>
    </row>
    <row r="2043">
      <c r="A2043" s="9" t="str">
        <f>IFERROR(__xludf.DUMMYFUNCTION("""COMPUTED_VALUE"""),"""")</f>
        <v>"</v>
      </c>
      <c r="B2043" s="9" t="s">
        <v>2052</v>
      </c>
      <c r="C2043" s="9" t="str">
        <f>IFERROR(__xludf.DUMMYFUNCTION("""COMPUTED_VALUE"""),""":""")</f>
        <v>":"</v>
      </c>
      <c r="D2043" s="24">
        <v>6.2005979458241782E18</v>
      </c>
      <c r="E2043" s="9" t="str">
        <f>IFERROR(__xludf.DUMMYFUNCTION("""COMPUTED_VALUE"""),""",")</f>
        <v>",</v>
      </c>
    </row>
    <row r="2044">
      <c r="A2044" s="9" t="str">
        <f>IFERROR(__xludf.DUMMYFUNCTION("""COMPUTED_VALUE"""),"""")</f>
        <v>"</v>
      </c>
      <c r="B2044" s="9" t="s">
        <v>2053</v>
      </c>
      <c r="C2044" s="9" t="str">
        <f>IFERROR(__xludf.DUMMYFUNCTION("""COMPUTED_VALUE"""),""":""")</f>
        <v>":"</v>
      </c>
      <c r="D2044" s="24">
        <v>3.881752310536296E19</v>
      </c>
      <c r="E2044" s="9" t="str">
        <f>IFERROR(__xludf.DUMMYFUNCTION("""COMPUTED_VALUE"""),""",")</f>
        <v>",</v>
      </c>
    </row>
    <row r="2045">
      <c r="A2045" s="9" t="str">
        <f>IFERROR(__xludf.DUMMYFUNCTION("""COMPUTED_VALUE"""),"""")</f>
        <v>"</v>
      </c>
      <c r="B2045" s="9" t="s">
        <v>2054</v>
      </c>
      <c r="C2045" s="9" t="str">
        <f>IFERROR(__xludf.DUMMYFUNCTION("""COMPUTED_VALUE"""),""":""")</f>
        <v>":"</v>
      </c>
      <c r="D2045" s="24">
        <v>2.0248888511809958E19</v>
      </c>
      <c r="E2045" s="9" t="str">
        <f>IFERROR(__xludf.DUMMYFUNCTION("""COMPUTED_VALUE"""),""",")</f>
        <v>",</v>
      </c>
    </row>
    <row r="2046">
      <c r="A2046" s="9" t="str">
        <f>IFERROR(__xludf.DUMMYFUNCTION("""COMPUTED_VALUE"""),"""")</f>
        <v>"</v>
      </c>
      <c r="B2046" s="9" t="s">
        <v>2055</v>
      </c>
      <c r="C2046" s="9" t="str">
        <f>IFERROR(__xludf.DUMMYFUNCTION("""COMPUTED_VALUE"""),""":""")</f>
        <v>":"</v>
      </c>
      <c r="D2046" s="24">
        <v>6.2005979458241782E18</v>
      </c>
      <c r="E2046" s="9" t="str">
        <f>IFERROR(__xludf.DUMMYFUNCTION("""COMPUTED_VALUE"""),""",")</f>
        <v>",</v>
      </c>
    </row>
    <row r="2047">
      <c r="A2047" s="9" t="str">
        <f>IFERROR(__xludf.DUMMYFUNCTION("""COMPUTED_VALUE"""),"""")</f>
        <v>"</v>
      </c>
      <c r="B2047" s="9" t="s">
        <v>2056</v>
      </c>
      <c r="C2047" s="9" t="str">
        <f>IFERROR(__xludf.DUMMYFUNCTION("""COMPUTED_VALUE"""),""":""")</f>
        <v>":"</v>
      </c>
      <c r="D2047" s="24">
        <v>6.2005979458241782E18</v>
      </c>
      <c r="E2047" s="9" t="str">
        <f>IFERROR(__xludf.DUMMYFUNCTION("""COMPUTED_VALUE"""),""",")</f>
        <v>",</v>
      </c>
    </row>
    <row r="2048">
      <c r="A2048" s="9" t="str">
        <f>IFERROR(__xludf.DUMMYFUNCTION("""COMPUTED_VALUE"""),"""")</f>
        <v>"</v>
      </c>
      <c r="B2048" s="9" t="s">
        <v>2057</v>
      </c>
      <c r="C2048" s="9" t="str">
        <f>IFERROR(__xludf.DUMMYFUNCTION("""COMPUTED_VALUE"""),""":""")</f>
        <v>":"</v>
      </c>
      <c r="D2048" s="24">
        <v>2.98852976087272E19</v>
      </c>
      <c r="E2048" s="9" t="str">
        <f>IFERROR(__xludf.DUMMYFUNCTION("""COMPUTED_VALUE"""),""",")</f>
        <v>",</v>
      </c>
    </row>
    <row r="2049">
      <c r="A2049" s="9" t="str">
        <f>IFERROR(__xludf.DUMMYFUNCTION("""COMPUTED_VALUE"""),"""")</f>
        <v>"</v>
      </c>
      <c r="B2049" s="9" t="s">
        <v>2058</v>
      </c>
      <c r="C2049" s="9" t="str">
        <f>IFERROR(__xludf.DUMMYFUNCTION("""COMPUTED_VALUE"""),""":""")</f>
        <v>":"</v>
      </c>
      <c r="D2049" s="24">
        <v>3.2241123395945999E18</v>
      </c>
      <c r="E2049" s="9" t="str">
        <f>IFERROR(__xludf.DUMMYFUNCTION("""COMPUTED_VALUE"""),""",")</f>
        <v>",</v>
      </c>
    </row>
    <row r="2050">
      <c r="A2050" s="9" t="str">
        <f>IFERROR(__xludf.DUMMYFUNCTION("""COMPUTED_VALUE"""),"""")</f>
        <v>"</v>
      </c>
      <c r="B2050" s="9" t="s">
        <v>2059</v>
      </c>
      <c r="C2050" s="9" t="str">
        <f>IFERROR(__xludf.DUMMYFUNCTION("""COMPUTED_VALUE"""),""":""")</f>
        <v>":"</v>
      </c>
      <c r="D2050" s="24">
        <v>5.8863906600530002E18</v>
      </c>
      <c r="E2050" s="9" t="str">
        <f>IFERROR(__xludf.DUMMYFUNCTION("""COMPUTED_VALUE"""),""",")</f>
        <v>",</v>
      </c>
    </row>
    <row r="2051">
      <c r="A2051" s="9" t="str">
        <f>IFERROR(__xludf.DUMMYFUNCTION("""COMPUTED_VALUE"""),"""")</f>
        <v>"</v>
      </c>
      <c r="B2051" s="9" t="s">
        <v>2060</v>
      </c>
      <c r="C2051" s="9" t="str">
        <f>IFERROR(__xludf.DUMMYFUNCTION("""COMPUTED_VALUE"""),""":""")</f>
        <v>":"</v>
      </c>
      <c r="D2051" s="24">
        <v>2.0248888511809958E19</v>
      </c>
      <c r="E2051" s="9" t="str">
        <f>IFERROR(__xludf.DUMMYFUNCTION("""COMPUTED_VALUE"""),""",")</f>
        <v>",</v>
      </c>
    </row>
    <row r="2052">
      <c r="A2052" s="9" t="str">
        <f>IFERROR(__xludf.DUMMYFUNCTION("""COMPUTED_VALUE"""),"""")</f>
        <v>"</v>
      </c>
      <c r="B2052" s="9" t="s">
        <v>2061</v>
      </c>
      <c r="C2052" s="9" t="str">
        <f>IFERROR(__xludf.DUMMYFUNCTION("""COMPUTED_VALUE"""),""":""")</f>
        <v>":"</v>
      </c>
      <c r="D2052" s="24">
        <v>5.8559141927910226E18</v>
      </c>
      <c r="E2052" s="9" t="str">
        <f>IFERROR(__xludf.DUMMYFUNCTION("""COMPUTED_VALUE"""),""",")</f>
        <v>",</v>
      </c>
    </row>
    <row r="2053">
      <c r="A2053" s="9" t="str">
        <f>IFERROR(__xludf.DUMMYFUNCTION("""COMPUTED_VALUE"""),"""")</f>
        <v>"</v>
      </c>
      <c r="B2053" s="9" t="s">
        <v>2062</v>
      </c>
      <c r="C2053" s="9" t="str">
        <f>IFERROR(__xludf.DUMMYFUNCTION("""COMPUTED_VALUE"""),""":""")</f>
        <v>":"</v>
      </c>
      <c r="D2053" s="24">
        <v>2.0248888511809958E19</v>
      </c>
      <c r="E2053" s="9" t="str">
        <f>IFERROR(__xludf.DUMMYFUNCTION("""COMPUTED_VALUE"""),""",")</f>
        <v>",</v>
      </c>
    </row>
    <row r="2054">
      <c r="A2054" s="9" t="str">
        <f>IFERROR(__xludf.DUMMYFUNCTION("""COMPUTED_VALUE"""),"""")</f>
        <v>"</v>
      </c>
      <c r="B2054" s="9" t="s">
        <v>2063</v>
      </c>
      <c r="C2054" s="9" t="str">
        <f>IFERROR(__xludf.DUMMYFUNCTION("""COMPUTED_VALUE"""),""":""")</f>
        <v>":"</v>
      </c>
      <c r="D2054" s="24">
        <v>2.0625501091931075E19</v>
      </c>
      <c r="E2054" s="9" t="str">
        <f>IFERROR(__xludf.DUMMYFUNCTION("""COMPUTED_VALUE"""),""",")</f>
        <v>",</v>
      </c>
    </row>
    <row r="2055">
      <c r="A2055" s="9" t="str">
        <f>IFERROR(__xludf.DUMMYFUNCTION("""COMPUTED_VALUE"""),"""")</f>
        <v>"</v>
      </c>
      <c r="B2055" s="9" t="s">
        <v>2064</v>
      </c>
      <c r="C2055" s="9" t="str">
        <f>IFERROR(__xludf.DUMMYFUNCTION("""COMPUTED_VALUE"""),""":""")</f>
        <v>":"</v>
      </c>
      <c r="D2055" s="24">
        <v>6.2005979458241782E18</v>
      </c>
      <c r="E2055" s="9" t="str">
        <f>IFERROR(__xludf.DUMMYFUNCTION("""COMPUTED_VALUE"""),""",")</f>
        <v>",</v>
      </c>
    </row>
    <row r="2056">
      <c r="A2056" s="9" t="str">
        <f>IFERROR(__xludf.DUMMYFUNCTION("""COMPUTED_VALUE"""),"""")</f>
        <v>"</v>
      </c>
      <c r="B2056" s="9" t="s">
        <v>2065</v>
      </c>
      <c r="C2056" s="9" t="str">
        <f>IFERROR(__xludf.DUMMYFUNCTION("""COMPUTED_VALUE"""),""":""")</f>
        <v>":"</v>
      </c>
      <c r="D2056" s="24">
        <v>6.2005979458241782E18</v>
      </c>
      <c r="E2056" s="9" t="str">
        <f>IFERROR(__xludf.DUMMYFUNCTION("""COMPUTED_VALUE"""),""",")</f>
        <v>",</v>
      </c>
    </row>
    <row r="2057">
      <c r="A2057" s="9" t="str">
        <f>IFERROR(__xludf.DUMMYFUNCTION("""COMPUTED_VALUE"""),"""")</f>
        <v>"</v>
      </c>
      <c r="B2057" s="9" t="s">
        <v>2066</v>
      </c>
      <c r="C2057" s="9" t="str">
        <f>IFERROR(__xludf.DUMMYFUNCTION("""COMPUTED_VALUE"""),""":""")</f>
        <v>":"</v>
      </c>
      <c r="D2057" s="24">
        <v>6.2005979458241782E18</v>
      </c>
      <c r="E2057" s="9" t="str">
        <f>IFERROR(__xludf.DUMMYFUNCTION("""COMPUTED_VALUE"""),""",")</f>
        <v>",</v>
      </c>
    </row>
    <row r="2058">
      <c r="A2058" s="9" t="str">
        <f>IFERROR(__xludf.DUMMYFUNCTION("""COMPUTED_VALUE"""),"""")</f>
        <v>"</v>
      </c>
      <c r="B2058" s="9" t="s">
        <v>2067</v>
      </c>
      <c r="C2058" s="9" t="str">
        <f>IFERROR(__xludf.DUMMYFUNCTION("""COMPUTED_VALUE"""),""":""")</f>
        <v>":"</v>
      </c>
      <c r="D2058" s="24">
        <v>4.7743920583951636E18</v>
      </c>
      <c r="E2058" s="9" t="str">
        <f>IFERROR(__xludf.DUMMYFUNCTION("""COMPUTED_VALUE"""),""",")</f>
        <v>",</v>
      </c>
    </row>
    <row r="2059">
      <c r="A2059" s="9" t="str">
        <f>IFERROR(__xludf.DUMMYFUNCTION("""COMPUTED_VALUE"""),"""")</f>
        <v>"</v>
      </c>
      <c r="B2059" s="9" t="s">
        <v>2068</v>
      </c>
      <c r="C2059" s="9" t="str">
        <f>IFERROR(__xludf.DUMMYFUNCTION("""COMPUTED_VALUE"""),""":""")</f>
        <v>":"</v>
      </c>
      <c r="D2059" s="24">
        <v>5.8838326119900006E18</v>
      </c>
      <c r="E2059" s="9" t="str">
        <f>IFERROR(__xludf.DUMMYFUNCTION("""COMPUTED_VALUE"""),""",")</f>
        <v>",</v>
      </c>
    </row>
    <row r="2060">
      <c r="A2060" s="9" t="str">
        <f>IFERROR(__xludf.DUMMYFUNCTION("""COMPUTED_VALUE"""),"""")</f>
        <v>"</v>
      </c>
      <c r="B2060" s="9" t="s">
        <v>2069</v>
      </c>
      <c r="C2060" s="9" t="str">
        <f>IFERROR(__xludf.DUMMYFUNCTION("""COMPUTED_VALUE"""),""":""")</f>
        <v>":"</v>
      </c>
      <c r="D2060" s="24">
        <v>2.0248888511809958E19</v>
      </c>
      <c r="E2060" s="9" t="str">
        <f>IFERROR(__xludf.DUMMYFUNCTION("""COMPUTED_VALUE"""),""",")</f>
        <v>",</v>
      </c>
    </row>
    <row r="2061">
      <c r="A2061" s="9" t="str">
        <f>IFERROR(__xludf.DUMMYFUNCTION("""COMPUTED_VALUE"""),"""")</f>
        <v>"</v>
      </c>
      <c r="B2061" s="9" t="s">
        <v>2070</v>
      </c>
      <c r="C2061" s="9" t="str">
        <f>IFERROR(__xludf.DUMMYFUNCTION("""COMPUTED_VALUE"""),""":""")</f>
        <v>":"</v>
      </c>
      <c r="D2061" s="24">
        <v>6.2005979458241782E18</v>
      </c>
      <c r="E2061" s="9" t="str">
        <f>IFERROR(__xludf.DUMMYFUNCTION("""COMPUTED_VALUE"""),""",")</f>
        <v>",</v>
      </c>
    </row>
    <row r="2062">
      <c r="A2062" s="9" t="str">
        <f>IFERROR(__xludf.DUMMYFUNCTION("""COMPUTED_VALUE"""),"""")</f>
        <v>"</v>
      </c>
      <c r="B2062" s="9" t="s">
        <v>2071</v>
      </c>
      <c r="C2062" s="9" t="str">
        <f>IFERROR(__xludf.DUMMYFUNCTION("""COMPUTED_VALUE"""),""":""")</f>
        <v>":"</v>
      </c>
      <c r="D2062" s="24">
        <v>2.0248888511809958E19</v>
      </c>
      <c r="E2062" s="9" t="str">
        <f>IFERROR(__xludf.DUMMYFUNCTION("""COMPUTED_VALUE"""),""",")</f>
        <v>",</v>
      </c>
    </row>
    <row r="2063">
      <c r="A2063" s="9" t="str">
        <f>IFERROR(__xludf.DUMMYFUNCTION("""COMPUTED_VALUE"""),"""")</f>
        <v>"</v>
      </c>
      <c r="B2063" s="9" t="s">
        <v>2072</v>
      </c>
      <c r="C2063" s="9" t="str">
        <f>IFERROR(__xludf.DUMMYFUNCTION("""COMPUTED_VALUE"""),""":""")</f>
        <v>":"</v>
      </c>
      <c r="D2063" s="24">
        <v>2.0709136489776378E19</v>
      </c>
      <c r="E2063" s="9" t="str">
        <f>IFERROR(__xludf.DUMMYFUNCTION("""COMPUTED_VALUE"""),""",")</f>
        <v>",</v>
      </c>
    </row>
    <row r="2064">
      <c r="A2064" s="9" t="str">
        <f>IFERROR(__xludf.DUMMYFUNCTION("""COMPUTED_VALUE"""),"""")</f>
        <v>"</v>
      </c>
      <c r="B2064" s="9" t="s">
        <v>2073</v>
      </c>
      <c r="C2064" s="9" t="str">
        <f>IFERROR(__xludf.DUMMYFUNCTION("""COMPUTED_VALUE"""),""":""")</f>
        <v>":"</v>
      </c>
      <c r="D2064" s="24">
        <v>6.2005979458241782E18</v>
      </c>
      <c r="E2064" s="9" t="str">
        <f>IFERROR(__xludf.DUMMYFUNCTION("""COMPUTED_VALUE"""),""",")</f>
        <v>",</v>
      </c>
    </row>
    <row r="2065">
      <c r="A2065" s="9" t="str">
        <f>IFERROR(__xludf.DUMMYFUNCTION("""COMPUTED_VALUE"""),"""")</f>
        <v>"</v>
      </c>
      <c r="B2065" s="9" t="s">
        <v>2074</v>
      </c>
      <c r="C2065" s="9" t="str">
        <f>IFERROR(__xludf.DUMMYFUNCTION("""COMPUTED_VALUE"""),""":""")</f>
        <v>":"</v>
      </c>
      <c r="D2065" s="24">
        <v>6.2005979458241782E18</v>
      </c>
      <c r="E2065" s="9" t="str">
        <f>IFERROR(__xludf.DUMMYFUNCTION("""COMPUTED_VALUE"""),""",")</f>
        <v>",</v>
      </c>
    </row>
    <row r="2066">
      <c r="A2066" s="9" t="str">
        <f>IFERROR(__xludf.DUMMYFUNCTION("""COMPUTED_VALUE"""),"""")</f>
        <v>"</v>
      </c>
      <c r="B2066" s="9" t="s">
        <v>2075</v>
      </c>
      <c r="C2066" s="9" t="str">
        <f>IFERROR(__xludf.DUMMYFUNCTION("""COMPUTED_VALUE"""),""":""")</f>
        <v>":"</v>
      </c>
      <c r="D2066" s="24">
        <v>6.2005979458241782E18</v>
      </c>
      <c r="E2066" s="9" t="str">
        <f>IFERROR(__xludf.DUMMYFUNCTION("""COMPUTED_VALUE"""),""",")</f>
        <v>",</v>
      </c>
    </row>
    <row r="2067">
      <c r="A2067" s="9" t="str">
        <f>IFERROR(__xludf.DUMMYFUNCTION("""COMPUTED_VALUE"""),"""")</f>
        <v>"</v>
      </c>
      <c r="B2067" s="9" t="s">
        <v>2076</v>
      </c>
      <c r="C2067" s="9" t="str">
        <f>IFERROR(__xludf.DUMMYFUNCTION("""COMPUTED_VALUE"""),""":""")</f>
        <v>":"</v>
      </c>
      <c r="D2067" s="24">
        <v>3.3058184506537E19</v>
      </c>
      <c r="E2067" s="9" t="str">
        <f>IFERROR(__xludf.DUMMYFUNCTION("""COMPUTED_VALUE"""),""",")</f>
        <v>",</v>
      </c>
    </row>
    <row r="2068">
      <c r="A2068" s="9" t="str">
        <f>IFERROR(__xludf.DUMMYFUNCTION("""COMPUTED_VALUE"""),"""")</f>
        <v>"</v>
      </c>
      <c r="B2068" s="9" t="s">
        <v>2077</v>
      </c>
      <c r="C2068" s="9" t="str">
        <f>IFERROR(__xludf.DUMMYFUNCTION("""COMPUTED_VALUE"""),""":""")</f>
        <v>":"</v>
      </c>
      <c r="D2068" s="24">
        <v>1.24011958916483763E18</v>
      </c>
      <c r="E2068" s="9" t="str">
        <f>IFERROR(__xludf.DUMMYFUNCTION("""COMPUTED_VALUE"""),""",")</f>
        <v>",</v>
      </c>
    </row>
    <row r="2069">
      <c r="A2069" s="9" t="str">
        <f>IFERROR(__xludf.DUMMYFUNCTION("""COMPUTED_VALUE"""),"""")</f>
        <v>"</v>
      </c>
      <c r="B2069" s="9" t="s">
        <v>2078</v>
      </c>
      <c r="C2069" s="9" t="str">
        <f>IFERROR(__xludf.DUMMYFUNCTION("""COMPUTED_VALUE"""),""":""")</f>
        <v>":"</v>
      </c>
      <c r="D2069" s="24">
        <v>1.849613731113178E19</v>
      </c>
      <c r="E2069" s="9" t="str">
        <f>IFERROR(__xludf.DUMMYFUNCTION("""COMPUTED_VALUE"""),""",")</f>
        <v>",</v>
      </c>
    </row>
    <row r="2070">
      <c r="A2070" s="9" t="str">
        <f>IFERROR(__xludf.DUMMYFUNCTION("""COMPUTED_VALUE"""),"""")</f>
        <v>"</v>
      </c>
      <c r="B2070" s="9" t="s">
        <v>2079</v>
      </c>
      <c r="C2070" s="9" t="str">
        <f>IFERROR(__xludf.DUMMYFUNCTION("""COMPUTED_VALUE"""),""":""")</f>
        <v>":"</v>
      </c>
      <c r="D2070" s="24">
        <v>6.0898350603409965E19</v>
      </c>
      <c r="E2070" s="9" t="str">
        <f>IFERROR(__xludf.DUMMYFUNCTION("""COMPUTED_VALUE"""),""",")</f>
        <v>",</v>
      </c>
    </row>
    <row r="2071">
      <c r="A2071" s="9" t="str">
        <f>IFERROR(__xludf.DUMMYFUNCTION("""COMPUTED_VALUE"""),"""")</f>
        <v>"</v>
      </c>
      <c r="B2071" s="9" t="s">
        <v>2080</v>
      </c>
      <c r="C2071" s="9" t="str">
        <f>IFERROR(__xludf.DUMMYFUNCTION("""COMPUTED_VALUE"""),""":""")</f>
        <v>":"</v>
      </c>
      <c r="D2071" s="24">
        <v>2.0248888511809958E19</v>
      </c>
      <c r="E2071" s="9" t="str">
        <f>IFERROR(__xludf.DUMMYFUNCTION("""COMPUTED_VALUE"""),""",")</f>
        <v>",</v>
      </c>
    </row>
    <row r="2072">
      <c r="A2072" s="9" t="str">
        <f>IFERROR(__xludf.DUMMYFUNCTION("""COMPUTED_VALUE"""),"""")</f>
        <v>"</v>
      </c>
      <c r="B2072" s="9" t="s">
        <v>2081</v>
      </c>
      <c r="C2072" s="9" t="str">
        <f>IFERROR(__xludf.DUMMYFUNCTION("""COMPUTED_VALUE"""),""":""")</f>
        <v>":"</v>
      </c>
      <c r="D2072" s="24">
        <v>6.2005979458241782E18</v>
      </c>
      <c r="E2072" s="9" t="str">
        <f>IFERROR(__xludf.DUMMYFUNCTION("""COMPUTED_VALUE"""),""",")</f>
        <v>",</v>
      </c>
    </row>
    <row r="2073">
      <c r="A2073" s="9" t="str">
        <f>IFERROR(__xludf.DUMMYFUNCTION("""COMPUTED_VALUE"""),"""")</f>
        <v>"</v>
      </c>
      <c r="B2073" s="9" t="s">
        <v>2082</v>
      </c>
      <c r="C2073" s="9" t="str">
        <f>IFERROR(__xludf.DUMMYFUNCTION("""COMPUTED_VALUE"""),""":""")</f>
        <v>":"</v>
      </c>
      <c r="D2073" s="24">
        <v>2.7167254157286023E19</v>
      </c>
      <c r="E2073" s="9" t="str">
        <f>IFERROR(__xludf.DUMMYFUNCTION("""COMPUTED_VALUE"""),""",")</f>
        <v>",</v>
      </c>
    </row>
    <row r="2074">
      <c r="A2074" s="9" t="str">
        <f>IFERROR(__xludf.DUMMYFUNCTION("""COMPUTED_VALUE"""),"""")</f>
        <v>"</v>
      </c>
      <c r="B2074" s="9" t="s">
        <v>2083</v>
      </c>
      <c r="C2074" s="9" t="str">
        <f>IFERROR(__xludf.DUMMYFUNCTION("""COMPUTED_VALUE"""),""":""")</f>
        <v>":"</v>
      </c>
      <c r="D2074" s="24">
        <v>2.1113684217494467E19</v>
      </c>
      <c r="E2074" s="9" t="str">
        <f>IFERROR(__xludf.DUMMYFUNCTION("""COMPUTED_VALUE"""),""",")</f>
        <v>",</v>
      </c>
    </row>
    <row r="2075">
      <c r="A2075" s="9" t="str">
        <f>IFERROR(__xludf.DUMMYFUNCTION("""COMPUTED_VALUE"""),"""")</f>
        <v>"</v>
      </c>
      <c r="B2075" s="9" t="s">
        <v>2084</v>
      </c>
      <c r="C2075" s="9" t="str">
        <f>IFERROR(__xludf.DUMMYFUNCTION("""COMPUTED_VALUE"""),""":""")</f>
        <v>":"</v>
      </c>
      <c r="D2075" s="24">
        <v>2.0248888511809958E19</v>
      </c>
      <c r="E2075" s="9" t="str">
        <f>IFERROR(__xludf.DUMMYFUNCTION("""COMPUTED_VALUE"""),""",")</f>
        <v>",</v>
      </c>
    </row>
    <row r="2076">
      <c r="A2076" s="9" t="str">
        <f>IFERROR(__xludf.DUMMYFUNCTION("""COMPUTED_VALUE"""),"""")</f>
        <v>"</v>
      </c>
      <c r="B2076" s="9" t="s">
        <v>2085</v>
      </c>
      <c r="C2076" s="9" t="str">
        <f>IFERROR(__xludf.DUMMYFUNCTION("""COMPUTED_VALUE"""),""":""")</f>
        <v>":"</v>
      </c>
      <c r="D2076" s="24">
        <v>3.1420188989515624E19</v>
      </c>
      <c r="E2076" s="9" t="str">
        <f>IFERROR(__xludf.DUMMYFUNCTION("""COMPUTED_VALUE"""),""",")</f>
        <v>",</v>
      </c>
    </row>
    <row r="2077">
      <c r="A2077" s="9" t="str">
        <f>IFERROR(__xludf.DUMMYFUNCTION("""COMPUTED_VALUE"""),"""")</f>
        <v>"</v>
      </c>
      <c r="B2077" s="9" t="s">
        <v>2086</v>
      </c>
      <c r="C2077" s="9" t="str">
        <f>IFERROR(__xludf.DUMMYFUNCTION("""COMPUTED_VALUE"""),""":""")</f>
        <v>":"</v>
      </c>
      <c r="D2077" s="24">
        <v>1.9743150051434467E19</v>
      </c>
      <c r="E2077" s="9" t="str">
        <f>IFERROR(__xludf.DUMMYFUNCTION("""COMPUTED_VALUE"""),""",")</f>
        <v>",</v>
      </c>
    </row>
    <row r="2078">
      <c r="A2078" s="9" t="str">
        <f>IFERROR(__xludf.DUMMYFUNCTION("""COMPUTED_VALUE"""),"""")</f>
        <v>"</v>
      </c>
      <c r="B2078" s="9" t="s">
        <v>2087</v>
      </c>
      <c r="C2078" s="9" t="str">
        <f>IFERROR(__xludf.DUMMYFUNCTION("""COMPUTED_VALUE"""),""":""")</f>
        <v>":"</v>
      </c>
      <c r="D2078" s="24">
        <v>2.0248888511809958E19</v>
      </c>
      <c r="E2078" s="9" t="str">
        <f>IFERROR(__xludf.DUMMYFUNCTION("""COMPUTED_VALUE"""),""",")</f>
        <v>",</v>
      </c>
    </row>
    <row r="2079">
      <c r="A2079" s="9" t="str">
        <f>IFERROR(__xludf.DUMMYFUNCTION("""COMPUTED_VALUE"""),"""")</f>
        <v>"</v>
      </c>
      <c r="B2079" s="9" t="s">
        <v>2088</v>
      </c>
      <c r="C2079" s="9" t="str">
        <f>IFERROR(__xludf.DUMMYFUNCTION("""COMPUTED_VALUE"""),""":""")</f>
        <v>":"</v>
      </c>
      <c r="D2079" s="24">
        <v>6.2005979458241782E18</v>
      </c>
      <c r="E2079" s="9" t="str">
        <f>IFERROR(__xludf.DUMMYFUNCTION("""COMPUTED_VALUE"""),""",")</f>
        <v>",</v>
      </c>
    </row>
    <row r="2080">
      <c r="A2080" s="9" t="str">
        <f>IFERROR(__xludf.DUMMYFUNCTION("""COMPUTED_VALUE"""),"""")</f>
        <v>"</v>
      </c>
      <c r="B2080" s="9" t="s">
        <v>2089</v>
      </c>
      <c r="C2080" s="9" t="str">
        <f>IFERROR(__xludf.DUMMYFUNCTION("""COMPUTED_VALUE"""),""":""")</f>
        <v>":"</v>
      </c>
      <c r="D2080" s="24">
        <v>4.4847290060808438E18</v>
      </c>
      <c r="E2080" s="9" t="str">
        <f>IFERROR(__xludf.DUMMYFUNCTION("""COMPUTED_VALUE"""),""",")</f>
        <v>",</v>
      </c>
    </row>
    <row r="2081">
      <c r="A2081" s="9" t="str">
        <f>IFERROR(__xludf.DUMMYFUNCTION("""COMPUTED_VALUE"""),"""")</f>
        <v>"</v>
      </c>
      <c r="B2081" s="9" t="s">
        <v>2090</v>
      </c>
      <c r="C2081" s="9" t="str">
        <f>IFERROR(__xludf.DUMMYFUNCTION("""COMPUTED_VALUE"""),""":""")</f>
        <v>":"</v>
      </c>
      <c r="D2081" s="24">
        <v>5.3664379689173555E18</v>
      </c>
      <c r="E2081" s="9" t="str">
        <f>IFERROR(__xludf.DUMMYFUNCTION("""COMPUTED_VALUE"""),""",")</f>
        <v>",</v>
      </c>
    </row>
    <row r="2082">
      <c r="A2082" s="9" t="str">
        <f>IFERROR(__xludf.DUMMYFUNCTION("""COMPUTED_VALUE"""),"""")</f>
        <v>"</v>
      </c>
      <c r="B2082" s="9" t="s">
        <v>2091</v>
      </c>
      <c r="C2082" s="9" t="str">
        <f>IFERROR(__xludf.DUMMYFUNCTION("""COMPUTED_VALUE"""),""":""")</f>
        <v>":"</v>
      </c>
      <c r="D2082" s="24">
        <v>6.1187170179167334E18</v>
      </c>
      <c r="E2082" s="9" t="str">
        <f>IFERROR(__xludf.DUMMYFUNCTION("""COMPUTED_VALUE"""),""",")</f>
        <v>",</v>
      </c>
    </row>
    <row r="2083">
      <c r="A2083" s="9" t="str">
        <f>IFERROR(__xludf.DUMMYFUNCTION("""COMPUTED_VALUE"""),"""")</f>
        <v>"</v>
      </c>
      <c r="B2083" s="9" t="s">
        <v>2092</v>
      </c>
      <c r="C2083" s="9" t="str">
        <f>IFERROR(__xludf.DUMMYFUNCTION("""COMPUTED_VALUE"""),""":""")</f>
        <v>":"</v>
      </c>
      <c r="D2083" s="24">
        <v>1.8800062508816224E19</v>
      </c>
      <c r="E2083" s="9" t="str">
        <f>IFERROR(__xludf.DUMMYFUNCTION("""COMPUTED_VALUE"""),""",")</f>
        <v>",</v>
      </c>
    </row>
    <row r="2084">
      <c r="A2084" s="9" t="str">
        <f>IFERROR(__xludf.DUMMYFUNCTION("""COMPUTED_VALUE"""),"""")</f>
        <v>"</v>
      </c>
      <c r="B2084" s="9" t="s">
        <v>2093</v>
      </c>
      <c r="C2084" s="9" t="str">
        <f>IFERROR(__xludf.DUMMYFUNCTION("""COMPUTED_VALUE"""),""":""")</f>
        <v>":"</v>
      </c>
      <c r="D2084" s="24">
        <v>6.2005979458241782E18</v>
      </c>
      <c r="E2084" s="9" t="str">
        <f>IFERROR(__xludf.DUMMYFUNCTION("""COMPUTED_VALUE"""),""",")</f>
        <v>",</v>
      </c>
    </row>
    <row r="2085">
      <c r="A2085" s="9" t="str">
        <f>IFERROR(__xludf.DUMMYFUNCTION("""COMPUTED_VALUE"""),"""")</f>
        <v>"</v>
      </c>
      <c r="B2085" s="9" t="s">
        <v>2094</v>
      </c>
      <c r="C2085" s="9" t="str">
        <f>IFERROR(__xludf.DUMMYFUNCTION("""COMPUTED_VALUE"""),""":""")</f>
        <v>":"</v>
      </c>
      <c r="D2085" s="24">
        <v>2.0248888511809958E19</v>
      </c>
      <c r="E2085" s="9" t="str">
        <f>IFERROR(__xludf.DUMMYFUNCTION("""COMPUTED_VALUE"""),""",")</f>
        <v>",</v>
      </c>
    </row>
    <row r="2086">
      <c r="A2086" s="9" t="str">
        <f>IFERROR(__xludf.DUMMYFUNCTION("""COMPUTED_VALUE"""),"""")</f>
        <v>"</v>
      </c>
      <c r="B2086" s="9" t="s">
        <v>2095</v>
      </c>
      <c r="C2086" s="9" t="str">
        <f>IFERROR(__xludf.DUMMYFUNCTION("""COMPUTED_VALUE"""),""":""")</f>
        <v>":"</v>
      </c>
      <c r="D2086" s="24">
        <v>2.6025329210387243E19</v>
      </c>
      <c r="E2086" s="9" t="str">
        <f>IFERROR(__xludf.DUMMYFUNCTION("""COMPUTED_VALUE"""),""",")</f>
        <v>",</v>
      </c>
    </row>
    <row r="2087">
      <c r="A2087" s="9" t="str">
        <f>IFERROR(__xludf.DUMMYFUNCTION("""COMPUTED_VALUE"""),"""")</f>
        <v>"</v>
      </c>
      <c r="B2087" s="9" t="s">
        <v>2096</v>
      </c>
      <c r="C2087" s="9" t="str">
        <f>IFERROR(__xludf.DUMMYFUNCTION("""COMPUTED_VALUE"""),""":""")</f>
        <v>":"</v>
      </c>
      <c r="D2087" s="24">
        <v>1.50689401914796E19</v>
      </c>
      <c r="E2087" s="9" t="str">
        <f>IFERROR(__xludf.DUMMYFUNCTION("""COMPUTED_VALUE"""),""",")</f>
        <v>",</v>
      </c>
    </row>
    <row r="2088">
      <c r="A2088" s="9" t="str">
        <f>IFERROR(__xludf.DUMMYFUNCTION("""COMPUTED_VALUE"""),"""")</f>
        <v>"</v>
      </c>
      <c r="B2088" s="9" t="s">
        <v>2097</v>
      </c>
      <c r="C2088" s="9" t="str">
        <f>IFERROR(__xludf.DUMMYFUNCTION("""COMPUTED_VALUE"""),""":""")</f>
        <v>":"</v>
      </c>
      <c r="D2088" s="24">
        <v>6.2005979458241782E18</v>
      </c>
      <c r="E2088" s="9" t="str">
        <f>IFERROR(__xludf.DUMMYFUNCTION("""COMPUTED_VALUE"""),""",")</f>
        <v>",</v>
      </c>
    </row>
    <row r="2089">
      <c r="A2089" s="9" t="str">
        <f>IFERROR(__xludf.DUMMYFUNCTION("""COMPUTED_VALUE"""),"""")</f>
        <v>"</v>
      </c>
      <c r="B2089" s="9" t="s">
        <v>2098</v>
      </c>
      <c r="C2089" s="9" t="str">
        <f>IFERROR(__xludf.DUMMYFUNCTION("""COMPUTED_VALUE"""),""":""")</f>
        <v>":"</v>
      </c>
      <c r="D2089" s="24">
        <v>2.309301156801007E19</v>
      </c>
      <c r="E2089" s="9" t="str">
        <f>IFERROR(__xludf.DUMMYFUNCTION("""COMPUTED_VALUE"""),""",")</f>
        <v>",</v>
      </c>
    </row>
    <row r="2090">
      <c r="A2090" s="9" t="str">
        <f>IFERROR(__xludf.DUMMYFUNCTION("""COMPUTED_VALUE"""),"""")</f>
        <v>"</v>
      </c>
      <c r="B2090" s="9" t="s">
        <v>2099</v>
      </c>
      <c r="C2090" s="9" t="str">
        <f>IFERROR(__xludf.DUMMYFUNCTION("""COMPUTED_VALUE"""),""":""")</f>
        <v>":"</v>
      </c>
      <c r="D2090" s="24">
        <v>2.0248888511809958E19</v>
      </c>
      <c r="E2090" s="9" t="str">
        <f>IFERROR(__xludf.DUMMYFUNCTION("""COMPUTED_VALUE"""),""",")</f>
        <v>",</v>
      </c>
    </row>
    <row r="2091">
      <c r="A2091" s="9" t="str">
        <f>IFERROR(__xludf.DUMMYFUNCTION("""COMPUTED_VALUE"""),"""")</f>
        <v>"</v>
      </c>
      <c r="B2091" s="9" t="s">
        <v>2100</v>
      </c>
      <c r="C2091" s="9" t="str">
        <f>IFERROR(__xludf.DUMMYFUNCTION("""COMPUTED_VALUE"""),""":""")</f>
        <v>":"</v>
      </c>
      <c r="D2091" s="24">
        <v>6.1948778689074217E18</v>
      </c>
      <c r="E2091" s="9" t="str">
        <f>IFERROR(__xludf.DUMMYFUNCTION("""COMPUTED_VALUE"""),""",")</f>
        <v>",</v>
      </c>
    </row>
    <row r="2092">
      <c r="A2092" s="9" t="str">
        <f>IFERROR(__xludf.DUMMYFUNCTION("""COMPUTED_VALUE"""),"""")</f>
        <v>"</v>
      </c>
      <c r="B2092" s="9" t="s">
        <v>2101</v>
      </c>
      <c r="C2092" s="9" t="str">
        <f>IFERROR(__xludf.DUMMYFUNCTION("""COMPUTED_VALUE"""),""":""")</f>
        <v>":"</v>
      </c>
      <c r="D2092" s="24">
        <v>6.2005979458241782E18</v>
      </c>
      <c r="E2092" s="9" t="str">
        <f>IFERROR(__xludf.DUMMYFUNCTION("""COMPUTED_VALUE"""),""",")</f>
        <v>",</v>
      </c>
    </row>
    <row r="2093">
      <c r="A2093" s="9" t="str">
        <f>IFERROR(__xludf.DUMMYFUNCTION("""COMPUTED_VALUE"""),"""")</f>
        <v>"</v>
      </c>
      <c r="B2093" s="9" t="s">
        <v>2102</v>
      </c>
      <c r="C2093" s="9" t="str">
        <f>IFERROR(__xludf.DUMMYFUNCTION("""COMPUTED_VALUE"""),""":""")</f>
        <v>":"</v>
      </c>
      <c r="D2093" s="24">
        <v>2.30594745552846E19</v>
      </c>
      <c r="E2093" s="9" t="str">
        <f>IFERROR(__xludf.DUMMYFUNCTION("""COMPUTED_VALUE"""),""",")</f>
        <v>",</v>
      </c>
    </row>
    <row r="2094">
      <c r="A2094" s="9" t="str">
        <f>IFERROR(__xludf.DUMMYFUNCTION("""COMPUTED_VALUE"""),"""")</f>
        <v>"</v>
      </c>
      <c r="B2094" s="9" t="s">
        <v>2103</v>
      </c>
      <c r="C2094" s="9" t="str">
        <f>IFERROR(__xludf.DUMMYFUNCTION("""COMPUTED_VALUE"""),""":""")</f>
        <v>":"</v>
      </c>
      <c r="D2094" s="24">
        <v>6.2005979458241782E18</v>
      </c>
      <c r="E2094" s="9" t="str">
        <f>IFERROR(__xludf.DUMMYFUNCTION("""COMPUTED_VALUE"""),""",")</f>
        <v>",</v>
      </c>
    </row>
    <row r="2095">
      <c r="A2095" s="9" t="str">
        <f>IFERROR(__xludf.DUMMYFUNCTION("""COMPUTED_VALUE"""),"""")</f>
        <v>"</v>
      </c>
      <c r="B2095" s="9" t="s">
        <v>2104</v>
      </c>
      <c r="C2095" s="9" t="str">
        <f>IFERROR(__xludf.DUMMYFUNCTION("""COMPUTED_VALUE"""),""":""")</f>
        <v>":"</v>
      </c>
      <c r="D2095" s="24">
        <v>8.5457550241615104E18</v>
      </c>
      <c r="E2095" s="9" t="str">
        <f>IFERROR(__xludf.DUMMYFUNCTION("""COMPUTED_VALUE"""),""",")</f>
        <v>",</v>
      </c>
    </row>
    <row r="2096">
      <c r="A2096" s="9" t="str">
        <f>IFERROR(__xludf.DUMMYFUNCTION("""COMPUTED_VALUE"""),"""")</f>
        <v>"</v>
      </c>
      <c r="B2096" s="9" t="s">
        <v>2105</v>
      </c>
      <c r="C2096" s="9" t="str">
        <f>IFERROR(__xludf.DUMMYFUNCTION("""COMPUTED_VALUE"""),""":""")</f>
        <v>":"</v>
      </c>
      <c r="D2096" s="24">
        <v>2.0248888511809958E19</v>
      </c>
      <c r="E2096" s="9" t="str">
        <f>IFERROR(__xludf.DUMMYFUNCTION("""COMPUTED_VALUE"""),""",")</f>
        <v>",</v>
      </c>
    </row>
    <row r="2097">
      <c r="A2097" s="9" t="str">
        <f>IFERROR(__xludf.DUMMYFUNCTION("""COMPUTED_VALUE"""),"""")</f>
        <v>"</v>
      </c>
      <c r="B2097" s="9" t="s">
        <v>2106</v>
      </c>
      <c r="C2097" s="9" t="str">
        <f>IFERROR(__xludf.DUMMYFUNCTION("""COMPUTED_VALUE"""),""":""")</f>
        <v>":"</v>
      </c>
      <c r="D2097" s="24">
        <v>6.2005979458241782E18</v>
      </c>
      <c r="E2097" s="9" t="str">
        <f>IFERROR(__xludf.DUMMYFUNCTION("""COMPUTED_VALUE"""),""",")</f>
        <v>",</v>
      </c>
    </row>
    <row r="2098">
      <c r="A2098" s="9" t="str">
        <f>IFERROR(__xludf.DUMMYFUNCTION("""COMPUTED_VALUE"""),"""")</f>
        <v>"</v>
      </c>
      <c r="B2098" s="9" t="s">
        <v>2107</v>
      </c>
      <c r="C2098" s="9" t="str">
        <f>IFERROR(__xludf.DUMMYFUNCTION("""COMPUTED_VALUE"""),""":""")</f>
        <v>":"</v>
      </c>
      <c r="D2098" s="24">
        <v>6.0541133103798221E18</v>
      </c>
      <c r="E2098" s="9" t="str">
        <f>IFERROR(__xludf.DUMMYFUNCTION("""COMPUTED_VALUE"""),""",")</f>
        <v>",</v>
      </c>
    </row>
    <row r="2099">
      <c r="A2099" s="9" t="str">
        <f>IFERROR(__xludf.DUMMYFUNCTION("""COMPUTED_VALUE"""),"""")</f>
        <v>"</v>
      </c>
      <c r="B2099" s="9" t="s">
        <v>2108</v>
      </c>
      <c r="C2099" s="9" t="str">
        <f>IFERROR(__xludf.DUMMYFUNCTION("""COMPUTED_VALUE"""),""":""")</f>
        <v>":"</v>
      </c>
      <c r="D2099" s="24">
        <v>6.2005979458241782E18</v>
      </c>
      <c r="E2099" s="9" t="str">
        <f>IFERROR(__xludf.DUMMYFUNCTION("""COMPUTED_VALUE"""),""",")</f>
        <v>",</v>
      </c>
    </row>
    <row r="2100">
      <c r="A2100" s="9" t="str">
        <f>IFERROR(__xludf.DUMMYFUNCTION("""COMPUTED_VALUE"""),"""")</f>
        <v>"</v>
      </c>
      <c r="B2100" s="9" t="s">
        <v>2109</v>
      </c>
      <c r="C2100" s="9" t="str">
        <f>IFERROR(__xludf.DUMMYFUNCTION("""COMPUTED_VALUE"""),""":""")</f>
        <v>":"</v>
      </c>
      <c r="D2100" s="24">
        <v>6.2005979458241782E18</v>
      </c>
      <c r="E2100" s="9" t="str">
        <f>IFERROR(__xludf.DUMMYFUNCTION("""COMPUTED_VALUE"""),""",")</f>
        <v>",</v>
      </c>
    </row>
    <row r="2101">
      <c r="A2101" s="9" t="str">
        <f>IFERROR(__xludf.DUMMYFUNCTION("""COMPUTED_VALUE"""),"""")</f>
        <v>"</v>
      </c>
      <c r="B2101" s="9" t="s">
        <v>2110</v>
      </c>
      <c r="C2101" s="9" t="str">
        <f>IFERROR(__xludf.DUMMYFUNCTION("""COMPUTED_VALUE"""),""":""")</f>
        <v>":"</v>
      </c>
      <c r="D2101" s="24">
        <v>2.0248888511809958E19</v>
      </c>
      <c r="E2101" s="9" t="str">
        <f>IFERROR(__xludf.DUMMYFUNCTION("""COMPUTED_VALUE"""),""",")</f>
        <v>",</v>
      </c>
    </row>
    <row r="2102">
      <c r="A2102" s="9" t="str">
        <f>IFERROR(__xludf.DUMMYFUNCTION("""COMPUTED_VALUE"""),"""")</f>
        <v>"</v>
      </c>
      <c r="B2102" s="9" t="s">
        <v>2111</v>
      </c>
      <c r="C2102" s="9" t="str">
        <f>IFERROR(__xludf.DUMMYFUNCTION("""COMPUTED_VALUE"""),""":""")</f>
        <v>":"</v>
      </c>
      <c r="D2102" s="24">
        <v>6.2005979458241782E18</v>
      </c>
      <c r="E2102" s="9" t="str">
        <f>IFERROR(__xludf.DUMMYFUNCTION("""COMPUTED_VALUE"""),""",")</f>
        <v>",</v>
      </c>
    </row>
    <row r="2103">
      <c r="A2103" s="9" t="str">
        <f>IFERROR(__xludf.DUMMYFUNCTION("""COMPUTED_VALUE"""),"""")</f>
        <v>"</v>
      </c>
      <c r="B2103" s="9" t="s">
        <v>2112</v>
      </c>
      <c r="C2103" s="9" t="str">
        <f>IFERROR(__xludf.DUMMYFUNCTION("""COMPUTED_VALUE"""),""":""")</f>
        <v>":"</v>
      </c>
      <c r="D2103" s="24">
        <v>2.0248888511809958E19</v>
      </c>
      <c r="E2103" s="9" t="str">
        <f>IFERROR(__xludf.DUMMYFUNCTION("""COMPUTED_VALUE"""),""",")</f>
        <v>",</v>
      </c>
    </row>
    <row r="2104">
      <c r="A2104" s="9" t="str">
        <f>IFERROR(__xludf.DUMMYFUNCTION("""COMPUTED_VALUE"""),"""")</f>
        <v>"</v>
      </c>
      <c r="B2104" s="9" t="s">
        <v>2113</v>
      </c>
      <c r="C2104" s="9" t="str">
        <f>IFERROR(__xludf.DUMMYFUNCTION("""COMPUTED_VALUE"""),""":""")</f>
        <v>":"</v>
      </c>
      <c r="D2104" s="24">
        <v>6.2005979458241782E18</v>
      </c>
      <c r="E2104" s="9" t="str">
        <f>IFERROR(__xludf.DUMMYFUNCTION("""COMPUTED_VALUE"""),""",")</f>
        <v>",</v>
      </c>
    </row>
    <row r="2105">
      <c r="A2105" s="9" t="str">
        <f>IFERROR(__xludf.DUMMYFUNCTION("""COMPUTED_VALUE"""),"""")</f>
        <v>"</v>
      </c>
      <c r="B2105" s="9" t="s">
        <v>2114</v>
      </c>
      <c r="C2105" s="9" t="str">
        <f>IFERROR(__xludf.DUMMYFUNCTION("""COMPUTED_VALUE"""),""":""")</f>
        <v>":"</v>
      </c>
      <c r="D2105" s="24">
        <v>6.2005979458241782E18</v>
      </c>
      <c r="E2105" s="9" t="str">
        <f>IFERROR(__xludf.DUMMYFUNCTION("""COMPUTED_VALUE"""),""",")</f>
        <v>",</v>
      </c>
    </row>
    <row r="2106">
      <c r="A2106" s="9" t="str">
        <f>IFERROR(__xludf.DUMMYFUNCTION("""COMPUTED_VALUE"""),"""")</f>
        <v>"</v>
      </c>
      <c r="B2106" s="9" t="s">
        <v>2115</v>
      </c>
      <c r="C2106" s="9" t="str">
        <f>IFERROR(__xludf.DUMMYFUNCTION("""COMPUTED_VALUE"""),""":""")</f>
        <v>":"</v>
      </c>
      <c r="D2106" s="24">
        <v>6.2005979458241782E18</v>
      </c>
      <c r="E2106" s="9" t="str">
        <f>IFERROR(__xludf.DUMMYFUNCTION("""COMPUTED_VALUE"""),""",")</f>
        <v>",</v>
      </c>
    </row>
    <row r="2107">
      <c r="A2107" s="9" t="str">
        <f>IFERROR(__xludf.DUMMYFUNCTION("""COMPUTED_VALUE"""),"""")</f>
        <v>"</v>
      </c>
      <c r="B2107" s="9" t="s">
        <v>2116</v>
      </c>
      <c r="C2107" s="9" t="str">
        <f>IFERROR(__xludf.DUMMYFUNCTION("""COMPUTED_VALUE"""),""":""")</f>
        <v>":"</v>
      </c>
      <c r="D2107" s="24">
        <v>5.4740208548538225E18</v>
      </c>
      <c r="E2107" s="9" t="str">
        <f>IFERROR(__xludf.DUMMYFUNCTION("""COMPUTED_VALUE"""),""",")</f>
        <v>",</v>
      </c>
    </row>
    <row r="2108">
      <c r="A2108" s="9" t="str">
        <f>IFERROR(__xludf.DUMMYFUNCTION("""COMPUTED_VALUE"""),"""")</f>
        <v>"</v>
      </c>
      <c r="B2108" s="9" t="s">
        <v>2117</v>
      </c>
      <c r="C2108" s="9" t="str">
        <f>IFERROR(__xludf.DUMMYFUNCTION("""COMPUTED_VALUE"""),""":""")</f>
        <v>":"</v>
      </c>
      <c r="D2108" s="24">
        <v>6.2005979458241782E18</v>
      </c>
      <c r="E2108" s="9" t="str">
        <f>IFERROR(__xludf.DUMMYFUNCTION("""COMPUTED_VALUE"""),""",")</f>
        <v>",</v>
      </c>
    </row>
    <row r="2109">
      <c r="A2109" s="9" t="str">
        <f>IFERROR(__xludf.DUMMYFUNCTION("""COMPUTED_VALUE"""),"""")</f>
        <v>"</v>
      </c>
      <c r="B2109" s="9" t="s">
        <v>2118</v>
      </c>
      <c r="C2109" s="9" t="str">
        <f>IFERROR(__xludf.DUMMYFUNCTION("""COMPUTED_VALUE"""),""":""")</f>
        <v>":"</v>
      </c>
      <c r="D2109" s="24">
        <v>1.48418464581188224E18</v>
      </c>
      <c r="E2109" s="9" t="str">
        <f>IFERROR(__xludf.DUMMYFUNCTION("""COMPUTED_VALUE"""),""",")</f>
        <v>",</v>
      </c>
    </row>
    <row r="2110">
      <c r="A2110" s="9" t="str">
        <f>IFERROR(__xludf.DUMMYFUNCTION("""COMPUTED_VALUE"""),"""")</f>
        <v>"</v>
      </c>
      <c r="B2110" s="9" t="s">
        <v>2119</v>
      </c>
      <c r="C2110" s="9" t="str">
        <f>IFERROR(__xludf.DUMMYFUNCTION("""COMPUTED_VALUE"""),""":""")</f>
        <v>":"</v>
      </c>
      <c r="D2110" s="24">
        <v>2.068762915358159E19</v>
      </c>
      <c r="E2110" s="9" t="str">
        <f>IFERROR(__xludf.DUMMYFUNCTION("""COMPUTED_VALUE"""),""",")</f>
        <v>",</v>
      </c>
    </row>
    <row r="2111">
      <c r="A2111" s="9" t="str">
        <f>IFERROR(__xludf.DUMMYFUNCTION("""COMPUTED_VALUE"""),"""")</f>
        <v>"</v>
      </c>
      <c r="B2111" s="9" t="s">
        <v>2120</v>
      </c>
      <c r="C2111" s="9" t="str">
        <f>IFERROR(__xludf.DUMMYFUNCTION("""COMPUTED_VALUE"""),""":""")</f>
        <v>":"</v>
      </c>
      <c r="D2111" s="24">
        <v>4.186878115392267E19</v>
      </c>
      <c r="E2111" s="9" t="str">
        <f>IFERROR(__xludf.DUMMYFUNCTION("""COMPUTED_VALUE"""),""",")</f>
        <v>",</v>
      </c>
    </row>
    <row r="2112">
      <c r="A2112" s="9" t="str">
        <f>IFERROR(__xludf.DUMMYFUNCTION("""COMPUTED_VALUE"""),"""")</f>
        <v>"</v>
      </c>
      <c r="B2112" s="9" t="s">
        <v>2121</v>
      </c>
      <c r="C2112" s="9" t="str">
        <f>IFERROR(__xludf.DUMMYFUNCTION("""COMPUTED_VALUE"""),""":""")</f>
        <v>":"</v>
      </c>
      <c r="D2112" s="24">
        <v>2.068128636465221E19</v>
      </c>
      <c r="E2112" s="9" t="str">
        <f>IFERROR(__xludf.DUMMYFUNCTION("""COMPUTED_VALUE"""),""",")</f>
        <v>",</v>
      </c>
    </row>
    <row r="2113">
      <c r="A2113" s="9" t="str">
        <f>IFERROR(__xludf.DUMMYFUNCTION("""COMPUTED_VALUE"""),"""")</f>
        <v>"</v>
      </c>
      <c r="B2113" s="9" t="s">
        <v>2122</v>
      </c>
      <c r="C2113" s="9" t="str">
        <f>IFERROR(__xludf.DUMMYFUNCTION("""COMPUTED_VALUE"""),""":""")</f>
        <v>":"</v>
      </c>
      <c r="D2113" s="24">
        <v>5.7480112196485775E18</v>
      </c>
      <c r="E2113" s="9" t="str">
        <f>IFERROR(__xludf.DUMMYFUNCTION("""COMPUTED_VALUE"""),""",")</f>
        <v>",</v>
      </c>
    </row>
    <row r="2114">
      <c r="A2114" s="9" t="str">
        <f>IFERROR(__xludf.DUMMYFUNCTION("""COMPUTED_VALUE"""),"""")</f>
        <v>"</v>
      </c>
      <c r="B2114" s="9" t="s">
        <v>2123</v>
      </c>
      <c r="C2114" s="9" t="str">
        <f>IFERROR(__xludf.DUMMYFUNCTION("""COMPUTED_VALUE"""),""":""")</f>
        <v>":"</v>
      </c>
      <c r="D2114" s="24">
        <v>8.8416765722294886E18</v>
      </c>
      <c r="E2114" s="9" t="str">
        <f>IFERROR(__xludf.DUMMYFUNCTION("""COMPUTED_VALUE"""),""",")</f>
        <v>",</v>
      </c>
    </row>
    <row r="2115">
      <c r="A2115" s="9" t="str">
        <f>IFERROR(__xludf.DUMMYFUNCTION("""COMPUTED_VALUE"""),"""")</f>
        <v>"</v>
      </c>
      <c r="B2115" s="9" t="s">
        <v>2124</v>
      </c>
      <c r="C2115" s="9" t="str">
        <f>IFERROR(__xludf.DUMMYFUNCTION("""COMPUTED_VALUE"""),""":""")</f>
        <v>":"</v>
      </c>
      <c r="D2115" s="24">
        <v>3.4950415508446597E19</v>
      </c>
      <c r="E2115" s="9" t="str">
        <f>IFERROR(__xludf.DUMMYFUNCTION("""COMPUTED_VALUE"""),""",")</f>
        <v>",</v>
      </c>
    </row>
    <row r="2116">
      <c r="A2116" s="9" t="str">
        <f>IFERROR(__xludf.DUMMYFUNCTION("""COMPUTED_VALUE"""),"""")</f>
        <v>"</v>
      </c>
      <c r="B2116" s="9" t="s">
        <v>2125</v>
      </c>
      <c r="C2116" s="9" t="str">
        <f>IFERROR(__xludf.DUMMYFUNCTION("""COMPUTED_VALUE"""),""":""")</f>
        <v>":"</v>
      </c>
      <c r="D2116" s="24">
        <v>3.0549359971085112E18</v>
      </c>
      <c r="E2116" s="9" t="str">
        <f>IFERROR(__xludf.DUMMYFUNCTION("""COMPUTED_VALUE"""),""",")</f>
        <v>",</v>
      </c>
    </row>
    <row r="2117">
      <c r="A2117" s="9" t="str">
        <f>IFERROR(__xludf.DUMMYFUNCTION("""COMPUTED_VALUE"""),"""")</f>
        <v>"</v>
      </c>
      <c r="B2117" s="9" t="s">
        <v>2126</v>
      </c>
      <c r="C2117" s="9" t="str">
        <f>IFERROR(__xludf.DUMMYFUNCTION("""COMPUTED_VALUE"""),""":""")</f>
        <v>":"</v>
      </c>
      <c r="D2117" s="24">
        <v>6.2005979458241782E18</v>
      </c>
      <c r="E2117" s="9" t="str">
        <f>IFERROR(__xludf.DUMMYFUNCTION("""COMPUTED_VALUE"""),""",")</f>
        <v>",</v>
      </c>
    </row>
    <row r="2118">
      <c r="A2118" s="9" t="str">
        <f>IFERROR(__xludf.DUMMYFUNCTION("""COMPUTED_VALUE"""),"""")</f>
        <v>"</v>
      </c>
      <c r="B2118" s="9" t="s">
        <v>2127</v>
      </c>
      <c r="C2118" s="9" t="str">
        <f>IFERROR(__xludf.DUMMYFUNCTION("""COMPUTED_VALUE"""),""":""")</f>
        <v>":"</v>
      </c>
      <c r="D2118" s="24">
        <v>6.2005979458241782E18</v>
      </c>
      <c r="E2118" s="9" t="str">
        <f>IFERROR(__xludf.DUMMYFUNCTION("""COMPUTED_VALUE"""),""",")</f>
        <v>",</v>
      </c>
    </row>
    <row r="2119">
      <c r="A2119" s="9" t="str">
        <f>IFERROR(__xludf.DUMMYFUNCTION("""COMPUTED_VALUE"""),"""")</f>
        <v>"</v>
      </c>
      <c r="B2119" s="9" t="s">
        <v>2128</v>
      </c>
      <c r="C2119" s="9" t="str">
        <f>IFERROR(__xludf.DUMMYFUNCTION("""COMPUTED_VALUE"""),""":""")</f>
        <v>":"</v>
      </c>
      <c r="D2119" s="24">
        <v>6.2005979458241782E18</v>
      </c>
      <c r="E2119" s="9" t="str">
        <f>IFERROR(__xludf.DUMMYFUNCTION("""COMPUTED_VALUE"""),""",")</f>
        <v>",</v>
      </c>
    </row>
    <row r="2120">
      <c r="A2120" s="9" t="str">
        <f>IFERROR(__xludf.DUMMYFUNCTION("""COMPUTED_VALUE"""),"""")</f>
        <v>"</v>
      </c>
      <c r="B2120" s="9" t="s">
        <v>2129</v>
      </c>
      <c r="C2120" s="9" t="str">
        <f>IFERROR(__xludf.DUMMYFUNCTION("""COMPUTED_VALUE"""),""":""")</f>
        <v>":"</v>
      </c>
      <c r="D2120" s="24">
        <v>6.2005979458241782E18</v>
      </c>
      <c r="E2120" s="9" t="str">
        <f>IFERROR(__xludf.DUMMYFUNCTION("""COMPUTED_VALUE"""),""",")</f>
        <v>",</v>
      </c>
    </row>
    <row r="2121">
      <c r="A2121" s="9" t="str">
        <f>IFERROR(__xludf.DUMMYFUNCTION("""COMPUTED_VALUE"""),"""")</f>
        <v>"</v>
      </c>
      <c r="B2121" s="9" t="s">
        <v>2130</v>
      </c>
      <c r="C2121" s="9" t="str">
        <f>IFERROR(__xludf.DUMMYFUNCTION("""COMPUTED_VALUE"""),""":""")</f>
        <v>":"</v>
      </c>
      <c r="D2121" s="24">
        <v>2.0248888511809958E19</v>
      </c>
      <c r="E2121" s="9" t="str">
        <f>IFERROR(__xludf.DUMMYFUNCTION("""COMPUTED_VALUE"""),""",")</f>
        <v>",</v>
      </c>
    </row>
    <row r="2122">
      <c r="A2122" s="9" t="str">
        <f>IFERROR(__xludf.DUMMYFUNCTION("""COMPUTED_VALUE"""),"""")</f>
        <v>"</v>
      </c>
      <c r="B2122" s="9" t="s">
        <v>2131</v>
      </c>
      <c r="C2122" s="9" t="str">
        <f>IFERROR(__xludf.DUMMYFUNCTION("""COMPUTED_VALUE"""),""":""")</f>
        <v>":"</v>
      </c>
      <c r="D2122" s="24">
        <v>6.2005979458241782E18</v>
      </c>
      <c r="E2122" s="9" t="str">
        <f>IFERROR(__xludf.DUMMYFUNCTION("""COMPUTED_VALUE"""),""",")</f>
        <v>",</v>
      </c>
    </row>
    <row r="2123">
      <c r="A2123" s="9" t="str">
        <f>IFERROR(__xludf.DUMMYFUNCTION("""COMPUTED_VALUE"""),"""")</f>
        <v>"</v>
      </c>
      <c r="B2123" s="9" t="s">
        <v>2132</v>
      </c>
      <c r="C2123" s="9" t="str">
        <f>IFERROR(__xludf.DUMMYFUNCTION("""COMPUTED_VALUE"""),""":""")</f>
        <v>":"</v>
      </c>
      <c r="D2123" s="24">
        <v>6.0707831423687557E18</v>
      </c>
      <c r="E2123" s="9" t="str">
        <f>IFERROR(__xludf.DUMMYFUNCTION("""COMPUTED_VALUE"""),""",")</f>
        <v>",</v>
      </c>
    </row>
    <row r="2124">
      <c r="A2124" s="9" t="str">
        <f>IFERROR(__xludf.DUMMYFUNCTION("""COMPUTED_VALUE"""),"""")</f>
        <v>"</v>
      </c>
      <c r="B2124" s="9" t="s">
        <v>2133</v>
      </c>
      <c r="C2124" s="9" t="str">
        <f>IFERROR(__xludf.DUMMYFUNCTION("""COMPUTED_VALUE"""),""":""")</f>
        <v>":"</v>
      </c>
      <c r="D2124" s="24">
        <v>6.2005979458241782E18</v>
      </c>
      <c r="E2124" s="9" t="str">
        <f>IFERROR(__xludf.DUMMYFUNCTION("""COMPUTED_VALUE"""),""",")</f>
        <v>",</v>
      </c>
    </row>
    <row r="2125">
      <c r="A2125" s="9" t="str">
        <f>IFERROR(__xludf.DUMMYFUNCTION("""COMPUTED_VALUE"""),"""")</f>
        <v>"</v>
      </c>
      <c r="B2125" s="9" t="s">
        <v>2134</v>
      </c>
      <c r="C2125" s="9" t="str">
        <f>IFERROR(__xludf.DUMMYFUNCTION("""COMPUTED_VALUE"""),""":""")</f>
        <v>":"</v>
      </c>
      <c r="D2125" s="24">
        <v>2.0248888511809958E19</v>
      </c>
      <c r="E2125" s="9" t="str">
        <f>IFERROR(__xludf.DUMMYFUNCTION("""COMPUTED_VALUE"""),""",")</f>
        <v>",</v>
      </c>
    </row>
    <row r="2126">
      <c r="A2126" s="9" t="str">
        <f>IFERROR(__xludf.DUMMYFUNCTION("""COMPUTED_VALUE"""),"""")</f>
        <v>"</v>
      </c>
      <c r="B2126" s="9" t="s">
        <v>2135</v>
      </c>
      <c r="C2126" s="9" t="str">
        <f>IFERROR(__xludf.DUMMYFUNCTION("""COMPUTED_VALUE"""),""":""")</f>
        <v>":"</v>
      </c>
      <c r="D2126" s="24">
        <v>6.2005979458241782E18</v>
      </c>
      <c r="E2126" s="9" t="str">
        <f>IFERROR(__xludf.DUMMYFUNCTION("""COMPUTED_VALUE"""),""",")</f>
        <v>",</v>
      </c>
    </row>
    <row r="2127">
      <c r="A2127" s="9" t="str">
        <f>IFERROR(__xludf.DUMMYFUNCTION("""COMPUTED_VALUE"""),"""")</f>
        <v>"</v>
      </c>
      <c r="B2127" s="9" t="s">
        <v>2136</v>
      </c>
      <c r="C2127" s="9" t="str">
        <f>IFERROR(__xludf.DUMMYFUNCTION("""COMPUTED_VALUE"""),""":""")</f>
        <v>":"</v>
      </c>
      <c r="D2127" s="24">
        <v>6.2005979458241782E18</v>
      </c>
      <c r="E2127" s="9" t="str">
        <f>IFERROR(__xludf.DUMMYFUNCTION("""COMPUTED_VALUE"""),""",")</f>
        <v>",</v>
      </c>
    </row>
    <row r="2128">
      <c r="A2128" s="9" t="str">
        <f>IFERROR(__xludf.DUMMYFUNCTION("""COMPUTED_VALUE"""),"""")</f>
        <v>"</v>
      </c>
      <c r="B2128" s="9" t="s">
        <v>2137</v>
      </c>
      <c r="C2128" s="9" t="str">
        <f>IFERROR(__xludf.DUMMYFUNCTION("""COMPUTED_VALUE"""),""":""")</f>
        <v>":"</v>
      </c>
      <c r="D2128" s="24">
        <v>2.0248888511809958E19</v>
      </c>
      <c r="E2128" s="9" t="str">
        <f>IFERROR(__xludf.DUMMYFUNCTION("""COMPUTED_VALUE"""),""",")</f>
        <v>",</v>
      </c>
    </row>
    <row r="2129">
      <c r="A2129" s="9" t="str">
        <f>IFERROR(__xludf.DUMMYFUNCTION("""COMPUTED_VALUE"""),"""")</f>
        <v>"</v>
      </c>
      <c r="B2129" s="9" t="s">
        <v>2138</v>
      </c>
      <c r="C2129" s="9" t="str">
        <f>IFERROR(__xludf.DUMMYFUNCTION("""COMPUTED_VALUE"""),""":""")</f>
        <v>":"</v>
      </c>
      <c r="D2129" s="24">
        <v>2.0248888511809958E19</v>
      </c>
      <c r="E2129" s="9" t="str">
        <f>IFERROR(__xludf.DUMMYFUNCTION("""COMPUTED_VALUE"""),""",")</f>
        <v>",</v>
      </c>
    </row>
    <row r="2130">
      <c r="A2130" s="9" t="str">
        <f>IFERROR(__xludf.DUMMYFUNCTION("""COMPUTED_VALUE"""),"""")</f>
        <v>"</v>
      </c>
      <c r="B2130" s="9" t="s">
        <v>2139</v>
      </c>
      <c r="C2130" s="9" t="str">
        <f>IFERROR(__xludf.DUMMYFUNCTION("""COMPUTED_VALUE"""),""":""")</f>
        <v>":"</v>
      </c>
      <c r="D2130" s="24">
        <v>6.2005979458241782E18</v>
      </c>
      <c r="E2130" s="9" t="str">
        <f>IFERROR(__xludf.DUMMYFUNCTION("""COMPUTED_VALUE"""),""",")</f>
        <v>",</v>
      </c>
    </row>
    <row r="2131">
      <c r="A2131" s="9" t="str">
        <f>IFERROR(__xludf.DUMMYFUNCTION("""COMPUTED_VALUE"""),"""")</f>
        <v>"</v>
      </c>
      <c r="B2131" s="9" t="s">
        <v>2140</v>
      </c>
      <c r="C2131" s="9" t="str">
        <f>IFERROR(__xludf.DUMMYFUNCTION("""COMPUTED_VALUE"""),""":""")</f>
        <v>":"</v>
      </c>
      <c r="D2131" s="24">
        <v>6.2005979458241782E18</v>
      </c>
      <c r="E2131" s="9" t="str">
        <f>IFERROR(__xludf.DUMMYFUNCTION("""COMPUTED_VALUE"""),""",")</f>
        <v>",</v>
      </c>
    </row>
    <row r="2132">
      <c r="A2132" s="9" t="str">
        <f>IFERROR(__xludf.DUMMYFUNCTION("""COMPUTED_VALUE"""),"""")</f>
        <v>"</v>
      </c>
      <c r="B2132" s="9" t="s">
        <v>2141</v>
      </c>
      <c r="C2132" s="9" t="str">
        <f>IFERROR(__xludf.DUMMYFUNCTION("""COMPUTED_VALUE"""),""":""")</f>
        <v>":"</v>
      </c>
      <c r="D2132" s="24">
        <v>2.0248888511809958E19</v>
      </c>
      <c r="E2132" s="9" t="str">
        <f>IFERROR(__xludf.DUMMYFUNCTION("""COMPUTED_VALUE"""),""",")</f>
        <v>",</v>
      </c>
    </row>
    <row r="2133">
      <c r="A2133" s="9" t="str">
        <f>IFERROR(__xludf.DUMMYFUNCTION("""COMPUTED_VALUE"""),"""")</f>
        <v>"</v>
      </c>
      <c r="B2133" s="9" t="s">
        <v>2142</v>
      </c>
      <c r="C2133" s="9" t="str">
        <f>IFERROR(__xludf.DUMMYFUNCTION("""COMPUTED_VALUE"""),""":""")</f>
        <v>":"</v>
      </c>
      <c r="D2133" s="24">
        <v>6.2005979458241782E18</v>
      </c>
      <c r="E2133" s="9" t="str">
        <f>IFERROR(__xludf.DUMMYFUNCTION("""COMPUTED_VALUE"""),""",")</f>
        <v>",</v>
      </c>
    </row>
    <row r="2134">
      <c r="A2134" s="9" t="str">
        <f>IFERROR(__xludf.DUMMYFUNCTION("""COMPUTED_VALUE"""),"""")</f>
        <v>"</v>
      </c>
      <c r="B2134" s="9" t="s">
        <v>2143</v>
      </c>
      <c r="C2134" s="9" t="str">
        <f>IFERROR(__xludf.DUMMYFUNCTION("""COMPUTED_VALUE"""),""":""")</f>
        <v>":"</v>
      </c>
      <c r="D2134" s="24">
        <v>2.198557124796558E19</v>
      </c>
      <c r="E2134" s="9" t="str">
        <f>IFERROR(__xludf.DUMMYFUNCTION("""COMPUTED_VALUE"""),""",")</f>
        <v>",</v>
      </c>
    </row>
    <row r="2135">
      <c r="A2135" s="9" t="str">
        <f>IFERROR(__xludf.DUMMYFUNCTION("""COMPUTED_VALUE"""),"""")</f>
        <v>"</v>
      </c>
      <c r="B2135" s="9" t="s">
        <v>2144</v>
      </c>
      <c r="C2135" s="9" t="str">
        <f>IFERROR(__xludf.DUMMYFUNCTION("""COMPUTED_VALUE"""),""":""")</f>
        <v>":"</v>
      </c>
      <c r="D2135" s="24">
        <v>6.2005979458241782E18</v>
      </c>
      <c r="E2135" s="9" t="str">
        <f>IFERROR(__xludf.DUMMYFUNCTION("""COMPUTED_VALUE"""),""",")</f>
        <v>",</v>
      </c>
    </row>
    <row r="2136">
      <c r="A2136" s="9" t="str">
        <f>IFERROR(__xludf.DUMMYFUNCTION("""COMPUTED_VALUE"""),"""")</f>
        <v>"</v>
      </c>
      <c r="B2136" s="9" t="s">
        <v>2145</v>
      </c>
      <c r="C2136" s="9" t="str">
        <f>IFERROR(__xludf.DUMMYFUNCTION("""COMPUTED_VALUE"""),""":""")</f>
        <v>":"</v>
      </c>
      <c r="D2136" s="24">
        <v>6.2005979458241782E18</v>
      </c>
      <c r="E2136" s="9" t="str">
        <f>IFERROR(__xludf.DUMMYFUNCTION("""COMPUTED_VALUE"""),""",")</f>
        <v>",</v>
      </c>
    </row>
    <row r="2137">
      <c r="A2137" s="9" t="str">
        <f>IFERROR(__xludf.DUMMYFUNCTION("""COMPUTED_VALUE"""),"""")</f>
        <v>"</v>
      </c>
      <c r="B2137" s="9" t="s">
        <v>2146</v>
      </c>
      <c r="C2137" s="9" t="str">
        <f>IFERROR(__xludf.DUMMYFUNCTION("""COMPUTED_VALUE"""),""":""")</f>
        <v>":"</v>
      </c>
      <c r="D2137" s="24">
        <v>6.2005979458241782E18</v>
      </c>
      <c r="E2137" s="9" t="str">
        <f>IFERROR(__xludf.DUMMYFUNCTION("""COMPUTED_VALUE"""),""",")</f>
        <v>",</v>
      </c>
    </row>
    <row r="2138">
      <c r="A2138" s="9" t="str">
        <f>IFERROR(__xludf.DUMMYFUNCTION("""COMPUTED_VALUE"""),"""")</f>
        <v>"</v>
      </c>
      <c r="B2138" s="9" t="s">
        <v>2147</v>
      </c>
      <c r="C2138" s="9" t="str">
        <f>IFERROR(__xludf.DUMMYFUNCTION("""COMPUTED_VALUE"""),""":""")</f>
        <v>":"</v>
      </c>
      <c r="D2138" s="24">
        <v>5.913878730599978E18</v>
      </c>
      <c r="E2138" s="9" t="str">
        <f>IFERROR(__xludf.DUMMYFUNCTION("""COMPUTED_VALUE"""),""",")</f>
        <v>",</v>
      </c>
    </row>
    <row r="2139">
      <c r="A2139" s="9" t="str">
        <f>IFERROR(__xludf.DUMMYFUNCTION("""COMPUTED_VALUE"""),"""")</f>
        <v>"</v>
      </c>
      <c r="B2139" s="9" t="s">
        <v>2148</v>
      </c>
      <c r="C2139" s="9" t="str">
        <f>IFERROR(__xludf.DUMMYFUNCTION("""COMPUTED_VALUE"""),""":""")</f>
        <v>":"</v>
      </c>
      <c r="D2139" s="24">
        <v>2.0248888511809958E19</v>
      </c>
      <c r="E2139" s="9" t="str">
        <f>IFERROR(__xludf.DUMMYFUNCTION("""COMPUTED_VALUE"""),""",")</f>
        <v>",</v>
      </c>
    </row>
    <row r="2140">
      <c r="A2140" s="9" t="str">
        <f>IFERROR(__xludf.DUMMYFUNCTION("""COMPUTED_VALUE"""),"""")</f>
        <v>"</v>
      </c>
      <c r="B2140" s="9" t="s">
        <v>2149</v>
      </c>
      <c r="C2140" s="9" t="str">
        <f>IFERROR(__xludf.DUMMYFUNCTION("""COMPUTED_VALUE"""),""":""")</f>
        <v>":"</v>
      </c>
      <c r="D2140" s="24">
        <v>6.2005979458241782E18</v>
      </c>
      <c r="E2140" s="9" t="str">
        <f>IFERROR(__xludf.DUMMYFUNCTION("""COMPUTED_VALUE"""),""",")</f>
        <v>",</v>
      </c>
    </row>
    <row r="2141">
      <c r="A2141" s="9" t="str">
        <f>IFERROR(__xludf.DUMMYFUNCTION("""COMPUTED_VALUE"""),"""")</f>
        <v>"</v>
      </c>
      <c r="B2141" s="9" t="s">
        <v>2150</v>
      </c>
      <c r="C2141" s="9" t="str">
        <f>IFERROR(__xludf.DUMMYFUNCTION("""COMPUTED_VALUE"""),""":""")</f>
        <v>":"</v>
      </c>
      <c r="D2141" s="24">
        <v>2.025657136321897E19</v>
      </c>
      <c r="E2141" s="9" t="str">
        <f>IFERROR(__xludf.DUMMYFUNCTION("""COMPUTED_VALUE"""),""",")</f>
        <v>",</v>
      </c>
    </row>
    <row r="2142">
      <c r="A2142" s="9" t="str">
        <f>IFERROR(__xludf.DUMMYFUNCTION("""COMPUTED_VALUE"""),"""")</f>
        <v>"</v>
      </c>
      <c r="B2142" s="9" t="s">
        <v>2151</v>
      </c>
      <c r="C2142" s="9" t="str">
        <f>IFERROR(__xludf.DUMMYFUNCTION("""COMPUTED_VALUE"""),""":""")</f>
        <v>":"</v>
      </c>
      <c r="D2142" s="24">
        <v>3.141103101456E18</v>
      </c>
      <c r="E2142" s="9" t="str">
        <f>IFERROR(__xludf.DUMMYFUNCTION("""COMPUTED_VALUE"""),""",")</f>
        <v>",</v>
      </c>
    </row>
    <row r="2143">
      <c r="A2143" s="9" t="str">
        <f>IFERROR(__xludf.DUMMYFUNCTION("""COMPUTED_VALUE"""),"""")</f>
        <v>"</v>
      </c>
      <c r="B2143" s="9" t="s">
        <v>2152</v>
      </c>
      <c r="C2143" s="9" t="str">
        <f>IFERROR(__xludf.DUMMYFUNCTION("""COMPUTED_VALUE"""),""":""")</f>
        <v>":"</v>
      </c>
      <c r="D2143" s="24">
        <v>1.181991417221849E19</v>
      </c>
      <c r="E2143" s="9" t="str">
        <f>IFERROR(__xludf.DUMMYFUNCTION("""COMPUTED_VALUE"""),""",")</f>
        <v>",</v>
      </c>
    </row>
    <row r="2144">
      <c r="A2144" s="9" t="str">
        <f>IFERROR(__xludf.DUMMYFUNCTION("""COMPUTED_VALUE"""),"""")</f>
        <v>"</v>
      </c>
      <c r="B2144" s="9" t="s">
        <v>2153</v>
      </c>
      <c r="C2144" s="9" t="str">
        <f>IFERROR(__xludf.DUMMYFUNCTION("""COMPUTED_VALUE"""),""":""")</f>
        <v>":"</v>
      </c>
      <c r="D2144" s="24">
        <v>6.2005979458241782E18</v>
      </c>
      <c r="E2144" s="9" t="str">
        <f>IFERROR(__xludf.DUMMYFUNCTION("""COMPUTED_VALUE"""),""",")</f>
        <v>",</v>
      </c>
    </row>
    <row r="2145">
      <c r="A2145" s="9" t="str">
        <f>IFERROR(__xludf.DUMMYFUNCTION("""COMPUTED_VALUE"""),"""")</f>
        <v>"</v>
      </c>
      <c r="B2145" s="9" t="s">
        <v>2154</v>
      </c>
      <c r="C2145" s="9" t="str">
        <f>IFERROR(__xludf.DUMMYFUNCTION("""COMPUTED_VALUE"""),""":""")</f>
        <v>":"</v>
      </c>
      <c r="D2145" s="24">
        <v>2.0248888511809958E19</v>
      </c>
      <c r="E2145" s="9" t="str">
        <f>IFERROR(__xludf.DUMMYFUNCTION("""COMPUTED_VALUE"""),""",")</f>
        <v>",</v>
      </c>
    </row>
    <row r="2146">
      <c r="A2146" s="9" t="str">
        <f>IFERROR(__xludf.DUMMYFUNCTION("""COMPUTED_VALUE"""),"""")</f>
        <v>"</v>
      </c>
      <c r="B2146" s="9" t="s">
        <v>2155</v>
      </c>
      <c r="C2146" s="9" t="str">
        <f>IFERROR(__xludf.DUMMYFUNCTION("""COMPUTED_VALUE"""),""":""")</f>
        <v>":"</v>
      </c>
      <c r="D2146" s="24">
        <v>5.6214958055135119E18</v>
      </c>
      <c r="E2146" s="9" t="str">
        <f>IFERROR(__xludf.DUMMYFUNCTION("""COMPUTED_VALUE"""),""",")</f>
        <v>",</v>
      </c>
    </row>
    <row r="2147">
      <c r="A2147" s="9" t="str">
        <f>IFERROR(__xludf.DUMMYFUNCTION("""COMPUTED_VALUE"""),"""")</f>
        <v>"</v>
      </c>
      <c r="B2147" s="9" t="s">
        <v>2156</v>
      </c>
      <c r="C2147" s="9" t="str">
        <f>IFERROR(__xludf.DUMMYFUNCTION("""COMPUTED_VALUE"""),""":""")</f>
        <v>":"</v>
      </c>
      <c r="D2147" s="24">
        <v>2.0248888511809958E19</v>
      </c>
      <c r="E2147" s="9" t="str">
        <f>IFERROR(__xludf.DUMMYFUNCTION("""COMPUTED_VALUE"""),""",")</f>
        <v>",</v>
      </c>
    </row>
    <row r="2148">
      <c r="A2148" s="9" t="str">
        <f>IFERROR(__xludf.DUMMYFUNCTION("""COMPUTED_VALUE"""),"""")</f>
        <v>"</v>
      </c>
      <c r="B2148" s="9" t="s">
        <v>2157</v>
      </c>
      <c r="C2148" s="9" t="str">
        <f>IFERROR(__xludf.DUMMYFUNCTION("""COMPUTED_VALUE"""),""":""")</f>
        <v>":"</v>
      </c>
      <c r="D2148" s="24">
        <v>7.1214334835015455E18</v>
      </c>
      <c r="E2148" s="9" t="str">
        <f>IFERROR(__xludf.DUMMYFUNCTION("""COMPUTED_VALUE"""),""",")</f>
        <v>",</v>
      </c>
    </row>
    <row r="2149">
      <c r="A2149" s="9" t="str">
        <f>IFERROR(__xludf.DUMMYFUNCTION("""COMPUTED_VALUE"""),"""")</f>
        <v>"</v>
      </c>
      <c r="B2149" s="9" t="s">
        <v>2158</v>
      </c>
      <c r="C2149" s="9" t="str">
        <f>IFERROR(__xludf.DUMMYFUNCTION("""COMPUTED_VALUE"""),""":""")</f>
        <v>":"</v>
      </c>
      <c r="D2149" s="24">
        <v>2.0248888511809958E19</v>
      </c>
      <c r="E2149" s="9" t="str">
        <f>IFERROR(__xludf.DUMMYFUNCTION("""COMPUTED_VALUE"""),""",")</f>
        <v>",</v>
      </c>
    </row>
    <row r="2150">
      <c r="A2150" s="9" t="str">
        <f>IFERROR(__xludf.DUMMYFUNCTION("""COMPUTED_VALUE"""),"""")</f>
        <v>"</v>
      </c>
      <c r="B2150" s="9" t="s">
        <v>2159</v>
      </c>
      <c r="C2150" s="9" t="str">
        <f>IFERROR(__xludf.DUMMYFUNCTION("""COMPUTED_VALUE"""),""":""")</f>
        <v>":"</v>
      </c>
      <c r="D2150" s="24">
        <v>6.2005979458241782E18</v>
      </c>
      <c r="E2150" s="9" t="str">
        <f>IFERROR(__xludf.DUMMYFUNCTION("""COMPUTED_VALUE"""),""",")</f>
        <v>",</v>
      </c>
    </row>
    <row r="2151">
      <c r="A2151" s="9" t="str">
        <f>IFERROR(__xludf.DUMMYFUNCTION("""COMPUTED_VALUE"""),"""")</f>
        <v>"</v>
      </c>
      <c r="B2151" s="9" t="s">
        <v>2160</v>
      </c>
      <c r="C2151" s="9" t="str">
        <f>IFERROR(__xludf.DUMMYFUNCTION("""COMPUTED_VALUE"""),""":""")</f>
        <v>":"</v>
      </c>
      <c r="D2151" s="24">
        <v>6.2005979458241782E18</v>
      </c>
      <c r="E2151" s="9" t="str">
        <f>IFERROR(__xludf.DUMMYFUNCTION("""COMPUTED_VALUE"""),""",")</f>
        <v>",</v>
      </c>
    </row>
    <row r="2152">
      <c r="A2152" s="9" t="str">
        <f>IFERROR(__xludf.DUMMYFUNCTION("""COMPUTED_VALUE"""),"""")</f>
        <v>"</v>
      </c>
      <c r="B2152" s="9" t="s">
        <v>2161</v>
      </c>
      <c r="C2152" s="9" t="str">
        <f>IFERROR(__xludf.DUMMYFUNCTION("""COMPUTED_VALUE"""),""":""")</f>
        <v>":"</v>
      </c>
      <c r="D2152" s="24">
        <v>6.2005979458241782E18</v>
      </c>
      <c r="E2152" s="9" t="str">
        <f>IFERROR(__xludf.DUMMYFUNCTION("""COMPUTED_VALUE"""),""",")</f>
        <v>",</v>
      </c>
    </row>
    <row r="2153">
      <c r="A2153" s="9" t="str">
        <f>IFERROR(__xludf.DUMMYFUNCTION("""COMPUTED_VALUE"""),"""")</f>
        <v>"</v>
      </c>
      <c r="B2153" s="9" t="s">
        <v>2162</v>
      </c>
      <c r="C2153" s="9" t="str">
        <f>IFERROR(__xludf.DUMMYFUNCTION("""COMPUTED_VALUE"""),""":""")</f>
        <v>":"</v>
      </c>
      <c r="D2153" s="24">
        <v>2.2843275628863468E19</v>
      </c>
      <c r="E2153" s="9" t="str">
        <f>IFERROR(__xludf.DUMMYFUNCTION("""COMPUTED_VALUE"""),""",")</f>
        <v>",</v>
      </c>
    </row>
    <row r="2154">
      <c r="A2154" s="9" t="str">
        <f>IFERROR(__xludf.DUMMYFUNCTION("""COMPUTED_VALUE"""),"""")</f>
        <v>"</v>
      </c>
      <c r="B2154" s="9" t="s">
        <v>2163</v>
      </c>
      <c r="C2154" s="9" t="str">
        <f>IFERROR(__xludf.DUMMYFUNCTION("""COMPUTED_VALUE"""),""":""")</f>
        <v>":"</v>
      </c>
      <c r="D2154" s="24">
        <v>2.0248888511809958E19</v>
      </c>
      <c r="E2154" s="9" t="str">
        <f>IFERROR(__xludf.DUMMYFUNCTION("""COMPUTED_VALUE"""),""",")</f>
        <v>",</v>
      </c>
    </row>
    <row r="2155">
      <c r="A2155" s="9" t="str">
        <f>IFERROR(__xludf.DUMMYFUNCTION("""COMPUTED_VALUE"""),"""")</f>
        <v>"</v>
      </c>
      <c r="B2155" s="9" t="s">
        <v>2164</v>
      </c>
      <c r="C2155" s="9" t="str">
        <f>IFERROR(__xludf.DUMMYFUNCTION("""COMPUTED_VALUE"""),""":""")</f>
        <v>":"</v>
      </c>
      <c r="D2155" s="24">
        <v>2.068128636465221E19</v>
      </c>
      <c r="E2155" s="9" t="str">
        <f>IFERROR(__xludf.DUMMYFUNCTION("""COMPUTED_VALUE"""),""",")</f>
        <v>",</v>
      </c>
    </row>
    <row r="2156">
      <c r="A2156" s="9" t="str">
        <f>IFERROR(__xludf.DUMMYFUNCTION("""COMPUTED_VALUE"""),"""")</f>
        <v>"</v>
      </c>
      <c r="B2156" s="9" t="s">
        <v>2165</v>
      </c>
      <c r="C2156" s="9" t="str">
        <f>IFERROR(__xludf.DUMMYFUNCTION("""COMPUTED_VALUE"""),""":""")</f>
        <v>":"</v>
      </c>
      <c r="D2156" s="24">
        <v>2.0248888511809958E19</v>
      </c>
      <c r="E2156" s="9" t="str">
        <f>IFERROR(__xludf.DUMMYFUNCTION("""COMPUTED_VALUE"""),""",")</f>
        <v>",</v>
      </c>
    </row>
    <row r="2157">
      <c r="A2157" s="9" t="str">
        <f>IFERROR(__xludf.DUMMYFUNCTION("""COMPUTED_VALUE"""),"""")</f>
        <v>"</v>
      </c>
      <c r="B2157" s="9" t="s">
        <v>2166</v>
      </c>
      <c r="C2157" s="9" t="str">
        <f>IFERROR(__xludf.DUMMYFUNCTION("""COMPUTED_VALUE"""),""":""")</f>
        <v>":"</v>
      </c>
      <c r="D2157" s="24">
        <v>2.2952944928746108E20</v>
      </c>
      <c r="E2157" s="9" t="str">
        <f>IFERROR(__xludf.DUMMYFUNCTION("""COMPUTED_VALUE"""),""",")</f>
        <v>",</v>
      </c>
    </row>
    <row r="2158">
      <c r="A2158" s="9" t="str">
        <f>IFERROR(__xludf.DUMMYFUNCTION("""COMPUTED_VALUE"""),"""")</f>
        <v>"</v>
      </c>
      <c r="B2158" s="9" t="s">
        <v>2167</v>
      </c>
      <c r="C2158" s="9" t="str">
        <f>IFERROR(__xludf.DUMMYFUNCTION("""COMPUTED_VALUE"""),""":""")</f>
        <v>":"</v>
      </c>
      <c r="D2158" s="24">
        <v>2.0248888511809958E19</v>
      </c>
      <c r="E2158" s="9" t="str">
        <f>IFERROR(__xludf.DUMMYFUNCTION("""COMPUTED_VALUE"""),""",")</f>
        <v>",</v>
      </c>
    </row>
    <row r="2159">
      <c r="A2159" s="9" t="str">
        <f>IFERROR(__xludf.DUMMYFUNCTION("""COMPUTED_VALUE"""),"""")</f>
        <v>"</v>
      </c>
      <c r="B2159" s="9" t="s">
        <v>2168</v>
      </c>
      <c r="C2159" s="9" t="str">
        <f>IFERROR(__xludf.DUMMYFUNCTION("""COMPUTED_VALUE"""),""":""")</f>
        <v>":"</v>
      </c>
      <c r="D2159" s="24">
        <v>6.1749866390139781E18</v>
      </c>
      <c r="E2159" s="9" t="str">
        <f>IFERROR(__xludf.DUMMYFUNCTION("""COMPUTED_VALUE"""),""",")</f>
        <v>",</v>
      </c>
    </row>
    <row r="2160">
      <c r="A2160" s="9" t="str">
        <f>IFERROR(__xludf.DUMMYFUNCTION("""COMPUTED_VALUE"""),"""")</f>
        <v>"</v>
      </c>
      <c r="B2160" s="9" t="s">
        <v>2169</v>
      </c>
      <c r="C2160" s="9" t="str">
        <f>IFERROR(__xludf.DUMMYFUNCTION("""COMPUTED_VALUE"""),""":""")</f>
        <v>":"</v>
      </c>
      <c r="D2160" s="24">
        <v>6.2005979458241782E18</v>
      </c>
      <c r="E2160" s="9" t="str">
        <f>IFERROR(__xludf.DUMMYFUNCTION("""COMPUTED_VALUE"""),""",")</f>
        <v>",</v>
      </c>
    </row>
    <row r="2161">
      <c r="A2161" s="9" t="str">
        <f>IFERROR(__xludf.DUMMYFUNCTION("""COMPUTED_VALUE"""),"""")</f>
        <v>"</v>
      </c>
      <c r="B2161" s="9" t="s">
        <v>2170</v>
      </c>
      <c r="C2161" s="9" t="str">
        <f>IFERROR(__xludf.DUMMYFUNCTION("""COMPUTED_VALUE"""),""":""")</f>
        <v>":"</v>
      </c>
      <c r="D2161" s="24">
        <v>3.3243050476083333E18</v>
      </c>
      <c r="E2161" s="9" t="str">
        <f>IFERROR(__xludf.DUMMYFUNCTION("""COMPUTED_VALUE"""),""",")</f>
        <v>",</v>
      </c>
    </row>
    <row r="2162">
      <c r="A2162" s="9" t="str">
        <f>IFERROR(__xludf.DUMMYFUNCTION("""COMPUTED_VALUE"""),"""")</f>
        <v>"</v>
      </c>
      <c r="B2162" s="9" t="s">
        <v>2171</v>
      </c>
      <c r="C2162" s="9" t="str">
        <f>IFERROR(__xludf.DUMMYFUNCTION("""COMPUTED_VALUE"""),""":""")</f>
        <v>":"</v>
      </c>
      <c r="D2162" s="24">
        <v>6.2005979458241782E18</v>
      </c>
      <c r="E2162" s="9" t="str">
        <f>IFERROR(__xludf.DUMMYFUNCTION("""COMPUTED_VALUE"""),""",")</f>
        <v>",</v>
      </c>
    </row>
    <row r="2163">
      <c r="A2163" s="9" t="str">
        <f>IFERROR(__xludf.DUMMYFUNCTION("""COMPUTED_VALUE"""),"""")</f>
        <v>"</v>
      </c>
      <c r="B2163" s="9" t="s">
        <v>2172</v>
      </c>
      <c r="C2163" s="9" t="str">
        <f>IFERROR(__xludf.DUMMYFUNCTION("""COMPUTED_VALUE"""),""":""")</f>
        <v>":"</v>
      </c>
      <c r="D2163" s="24">
        <v>6.2005979458241782E18</v>
      </c>
      <c r="E2163" s="9" t="str">
        <f>IFERROR(__xludf.DUMMYFUNCTION("""COMPUTED_VALUE"""),""",")</f>
        <v>",</v>
      </c>
    </row>
    <row r="2164">
      <c r="A2164" s="9" t="str">
        <f>IFERROR(__xludf.DUMMYFUNCTION("""COMPUTED_VALUE"""),"""")</f>
        <v>"</v>
      </c>
      <c r="B2164" s="9" t="s">
        <v>2173</v>
      </c>
      <c r="C2164" s="9" t="str">
        <f>IFERROR(__xludf.DUMMYFUNCTION("""COMPUTED_VALUE"""),""":""")</f>
        <v>":"</v>
      </c>
      <c r="D2164" s="24">
        <v>6.2005979458241782E18</v>
      </c>
      <c r="E2164" s="9" t="str">
        <f>IFERROR(__xludf.DUMMYFUNCTION("""COMPUTED_VALUE"""),""",")</f>
        <v>",</v>
      </c>
    </row>
    <row r="2165">
      <c r="A2165" s="9" t="str">
        <f>IFERROR(__xludf.DUMMYFUNCTION("""COMPUTED_VALUE"""),"""")</f>
        <v>"</v>
      </c>
      <c r="B2165" s="9" t="s">
        <v>2174</v>
      </c>
      <c r="C2165" s="9" t="str">
        <f>IFERROR(__xludf.DUMMYFUNCTION("""COMPUTED_VALUE"""),""":""")</f>
        <v>":"</v>
      </c>
      <c r="D2165" s="24">
        <v>6.2005979458241782E18</v>
      </c>
      <c r="E2165" s="9" t="str">
        <f>IFERROR(__xludf.DUMMYFUNCTION("""COMPUTED_VALUE"""),""",")</f>
        <v>",</v>
      </c>
    </row>
    <row r="2166">
      <c r="A2166" s="9" t="str">
        <f>IFERROR(__xludf.DUMMYFUNCTION("""COMPUTED_VALUE"""),"""")</f>
        <v>"</v>
      </c>
      <c r="B2166" s="9" t="s">
        <v>2175</v>
      </c>
      <c r="C2166" s="9" t="str">
        <f>IFERROR(__xludf.DUMMYFUNCTION("""COMPUTED_VALUE"""),""":""")</f>
        <v>":"</v>
      </c>
      <c r="D2166" s="24">
        <v>1.7994429650778536E19</v>
      </c>
      <c r="E2166" s="9" t="str">
        <f>IFERROR(__xludf.DUMMYFUNCTION("""COMPUTED_VALUE"""),""",")</f>
        <v>",</v>
      </c>
    </row>
    <row r="2167">
      <c r="A2167" s="9" t="str">
        <f>IFERROR(__xludf.DUMMYFUNCTION("""COMPUTED_VALUE"""),"""")</f>
        <v>"</v>
      </c>
      <c r="B2167" s="9" t="s">
        <v>2176</v>
      </c>
      <c r="C2167" s="9" t="str">
        <f>IFERROR(__xludf.DUMMYFUNCTION("""COMPUTED_VALUE"""),""":""")</f>
        <v>":"</v>
      </c>
      <c r="D2167" s="24">
        <v>4.6852347572031775E18</v>
      </c>
      <c r="E2167" s="9" t="str">
        <f>IFERROR(__xludf.DUMMYFUNCTION("""COMPUTED_VALUE"""),""",")</f>
        <v>",</v>
      </c>
    </row>
    <row r="2168">
      <c r="A2168" s="9" t="str">
        <f>IFERROR(__xludf.DUMMYFUNCTION("""COMPUTED_VALUE"""),"""")</f>
        <v>"</v>
      </c>
      <c r="B2168" s="9" t="s">
        <v>2177</v>
      </c>
      <c r="C2168" s="9" t="str">
        <f>IFERROR(__xludf.DUMMYFUNCTION("""COMPUTED_VALUE"""),""":""")</f>
        <v>":"</v>
      </c>
      <c r="D2168" s="24">
        <v>1.74392303986128E19</v>
      </c>
      <c r="E2168" s="9" t="str">
        <f>IFERROR(__xludf.DUMMYFUNCTION("""COMPUTED_VALUE"""),""",")</f>
        <v>",</v>
      </c>
    </row>
    <row r="2169">
      <c r="A2169" s="9" t="str">
        <f>IFERROR(__xludf.DUMMYFUNCTION("""COMPUTED_VALUE"""),"""")</f>
        <v>"</v>
      </c>
      <c r="B2169" s="9" t="s">
        <v>2178</v>
      </c>
      <c r="C2169" s="9" t="str">
        <f>IFERROR(__xludf.DUMMYFUNCTION("""COMPUTED_VALUE"""),""":""")</f>
        <v>":"</v>
      </c>
      <c r="D2169" s="24">
        <v>4.6611535522771773E18</v>
      </c>
      <c r="E2169" s="9" t="str">
        <f>IFERROR(__xludf.DUMMYFUNCTION("""COMPUTED_VALUE"""),""",")</f>
        <v>",</v>
      </c>
    </row>
    <row r="2170">
      <c r="A2170" s="9" t="str">
        <f>IFERROR(__xludf.DUMMYFUNCTION("""COMPUTED_VALUE"""),"""")</f>
        <v>"</v>
      </c>
      <c r="B2170" s="9" t="s">
        <v>2179</v>
      </c>
      <c r="C2170" s="9" t="str">
        <f>IFERROR(__xludf.DUMMYFUNCTION("""COMPUTED_VALUE"""),""":""")</f>
        <v>":"</v>
      </c>
      <c r="D2170" s="24">
        <v>6.5661688342804521E18</v>
      </c>
      <c r="E2170" s="9" t="str">
        <f>IFERROR(__xludf.DUMMYFUNCTION("""COMPUTED_VALUE"""),""",")</f>
        <v>",</v>
      </c>
    </row>
    <row r="2171">
      <c r="A2171" s="9" t="str">
        <f>IFERROR(__xludf.DUMMYFUNCTION("""COMPUTED_VALUE"""),"""")</f>
        <v>"</v>
      </c>
      <c r="B2171" s="9" t="s">
        <v>2180</v>
      </c>
      <c r="C2171" s="9" t="str">
        <f>IFERROR(__xludf.DUMMYFUNCTION("""COMPUTED_VALUE"""),""":""")</f>
        <v>":"</v>
      </c>
      <c r="D2171" s="24">
        <v>1.9474689972027023E19</v>
      </c>
      <c r="E2171" s="9" t="str">
        <f>IFERROR(__xludf.DUMMYFUNCTION("""COMPUTED_VALUE"""),""",")</f>
        <v>",</v>
      </c>
    </row>
    <row r="2172">
      <c r="A2172" s="9" t="str">
        <f>IFERROR(__xludf.DUMMYFUNCTION("""COMPUTED_VALUE"""),"""")</f>
        <v>"</v>
      </c>
      <c r="B2172" s="9" t="s">
        <v>2181</v>
      </c>
      <c r="C2172" s="9" t="str">
        <f>IFERROR(__xludf.DUMMYFUNCTION("""COMPUTED_VALUE"""),""":""")</f>
        <v>":"</v>
      </c>
      <c r="D2172" s="24">
        <v>5.4297372126349332E18</v>
      </c>
      <c r="E2172" s="9" t="str">
        <f>IFERROR(__xludf.DUMMYFUNCTION("""COMPUTED_VALUE"""),""",")</f>
        <v>",</v>
      </c>
    </row>
    <row r="2173">
      <c r="A2173" s="9" t="str">
        <f>IFERROR(__xludf.DUMMYFUNCTION("""COMPUTED_VALUE"""),"""")</f>
        <v>"</v>
      </c>
      <c r="B2173" s="9" t="s">
        <v>2182</v>
      </c>
      <c r="C2173" s="9" t="str">
        <f>IFERROR(__xludf.DUMMYFUNCTION("""COMPUTED_VALUE"""),""":""")</f>
        <v>":"</v>
      </c>
      <c r="D2173" s="24">
        <v>2.068128636465221E19</v>
      </c>
      <c r="E2173" s="9" t="str">
        <f>IFERROR(__xludf.DUMMYFUNCTION("""COMPUTED_VALUE"""),""",")</f>
        <v>",</v>
      </c>
    </row>
    <row r="2174">
      <c r="A2174" s="9" t="str">
        <f>IFERROR(__xludf.DUMMYFUNCTION("""COMPUTED_VALUE"""),"""")</f>
        <v>"</v>
      </c>
      <c r="B2174" s="9" t="s">
        <v>2183</v>
      </c>
      <c r="C2174" s="9" t="str">
        <f>IFERROR(__xludf.DUMMYFUNCTION("""COMPUTED_VALUE"""),""":""")</f>
        <v>":"</v>
      </c>
      <c r="D2174" s="24">
        <v>1.3728252900584378E19</v>
      </c>
      <c r="E2174" s="9" t="str">
        <f>IFERROR(__xludf.DUMMYFUNCTION("""COMPUTED_VALUE"""),""",")</f>
        <v>",</v>
      </c>
    </row>
    <row r="2175">
      <c r="A2175" s="9" t="str">
        <f>IFERROR(__xludf.DUMMYFUNCTION("""COMPUTED_VALUE"""),"""")</f>
        <v>"</v>
      </c>
      <c r="B2175" s="9" t="s">
        <v>2184</v>
      </c>
      <c r="C2175" s="9" t="str">
        <f>IFERROR(__xludf.DUMMYFUNCTION("""COMPUTED_VALUE"""),""":""")</f>
        <v>":"</v>
      </c>
      <c r="D2175" s="24">
        <v>2.0248888511809958E19</v>
      </c>
      <c r="E2175" s="9" t="str">
        <f>IFERROR(__xludf.DUMMYFUNCTION("""COMPUTED_VALUE"""),""",")</f>
        <v>",</v>
      </c>
    </row>
    <row r="2176">
      <c r="A2176" s="9" t="str">
        <f>IFERROR(__xludf.DUMMYFUNCTION("""COMPUTED_VALUE"""),"""")</f>
        <v>"</v>
      </c>
      <c r="B2176" s="9" t="s">
        <v>2185</v>
      </c>
      <c r="C2176" s="9" t="str">
        <f>IFERROR(__xludf.DUMMYFUNCTION("""COMPUTED_VALUE"""),""":""")</f>
        <v>":"</v>
      </c>
      <c r="D2176" s="24">
        <v>1.96885616673710669E18</v>
      </c>
      <c r="E2176" s="9" t="str">
        <f>IFERROR(__xludf.DUMMYFUNCTION("""COMPUTED_VALUE"""),""",")</f>
        <v>",</v>
      </c>
    </row>
    <row r="2177">
      <c r="A2177" s="9" t="str">
        <f>IFERROR(__xludf.DUMMYFUNCTION("""COMPUTED_VALUE"""),"""")</f>
        <v>"</v>
      </c>
      <c r="B2177" s="9" t="s">
        <v>2186</v>
      </c>
      <c r="C2177" s="9" t="str">
        <f>IFERROR(__xludf.DUMMYFUNCTION("""COMPUTED_VALUE"""),""":""")</f>
        <v>":"</v>
      </c>
      <c r="D2177" s="24">
        <v>6.0927884917034885E18</v>
      </c>
      <c r="E2177" s="9" t="str">
        <f>IFERROR(__xludf.DUMMYFUNCTION("""COMPUTED_VALUE"""),""",")</f>
        <v>",</v>
      </c>
    </row>
    <row r="2178">
      <c r="A2178" s="9" t="str">
        <f>IFERROR(__xludf.DUMMYFUNCTION("""COMPUTED_VALUE"""),"""")</f>
        <v>"</v>
      </c>
      <c r="B2178" s="9" t="s">
        <v>2187</v>
      </c>
      <c r="C2178" s="9" t="str">
        <f>IFERROR(__xludf.DUMMYFUNCTION("""COMPUTED_VALUE"""),""":""")</f>
        <v>":"</v>
      </c>
      <c r="D2178" s="24">
        <v>1.9125682666249077E19</v>
      </c>
      <c r="E2178" s="9" t="str">
        <f>IFERROR(__xludf.DUMMYFUNCTION("""COMPUTED_VALUE"""),""",")</f>
        <v>",</v>
      </c>
    </row>
    <row r="2179">
      <c r="A2179" s="9" t="str">
        <f>IFERROR(__xludf.DUMMYFUNCTION("""COMPUTED_VALUE"""),"""")</f>
        <v>"</v>
      </c>
      <c r="B2179" s="9" t="s">
        <v>2188</v>
      </c>
      <c r="C2179" s="9" t="str">
        <f>IFERROR(__xludf.DUMMYFUNCTION("""COMPUTED_VALUE"""),""":""")</f>
        <v>":"</v>
      </c>
      <c r="D2179" s="24">
        <v>1.4629572285415645E19</v>
      </c>
      <c r="E2179" s="9" t="str">
        <f>IFERROR(__xludf.DUMMYFUNCTION("""COMPUTED_VALUE"""),""",")</f>
        <v>",</v>
      </c>
    </row>
    <row r="2180">
      <c r="A2180" s="9" t="str">
        <f>IFERROR(__xludf.DUMMYFUNCTION("""COMPUTED_VALUE"""),"""")</f>
        <v>"</v>
      </c>
      <c r="B2180" s="9" t="s">
        <v>2189</v>
      </c>
      <c r="C2180" s="9" t="str">
        <f>IFERROR(__xludf.DUMMYFUNCTION("""COMPUTED_VALUE"""),""":""")</f>
        <v>":"</v>
      </c>
      <c r="D2180" s="24">
        <v>1.9385215882021073E19</v>
      </c>
      <c r="E2180" s="9" t="str">
        <f>IFERROR(__xludf.DUMMYFUNCTION("""COMPUTED_VALUE"""),""",")</f>
        <v>",</v>
      </c>
    </row>
    <row r="2181">
      <c r="A2181" s="9" t="str">
        <f>IFERROR(__xludf.DUMMYFUNCTION("""COMPUTED_VALUE"""),"""")</f>
        <v>"</v>
      </c>
      <c r="B2181" s="9" t="s">
        <v>2190</v>
      </c>
      <c r="C2181" s="9" t="str">
        <f>IFERROR(__xludf.DUMMYFUNCTION("""COMPUTED_VALUE"""),""":""")</f>
        <v>":"</v>
      </c>
      <c r="D2181" s="24">
        <v>1.7161616016277404E19</v>
      </c>
      <c r="E2181" s="9" t="str">
        <f>IFERROR(__xludf.DUMMYFUNCTION("""COMPUTED_VALUE"""),""",")</f>
        <v>",</v>
      </c>
    </row>
    <row r="2182">
      <c r="A2182" s="9" t="str">
        <f>IFERROR(__xludf.DUMMYFUNCTION("""COMPUTED_VALUE"""),"""")</f>
        <v>"</v>
      </c>
      <c r="B2182" s="9" t="s">
        <v>2191</v>
      </c>
      <c r="C2182" s="9" t="str">
        <f>IFERROR(__xludf.DUMMYFUNCTION("""COMPUTED_VALUE"""),""":""")</f>
        <v>":"</v>
      </c>
      <c r="D2182" s="24">
        <v>6.2005979458241782E18</v>
      </c>
      <c r="E2182" s="9" t="str">
        <f>IFERROR(__xludf.DUMMYFUNCTION("""COMPUTED_VALUE"""),""",")</f>
        <v>",</v>
      </c>
    </row>
    <row r="2183">
      <c r="A2183" s="9" t="str">
        <f>IFERROR(__xludf.DUMMYFUNCTION("""COMPUTED_VALUE"""),"""")</f>
        <v>"</v>
      </c>
      <c r="B2183" s="9" t="s">
        <v>2192</v>
      </c>
      <c r="C2183" s="9" t="str">
        <f>IFERROR(__xludf.DUMMYFUNCTION("""COMPUTED_VALUE"""),""":""")</f>
        <v>":"</v>
      </c>
      <c r="D2183" s="24">
        <v>6.2005979458241782E18</v>
      </c>
      <c r="E2183" s="9" t="str">
        <f>IFERROR(__xludf.DUMMYFUNCTION("""COMPUTED_VALUE"""),""",")</f>
        <v>",</v>
      </c>
    </row>
    <row r="2184">
      <c r="A2184" s="9" t="str">
        <f>IFERROR(__xludf.DUMMYFUNCTION("""COMPUTED_VALUE"""),"""")</f>
        <v>"</v>
      </c>
      <c r="B2184" s="9" t="s">
        <v>2193</v>
      </c>
      <c r="C2184" s="9" t="str">
        <f>IFERROR(__xludf.DUMMYFUNCTION("""COMPUTED_VALUE"""),""":""")</f>
        <v>":"</v>
      </c>
      <c r="D2184" s="24">
        <v>6.6329957986664315E18</v>
      </c>
      <c r="E2184" s="9" t="str">
        <f>IFERROR(__xludf.DUMMYFUNCTION("""COMPUTED_VALUE"""),""",")</f>
        <v>",</v>
      </c>
    </row>
    <row r="2185">
      <c r="A2185" s="9" t="str">
        <f>IFERROR(__xludf.DUMMYFUNCTION("""COMPUTED_VALUE"""),"""")</f>
        <v>"</v>
      </c>
      <c r="B2185" s="9" t="s">
        <v>2194</v>
      </c>
      <c r="C2185" s="9" t="str">
        <f>IFERROR(__xludf.DUMMYFUNCTION("""COMPUTED_VALUE"""),""":""")</f>
        <v>":"</v>
      </c>
      <c r="D2185" s="24">
        <v>5.7049417418336215E18</v>
      </c>
      <c r="E2185" s="9" t="str">
        <f>IFERROR(__xludf.DUMMYFUNCTION("""COMPUTED_VALUE"""),""",")</f>
        <v>",</v>
      </c>
    </row>
    <row r="2186">
      <c r="A2186" s="9" t="str">
        <f>IFERROR(__xludf.DUMMYFUNCTION("""COMPUTED_VALUE"""),"""")</f>
        <v>"</v>
      </c>
      <c r="B2186" s="9" t="s">
        <v>2195</v>
      </c>
      <c r="C2186" s="9" t="str">
        <f>IFERROR(__xludf.DUMMYFUNCTION("""COMPUTED_VALUE"""),""":""")</f>
        <v>":"</v>
      </c>
      <c r="D2186" s="24">
        <v>6.1419797760651346E18</v>
      </c>
      <c r="E2186" s="9" t="str">
        <f>IFERROR(__xludf.DUMMYFUNCTION("""COMPUTED_VALUE"""),""",")</f>
        <v>",</v>
      </c>
    </row>
    <row r="2187">
      <c r="A2187" s="9" t="str">
        <f>IFERROR(__xludf.DUMMYFUNCTION("""COMPUTED_VALUE"""),"""")</f>
        <v>"</v>
      </c>
      <c r="B2187" s="9" t="s">
        <v>2196</v>
      </c>
      <c r="C2187" s="9" t="str">
        <f>IFERROR(__xludf.DUMMYFUNCTION("""COMPUTED_VALUE"""),""":""")</f>
        <v>":"</v>
      </c>
      <c r="D2187" s="24">
        <v>5.4301009800413778E18</v>
      </c>
      <c r="E2187" s="9" t="str">
        <f>IFERROR(__xludf.DUMMYFUNCTION("""COMPUTED_VALUE"""),""",")</f>
        <v>",</v>
      </c>
    </row>
    <row r="2188">
      <c r="A2188" s="9" t="str">
        <f>IFERROR(__xludf.DUMMYFUNCTION("""COMPUTED_VALUE"""),"""")</f>
        <v>"</v>
      </c>
      <c r="B2188" s="9" t="s">
        <v>2197</v>
      </c>
      <c r="C2188" s="9" t="str">
        <f>IFERROR(__xludf.DUMMYFUNCTION("""COMPUTED_VALUE"""),""":""")</f>
        <v>":"</v>
      </c>
      <c r="D2188" s="24">
        <v>5.6148490432826675E18</v>
      </c>
      <c r="E2188" s="9" t="str">
        <f>IFERROR(__xludf.DUMMYFUNCTION("""COMPUTED_VALUE"""),""",")</f>
        <v>",</v>
      </c>
    </row>
    <row r="2189">
      <c r="A2189" s="9" t="str">
        <f>IFERROR(__xludf.DUMMYFUNCTION("""COMPUTED_VALUE"""),"""")</f>
        <v>"</v>
      </c>
      <c r="B2189" s="9" t="s">
        <v>2198</v>
      </c>
      <c r="C2189" s="9" t="str">
        <f>IFERROR(__xludf.DUMMYFUNCTION("""COMPUTED_VALUE"""),""":""")</f>
        <v>":"</v>
      </c>
      <c r="D2189" s="24">
        <v>2.0248888511809958E19</v>
      </c>
      <c r="E2189" s="9" t="str">
        <f>IFERROR(__xludf.DUMMYFUNCTION("""COMPUTED_VALUE"""),""",")</f>
        <v>",</v>
      </c>
    </row>
    <row r="2190">
      <c r="A2190" s="9" t="str">
        <f>IFERROR(__xludf.DUMMYFUNCTION("""COMPUTED_VALUE"""),"""")</f>
        <v>"</v>
      </c>
      <c r="B2190" s="9" t="s">
        <v>2199</v>
      </c>
      <c r="C2190" s="9" t="str">
        <f>IFERROR(__xludf.DUMMYFUNCTION("""COMPUTED_VALUE"""),""":""")</f>
        <v>":"</v>
      </c>
      <c r="D2190" s="24">
        <v>1.8381204831610534E19</v>
      </c>
      <c r="E2190" s="9" t="str">
        <f>IFERROR(__xludf.DUMMYFUNCTION("""COMPUTED_VALUE"""),""",")</f>
        <v>",</v>
      </c>
    </row>
    <row r="2191">
      <c r="A2191" s="9" t="str">
        <f>IFERROR(__xludf.DUMMYFUNCTION("""COMPUTED_VALUE"""),"""")</f>
        <v>"</v>
      </c>
      <c r="B2191" s="9" t="s">
        <v>2200</v>
      </c>
      <c r="C2191" s="9" t="str">
        <f>IFERROR(__xludf.DUMMYFUNCTION("""COMPUTED_VALUE"""),""":""")</f>
        <v>":"</v>
      </c>
      <c r="D2191" s="24">
        <v>2.0248888511809958E19</v>
      </c>
      <c r="E2191" s="9" t="str">
        <f>IFERROR(__xludf.DUMMYFUNCTION("""COMPUTED_VALUE"""),""",")</f>
        <v>",</v>
      </c>
    </row>
    <row r="2192">
      <c r="A2192" s="9" t="str">
        <f>IFERROR(__xludf.DUMMYFUNCTION("""COMPUTED_VALUE"""),"""")</f>
        <v>"</v>
      </c>
      <c r="B2192" s="9" t="s">
        <v>2201</v>
      </c>
      <c r="C2192" s="9" t="str">
        <f>IFERROR(__xludf.DUMMYFUNCTION("""COMPUTED_VALUE"""),""":""")</f>
        <v>":"</v>
      </c>
      <c r="D2192" s="24">
        <v>2.0248888511809958E19</v>
      </c>
      <c r="E2192" s="9" t="str">
        <f>IFERROR(__xludf.DUMMYFUNCTION("""COMPUTED_VALUE"""),""",")</f>
        <v>",</v>
      </c>
    </row>
    <row r="2193">
      <c r="A2193" s="9" t="str">
        <f>IFERROR(__xludf.DUMMYFUNCTION("""COMPUTED_VALUE"""),"""")</f>
        <v>"</v>
      </c>
      <c r="B2193" s="9" t="s">
        <v>2202</v>
      </c>
      <c r="C2193" s="9" t="str">
        <f>IFERROR(__xludf.DUMMYFUNCTION("""COMPUTED_VALUE"""),""":""")</f>
        <v>":"</v>
      </c>
      <c r="D2193" s="24">
        <v>6.2755081532283249E18</v>
      </c>
      <c r="E2193" s="9" t="str">
        <f>IFERROR(__xludf.DUMMYFUNCTION("""COMPUTED_VALUE"""),""",")</f>
        <v>",</v>
      </c>
    </row>
    <row r="2194">
      <c r="A2194" s="9" t="str">
        <f>IFERROR(__xludf.DUMMYFUNCTION("""COMPUTED_VALUE"""),"""")</f>
        <v>"</v>
      </c>
      <c r="B2194" s="9" t="s">
        <v>2203</v>
      </c>
      <c r="C2194" s="9" t="str">
        <f>IFERROR(__xludf.DUMMYFUNCTION("""COMPUTED_VALUE"""),""":""")</f>
        <v>":"</v>
      </c>
      <c r="D2194" s="24">
        <v>3.062935811392304E19</v>
      </c>
      <c r="E2194" s="9" t="str">
        <f>IFERROR(__xludf.DUMMYFUNCTION("""COMPUTED_VALUE"""),""",")</f>
        <v>",</v>
      </c>
    </row>
    <row r="2195">
      <c r="A2195" s="9" t="str">
        <f>IFERROR(__xludf.DUMMYFUNCTION("""COMPUTED_VALUE"""),"""")</f>
        <v>"</v>
      </c>
      <c r="B2195" s="9" t="s">
        <v>2204</v>
      </c>
      <c r="C2195" s="9" t="str">
        <f>IFERROR(__xludf.DUMMYFUNCTION("""COMPUTED_VALUE"""),""":""")</f>
        <v>":"</v>
      </c>
      <c r="D2195" s="24">
        <v>2.474529823720556E19</v>
      </c>
      <c r="E2195" s="9" t="str">
        <f>IFERROR(__xludf.DUMMYFUNCTION("""COMPUTED_VALUE"""),""",")</f>
        <v>",</v>
      </c>
    </row>
    <row r="2196">
      <c r="A2196" s="9" t="str">
        <f>IFERROR(__xludf.DUMMYFUNCTION("""COMPUTED_VALUE"""),"""")</f>
        <v>"</v>
      </c>
      <c r="B2196" s="9" t="s">
        <v>2205</v>
      </c>
      <c r="C2196" s="9" t="str">
        <f>IFERROR(__xludf.DUMMYFUNCTION("""COMPUTED_VALUE"""),""":""")</f>
        <v>":"</v>
      </c>
      <c r="D2196" s="24">
        <v>6.2005979458241782E18</v>
      </c>
      <c r="E2196" s="9" t="str">
        <f>IFERROR(__xludf.DUMMYFUNCTION("""COMPUTED_VALUE"""),""",")</f>
        <v>",</v>
      </c>
    </row>
    <row r="2197">
      <c r="A2197" s="9" t="str">
        <f>IFERROR(__xludf.DUMMYFUNCTION("""COMPUTED_VALUE"""),"""")</f>
        <v>"</v>
      </c>
      <c r="B2197" s="9" t="s">
        <v>2206</v>
      </c>
      <c r="C2197" s="9" t="str">
        <f>IFERROR(__xludf.DUMMYFUNCTION("""COMPUTED_VALUE"""),""":""")</f>
        <v>":"</v>
      </c>
      <c r="D2197" s="24">
        <v>6.2005979458241782E18</v>
      </c>
      <c r="E2197" s="9" t="str">
        <f>IFERROR(__xludf.DUMMYFUNCTION("""COMPUTED_VALUE"""),""",")</f>
        <v>",</v>
      </c>
    </row>
    <row r="2198">
      <c r="A2198" s="9" t="str">
        <f>IFERROR(__xludf.DUMMYFUNCTION("""COMPUTED_VALUE"""),"""")</f>
        <v>"</v>
      </c>
      <c r="B2198" s="9" t="s">
        <v>2207</v>
      </c>
      <c r="C2198" s="9" t="str">
        <f>IFERROR(__xludf.DUMMYFUNCTION("""COMPUTED_VALUE"""),""":""")</f>
        <v>":"</v>
      </c>
      <c r="D2198" s="24">
        <v>2.197847992317897E19</v>
      </c>
      <c r="E2198" s="9" t="str">
        <f>IFERROR(__xludf.DUMMYFUNCTION("""COMPUTED_VALUE"""),""",")</f>
        <v>",</v>
      </c>
    </row>
    <row r="2199">
      <c r="A2199" s="9" t="str">
        <f>IFERROR(__xludf.DUMMYFUNCTION("""COMPUTED_VALUE"""),"""")</f>
        <v>"</v>
      </c>
      <c r="B2199" s="9" t="s">
        <v>2208</v>
      </c>
      <c r="C2199" s="9" t="str">
        <f>IFERROR(__xludf.DUMMYFUNCTION("""COMPUTED_VALUE"""),""":""")</f>
        <v>":"</v>
      </c>
      <c r="D2199" s="24">
        <v>2.5212835422518022E19</v>
      </c>
      <c r="E2199" s="9" t="str">
        <f>IFERROR(__xludf.DUMMYFUNCTION("""COMPUTED_VALUE"""),""",")</f>
        <v>",</v>
      </c>
    </row>
    <row r="2200">
      <c r="A2200" s="9" t="str">
        <f>IFERROR(__xludf.DUMMYFUNCTION("""COMPUTED_VALUE"""),"""")</f>
        <v>"</v>
      </c>
      <c r="B2200" s="9" t="s">
        <v>2209</v>
      </c>
      <c r="C2200" s="9" t="str">
        <f>IFERROR(__xludf.DUMMYFUNCTION("""COMPUTED_VALUE"""),""":""")</f>
        <v>":"</v>
      </c>
      <c r="D2200" s="24">
        <v>6.2005979458241782E18</v>
      </c>
      <c r="E2200" s="9" t="str">
        <f>IFERROR(__xludf.DUMMYFUNCTION("""COMPUTED_VALUE"""),""",")</f>
        <v>",</v>
      </c>
    </row>
    <row r="2201">
      <c r="A2201" s="9" t="str">
        <f>IFERROR(__xludf.DUMMYFUNCTION("""COMPUTED_VALUE"""),"""")</f>
        <v>"</v>
      </c>
      <c r="B2201" s="9" t="s">
        <v>2210</v>
      </c>
      <c r="C2201" s="9" t="str">
        <f>IFERROR(__xludf.DUMMYFUNCTION("""COMPUTED_VALUE"""),""":""")</f>
        <v>":"</v>
      </c>
      <c r="D2201" s="24">
        <v>6.2005979458241782E18</v>
      </c>
      <c r="E2201" s="9" t="str">
        <f>IFERROR(__xludf.DUMMYFUNCTION("""COMPUTED_VALUE"""),""",")</f>
        <v>",</v>
      </c>
    </row>
    <row r="2202">
      <c r="A2202" s="9" t="str">
        <f>IFERROR(__xludf.DUMMYFUNCTION("""COMPUTED_VALUE"""),"""")</f>
        <v>"</v>
      </c>
      <c r="B2202" s="9" t="s">
        <v>2211</v>
      </c>
      <c r="C2202" s="9" t="str">
        <f>IFERROR(__xludf.DUMMYFUNCTION("""COMPUTED_VALUE"""),""":""")</f>
        <v>":"</v>
      </c>
      <c r="D2202" s="24">
        <v>2.197847992317897E19</v>
      </c>
      <c r="E2202" s="9" t="str">
        <f>IFERROR(__xludf.DUMMYFUNCTION("""COMPUTED_VALUE"""),""",")</f>
        <v>",</v>
      </c>
    </row>
    <row r="2203">
      <c r="A2203" s="9" t="str">
        <f>IFERROR(__xludf.DUMMYFUNCTION("""COMPUTED_VALUE"""),"""")</f>
        <v>"</v>
      </c>
      <c r="B2203" s="9" t="s">
        <v>2212</v>
      </c>
      <c r="C2203" s="9" t="str">
        <f>IFERROR(__xludf.DUMMYFUNCTION("""COMPUTED_VALUE"""),""":""")</f>
        <v>":"</v>
      </c>
      <c r="D2203" s="24">
        <v>2.414948721181216E19</v>
      </c>
      <c r="E2203" s="9" t="str">
        <f>IFERROR(__xludf.DUMMYFUNCTION("""COMPUTED_VALUE"""),""",")</f>
        <v>",</v>
      </c>
    </row>
    <row r="2204">
      <c r="A2204" s="9" t="str">
        <f>IFERROR(__xludf.DUMMYFUNCTION("""COMPUTED_VALUE"""),"""")</f>
        <v>"</v>
      </c>
      <c r="B2204" s="9" t="s">
        <v>2213</v>
      </c>
      <c r="C2204" s="9" t="str">
        <f>IFERROR(__xludf.DUMMYFUNCTION("""COMPUTED_VALUE"""),""":""")</f>
        <v>":"</v>
      </c>
      <c r="D2204" s="24">
        <v>2.4802478200976E18</v>
      </c>
      <c r="E2204" s="9" t="str">
        <f>IFERROR(__xludf.DUMMYFUNCTION("""COMPUTED_VALUE"""),""",")</f>
        <v>",</v>
      </c>
    </row>
    <row r="2205">
      <c r="A2205" s="9" t="str">
        <f>IFERROR(__xludf.DUMMYFUNCTION("""COMPUTED_VALUE"""),"""")</f>
        <v>"</v>
      </c>
      <c r="B2205" s="9" t="s">
        <v>2214</v>
      </c>
      <c r="C2205" s="9" t="str">
        <f>IFERROR(__xludf.DUMMYFUNCTION("""COMPUTED_VALUE"""),""":""")</f>
        <v>":"</v>
      </c>
      <c r="D2205" s="24">
        <v>4.7550751775541115E18</v>
      </c>
      <c r="E2205" s="9" t="str">
        <f>IFERROR(__xludf.DUMMYFUNCTION("""COMPUTED_VALUE"""),""",")</f>
        <v>",</v>
      </c>
    </row>
    <row r="2206">
      <c r="A2206" s="9" t="str">
        <f>IFERROR(__xludf.DUMMYFUNCTION("""COMPUTED_VALUE"""),"""")</f>
        <v>"</v>
      </c>
      <c r="B2206" s="9" t="s">
        <v>2215</v>
      </c>
      <c r="C2206" s="9" t="str">
        <f>IFERROR(__xludf.DUMMYFUNCTION("""COMPUTED_VALUE"""),""":""")</f>
        <v>":"</v>
      </c>
      <c r="D2206" s="24">
        <v>6.2005979458241782E18</v>
      </c>
      <c r="E2206" s="9" t="str">
        <f>IFERROR(__xludf.DUMMYFUNCTION("""COMPUTED_VALUE"""),""",")</f>
        <v>",</v>
      </c>
    </row>
    <row r="2207">
      <c r="A2207" s="9" t="str">
        <f>IFERROR(__xludf.DUMMYFUNCTION("""COMPUTED_VALUE"""),"""")</f>
        <v>"</v>
      </c>
      <c r="B2207" s="9" t="s">
        <v>2216</v>
      </c>
      <c r="C2207" s="9" t="str">
        <f>IFERROR(__xludf.DUMMYFUNCTION("""COMPUTED_VALUE"""),""":""")</f>
        <v>":"</v>
      </c>
      <c r="D2207" s="24">
        <v>2.233902046404924E19</v>
      </c>
      <c r="E2207" s="9" t="str">
        <f>IFERROR(__xludf.DUMMYFUNCTION("""COMPUTED_VALUE"""),""",")</f>
        <v>",</v>
      </c>
    </row>
    <row r="2208">
      <c r="A2208" s="9" t="str">
        <f>IFERROR(__xludf.DUMMYFUNCTION("""COMPUTED_VALUE"""),"""")</f>
        <v>"</v>
      </c>
      <c r="B2208" s="9" t="s">
        <v>2217</v>
      </c>
      <c r="C2208" s="9" t="str">
        <f>IFERROR(__xludf.DUMMYFUNCTION("""COMPUTED_VALUE"""),""":""")</f>
        <v>":"</v>
      </c>
      <c r="D2208" s="24">
        <v>2.0248888511809958E19</v>
      </c>
      <c r="E2208" s="9" t="str">
        <f>IFERROR(__xludf.DUMMYFUNCTION("""COMPUTED_VALUE"""),""",")</f>
        <v>",</v>
      </c>
    </row>
    <row r="2209">
      <c r="A2209" s="9" t="str">
        <f>IFERROR(__xludf.DUMMYFUNCTION("""COMPUTED_VALUE"""),"""")</f>
        <v>"</v>
      </c>
      <c r="B2209" s="9" t="s">
        <v>2218</v>
      </c>
      <c r="C2209" s="9" t="str">
        <f>IFERROR(__xludf.DUMMYFUNCTION("""COMPUTED_VALUE"""),""":""")</f>
        <v>":"</v>
      </c>
      <c r="D2209" s="24">
        <v>2.5406011544224799E18</v>
      </c>
      <c r="E2209" s="9" t="str">
        <f>IFERROR(__xludf.DUMMYFUNCTION("""COMPUTED_VALUE"""),""",")</f>
        <v>",</v>
      </c>
    </row>
    <row r="2210">
      <c r="A2210" s="9" t="str">
        <f>IFERROR(__xludf.DUMMYFUNCTION("""COMPUTED_VALUE"""),"""")</f>
        <v>"</v>
      </c>
      <c r="B2210" s="9" t="s">
        <v>2219</v>
      </c>
      <c r="C2210" s="9" t="str">
        <f>IFERROR(__xludf.DUMMYFUNCTION("""COMPUTED_VALUE"""),""":""")</f>
        <v>":"</v>
      </c>
      <c r="D2210" s="24">
        <v>2.9119101497026265E19</v>
      </c>
      <c r="E2210" s="9" t="str">
        <f>IFERROR(__xludf.DUMMYFUNCTION("""COMPUTED_VALUE"""),""",")</f>
        <v>",</v>
      </c>
    </row>
    <row r="2211">
      <c r="A2211" s="9" t="str">
        <f>IFERROR(__xludf.DUMMYFUNCTION("""COMPUTED_VALUE"""),"""")</f>
        <v>"</v>
      </c>
      <c r="B2211" s="9" t="s">
        <v>2220</v>
      </c>
      <c r="C2211" s="9" t="str">
        <f>IFERROR(__xludf.DUMMYFUNCTION("""COMPUTED_VALUE"""),""":""")</f>
        <v>":"</v>
      </c>
      <c r="D2211" s="24">
        <v>2.841540727446011E19</v>
      </c>
      <c r="E2211" s="9" t="str">
        <f>IFERROR(__xludf.DUMMYFUNCTION("""COMPUTED_VALUE"""),""",")</f>
        <v>",</v>
      </c>
    </row>
    <row r="2212">
      <c r="A2212" s="9" t="str">
        <f>IFERROR(__xludf.DUMMYFUNCTION("""COMPUTED_VALUE"""),"""")</f>
        <v>"</v>
      </c>
      <c r="B2212" s="9" t="s">
        <v>2221</v>
      </c>
      <c r="C2212" s="9" t="str">
        <f>IFERROR(__xludf.DUMMYFUNCTION("""COMPUTED_VALUE"""),""":""")</f>
        <v>":"</v>
      </c>
      <c r="D2212" s="24">
        <v>2.053914575222656E18</v>
      </c>
      <c r="E2212" s="9" t="str">
        <f>IFERROR(__xludf.DUMMYFUNCTION("""COMPUTED_VALUE"""),""",")</f>
        <v>",</v>
      </c>
    </row>
    <row r="2213">
      <c r="A2213" s="9" t="str">
        <f>IFERROR(__xludf.DUMMYFUNCTION("""COMPUTED_VALUE"""),"""")</f>
        <v>"</v>
      </c>
      <c r="B2213" s="9" t="s">
        <v>2222</v>
      </c>
      <c r="C2213" s="9" t="str">
        <f>IFERROR(__xludf.DUMMYFUNCTION("""COMPUTED_VALUE"""),""":""")</f>
        <v>":"</v>
      </c>
      <c r="D2213" s="24">
        <v>5.3717670199352668E18</v>
      </c>
      <c r="E2213" s="9" t="str">
        <f>IFERROR(__xludf.DUMMYFUNCTION("""COMPUTED_VALUE"""),""",")</f>
        <v>",</v>
      </c>
    </row>
    <row r="2214">
      <c r="A2214" s="9" t="str">
        <f>IFERROR(__xludf.DUMMYFUNCTION("""COMPUTED_VALUE"""),"""")</f>
        <v>"</v>
      </c>
      <c r="B2214" s="9" t="s">
        <v>2223</v>
      </c>
      <c r="C2214" s="9" t="str">
        <f>IFERROR(__xludf.DUMMYFUNCTION("""COMPUTED_VALUE"""),""":""")</f>
        <v>":"</v>
      </c>
      <c r="D2214" s="24">
        <v>6.2005979458241782E18</v>
      </c>
      <c r="E2214" s="9" t="str">
        <f>IFERROR(__xludf.DUMMYFUNCTION("""COMPUTED_VALUE"""),""",")</f>
        <v>",</v>
      </c>
    </row>
    <row r="2215">
      <c r="A2215" s="9" t="str">
        <f>IFERROR(__xludf.DUMMYFUNCTION("""COMPUTED_VALUE"""),"""")</f>
        <v>"</v>
      </c>
      <c r="B2215" s="9" t="s">
        <v>2224</v>
      </c>
      <c r="C2215" s="9" t="str">
        <f>IFERROR(__xludf.DUMMYFUNCTION("""COMPUTED_VALUE"""),""":""")</f>
        <v>":"</v>
      </c>
      <c r="D2215" s="24">
        <v>5.5055203669014221E18</v>
      </c>
      <c r="E2215" s="9" t="str">
        <f>IFERROR(__xludf.DUMMYFUNCTION("""COMPUTED_VALUE"""),""",")</f>
        <v>",</v>
      </c>
    </row>
    <row r="2216">
      <c r="A2216" s="9" t="str">
        <f>IFERROR(__xludf.DUMMYFUNCTION("""COMPUTED_VALUE"""),"""")</f>
        <v>"</v>
      </c>
      <c r="B2216" s="9" t="s">
        <v>2225</v>
      </c>
      <c r="C2216" s="9" t="str">
        <f>IFERROR(__xludf.DUMMYFUNCTION("""COMPUTED_VALUE"""),""":""")</f>
        <v>":"</v>
      </c>
      <c r="D2216" s="24">
        <v>6.354430513603239E19</v>
      </c>
      <c r="E2216" s="9" t="str">
        <f>IFERROR(__xludf.DUMMYFUNCTION("""COMPUTED_VALUE"""),""",")</f>
        <v>",</v>
      </c>
    </row>
    <row r="2217">
      <c r="A2217" s="9" t="str">
        <f>IFERROR(__xludf.DUMMYFUNCTION("""COMPUTED_VALUE"""),"""")</f>
        <v>"</v>
      </c>
      <c r="B2217" s="9" t="s">
        <v>2226</v>
      </c>
      <c r="C2217" s="9" t="str">
        <f>IFERROR(__xludf.DUMMYFUNCTION("""COMPUTED_VALUE"""),""":""")</f>
        <v>":"</v>
      </c>
      <c r="D2217" s="24">
        <v>5.8002273510366003E18</v>
      </c>
      <c r="E2217" s="9" t="str">
        <f>IFERROR(__xludf.DUMMYFUNCTION("""COMPUTED_VALUE"""),""",")</f>
        <v>",</v>
      </c>
    </row>
    <row r="2218">
      <c r="A2218" s="9" t="str">
        <f>IFERROR(__xludf.DUMMYFUNCTION("""COMPUTED_VALUE"""),"""")</f>
        <v>"</v>
      </c>
      <c r="B2218" s="9" t="s">
        <v>2227</v>
      </c>
      <c r="C2218" s="9" t="str">
        <f>IFERROR(__xludf.DUMMYFUNCTION("""COMPUTED_VALUE"""),""":""")</f>
        <v>":"</v>
      </c>
      <c r="D2218" s="24">
        <v>2.0248888511809958E19</v>
      </c>
      <c r="E2218" s="9" t="str">
        <f>IFERROR(__xludf.DUMMYFUNCTION("""COMPUTED_VALUE"""),""",")</f>
        <v>",</v>
      </c>
    </row>
    <row r="2219">
      <c r="A2219" s="9" t="str">
        <f>IFERROR(__xludf.DUMMYFUNCTION("""COMPUTED_VALUE"""),"""")</f>
        <v>"</v>
      </c>
      <c r="B2219" s="9" t="s">
        <v>2228</v>
      </c>
      <c r="C2219" s="9" t="str">
        <f>IFERROR(__xludf.DUMMYFUNCTION("""COMPUTED_VALUE"""),""":""")</f>
        <v>":"</v>
      </c>
      <c r="D2219" s="24">
        <v>4.8228521676665108E18</v>
      </c>
      <c r="E2219" s="9" t="str">
        <f>IFERROR(__xludf.DUMMYFUNCTION("""COMPUTED_VALUE"""),""",")</f>
        <v>",</v>
      </c>
    </row>
    <row r="2220">
      <c r="A2220" s="9" t="str">
        <f>IFERROR(__xludf.DUMMYFUNCTION("""COMPUTED_VALUE"""),"""")</f>
        <v>"</v>
      </c>
      <c r="B2220" s="9" t="s">
        <v>2229</v>
      </c>
      <c r="C2220" s="9" t="str">
        <f>IFERROR(__xludf.DUMMYFUNCTION("""COMPUTED_VALUE"""),""":""")</f>
        <v>":"</v>
      </c>
      <c r="D2220" s="24">
        <v>5.2309732516278221E17</v>
      </c>
      <c r="E2220" s="9" t="str">
        <f>IFERROR(__xludf.DUMMYFUNCTION("""COMPUTED_VALUE"""),""",")</f>
        <v>",</v>
      </c>
    </row>
    <row r="2221">
      <c r="A2221" s="9" t="str">
        <f>IFERROR(__xludf.DUMMYFUNCTION("""COMPUTED_VALUE"""),"""")</f>
        <v>"</v>
      </c>
      <c r="B2221" s="9" t="s">
        <v>2230</v>
      </c>
      <c r="C2221" s="9" t="str">
        <f>IFERROR(__xludf.DUMMYFUNCTION("""COMPUTED_VALUE"""),""":""")</f>
        <v>":"</v>
      </c>
      <c r="D2221" s="24">
        <v>7.3620376388965827E18</v>
      </c>
      <c r="E2221" s="9" t="str">
        <f>IFERROR(__xludf.DUMMYFUNCTION("""COMPUTED_VALUE"""),""",")</f>
        <v>",</v>
      </c>
    </row>
    <row r="2222">
      <c r="A2222" s="9" t="str">
        <f>IFERROR(__xludf.DUMMYFUNCTION("""COMPUTED_VALUE"""),"""")</f>
        <v>"</v>
      </c>
      <c r="B2222" s="9" t="s">
        <v>2231</v>
      </c>
      <c r="C2222" s="9" t="str">
        <f>IFERROR(__xludf.DUMMYFUNCTION("""COMPUTED_VALUE"""),""":""")</f>
        <v>":"</v>
      </c>
      <c r="D2222" s="24">
        <v>6.2005979458241782E18</v>
      </c>
      <c r="E2222" s="9" t="str">
        <f>IFERROR(__xludf.DUMMYFUNCTION("""COMPUTED_VALUE"""),""",")</f>
        <v>",</v>
      </c>
    </row>
    <row r="2223">
      <c r="A2223" s="9" t="str">
        <f>IFERROR(__xludf.DUMMYFUNCTION("""COMPUTED_VALUE"""),"""")</f>
        <v>"</v>
      </c>
      <c r="B2223" s="9" t="s">
        <v>2232</v>
      </c>
      <c r="C2223" s="9" t="str">
        <f>IFERROR(__xludf.DUMMYFUNCTION("""COMPUTED_VALUE"""),""":""")</f>
        <v>":"</v>
      </c>
      <c r="D2223" s="24">
        <v>2.068128636465221E19</v>
      </c>
      <c r="E2223" s="9" t="str">
        <f>IFERROR(__xludf.DUMMYFUNCTION("""COMPUTED_VALUE"""),""",")</f>
        <v>",</v>
      </c>
    </row>
    <row r="2224">
      <c r="A2224" s="9" t="str">
        <f>IFERROR(__xludf.DUMMYFUNCTION("""COMPUTED_VALUE"""),"""")</f>
        <v>"</v>
      </c>
      <c r="B2224" s="9" t="s">
        <v>2233</v>
      </c>
      <c r="C2224" s="9" t="str">
        <f>IFERROR(__xludf.DUMMYFUNCTION("""COMPUTED_VALUE"""),""":""")</f>
        <v>":"</v>
      </c>
      <c r="D2224" s="24">
        <v>6.2005979458241782E18</v>
      </c>
      <c r="E2224" s="9" t="str">
        <f>IFERROR(__xludf.DUMMYFUNCTION("""COMPUTED_VALUE"""),""",")</f>
        <v>",</v>
      </c>
    </row>
    <row r="2225">
      <c r="A2225" s="9" t="str">
        <f>IFERROR(__xludf.DUMMYFUNCTION("""COMPUTED_VALUE"""),"""")</f>
        <v>"</v>
      </c>
      <c r="B2225" s="9" t="s">
        <v>2234</v>
      </c>
      <c r="C2225" s="9" t="str">
        <f>IFERROR(__xludf.DUMMYFUNCTION("""COMPUTED_VALUE"""),""":""")</f>
        <v>":"</v>
      </c>
      <c r="D2225" s="24">
        <v>6.2032006487429898E18</v>
      </c>
      <c r="E2225" s="9" t="str">
        <f>IFERROR(__xludf.DUMMYFUNCTION("""COMPUTED_VALUE"""),""",")</f>
        <v>",</v>
      </c>
    </row>
    <row r="2226">
      <c r="A2226" s="9" t="str">
        <f>IFERROR(__xludf.DUMMYFUNCTION("""COMPUTED_VALUE"""),"""")</f>
        <v>"</v>
      </c>
      <c r="B2226" s="9" t="s">
        <v>2235</v>
      </c>
      <c r="C2226" s="9" t="str">
        <f>IFERROR(__xludf.DUMMYFUNCTION("""COMPUTED_VALUE"""),""":""")</f>
        <v>":"</v>
      </c>
      <c r="D2226" s="24">
        <v>2.0248888511809958E19</v>
      </c>
      <c r="E2226" s="9" t="str">
        <f>IFERROR(__xludf.DUMMYFUNCTION("""COMPUTED_VALUE"""),""",")</f>
        <v>",</v>
      </c>
    </row>
    <row r="2227">
      <c r="A2227" s="9" t="str">
        <f>IFERROR(__xludf.DUMMYFUNCTION("""COMPUTED_VALUE"""),"""")</f>
        <v>"</v>
      </c>
      <c r="B2227" s="9" t="s">
        <v>2236</v>
      </c>
      <c r="C2227" s="9" t="str">
        <f>IFERROR(__xludf.DUMMYFUNCTION("""COMPUTED_VALUE"""),""":""")</f>
        <v>":"</v>
      </c>
      <c r="D2227" s="24">
        <v>2.0248888511809958E19</v>
      </c>
      <c r="E2227" s="9" t="str">
        <f>IFERROR(__xludf.DUMMYFUNCTION("""COMPUTED_VALUE"""),""",")</f>
        <v>",</v>
      </c>
    </row>
    <row r="2228">
      <c r="A2228" s="9" t="str">
        <f>IFERROR(__xludf.DUMMYFUNCTION("""COMPUTED_VALUE"""),"""")</f>
        <v>"</v>
      </c>
      <c r="B2228" s="9" t="s">
        <v>2237</v>
      </c>
      <c r="C2228" s="9" t="str">
        <f>IFERROR(__xludf.DUMMYFUNCTION("""COMPUTED_VALUE"""),""":""")</f>
        <v>":"</v>
      </c>
      <c r="D2228" s="24">
        <v>1.41318918067083571E18</v>
      </c>
      <c r="E2228" s="9" t="str">
        <f>IFERROR(__xludf.DUMMYFUNCTION("""COMPUTED_VALUE"""),""",")</f>
        <v>",</v>
      </c>
    </row>
    <row r="2229">
      <c r="A2229" s="9" t="str">
        <f>IFERROR(__xludf.DUMMYFUNCTION("""COMPUTED_VALUE"""),"""")</f>
        <v>"</v>
      </c>
      <c r="B2229" s="9" t="s">
        <v>2238</v>
      </c>
      <c r="C2229" s="9" t="str">
        <f>IFERROR(__xludf.DUMMYFUNCTION("""COMPUTED_VALUE"""),""":""")</f>
        <v>":"</v>
      </c>
      <c r="D2229" s="24">
        <v>6.6329957986664315E18</v>
      </c>
      <c r="E2229" s="9" t="str">
        <f>IFERROR(__xludf.DUMMYFUNCTION("""COMPUTED_VALUE"""),""",")</f>
        <v>",</v>
      </c>
    </row>
    <row r="2230">
      <c r="A2230" s="9" t="str">
        <f>IFERROR(__xludf.DUMMYFUNCTION("""COMPUTED_VALUE"""),"""")</f>
        <v>"</v>
      </c>
      <c r="B2230" s="9" t="s">
        <v>2239</v>
      </c>
      <c r="C2230" s="9" t="str">
        <f>IFERROR(__xludf.DUMMYFUNCTION("""COMPUTED_VALUE"""),""":""")</f>
        <v>":"</v>
      </c>
      <c r="D2230" s="24">
        <v>6.2005979458241782E18</v>
      </c>
      <c r="E2230" s="9" t="str">
        <f>IFERROR(__xludf.DUMMYFUNCTION("""COMPUTED_VALUE"""),""",")</f>
        <v>",</v>
      </c>
    </row>
    <row r="2231">
      <c r="A2231" s="9" t="str">
        <f>IFERROR(__xludf.DUMMYFUNCTION("""COMPUTED_VALUE"""),"""")</f>
        <v>"</v>
      </c>
      <c r="B2231" s="9" t="s">
        <v>2240</v>
      </c>
      <c r="C2231" s="9" t="str">
        <f>IFERROR(__xludf.DUMMYFUNCTION("""COMPUTED_VALUE"""),""":""")</f>
        <v>":"</v>
      </c>
      <c r="D2231" s="24">
        <v>6.2005979458241782E18</v>
      </c>
      <c r="E2231" s="9" t="str">
        <f>IFERROR(__xludf.DUMMYFUNCTION("""COMPUTED_VALUE"""),""",")</f>
        <v>",</v>
      </c>
    </row>
    <row r="2232">
      <c r="A2232" s="9" t="str">
        <f>IFERROR(__xludf.DUMMYFUNCTION("""COMPUTED_VALUE"""),"""")</f>
        <v>"</v>
      </c>
      <c r="B2232" s="9" t="s">
        <v>2241</v>
      </c>
      <c r="C2232" s="9" t="str">
        <f>IFERROR(__xludf.DUMMYFUNCTION("""COMPUTED_VALUE"""),""":""")</f>
        <v>":"</v>
      </c>
      <c r="D2232" s="24">
        <v>6.2005979458241782E18</v>
      </c>
      <c r="E2232" s="9" t="str">
        <f>IFERROR(__xludf.DUMMYFUNCTION("""COMPUTED_VALUE"""),""",")</f>
        <v>",</v>
      </c>
    </row>
    <row r="2233">
      <c r="A2233" s="9" t="str">
        <f>IFERROR(__xludf.DUMMYFUNCTION("""COMPUTED_VALUE"""),"""")</f>
        <v>"</v>
      </c>
      <c r="B2233" s="9" t="s">
        <v>2242</v>
      </c>
      <c r="C2233" s="9" t="str">
        <f>IFERROR(__xludf.DUMMYFUNCTION("""COMPUTED_VALUE"""),""":""")</f>
        <v>":"</v>
      </c>
      <c r="D2233" s="24">
        <v>5.435282030389378E18</v>
      </c>
      <c r="E2233" s="9" t="str">
        <f>IFERROR(__xludf.DUMMYFUNCTION("""COMPUTED_VALUE"""),""",")</f>
        <v>",</v>
      </c>
    </row>
    <row r="2234">
      <c r="A2234" s="9" t="str">
        <f>IFERROR(__xludf.DUMMYFUNCTION("""COMPUTED_VALUE"""),"""")</f>
        <v>"</v>
      </c>
      <c r="B2234" s="9" t="s">
        <v>2243</v>
      </c>
      <c r="C2234" s="9" t="str">
        <f>IFERROR(__xludf.DUMMYFUNCTION("""COMPUTED_VALUE"""),""":""")</f>
        <v>":"</v>
      </c>
      <c r="D2234" s="24">
        <v>6.2005979458241782E18</v>
      </c>
      <c r="E2234" s="9" t="str">
        <f>IFERROR(__xludf.DUMMYFUNCTION("""COMPUTED_VALUE"""),""",")</f>
        <v>",</v>
      </c>
    </row>
    <row r="2235">
      <c r="A2235" s="9" t="str">
        <f>IFERROR(__xludf.DUMMYFUNCTION("""COMPUTED_VALUE"""),"""")</f>
        <v>"</v>
      </c>
      <c r="B2235" s="9" t="s">
        <v>2244</v>
      </c>
      <c r="C2235" s="9" t="str">
        <f>IFERROR(__xludf.DUMMYFUNCTION("""COMPUTED_VALUE"""),""":""")</f>
        <v>":"</v>
      </c>
      <c r="D2235" s="24">
        <v>6.2005979458241782E18</v>
      </c>
      <c r="E2235" s="9" t="str">
        <f>IFERROR(__xludf.DUMMYFUNCTION("""COMPUTED_VALUE"""),""",")</f>
        <v>",</v>
      </c>
    </row>
    <row r="2236">
      <c r="A2236" s="9" t="str">
        <f>IFERROR(__xludf.DUMMYFUNCTION("""COMPUTED_VALUE"""),"""")</f>
        <v>"</v>
      </c>
      <c r="B2236" s="9" t="s">
        <v>2245</v>
      </c>
      <c r="C2236" s="9" t="str">
        <f>IFERROR(__xludf.DUMMYFUNCTION("""COMPUTED_VALUE"""),""":""")</f>
        <v>":"</v>
      </c>
      <c r="D2236" s="24">
        <v>2.0248888511809958E19</v>
      </c>
      <c r="E2236" s="9" t="str">
        <f>IFERROR(__xludf.DUMMYFUNCTION("""COMPUTED_VALUE"""),""",")</f>
        <v>",</v>
      </c>
    </row>
    <row r="2237">
      <c r="A2237" s="9" t="str">
        <f>IFERROR(__xludf.DUMMYFUNCTION("""COMPUTED_VALUE"""),"""")</f>
        <v>"</v>
      </c>
      <c r="B2237" s="9" t="s">
        <v>2246</v>
      </c>
      <c r="C2237" s="9" t="str">
        <f>IFERROR(__xludf.DUMMYFUNCTION("""COMPUTED_VALUE"""),""":""")</f>
        <v>":"</v>
      </c>
      <c r="D2237" s="24">
        <v>2.2082255407861113E19</v>
      </c>
      <c r="E2237" s="9" t="str">
        <f>IFERROR(__xludf.DUMMYFUNCTION("""COMPUTED_VALUE"""),""",")</f>
        <v>",</v>
      </c>
    </row>
    <row r="2238">
      <c r="A2238" s="9" t="str">
        <f>IFERROR(__xludf.DUMMYFUNCTION("""COMPUTED_VALUE"""),"""")</f>
        <v>"</v>
      </c>
      <c r="B2238" s="9" t="s">
        <v>2247</v>
      </c>
      <c r="C2238" s="9" t="str">
        <f>IFERROR(__xludf.DUMMYFUNCTION("""COMPUTED_VALUE"""),""":""")</f>
        <v>":"</v>
      </c>
      <c r="D2238" s="24">
        <v>2.0248888511809958E19</v>
      </c>
      <c r="E2238" s="9" t="str">
        <f>IFERROR(__xludf.DUMMYFUNCTION("""COMPUTED_VALUE"""),""",")</f>
        <v>",</v>
      </c>
    </row>
    <row r="2239">
      <c r="A2239" s="9" t="str">
        <f>IFERROR(__xludf.DUMMYFUNCTION("""COMPUTED_VALUE"""),"""")</f>
        <v>"</v>
      </c>
      <c r="B2239" s="9" t="s">
        <v>2248</v>
      </c>
      <c r="C2239" s="9" t="str">
        <f>IFERROR(__xludf.DUMMYFUNCTION("""COMPUTED_VALUE"""),""":""")</f>
        <v>":"</v>
      </c>
      <c r="D2239" s="24">
        <v>6.3235160220558664E18</v>
      </c>
      <c r="E2239" s="9" t="str">
        <f>IFERROR(__xludf.DUMMYFUNCTION("""COMPUTED_VALUE"""),""",")</f>
        <v>",</v>
      </c>
    </row>
    <row r="2240">
      <c r="A2240" s="9" t="str">
        <f>IFERROR(__xludf.DUMMYFUNCTION("""COMPUTED_VALUE"""),"""")</f>
        <v>"</v>
      </c>
      <c r="B2240" s="9" t="s">
        <v>2249</v>
      </c>
      <c r="C2240" s="9" t="str">
        <f>IFERROR(__xludf.DUMMYFUNCTION("""COMPUTED_VALUE"""),""":""")</f>
        <v>":"</v>
      </c>
      <c r="D2240" s="24">
        <v>5.7162772124957112E18</v>
      </c>
      <c r="E2240" s="9" t="str">
        <f>IFERROR(__xludf.DUMMYFUNCTION("""COMPUTED_VALUE"""),""",")</f>
        <v>",</v>
      </c>
    </row>
    <row r="2241">
      <c r="A2241" s="9" t="str">
        <f>IFERROR(__xludf.DUMMYFUNCTION("""COMPUTED_VALUE"""),"""")</f>
        <v>"</v>
      </c>
      <c r="B2241" s="9" t="s">
        <v>2250</v>
      </c>
      <c r="C2241" s="9" t="str">
        <f>IFERROR(__xludf.DUMMYFUNCTION("""COMPUTED_VALUE"""),""":""")</f>
        <v>":"</v>
      </c>
      <c r="D2241" s="24">
        <v>1.7783409219270935E19</v>
      </c>
      <c r="E2241" s="9" t="str">
        <f>IFERROR(__xludf.DUMMYFUNCTION("""COMPUTED_VALUE"""),""",")</f>
        <v>",</v>
      </c>
    </row>
    <row r="2242">
      <c r="A2242" s="9" t="str">
        <f>IFERROR(__xludf.DUMMYFUNCTION("""COMPUTED_VALUE"""),"""")</f>
        <v>"</v>
      </c>
      <c r="B2242" s="9" t="s">
        <v>2251</v>
      </c>
      <c r="C2242" s="9" t="str">
        <f>IFERROR(__xludf.DUMMYFUNCTION("""COMPUTED_VALUE"""),""":""")</f>
        <v>":"</v>
      </c>
      <c r="D2242" s="24">
        <v>6.2005979458241782E18</v>
      </c>
      <c r="E2242" s="9" t="str">
        <f>IFERROR(__xludf.DUMMYFUNCTION("""COMPUTED_VALUE"""),""",")</f>
        <v>",</v>
      </c>
    </row>
    <row r="2243">
      <c r="A2243" s="9" t="str">
        <f>IFERROR(__xludf.DUMMYFUNCTION("""COMPUTED_VALUE"""),"""")</f>
        <v>"</v>
      </c>
      <c r="B2243" s="9" t="s">
        <v>2252</v>
      </c>
      <c r="C2243" s="9" t="str">
        <f>IFERROR(__xludf.DUMMYFUNCTION("""COMPUTED_VALUE"""),""":""")</f>
        <v>":"</v>
      </c>
      <c r="D2243" s="24">
        <v>6.2005979458241782E18</v>
      </c>
      <c r="E2243" s="9" t="str">
        <f>IFERROR(__xludf.DUMMYFUNCTION("""COMPUTED_VALUE"""),""",")</f>
        <v>",</v>
      </c>
    </row>
    <row r="2244">
      <c r="A2244" s="9" t="str">
        <f>IFERROR(__xludf.DUMMYFUNCTION("""COMPUTED_VALUE"""),"""")</f>
        <v>"</v>
      </c>
      <c r="B2244" s="9" t="s">
        <v>2253</v>
      </c>
      <c r="C2244" s="9" t="str">
        <f>IFERROR(__xludf.DUMMYFUNCTION("""COMPUTED_VALUE"""),""":""")</f>
        <v>":"</v>
      </c>
      <c r="D2244" s="24">
        <v>3.3152288033039114E18</v>
      </c>
      <c r="E2244" s="9" t="str">
        <f>IFERROR(__xludf.DUMMYFUNCTION("""COMPUTED_VALUE"""),""",")</f>
        <v>",</v>
      </c>
    </row>
    <row r="2245">
      <c r="A2245" s="9" t="str">
        <f>IFERROR(__xludf.DUMMYFUNCTION("""COMPUTED_VALUE"""),"""")</f>
        <v>"</v>
      </c>
      <c r="B2245" s="9" t="s">
        <v>2254</v>
      </c>
      <c r="C2245" s="9" t="str">
        <f>IFERROR(__xludf.DUMMYFUNCTION("""COMPUTED_VALUE"""),""":""")</f>
        <v>":"</v>
      </c>
      <c r="D2245" s="24">
        <v>2.0248888511809958E19</v>
      </c>
      <c r="E2245" s="9" t="str">
        <f>IFERROR(__xludf.DUMMYFUNCTION("""COMPUTED_VALUE"""),""",")</f>
        <v>",</v>
      </c>
    </row>
    <row r="2246">
      <c r="A2246" s="9" t="str">
        <f>IFERROR(__xludf.DUMMYFUNCTION("""COMPUTED_VALUE"""),"""")</f>
        <v>"</v>
      </c>
      <c r="B2246" s="9" t="s">
        <v>2255</v>
      </c>
      <c r="C2246" s="9" t="str">
        <f>IFERROR(__xludf.DUMMYFUNCTION("""COMPUTED_VALUE"""),""":""")</f>
        <v>":"</v>
      </c>
      <c r="D2246" s="24">
        <v>6.1090953637523558E18</v>
      </c>
      <c r="E2246" s="9" t="str">
        <f>IFERROR(__xludf.DUMMYFUNCTION("""COMPUTED_VALUE"""),""",")</f>
        <v>",</v>
      </c>
    </row>
    <row r="2247">
      <c r="A2247" s="9" t="str">
        <f>IFERROR(__xludf.DUMMYFUNCTION("""COMPUTED_VALUE"""),"""")</f>
        <v>"</v>
      </c>
      <c r="B2247" s="9" t="s">
        <v>2256</v>
      </c>
      <c r="C2247" s="9" t="str">
        <f>IFERROR(__xludf.DUMMYFUNCTION("""COMPUTED_VALUE"""),""":""")</f>
        <v>":"</v>
      </c>
      <c r="D2247" s="24">
        <v>2.0248888511809958E19</v>
      </c>
      <c r="E2247" s="9" t="str">
        <f>IFERROR(__xludf.DUMMYFUNCTION("""COMPUTED_VALUE"""),""",")</f>
        <v>",</v>
      </c>
    </row>
    <row r="2248">
      <c r="A2248" s="9" t="str">
        <f>IFERROR(__xludf.DUMMYFUNCTION("""COMPUTED_VALUE"""),"""")</f>
        <v>"</v>
      </c>
      <c r="B2248" s="9" t="s">
        <v>2257</v>
      </c>
      <c r="C2248" s="9" t="str">
        <f>IFERROR(__xludf.DUMMYFUNCTION("""COMPUTED_VALUE"""),""":""")</f>
        <v>":"</v>
      </c>
      <c r="D2248" s="24">
        <v>6.0765859869077115E18</v>
      </c>
      <c r="E2248" s="9" t="str">
        <f>IFERROR(__xludf.DUMMYFUNCTION("""COMPUTED_VALUE"""),""",")</f>
        <v>",</v>
      </c>
    </row>
    <row r="2249">
      <c r="A2249" s="9" t="str">
        <f>IFERROR(__xludf.DUMMYFUNCTION("""COMPUTED_VALUE"""),"""")</f>
        <v>"</v>
      </c>
      <c r="B2249" s="9" t="s">
        <v>2258</v>
      </c>
      <c r="C2249" s="9" t="str">
        <f>IFERROR(__xludf.DUMMYFUNCTION("""COMPUTED_VALUE"""),""":""")</f>
        <v>":"</v>
      </c>
      <c r="D2249" s="24">
        <v>6.2005979458241782E18</v>
      </c>
      <c r="E2249" s="9" t="str">
        <f>IFERROR(__xludf.DUMMYFUNCTION("""COMPUTED_VALUE"""),""",")</f>
        <v>",</v>
      </c>
    </row>
    <row r="2250">
      <c r="A2250" s="9" t="str">
        <f>IFERROR(__xludf.DUMMYFUNCTION("""COMPUTED_VALUE"""),"""")</f>
        <v>"</v>
      </c>
      <c r="B2250" s="9" t="s">
        <v>2259</v>
      </c>
      <c r="C2250" s="9" t="str">
        <f>IFERROR(__xludf.DUMMYFUNCTION("""COMPUTED_VALUE"""),""":""")</f>
        <v>":"</v>
      </c>
      <c r="D2250" s="24">
        <v>5.046002800667222E18</v>
      </c>
      <c r="E2250" s="9" t="str">
        <f>IFERROR(__xludf.DUMMYFUNCTION("""COMPUTED_VALUE"""),""",")</f>
        <v>",</v>
      </c>
    </row>
    <row r="2251">
      <c r="A2251" s="9" t="str">
        <f>IFERROR(__xludf.DUMMYFUNCTION("""COMPUTED_VALUE"""),"""")</f>
        <v>"</v>
      </c>
      <c r="B2251" s="9" t="s">
        <v>2260</v>
      </c>
      <c r="C2251" s="9" t="str">
        <f>IFERROR(__xludf.DUMMYFUNCTION("""COMPUTED_VALUE"""),""":""")</f>
        <v>":"</v>
      </c>
      <c r="D2251" s="24">
        <v>6.2005979458241782E18</v>
      </c>
      <c r="E2251" s="9" t="str">
        <f>IFERROR(__xludf.DUMMYFUNCTION("""COMPUTED_VALUE"""),""",")</f>
        <v>",</v>
      </c>
    </row>
    <row r="2252">
      <c r="A2252" s="9" t="str">
        <f>IFERROR(__xludf.DUMMYFUNCTION("""COMPUTED_VALUE"""),"""")</f>
        <v>"</v>
      </c>
      <c r="B2252" s="9" t="s">
        <v>2261</v>
      </c>
      <c r="C2252" s="9" t="str">
        <f>IFERROR(__xludf.DUMMYFUNCTION("""COMPUTED_VALUE"""),""":""")</f>
        <v>":"</v>
      </c>
      <c r="D2252" s="24">
        <v>3.1002989729120891E18</v>
      </c>
      <c r="E2252" s="9" t="str">
        <f>IFERROR(__xludf.DUMMYFUNCTION("""COMPUTED_VALUE"""),""",")</f>
        <v>",</v>
      </c>
    </row>
    <row r="2253">
      <c r="A2253" s="9" t="str">
        <f>IFERROR(__xludf.DUMMYFUNCTION("""COMPUTED_VALUE"""),"""")</f>
        <v>"</v>
      </c>
      <c r="B2253" s="9" t="s">
        <v>2262</v>
      </c>
      <c r="C2253" s="9" t="str">
        <f>IFERROR(__xludf.DUMMYFUNCTION("""COMPUTED_VALUE"""),""":""")</f>
        <v>":"</v>
      </c>
      <c r="D2253" s="24">
        <v>4.1374564150568955E18</v>
      </c>
      <c r="E2253" s="9" t="str">
        <f>IFERROR(__xludf.DUMMYFUNCTION("""COMPUTED_VALUE"""),""",")</f>
        <v>",</v>
      </c>
    </row>
    <row r="2254">
      <c r="A2254" s="9" t="str">
        <f>IFERROR(__xludf.DUMMYFUNCTION("""COMPUTED_VALUE"""),"""")</f>
        <v>"</v>
      </c>
      <c r="B2254" s="9" t="s">
        <v>2263</v>
      </c>
      <c r="C2254" s="9" t="str">
        <f>IFERROR(__xludf.DUMMYFUNCTION("""COMPUTED_VALUE"""),""":""")</f>
        <v>":"</v>
      </c>
      <c r="D2254" s="24">
        <v>6.2005979458241782E18</v>
      </c>
      <c r="E2254" s="9" t="str">
        <f>IFERROR(__xludf.DUMMYFUNCTION("""COMPUTED_VALUE"""),""",")</f>
        <v>",</v>
      </c>
    </row>
    <row r="2255">
      <c r="A2255" s="9" t="str">
        <f>IFERROR(__xludf.DUMMYFUNCTION("""COMPUTED_VALUE"""),"""")</f>
        <v>"</v>
      </c>
      <c r="B2255" s="9" t="s">
        <v>2264</v>
      </c>
      <c r="C2255" s="9" t="str">
        <f>IFERROR(__xludf.DUMMYFUNCTION("""COMPUTED_VALUE"""),""":""")</f>
        <v>":"</v>
      </c>
      <c r="D2255" s="24">
        <v>6.0351593735206226E18</v>
      </c>
      <c r="E2255" s="9" t="str">
        <f>IFERROR(__xludf.DUMMYFUNCTION("""COMPUTED_VALUE"""),""",")</f>
        <v>",</v>
      </c>
    </row>
    <row r="2256">
      <c r="A2256" s="9" t="str">
        <f>IFERROR(__xludf.DUMMYFUNCTION("""COMPUTED_VALUE"""),"""")</f>
        <v>"</v>
      </c>
      <c r="B2256" s="9" t="s">
        <v>2265</v>
      </c>
      <c r="C2256" s="9" t="str">
        <f>IFERROR(__xludf.DUMMYFUNCTION("""COMPUTED_VALUE"""),""":""")</f>
        <v>":"</v>
      </c>
      <c r="D2256" s="24">
        <v>2.2843275628863468E19</v>
      </c>
      <c r="E2256" s="9" t="str">
        <f>IFERROR(__xludf.DUMMYFUNCTION("""COMPUTED_VALUE"""),""",")</f>
        <v>",</v>
      </c>
    </row>
    <row r="2257">
      <c r="A2257" s="9" t="str">
        <f>IFERROR(__xludf.DUMMYFUNCTION("""COMPUTED_VALUE"""),"""")</f>
        <v>"</v>
      </c>
      <c r="B2257" s="9" t="s">
        <v>2266</v>
      </c>
      <c r="C2257" s="9" t="str">
        <f>IFERROR(__xludf.DUMMYFUNCTION("""COMPUTED_VALUE"""),""":""")</f>
        <v>":"</v>
      </c>
      <c r="D2257" s="24">
        <v>2.02465245987744461E18</v>
      </c>
      <c r="E2257" s="9" t="str">
        <f>IFERROR(__xludf.DUMMYFUNCTION("""COMPUTED_VALUE"""),""",")</f>
        <v>",</v>
      </c>
    </row>
    <row r="2258">
      <c r="A2258" s="9" t="str">
        <f>IFERROR(__xludf.DUMMYFUNCTION("""COMPUTED_VALUE"""),"""")</f>
        <v>"</v>
      </c>
      <c r="B2258" s="9" t="s">
        <v>2267</v>
      </c>
      <c r="C2258" s="9" t="str">
        <f>IFERROR(__xludf.DUMMYFUNCTION("""COMPUTED_VALUE"""),""":""")</f>
        <v>":"</v>
      </c>
      <c r="D2258" s="24">
        <v>1.1066214578615335E19</v>
      </c>
      <c r="E2258" s="9" t="str">
        <f>IFERROR(__xludf.DUMMYFUNCTION("""COMPUTED_VALUE"""),""",")</f>
        <v>",</v>
      </c>
    </row>
    <row r="2259">
      <c r="A2259" s="9" t="str">
        <f>IFERROR(__xludf.DUMMYFUNCTION("""COMPUTED_VALUE"""),"""")</f>
        <v>"</v>
      </c>
      <c r="B2259" s="9" t="s">
        <v>2268</v>
      </c>
      <c r="C2259" s="9" t="str">
        <f>IFERROR(__xludf.DUMMYFUNCTION("""COMPUTED_VALUE"""),""":""")</f>
        <v>":"</v>
      </c>
      <c r="D2259" s="24">
        <v>6.2005979458241782E18</v>
      </c>
      <c r="E2259" s="9" t="str">
        <f>IFERROR(__xludf.DUMMYFUNCTION("""COMPUTED_VALUE"""),""",")</f>
        <v>",</v>
      </c>
    </row>
    <row r="2260">
      <c r="A2260" s="9" t="str">
        <f>IFERROR(__xludf.DUMMYFUNCTION("""COMPUTED_VALUE"""),"""")</f>
        <v>"</v>
      </c>
      <c r="B2260" s="9" t="s">
        <v>2269</v>
      </c>
      <c r="C2260" s="9" t="str">
        <f>IFERROR(__xludf.DUMMYFUNCTION("""COMPUTED_VALUE"""),""":""")</f>
        <v>":"</v>
      </c>
      <c r="D2260" s="24">
        <v>4.1441076112244224E18</v>
      </c>
      <c r="E2260" s="9" t="str">
        <f>IFERROR(__xludf.DUMMYFUNCTION("""COMPUTED_VALUE"""),""",")</f>
        <v>",</v>
      </c>
    </row>
    <row r="2261">
      <c r="A2261" s="9" t="str">
        <f>IFERROR(__xludf.DUMMYFUNCTION("""COMPUTED_VALUE"""),"""")</f>
        <v>"</v>
      </c>
      <c r="B2261" s="9" t="s">
        <v>2270</v>
      </c>
      <c r="C2261" s="9" t="str">
        <f>IFERROR(__xludf.DUMMYFUNCTION("""COMPUTED_VALUE"""),""":""")</f>
        <v>":"</v>
      </c>
      <c r="D2261" s="24">
        <v>6.2005979458241782E18</v>
      </c>
      <c r="E2261" s="9" t="str">
        <f>IFERROR(__xludf.DUMMYFUNCTION("""COMPUTED_VALUE"""),""",")</f>
        <v>",</v>
      </c>
    </row>
    <row r="2262">
      <c r="A2262" s="9" t="str">
        <f>IFERROR(__xludf.DUMMYFUNCTION("""COMPUTED_VALUE"""),"""")</f>
        <v>"</v>
      </c>
      <c r="B2262" s="9" t="s">
        <v>2271</v>
      </c>
      <c r="C2262" s="9" t="str">
        <f>IFERROR(__xludf.DUMMYFUNCTION("""COMPUTED_VALUE"""),""":""")</f>
        <v>":"</v>
      </c>
      <c r="D2262" s="24">
        <v>1.5191503908055067E19</v>
      </c>
      <c r="E2262" s="9" t="str">
        <f>IFERROR(__xludf.DUMMYFUNCTION("""COMPUTED_VALUE"""),""",")</f>
        <v>",</v>
      </c>
    </row>
    <row r="2263">
      <c r="A2263" s="9" t="str">
        <f>IFERROR(__xludf.DUMMYFUNCTION("""COMPUTED_VALUE"""),"""")</f>
        <v>"</v>
      </c>
      <c r="B2263" s="9" t="s">
        <v>2272</v>
      </c>
      <c r="C2263" s="9" t="str">
        <f>IFERROR(__xludf.DUMMYFUNCTION("""COMPUTED_VALUE"""),""":""")</f>
        <v>":"</v>
      </c>
      <c r="D2263" s="24">
        <v>1.3735479253415332E19</v>
      </c>
      <c r="E2263" s="9" t="str">
        <f>IFERROR(__xludf.DUMMYFUNCTION("""COMPUTED_VALUE"""),""",")</f>
        <v>",</v>
      </c>
    </row>
    <row r="2264">
      <c r="A2264" s="9" t="str">
        <f>IFERROR(__xludf.DUMMYFUNCTION("""COMPUTED_VALUE"""),"""")</f>
        <v>"</v>
      </c>
      <c r="B2264" s="9" t="s">
        <v>2273</v>
      </c>
      <c r="C2264" s="9" t="str">
        <f>IFERROR(__xludf.DUMMYFUNCTION("""COMPUTED_VALUE"""),""":""")</f>
        <v>":"</v>
      </c>
      <c r="D2264" s="24">
        <v>1.95529130896759296E18</v>
      </c>
      <c r="E2264" s="9" t="str">
        <f>IFERROR(__xludf.DUMMYFUNCTION("""COMPUTED_VALUE"""),""",")</f>
        <v>",</v>
      </c>
    </row>
    <row r="2265">
      <c r="A2265" s="9" t="str">
        <f>IFERROR(__xludf.DUMMYFUNCTION("""COMPUTED_VALUE"""),"""")</f>
        <v>"</v>
      </c>
      <c r="B2265" s="9" t="s">
        <v>2274</v>
      </c>
      <c r="C2265" s="9" t="str">
        <f>IFERROR(__xludf.DUMMYFUNCTION("""COMPUTED_VALUE"""),""":""")</f>
        <v>":"</v>
      </c>
      <c r="D2265" s="24">
        <v>1.2321960397987267E19</v>
      </c>
      <c r="E2265" s="9" t="str">
        <f>IFERROR(__xludf.DUMMYFUNCTION("""COMPUTED_VALUE"""),""",")</f>
        <v>",</v>
      </c>
    </row>
    <row r="2266">
      <c r="A2266" s="9" t="str">
        <f>IFERROR(__xludf.DUMMYFUNCTION("""COMPUTED_VALUE"""),"""")</f>
        <v>"</v>
      </c>
      <c r="B2266" s="9" t="s">
        <v>2275</v>
      </c>
      <c r="C2266" s="9" t="str">
        <f>IFERROR(__xludf.DUMMYFUNCTION("""COMPUTED_VALUE"""),""":""")</f>
        <v>":"</v>
      </c>
      <c r="D2266" s="24">
        <v>6.625408867010558E18</v>
      </c>
      <c r="E2266" s="9" t="str">
        <f>IFERROR(__xludf.DUMMYFUNCTION("""COMPUTED_VALUE"""),""",")</f>
        <v>",</v>
      </c>
    </row>
    <row r="2267">
      <c r="A2267" s="9" t="str">
        <f>IFERROR(__xludf.DUMMYFUNCTION("""COMPUTED_VALUE"""),"""")</f>
        <v>"</v>
      </c>
      <c r="B2267" s="9" t="s">
        <v>2276</v>
      </c>
      <c r="C2267" s="9" t="str">
        <f>IFERROR(__xludf.DUMMYFUNCTION("""COMPUTED_VALUE"""),""":""")</f>
        <v>":"</v>
      </c>
      <c r="D2267" s="24">
        <v>2.0248888511809958E19</v>
      </c>
      <c r="E2267" s="9" t="str">
        <f>IFERROR(__xludf.DUMMYFUNCTION("""COMPUTED_VALUE"""),""",")</f>
        <v>",</v>
      </c>
    </row>
    <row r="2268">
      <c r="A2268" s="9" t="str">
        <f>IFERROR(__xludf.DUMMYFUNCTION("""COMPUTED_VALUE"""),"""")</f>
        <v>"</v>
      </c>
      <c r="B2268" s="9" t="s">
        <v>2277</v>
      </c>
      <c r="C2268" s="9" t="str">
        <f>IFERROR(__xludf.DUMMYFUNCTION("""COMPUTED_VALUE"""),""":""")</f>
        <v>":"</v>
      </c>
      <c r="D2268" s="24">
        <v>6.2005979458241782E18</v>
      </c>
      <c r="E2268" s="9" t="str">
        <f>IFERROR(__xludf.DUMMYFUNCTION("""COMPUTED_VALUE"""),""",")</f>
        <v>",</v>
      </c>
    </row>
    <row r="2269">
      <c r="A2269" s="9" t="str">
        <f>IFERROR(__xludf.DUMMYFUNCTION("""COMPUTED_VALUE"""),"""")</f>
        <v>"</v>
      </c>
      <c r="B2269" s="9" t="s">
        <v>2278</v>
      </c>
      <c r="C2269" s="9" t="str">
        <f>IFERROR(__xludf.DUMMYFUNCTION("""COMPUTED_VALUE"""),""":""")</f>
        <v>":"</v>
      </c>
      <c r="D2269" s="24">
        <v>6.2005979458241782E18</v>
      </c>
      <c r="E2269" s="9" t="str">
        <f>IFERROR(__xludf.DUMMYFUNCTION("""COMPUTED_VALUE"""),""",")</f>
        <v>",</v>
      </c>
    </row>
    <row r="2270">
      <c r="A2270" s="9" t="str">
        <f>IFERROR(__xludf.DUMMYFUNCTION("""COMPUTED_VALUE"""),"""")</f>
        <v>"</v>
      </c>
      <c r="B2270" s="9" t="s">
        <v>2279</v>
      </c>
      <c r="C2270" s="9" t="str">
        <f>IFERROR(__xludf.DUMMYFUNCTION("""COMPUTED_VALUE"""),""":""")</f>
        <v>":"</v>
      </c>
      <c r="D2270" s="24">
        <v>2.0248888511809958E19</v>
      </c>
      <c r="E2270" s="9" t="str">
        <f>IFERROR(__xludf.DUMMYFUNCTION("""COMPUTED_VALUE"""),""",")</f>
        <v>",</v>
      </c>
    </row>
    <row r="2271">
      <c r="A2271" s="9" t="str">
        <f>IFERROR(__xludf.DUMMYFUNCTION("""COMPUTED_VALUE"""),"""")</f>
        <v>"</v>
      </c>
      <c r="B2271" s="9" t="s">
        <v>2280</v>
      </c>
      <c r="C2271" s="9" t="str">
        <f>IFERROR(__xludf.DUMMYFUNCTION("""COMPUTED_VALUE"""),""":""")</f>
        <v>":"</v>
      </c>
      <c r="D2271" s="24">
        <v>6.2005979458241782E18</v>
      </c>
      <c r="E2271" s="9" t="str">
        <f>IFERROR(__xludf.DUMMYFUNCTION("""COMPUTED_VALUE"""),""",")</f>
        <v>",</v>
      </c>
    </row>
    <row r="2272">
      <c r="A2272" s="9" t="str">
        <f>IFERROR(__xludf.DUMMYFUNCTION("""COMPUTED_VALUE"""),"""")</f>
        <v>"</v>
      </c>
      <c r="B2272" s="9" t="s">
        <v>2281</v>
      </c>
      <c r="C2272" s="9" t="str">
        <f>IFERROR(__xludf.DUMMYFUNCTION("""COMPUTED_VALUE"""),""":""")</f>
        <v>":"</v>
      </c>
      <c r="D2272" s="24">
        <v>6.2005979458241782E18</v>
      </c>
      <c r="E2272" s="9" t="str">
        <f>IFERROR(__xludf.DUMMYFUNCTION("""COMPUTED_VALUE"""),""",")</f>
        <v>",</v>
      </c>
    </row>
    <row r="2273">
      <c r="A2273" s="9" t="str">
        <f>IFERROR(__xludf.DUMMYFUNCTION("""COMPUTED_VALUE"""),"""")</f>
        <v>"</v>
      </c>
      <c r="B2273" s="9" t="s">
        <v>2282</v>
      </c>
      <c r="C2273" s="9" t="str">
        <f>IFERROR(__xludf.DUMMYFUNCTION("""COMPUTED_VALUE"""),""":""")</f>
        <v>":"</v>
      </c>
      <c r="D2273" s="24">
        <v>5.7078136546753331E18</v>
      </c>
      <c r="E2273" s="9" t="str">
        <f>IFERROR(__xludf.DUMMYFUNCTION("""COMPUTED_VALUE"""),""",")</f>
        <v>",</v>
      </c>
    </row>
    <row r="2274">
      <c r="A2274" s="9" t="str">
        <f>IFERROR(__xludf.DUMMYFUNCTION("""COMPUTED_VALUE"""),"""")</f>
        <v>"</v>
      </c>
      <c r="B2274" s="9" t="s">
        <v>2283</v>
      </c>
      <c r="C2274" s="9" t="str">
        <f>IFERROR(__xludf.DUMMYFUNCTION("""COMPUTED_VALUE"""),""":""")</f>
        <v>":"</v>
      </c>
      <c r="D2274" s="24">
        <v>2.0248888511809958E19</v>
      </c>
      <c r="E2274" s="9" t="str">
        <f>IFERROR(__xludf.DUMMYFUNCTION("""COMPUTED_VALUE"""),""",")</f>
        <v>",</v>
      </c>
    </row>
    <row r="2275">
      <c r="A2275" s="9" t="str">
        <f>IFERROR(__xludf.DUMMYFUNCTION("""COMPUTED_VALUE"""),"""")</f>
        <v>"</v>
      </c>
      <c r="B2275" s="9" t="s">
        <v>2284</v>
      </c>
      <c r="C2275" s="9" t="str">
        <f>IFERROR(__xludf.DUMMYFUNCTION("""COMPUTED_VALUE"""),""":""")</f>
        <v>":"</v>
      </c>
      <c r="D2275" s="24">
        <v>5.7746207718134446E18</v>
      </c>
      <c r="E2275" s="9" t="str">
        <f>IFERROR(__xludf.DUMMYFUNCTION("""COMPUTED_VALUE"""),""",")</f>
        <v>",</v>
      </c>
    </row>
    <row r="2276">
      <c r="A2276" s="9" t="str">
        <f>IFERROR(__xludf.DUMMYFUNCTION("""COMPUTED_VALUE"""),"""")</f>
        <v>"</v>
      </c>
      <c r="B2276" s="9" t="s">
        <v>2285</v>
      </c>
      <c r="C2276" s="9" t="str">
        <f>IFERROR(__xludf.DUMMYFUNCTION("""COMPUTED_VALUE"""),""":""")</f>
        <v>":"</v>
      </c>
      <c r="D2276" s="24">
        <v>6.2005979458241782E18</v>
      </c>
      <c r="E2276" s="9" t="str">
        <f>IFERROR(__xludf.DUMMYFUNCTION("""COMPUTED_VALUE"""),""",")</f>
        <v>",</v>
      </c>
    </row>
    <row r="2277">
      <c r="A2277" s="9" t="str">
        <f>IFERROR(__xludf.DUMMYFUNCTION("""COMPUTED_VALUE"""),"""")</f>
        <v>"</v>
      </c>
      <c r="B2277" s="9" t="s">
        <v>2286</v>
      </c>
      <c r="C2277" s="9" t="str">
        <f>IFERROR(__xludf.DUMMYFUNCTION("""COMPUTED_VALUE"""),""":""")</f>
        <v>":"</v>
      </c>
      <c r="D2277" s="24">
        <v>6.2005979458241782E18</v>
      </c>
      <c r="E2277" s="9" t="str">
        <f>IFERROR(__xludf.DUMMYFUNCTION("""COMPUTED_VALUE"""),""",")</f>
        <v>",</v>
      </c>
    </row>
    <row r="2278">
      <c r="A2278" s="9" t="str">
        <f>IFERROR(__xludf.DUMMYFUNCTION("""COMPUTED_VALUE"""),"""")</f>
        <v>"</v>
      </c>
      <c r="B2278" s="9" t="s">
        <v>2287</v>
      </c>
      <c r="C2278" s="9" t="str">
        <f>IFERROR(__xludf.DUMMYFUNCTION("""COMPUTED_VALUE"""),""":""")</f>
        <v>":"</v>
      </c>
      <c r="D2278" s="24">
        <v>6.5938280891698944E18</v>
      </c>
      <c r="E2278" s="9" t="str">
        <f>IFERROR(__xludf.DUMMYFUNCTION("""COMPUTED_VALUE"""),""",")</f>
        <v>",</v>
      </c>
    </row>
    <row r="2279">
      <c r="A2279" s="9" t="str">
        <f>IFERROR(__xludf.DUMMYFUNCTION("""COMPUTED_VALUE"""),"""")</f>
        <v>"</v>
      </c>
      <c r="B2279" s="9" t="s">
        <v>2288</v>
      </c>
      <c r="C2279" s="9" t="str">
        <f>IFERROR(__xludf.DUMMYFUNCTION("""COMPUTED_VALUE"""),""":""")</f>
        <v>":"</v>
      </c>
      <c r="D2279" s="24">
        <v>5.0318683869062216E18</v>
      </c>
      <c r="E2279" s="9" t="str">
        <f>IFERROR(__xludf.DUMMYFUNCTION("""COMPUTED_VALUE"""),""",")</f>
        <v>",</v>
      </c>
    </row>
    <row r="2280">
      <c r="A2280" s="9" t="str">
        <f>IFERROR(__xludf.DUMMYFUNCTION("""COMPUTED_VALUE"""),"""")</f>
        <v>"</v>
      </c>
      <c r="B2280" s="9" t="s">
        <v>2289</v>
      </c>
      <c r="C2280" s="9" t="str">
        <f>IFERROR(__xludf.DUMMYFUNCTION("""COMPUTED_VALUE"""),""":""")</f>
        <v>":"</v>
      </c>
      <c r="D2280" s="24">
        <v>5.579139880727401E17</v>
      </c>
      <c r="E2280" s="9" t="str">
        <f>IFERROR(__xludf.DUMMYFUNCTION("""COMPUTED_VALUE"""),""",")</f>
        <v>",</v>
      </c>
    </row>
    <row r="2281">
      <c r="A2281" s="9" t="str">
        <f>IFERROR(__xludf.DUMMYFUNCTION("""COMPUTED_VALUE"""),"""")</f>
        <v>"</v>
      </c>
      <c r="B2281" s="9" t="s">
        <v>2290</v>
      </c>
      <c r="C2281" s="9" t="str">
        <f>IFERROR(__xludf.DUMMYFUNCTION("""COMPUTED_VALUE"""),""":""")</f>
        <v>":"</v>
      </c>
      <c r="D2281" s="24">
        <v>6.2005979458241782E18</v>
      </c>
      <c r="E2281" s="9" t="str">
        <f>IFERROR(__xludf.DUMMYFUNCTION("""COMPUTED_VALUE"""),""",")</f>
        <v>",</v>
      </c>
    </row>
    <row r="2282">
      <c r="A2282" s="9" t="str">
        <f>IFERROR(__xludf.DUMMYFUNCTION("""COMPUTED_VALUE"""),"""")</f>
        <v>"</v>
      </c>
      <c r="B2282" s="9" t="s">
        <v>2291</v>
      </c>
      <c r="C2282" s="9" t="str">
        <f>IFERROR(__xludf.DUMMYFUNCTION("""COMPUTED_VALUE"""),""":""")</f>
        <v>":"</v>
      </c>
      <c r="D2282" s="24">
        <v>5.4401103688509768E18</v>
      </c>
      <c r="E2282" s="9" t="str">
        <f>IFERROR(__xludf.DUMMYFUNCTION("""COMPUTED_VALUE"""),""",")</f>
        <v>",</v>
      </c>
    </row>
    <row r="2283">
      <c r="A2283" s="9" t="str">
        <f>IFERROR(__xludf.DUMMYFUNCTION("""COMPUTED_VALUE"""),"""")</f>
        <v>"</v>
      </c>
      <c r="B2283" s="9" t="s">
        <v>2292</v>
      </c>
      <c r="C2283" s="9" t="str">
        <f>IFERROR(__xludf.DUMMYFUNCTION("""COMPUTED_VALUE"""),""":""")</f>
        <v>":"</v>
      </c>
      <c r="D2283" s="24">
        <v>2.0248888511809958E19</v>
      </c>
      <c r="E2283" s="9" t="str">
        <f>IFERROR(__xludf.DUMMYFUNCTION("""COMPUTED_VALUE"""),""",")</f>
        <v>",</v>
      </c>
    </row>
    <row r="2284">
      <c r="A2284" s="9" t="str">
        <f>IFERROR(__xludf.DUMMYFUNCTION("""COMPUTED_VALUE"""),"""")</f>
        <v>"</v>
      </c>
      <c r="B2284" s="9" t="s">
        <v>2293</v>
      </c>
      <c r="C2284" s="9" t="str">
        <f>IFERROR(__xludf.DUMMYFUNCTION("""COMPUTED_VALUE"""),""":""")</f>
        <v>":"</v>
      </c>
      <c r="D2284" s="24">
        <v>6.5738949539063613E18</v>
      </c>
      <c r="E2284" s="9" t="str">
        <f>IFERROR(__xludf.DUMMYFUNCTION("""COMPUTED_VALUE"""),""",")</f>
        <v>",</v>
      </c>
    </row>
    <row r="2285">
      <c r="A2285" s="9" t="str">
        <f>IFERROR(__xludf.DUMMYFUNCTION("""COMPUTED_VALUE"""),"""")</f>
        <v>"</v>
      </c>
      <c r="B2285" s="9" t="s">
        <v>2294</v>
      </c>
      <c r="C2285" s="9" t="str">
        <f>IFERROR(__xludf.DUMMYFUNCTION("""COMPUTED_VALUE"""),""":""")</f>
        <v>":"</v>
      </c>
      <c r="D2285" s="24">
        <v>2.0248888511809958E19</v>
      </c>
      <c r="E2285" s="9" t="str">
        <f>IFERROR(__xludf.DUMMYFUNCTION("""COMPUTED_VALUE"""),""",")</f>
        <v>",</v>
      </c>
    </row>
    <row r="2286">
      <c r="A2286" s="9" t="str">
        <f>IFERROR(__xludf.DUMMYFUNCTION("""COMPUTED_VALUE"""),"""")</f>
        <v>"</v>
      </c>
      <c r="B2286" s="9" t="s">
        <v>2295</v>
      </c>
      <c r="C2286" s="9" t="str">
        <f>IFERROR(__xludf.DUMMYFUNCTION("""COMPUTED_VALUE"""),""":""")</f>
        <v>":"</v>
      </c>
      <c r="D2286" s="24">
        <v>2.0248888511809958E19</v>
      </c>
      <c r="E2286" s="9" t="str">
        <f>IFERROR(__xludf.DUMMYFUNCTION("""COMPUTED_VALUE"""),""",")</f>
        <v>",</v>
      </c>
    </row>
    <row r="2287">
      <c r="A2287" s="9" t="str">
        <f>IFERROR(__xludf.DUMMYFUNCTION("""COMPUTED_VALUE"""),"""")</f>
        <v>"</v>
      </c>
      <c r="B2287" s="9" t="s">
        <v>2296</v>
      </c>
      <c r="C2287" s="9" t="str">
        <f>IFERROR(__xludf.DUMMYFUNCTION("""COMPUTED_VALUE"""),""":""")</f>
        <v>":"</v>
      </c>
      <c r="D2287" s="24">
        <v>2.0248888511809958E19</v>
      </c>
      <c r="E2287" s="9" t="str">
        <f>IFERROR(__xludf.DUMMYFUNCTION("""COMPUTED_VALUE"""),""",")</f>
        <v>",</v>
      </c>
    </row>
    <row r="2288">
      <c r="A2288" s="9" t="str">
        <f>IFERROR(__xludf.DUMMYFUNCTION("""COMPUTED_VALUE"""),"""")</f>
        <v>"</v>
      </c>
      <c r="B2288" s="9" t="s">
        <v>2297</v>
      </c>
      <c r="C2288" s="9" t="str">
        <f>IFERROR(__xludf.DUMMYFUNCTION("""COMPUTED_VALUE"""),""":""")</f>
        <v>":"</v>
      </c>
      <c r="D2288" s="24">
        <v>6.2005979458241782E18</v>
      </c>
      <c r="E2288" s="9" t="str">
        <f>IFERROR(__xludf.DUMMYFUNCTION("""COMPUTED_VALUE"""),""",")</f>
        <v>",</v>
      </c>
    </row>
    <row r="2289">
      <c r="A2289" s="9" t="str">
        <f>IFERROR(__xludf.DUMMYFUNCTION("""COMPUTED_VALUE"""),"""")</f>
        <v>"</v>
      </c>
      <c r="B2289" s="9" t="s">
        <v>2298</v>
      </c>
      <c r="C2289" s="9" t="str">
        <f>IFERROR(__xludf.DUMMYFUNCTION("""COMPUTED_VALUE"""),""":""")</f>
        <v>":"</v>
      </c>
      <c r="D2289" s="24">
        <v>2.0248888511809958E19</v>
      </c>
      <c r="E2289" s="9" t="str">
        <f>IFERROR(__xludf.DUMMYFUNCTION("""COMPUTED_VALUE"""),""",")</f>
        <v>",</v>
      </c>
    </row>
    <row r="2290">
      <c r="A2290" s="9" t="str">
        <f>IFERROR(__xludf.DUMMYFUNCTION("""COMPUTED_VALUE"""),"""")</f>
        <v>"</v>
      </c>
      <c r="B2290" s="9" t="s">
        <v>2299</v>
      </c>
      <c r="C2290" s="9" t="str">
        <f>IFERROR(__xludf.DUMMYFUNCTION("""COMPUTED_VALUE"""),""":""")</f>
        <v>":"</v>
      </c>
      <c r="D2290" s="24">
        <v>2.0248888511809958E19</v>
      </c>
      <c r="E2290" s="9" t="str">
        <f>IFERROR(__xludf.DUMMYFUNCTION("""COMPUTED_VALUE"""),""",")</f>
        <v>",</v>
      </c>
    </row>
    <row r="2291">
      <c r="A2291" s="9" t="str">
        <f>IFERROR(__xludf.DUMMYFUNCTION("""COMPUTED_VALUE"""),"""")</f>
        <v>"</v>
      </c>
      <c r="B2291" s="9" t="s">
        <v>2300</v>
      </c>
      <c r="C2291" s="9" t="str">
        <f>IFERROR(__xludf.DUMMYFUNCTION("""COMPUTED_VALUE"""),""":""")</f>
        <v>":"</v>
      </c>
      <c r="D2291" s="24">
        <v>1.9791095318490624E19</v>
      </c>
      <c r="E2291" s="9" t="str">
        <f>IFERROR(__xludf.DUMMYFUNCTION("""COMPUTED_VALUE"""),""",")</f>
        <v>",</v>
      </c>
    </row>
    <row r="2292">
      <c r="A2292" s="9" t="str">
        <f>IFERROR(__xludf.DUMMYFUNCTION("""COMPUTED_VALUE"""),"""")</f>
        <v>"</v>
      </c>
      <c r="B2292" s="9" t="s">
        <v>2301</v>
      </c>
      <c r="C2292" s="9" t="str">
        <f>IFERROR(__xludf.DUMMYFUNCTION("""COMPUTED_VALUE"""),""":""")</f>
        <v>":"</v>
      </c>
      <c r="D2292" s="24">
        <v>6.2005979458241782E18</v>
      </c>
      <c r="E2292" s="9" t="str">
        <f>IFERROR(__xludf.DUMMYFUNCTION("""COMPUTED_VALUE"""),""",")</f>
        <v>",</v>
      </c>
    </row>
    <row r="2293">
      <c r="A2293" s="9" t="str">
        <f>IFERROR(__xludf.DUMMYFUNCTION("""COMPUTED_VALUE"""),"""")</f>
        <v>"</v>
      </c>
      <c r="B2293" s="9" t="s">
        <v>2302</v>
      </c>
      <c r="C2293" s="9" t="str">
        <f>IFERROR(__xludf.DUMMYFUNCTION("""COMPUTED_VALUE"""),""":""")</f>
        <v>":"</v>
      </c>
      <c r="D2293" s="24">
        <v>5.2380353535205775E18</v>
      </c>
      <c r="E2293" s="9" t="str">
        <f>IFERROR(__xludf.DUMMYFUNCTION("""COMPUTED_VALUE"""),""",")</f>
        <v>",</v>
      </c>
    </row>
    <row r="2294">
      <c r="A2294" s="9" t="str">
        <f>IFERROR(__xludf.DUMMYFUNCTION("""COMPUTED_VALUE"""),"""")</f>
        <v>"</v>
      </c>
      <c r="B2294" s="9" t="s">
        <v>2303</v>
      </c>
      <c r="C2294" s="9" t="str">
        <f>IFERROR(__xludf.DUMMYFUNCTION("""COMPUTED_VALUE"""),""":""")</f>
        <v>":"</v>
      </c>
      <c r="D2294" s="24">
        <v>6.2005979458241782E18</v>
      </c>
      <c r="E2294" s="9" t="str">
        <f>IFERROR(__xludf.DUMMYFUNCTION("""COMPUTED_VALUE"""),""",")</f>
        <v>",</v>
      </c>
    </row>
    <row r="2295">
      <c r="A2295" s="9" t="str">
        <f>IFERROR(__xludf.DUMMYFUNCTION("""COMPUTED_VALUE"""),"""")</f>
        <v>"</v>
      </c>
      <c r="B2295" s="9" t="s">
        <v>2304</v>
      </c>
      <c r="C2295" s="9" t="str">
        <f>IFERROR(__xludf.DUMMYFUNCTION("""COMPUTED_VALUE"""),""":""")</f>
        <v>":"</v>
      </c>
      <c r="D2295" s="24">
        <v>3.1342860527912893E18</v>
      </c>
      <c r="E2295" s="9" t="str">
        <f>IFERROR(__xludf.DUMMYFUNCTION("""COMPUTED_VALUE"""),""",")</f>
        <v>",</v>
      </c>
    </row>
    <row r="2296">
      <c r="A2296" s="9" t="str">
        <f>IFERROR(__xludf.DUMMYFUNCTION("""COMPUTED_VALUE"""),"""")</f>
        <v>"</v>
      </c>
      <c r="B2296" s="9" t="s">
        <v>2305</v>
      </c>
      <c r="C2296" s="9" t="str">
        <f>IFERROR(__xludf.DUMMYFUNCTION("""COMPUTED_VALUE"""),""":""")</f>
        <v>":"</v>
      </c>
      <c r="D2296" s="24">
        <v>1.5294387353440578E19</v>
      </c>
      <c r="E2296" s="9" t="str">
        <f>IFERROR(__xludf.DUMMYFUNCTION("""COMPUTED_VALUE"""),""",")</f>
        <v>",</v>
      </c>
    </row>
    <row r="2297">
      <c r="A2297" s="9" t="str">
        <f>IFERROR(__xludf.DUMMYFUNCTION("""COMPUTED_VALUE"""),"""")</f>
        <v>"</v>
      </c>
      <c r="B2297" s="9" t="s">
        <v>2306</v>
      </c>
      <c r="C2297" s="9" t="str">
        <f>IFERROR(__xludf.DUMMYFUNCTION("""COMPUTED_VALUE"""),""":""")</f>
        <v>":"</v>
      </c>
      <c r="D2297" s="24">
        <v>2.0248888511809958E19</v>
      </c>
      <c r="E2297" s="9" t="str">
        <f>IFERROR(__xludf.DUMMYFUNCTION("""COMPUTED_VALUE"""),""",")</f>
        <v>",</v>
      </c>
    </row>
    <row r="2298">
      <c r="A2298" s="9" t="str">
        <f>IFERROR(__xludf.DUMMYFUNCTION("""COMPUTED_VALUE"""),"""")</f>
        <v>"</v>
      </c>
      <c r="B2298" s="9" t="s">
        <v>2307</v>
      </c>
      <c r="C2298" s="9" t="str">
        <f>IFERROR(__xludf.DUMMYFUNCTION("""COMPUTED_VALUE"""),""":""")</f>
        <v>":"</v>
      </c>
      <c r="D2298" s="24">
        <v>5.3702440141791109E18</v>
      </c>
      <c r="E2298" s="9" t="str">
        <f>IFERROR(__xludf.DUMMYFUNCTION("""COMPUTED_VALUE"""),""",")</f>
        <v>",</v>
      </c>
    </row>
    <row r="2299">
      <c r="A2299" s="9" t="str">
        <f>IFERROR(__xludf.DUMMYFUNCTION("""COMPUTED_VALUE"""),"""")</f>
        <v>"</v>
      </c>
      <c r="B2299" s="9" t="s">
        <v>2308</v>
      </c>
      <c r="C2299" s="9" t="str">
        <f>IFERROR(__xludf.DUMMYFUNCTION("""COMPUTED_VALUE"""),""":""")</f>
        <v>":"</v>
      </c>
      <c r="D2299" s="24">
        <v>6.6329957986664315E18</v>
      </c>
      <c r="E2299" s="9" t="str">
        <f>IFERROR(__xludf.DUMMYFUNCTION("""COMPUTED_VALUE"""),""",")</f>
        <v>",</v>
      </c>
    </row>
    <row r="2300">
      <c r="A2300" s="9" t="str">
        <f>IFERROR(__xludf.DUMMYFUNCTION("""COMPUTED_VALUE"""),"""")</f>
        <v>"</v>
      </c>
      <c r="B2300" s="9" t="s">
        <v>2309</v>
      </c>
      <c r="C2300" s="9" t="str">
        <f>IFERROR(__xludf.DUMMYFUNCTION("""COMPUTED_VALUE"""),""":""")</f>
        <v>":"</v>
      </c>
      <c r="D2300" s="24">
        <v>1.91035481710033818E18</v>
      </c>
      <c r="E2300" s="9" t="str">
        <f>IFERROR(__xludf.DUMMYFUNCTION("""COMPUTED_VALUE"""),""",")</f>
        <v>",</v>
      </c>
    </row>
    <row r="2301">
      <c r="A2301" s="9" t="str">
        <f>IFERROR(__xludf.DUMMYFUNCTION("""COMPUTED_VALUE"""),"""")</f>
        <v>"</v>
      </c>
      <c r="B2301" s="9" t="s">
        <v>2310</v>
      </c>
      <c r="C2301" s="9" t="str">
        <f>IFERROR(__xludf.DUMMYFUNCTION("""COMPUTED_VALUE"""),""":""")</f>
        <v>":"</v>
      </c>
      <c r="D2301" s="24">
        <v>6.2005979458241782E18</v>
      </c>
      <c r="E2301" s="9" t="str">
        <f>IFERROR(__xludf.DUMMYFUNCTION("""COMPUTED_VALUE"""),""",")</f>
        <v>",</v>
      </c>
    </row>
    <row r="2302">
      <c r="A2302" s="9" t="str">
        <f>IFERROR(__xludf.DUMMYFUNCTION("""COMPUTED_VALUE"""),"""")</f>
        <v>"</v>
      </c>
      <c r="B2302" s="9" t="s">
        <v>2311</v>
      </c>
      <c r="C2302" s="9" t="str">
        <f>IFERROR(__xludf.DUMMYFUNCTION("""COMPUTED_VALUE"""),""":""")</f>
        <v>":"</v>
      </c>
      <c r="D2302" s="24">
        <v>1.4649344682954449E19</v>
      </c>
      <c r="E2302" s="9" t="str">
        <f>IFERROR(__xludf.DUMMYFUNCTION("""COMPUTED_VALUE"""),""",")</f>
        <v>",</v>
      </c>
    </row>
    <row r="2303">
      <c r="A2303" s="9" t="str">
        <f>IFERROR(__xludf.DUMMYFUNCTION("""COMPUTED_VALUE"""),"""")</f>
        <v>"</v>
      </c>
      <c r="B2303" s="9" t="s">
        <v>2312</v>
      </c>
      <c r="C2303" s="9" t="str">
        <f>IFERROR(__xludf.DUMMYFUNCTION("""COMPUTED_VALUE"""),""":""")</f>
        <v>":"</v>
      </c>
      <c r="D2303" s="24">
        <v>3.8244468947678126E18</v>
      </c>
      <c r="E2303" s="9" t="str">
        <f>IFERROR(__xludf.DUMMYFUNCTION("""COMPUTED_VALUE"""),""",")</f>
        <v>",</v>
      </c>
    </row>
    <row r="2304">
      <c r="A2304" s="9" t="str">
        <f>IFERROR(__xludf.DUMMYFUNCTION("""COMPUTED_VALUE"""),"""")</f>
        <v>"</v>
      </c>
      <c r="B2304" s="9" t="s">
        <v>2313</v>
      </c>
      <c r="C2304" s="9" t="str">
        <f>IFERROR(__xludf.DUMMYFUNCTION("""COMPUTED_VALUE"""),""":""")</f>
        <v>":"</v>
      </c>
      <c r="D2304" s="24">
        <v>6.2005979458241782E18</v>
      </c>
      <c r="E2304" s="9" t="str">
        <f>IFERROR(__xludf.DUMMYFUNCTION("""COMPUTED_VALUE"""),""",")</f>
        <v>",</v>
      </c>
    </row>
    <row r="2305">
      <c r="A2305" s="9" t="str">
        <f>IFERROR(__xludf.DUMMYFUNCTION("""COMPUTED_VALUE"""),"""")</f>
        <v>"</v>
      </c>
      <c r="B2305" s="9" t="s">
        <v>2314</v>
      </c>
      <c r="C2305" s="9" t="str">
        <f>IFERROR(__xludf.DUMMYFUNCTION("""COMPUTED_VALUE"""),""":""")</f>
        <v>":"</v>
      </c>
      <c r="D2305" s="24">
        <v>2.0248888511809958E19</v>
      </c>
      <c r="E2305" s="9" t="str">
        <f>IFERROR(__xludf.DUMMYFUNCTION("""COMPUTED_VALUE"""),""",")</f>
        <v>",</v>
      </c>
    </row>
    <row r="2306">
      <c r="A2306" s="9" t="str">
        <f>IFERROR(__xludf.DUMMYFUNCTION("""COMPUTED_VALUE"""),"""")</f>
        <v>"</v>
      </c>
      <c r="B2306" s="9" t="s">
        <v>2315</v>
      </c>
      <c r="C2306" s="9" t="str">
        <f>IFERROR(__xludf.DUMMYFUNCTION("""COMPUTED_VALUE"""),""":""")</f>
        <v>":"</v>
      </c>
      <c r="D2306" s="24">
        <v>6.2005979458241782E18</v>
      </c>
      <c r="E2306" s="9" t="str">
        <f>IFERROR(__xludf.DUMMYFUNCTION("""COMPUTED_VALUE"""),""",")</f>
        <v>",</v>
      </c>
    </row>
    <row r="2307">
      <c r="A2307" s="9" t="str">
        <f>IFERROR(__xludf.DUMMYFUNCTION("""COMPUTED_VALUE"""),"""")</f>
        <v>"</v>
      </c>
      <c r="B2307" s="9" t="s">
        <v>2316</v>
      </c>
      <c r="C2307" s="9" t="str">
        <f>IFERROR(__xludf.DUMMYFUNCTION("""COMPUTED_VALUE"""),""":""")</f>
        <v>":"</v>
      </c>
      <c r="D2307" s="24">
        <v>6.6329957986664315E18</v>
      </c>
      <c r="E2307" s="9" t="str">
        <f>IFERROR(__xludf.DUMMYFUNCTION("""COMPUTED_VALUE"""),""",")</f>
        <v>",</v>
      </c>
    </row>
    <row r="2308">
      <c r="A2308" s="9" t="str">
        <f>IFERROR(__xludf.DUMMYFUNCTION("""COMPUTED_VALUE"""),"""")</f>
        <v>"</v>
      </c>
      <c r="B2308" s="9" t="s">
        <v>2317</v>
      </c>
      <c r="C2308" s="9" t="str">
        <f>IFERROR(__xludf.DUMMYFUNCTION("""COMPUTED_VALUE"""),""":""")</f>
        <v>":"</v>
      </c>
      <c r="D2308" s="24">
        <v>2.0248888511809958E19</v>
      </c>
      <c r="E2308" s="9" t="str">
        <f>IFERROR(__xludf.DUMMYFUNCTION("""COMPUTED_VALUE"""),""",")</f>
        <v>",</v>
      </c>
    </row>
    <row r="2309">
      <c r="A2309" s="9" t="str">
        <f>IFERROR(__xludf.DUMMYFUNCTION("""COMPUTED_VALUE"""),"""")</f>
        <v>"</v>
      </c>
      <c r="B2309" s="9" t="s">
        <v>2318</v>
      </c>
      <c r="C2309" s="9" t="str">
        <f>IFERROR(__xludf.DUMMYFUNCTION("""COMPUTED_VALUE"""),""":""")</f>
        <v>":"</v>
      </c>
      <c r="D2309" s="24">
        <v>5.6697761963053783E18</v>
      </c>
      <c r="E2309" s="9" t="str">
        <f>IFERROR(__xludf.DUMMYFUNCTION("""COMPUTED_VALUE"""),""",")</f>
        <v>",</v>
      </c>
    </row>
    <row r="2310">
      <c r="A2310" s="9" t="str">
        <f>IFERROR(__xludf.DUMMYFUNCTION("""COMPUTED_VALUE"""),"""")</f>
        <v>"</v>
      </c>
      <c r="B2310" s="9" t="s">
        <v>2319</v>
      </c>
      <c r="C2310" s="9" t="str">
        <f>IFERROR(__xludf.DUMMYFUNCTION("""COMPUTED_VALUE"""),""":""")</f>
        <v>":"</v>
      </c>
      <c r="D2310" s="24">
        <v>6.2005979458241782E18</v>
      </c>
      <c r="E2310" s="9" t="str">
        <f>IFERROR(__xludf.DUMMYFUNCTION("""COMPUTED_VALUE"""),""",")</f>
        <v>",</v>
      </c>
    </row>
    <row r="2311">
      <c r="A2311" s="9" t="str">
        <f>IFERROR(__xludf.DUMMYFUNCTION("""COMPUTED_VALUE"""),"""")</f>
        <v>"</v>
      </c>
      <c r="B2311" s="9" t="s">
        <v>2320</v>
      </c>
      <c r="C2311" s="9" t="str">
        <f>IFERROR(__xludf.DUMMYFUNCTION("""COMPUTED_VALUE"""),""":""")</f>
        <v>":"</v>
      </c>
      <c r="D2311" s="24">
        <v>7.0976016887961344E17</v>
      </c>
      <c r="E2311" s="9" t="str">
        <f>IFERROR(__xludf.DUMMYFUNCTION("""COMPUTED_VALUE"""),""",")</f>
        <v>",</v>
      </c>
    </row>
    <row r="2312">
      <c r="A2312" s="9" t="str">
        <f>IFERROR(__xludf.DUMMYFUNCTION("""COMPUTED_VALUE"""),"""")</f>
        <v>"</v>
      </c>
      <c r="B2312" s="9" t="s">
        <v>2321</v>
      </c>
      <c r="C2312" s="9" t="str">
        <f>IFERROR(__xludf.DUMMYFUNCTION("""COMPUTED_VALUE"""),""":""")</f>
        <v>":"</v>
      </c>
      <c r="D2312" s="24">
        <v>2.0248888510686085E19</v>
      </c>
      <c r="E2312" s="9" t="str">
        <f>IFERROR(__xludf.DUMMYFUNCTION("""COMPUTED_VALUE"""),""",")</f>
        <v>",</v>
      </c>
    </row>
    <row r="2313">
      <c r="A2313" s="9" t="str">
        <f>IFERROR(__xludf.DUMMYFUNCTION("""COMPUTED_VALUE"""),"""")</f>
        <v>"</v>
      </c>
      <c r="B2313" s="9" t="s">
        <v>2322</v>
      </c>
      <c r="C2313" s="9" t="str">
        <f>IFERROR(__xludf.DUMMYFUNCTION("""COMPUTED_VALUE"""),""":""")</f>
        <v>":"</v>
      </c>
      <c r="D2313" s="24">
        <v>2.111691018885292E19</v>
      </c>
      <c r="E2313" s="9" t="str">
        <f>IFERROR(__xludf.DUMMYFUNCTION("""COMPUTED_VALUE"""),""",")</f>
        <v>",</v>
      </c>
    </row>
    <row r="2314">
      <c r="A2314" s="9" t="str">
        <f>IFERROR(__xludf.DUMMYFUNCTION("""COMPUTED_VALUE"""),"""")</f>
        <v>"</v>
      </c>
      <c r="B2314" s="9" t="s">
        <v>2323</v>
      </c>
      <c r="C2314" s="9" t="str">
        <f>IFERROR(__xludf.DUMMYFUNCTION("""COMPUTED_VALUE"""),""":""")</f>
        <v>":"</v>
      </c>
      <c r="D2314" s="24">
        <v>1.6386915219013288E19</v>
      </c>
      <c r="E2314" s="9" t="str">
        <f>IFERROR(__xludf.DUMMYFUNCTION("""COMPUTED_VALUE"""),""",")</f>
        <v>",</v>
      </c>
    </row>
    <row r="2315">
      <c r="A2315" s="9" t="str">
        <f>IFERROR(__xludf.DUMMYFUNCTION("""COMPUTED_VALUE"""),"""")</f>
        <v>"</v>
      </c>
      <c r="B2315" s="9" t="s">
        <v>2324</v>
      </c>
      <c r="C2315" s="9" t="str">
        <f>IFERROR(__xludf.DUMMYFUNCTION("""COMPUTED_VALUE"""),""":""")</f>
        <v>":"</v>
      </c>
      <c r="D2315" s="24">
        <v>2.519683339397227E19</v>
      </c>
      <c r="E2315" s="9" t="str">
        <f>IFERROR(__xludf.DUMMYFUNCTION("""COMPUTED_VALUE"""),""",")</f>
        <v>",</v>
      </c>
    </row>
    <row r="2316">
      <c r="A2316" s="9" t="str">
        <f>IFERROR(__xludf.DUMMYFUNCTION("""COMPUTED_VALUE"""),"""")</f>
        <v>"</v>
      </c>
      <c r="B2316" s="9" t="s">
        <v>2325</v>
      </c>
      <c r="C2316" s="9" t="str">
        <f>IFERROR(__xludf.DUMMYFUNCTION("""COMPUTED_VALUE"""),""":""")</f>
        <v>":"</v>
      </c>
      <c r="D2316" s="24">
        <v>6.2005979458241782E18</v>
      </c>
      <c r="E2316" s="9" t="str">
        <f>IFERROR(__xludf.DUMMYFUNCTION("""COMPUTED_VALUE"""),""",")</f>
        <v>",</v>
      </c>
    </row>
    <row r="2317">
      <c r="A2317" s="9" t="str">
        <f>IFERROR(__xludf.DUMMYFUNCTION("""COMPUTED_VALUE"""),"""")</f>
        <v>"</v>
      </c>
      <c r="B2317" s="9" t="s">
        <v>2326</v>
      </c>
      <c r="C2317" s="9" t="str">
        <f>IFERROR(__xludf.DUMMYFUNCTION("""COMPUTED_VALUE"""),""":""")</f>
        <v>":"</v>
      </c>
      <c r="D2317" s="24">
        <v>1.09408125242389568E18</v>
      </c>
      <c r="E2317" s="9" t="str">
        <f>IFERROR(__xludf.DUMMYFUNCTION("""COMPUTED_VALUE"""),""",")</f>
        <v>",</v>
      </c>
    </row>
    <row r="2318">
      <c r="A2318" s="9" t="str">
        <f>IFERROR(__xludf.DUMMYFUNCTION("""COMPUTED_VALUE"""),"""")</f>
        <v>"</v>
      </c>
      <c r="B2318" s="9" t="s">
        <v>2327</v>
      </c>
      <c r="C2318" s="9" t="str">
        <f>IFERROR(__xludf.DUMMYFUNCTION("""COMPUTED_VALUE"""),""":""")</f>
        <v>":"</v>
      </c>
      <c r="D2318" s="24">
        <v>2.063765445772668E19</v>
      </c>
      <c r="E2318" s="9" t="str">
        <f>IFERROR(__xludf.DUMMYFUNCTION("""COMPUTED_VALUE"""),""",")</f>
        <v>",</v>
      </c>
    </row>
    <row r="2319">
      <c r="A2319" s="9" t="str">
        <f>IFERROR(__xludf.DUMMYFUNCTION("""COMPUTED_VALUE"""),"""")</f>
        <v>"</v>
      </c>
      <c r="B2319" s="9" t="s">
        <v>2328</v>
      </c>
      <c r="C2319" s="9" t="str">
        <f>IFERROR(__xludf.DUMMYFUNCTION("""COMPUTED_VALUE"""),""":""")</f>
        <v>":"</v>
      </c>
      <c r="D2319" s="24">
        <v>6.2005979458241782E18</v>
      </c>
      <c r="E2319" s="9" t="str">
        <f>IFERROR(__xludf.DUMMYFUNCTION("""COMPUTED_VALUE"""),""",")</f>
        <v>",</v>
      </c>
    </row>
    <row r="2320">
      <c r="A2320" s="9" t="str">
        <f>IFERROR(__xludf.DUMMYFUNCTION("""COMPUTED_VALUE"""),"""")</f>
        <v>"</v>
      </c>
      <c r="B2320" s="9" t="s">
        <v>2329</v>
      </c>
      <c r="C2320" s="9" t="str">
        <f>IFERROR(__xludf.DUMMYFUNCTION("""COMPUTED_VALUE"""),""":""")</f>
        <v>":"</v>
      </c>
      <c r="D2320" s="24">
        <v>1.9072042464401465E19</v>
      </c>
      <c r="E2320" s="9" t="str">
        <f>IFERROR(__xludf.DUMMYFUNCTION("""COMPUTED_VALUE"""),""",")</f>
        <v>",</v>
      </c>
    </row>
    <row r="2321">
      <c r="A2321" s="9" t="str">
        <f>IFERROR(__xludf.DUMMYFUNCTION("""COMPUTED_VALUE"""),"""")</f>
        <v>"</v>
      </c>
      <c r="B2321" s="9" t="s">
        <v>2330</v>
      </c>
      <c r="C2321" s="9" t="str">
        <f>IFERROR(__xludf.DUMMYFUNCTION("""COMPUTED_VALUE"""),""":""")</f>
        <v>":"</v>
      </c>
      <c r="D2321" s="24">
        <v>2.0248888511809958E19</v>
      </c>
      <c r="E2321" s="9" t="str">
        <f>IFERROR(__xludf.DUMMYFUNCTION("""COMPUTED_VALUE"""),""",")</f>
        <v>",</v>
      </c>
    </row>
    <row r="2322">
      <c r="A2322" s="9" t="str">
        <f>IFERROR(__xludf.DUMMYFUNCTION("""COMPUTED_VALUE"""),"""")</f>
        <v>"</v>
      </c>
      <c r="B2322" s="9" t="s">
        <v>2331</v>
      </c>
      <c r="C2322" s="9" t="str">
        <f>IFERROR(__xludf.DUMMYFUNCTION("""COMPUTED_VALUE"""),""":""")</f>
        <v>":"</v>
      </c>
      <c r="D2322" s="24">
        <v>2.0248888511809958E19</v>
      </c>
      <c r="E2322" s="9" t="str">
        <f>IFERROR(__xludf.DUMMYFUNCTION("""COMPUTED_VALUE"""),""",")</f>
        <v>",</v>
      </c>
    </row>
    <row r="2323">
      <c r="A2323" s="9" t="str">
        <f>IFERROR(__xludf.DUMMYFUNCTION("""COMPUTED_VALUE"""),"""")</f>
        <v>"</v>
      </c>
      <c r="B2323" s="9" t="s">
        <v>2332</v>
      </c>
      <c r="C2323" s="9" t="str">
        <f>IFERROR(__xludf.DUMMYFUNCTION("""COMPUTED_VALUE"""),""":""")</f>
        <v>":"</v>
      </c>
      <c r="D2323" s="24">
        <v>2.3783535043007664E19</v>
      </c>
      <c r="E2323" s="9" t="str">
        <f>IFERROR(__xludf.DUMMYFUNCTION("""COMPUTED_VALUE"""),""",")</f>
        <v>",</v>
      </c>
    </row>
    <row r="2324">
      <c r="A2324" s="9" t="str">
        <f>IFERROR(__xludf.DUMMYFUNCTION("""COMPUTED_VALUE"""),"""")</f>
        <v>"</v>
      </c>
      <c r="B2324" s="9" t="s">
        <v>2333</v>
      </c>
      <c r="C2324" s="9" t="str">
        <f>IFERROR(__xludf.DUMMYFUNCTION("""COMPUTED_VALUE"""),""":""")</f>
        <v>":"</v>
      </c>
      <c r="D2324" s="24">
        <v>6.2005979458241782E18</v>
      </c>
      <c r="E2324" s="9" t="str">
        <f>IFERROR(__xludf.DUMMYFUNCTION("""COMPUTED_VALUE"""),""",")</f>
        <v>",</v>
      </c>
    </row>
    <row r="2325">
      <c r="A2325" s="9" t="str">
        <f>IFERROR(__xludf.DUMMYFUNCTION("""COMPUTED_VALUE"""),"""")</f>
        <v>"</v>
      </c>
      <c r="B2325" s="9" t="s">
        <v>2334</v>
      </c>
      <c r="C2325" s="9" t="str">
        <f>IFERROR(__xludf.DUMMYFUNCTION("""COMPUTED_VALUE"""),""":""")</f>
        <v>":"</v>
      </c>
      <c r="D2325" s="24">
        <v>6.6329957986664315E18</v>
      </c>
      <c r="E2325" s="9" t="str">
        <f>IFERROR(__xludf.DUMMYFUNCTION("""COMPUTED_VALUE"""),""",")</f>
        <v>",</v>
      </c>
    </row>
    <row r="2326">
      <c r="A2326" s="9" t="str">
        <f>IFERROR(__xludf.DUMMYFUNCTION("""COMPUTED_VALUE"""),"""")</f>
        <v>"</v>
      </c>
      <c r="B2326" s="9" t="s">
        <v>2335</v>
      </c>
      <c r="C2326" s="9" t="str">
        <f>IFERROR(__xludf.DUMMYFUNCTION("""COMPUTED_VALUE"""),""":""")</f>
        <v>":"</v>
      </c>
      <c r="D2326" s="24">
        <v>2.0776474590904414E19</v>
      </c>
      <c r="E2326" s="9" t="str">
        <f>IFERROR(__xludf.DUMMYFUNCTION("""COMPUTED_VALUE"""),""",")</f>
        <v>",</v>
      </c>
    </row>
    <row r="2327">
      <c r="A2327" s="9" t="str">
        <f>IFERROR(__xludf.DUMMYFUNCTION("""COMPUTED_VALUE"""),"""")</f>
        <v>"</v>
      </c>
      <c r="B2327" s="9" t="s">
        <v>2336</v>
      </c>
      <c r="C2327" s="9" t="str">
        <f>IFERROR(__xludf.DUMMYFUNCTION("""COMPUTED_VALUE"""),""":""")</f>
        <v>":"</v>
      </c>
      <c r="D2327" s="24">
        <v>2.370807133454798E19</v>
      </c>
      <c r="E2327" s="9" t="str">
        <f>IFERROR(__xludf.DUMMYFUNCTION("""COMPUTED_VALUE"""),""",")</f>
        <v>",</v>
      </c>
    </row>
    <row r="2328">
      <c r="A2328" s="9" t="str">
        <f>IFERROR(__xludf.DUMMYFUNCTION("""COMPUTED_VALUE"""),"""")</f>
        <v>"</v>
      </c>
      <c r="B2328" s="9" t="s">
        <v>2337</v>
      </c>
      <c r="C2328" s="9" t="str">
        <f>IFERROR(__xludf.DUMMYFUNCTION("""COMPUTED_VALUE"""),""":""")</f>
        <v>":"</v>
      </c>
      <c r="D2328" s="24">
        <v>1.86756589235887309E18</v>
      </c>
      <c r="E2328" s="9" t="str">
        <f>IFERROR(__xludf.DUMMYFUNCTION("""COMPUTED_VALUE"""),""",")</f>
        <v>",</v>
      </c>
    </row>
    <row r="2329">
      <c r="A2329" s="9" t="str">
        <f>IFERROR(__xludf.DUMMYFUNCTION("""COMPUTED_VALUE"""),"""")</f>
        <v>"</v>
      </c>
      <c r="B2329" s="9" t="s">
        <v>2338</v>
      </c>
      <c r="C2329" s="9" t="str">
        <f>IFERROR(__xludf.DUMMYFUNCTION("""COMPUTED_VALUE"""),""":""")</f>
        <v>":"</v>
      </c>
      <c r="D2329" s="24">
        <v>9.091944778557866E18</v>
      </c>
      <c r="E2329" s="9" t="str">
        <f>IFERROR(__xludf.DUMMYFUNCTION("""COMPUTED_VALUE"""),""",")</f>
        <v>",</v>
      </c>
    </row>
    <row r="2330">
      <c r="A2330" s="9" t="str">
        <f>IFERROR(__xludf.DUMMYFUNCTION("""COMPUTED_VALUE"""),"""")</f>
        <v>"</v>
      </c>
      <c r="B2330" s="9" t="s">
        <v>2339</v>
      </c>
      <c r="C2330" s="9" t="str">
        <f>IFERROR(__xludf.DUMMYFUNCTION("""COMPUTED_VALUE"""),""":""")</f>
        <v>":"</v>
      </c>
      <c r="D2330" s="24">
        <v>6.2005979458241782E18</v>
      </c>
      <c r="E2330" s="9" t="str">
        <f>IFERROR(__xludf.DUMMYFUNCTION("""COMPUTED_VALUE"""),""",")</f>
        <v>",</v>
      </c>
    </row>
    <row r="2331">
      <c r="A2331" s="9" t="str">
        <f>IFERROR(__xludf.DUMMYFUNCTION("""COMPUTED_VALUE"""),"""")</f>
        <v>"</v>
      </c>
      <c r="B2331" s="9" t="s">
        <v>2340</v>
      </c>
      <c r="C2331" s="9" t="str">
        <f>IFERROR(__xludf.DUMMYFUNCTION("""COMPUTED_VALUE"""),""":""")</f>
        <v>":"</v>
      </c>
      <c r="D2331" s="24">
        <v>2.0248888511809958E19</v>
      </c>
      <c r="E2331" s="9" t="str">
        <f>IFERROR(__xludf.DUMMYFUNCTION("""COMPUTED_VALUE"""),""",")</f>
        <v>",</v>
      </c>
    </row>
    <row r="2332">
      <c r="A2332" s="9" t="str">
        <f>IFERROR(__xludf.DUMMYFUNCTION("""COMPUTED_VALUE"""),"""")</f>
        <v>"</v>
      </c>
      <c r="B2332" s="9" t="s">
        <v>2341</v>
      </c>
      <c r="C2332" s="9" t="str">
        <f>IFERROR(__xludf.DUMMYFUNCTION("""COMPUTED_VALUE"""),""":""")</f>
        <v>":"</v>
      </c>
      <c r="D2332" s="24">
        <v>2.0248888511809958E19</v>
      </c>
      <c r="E2332" s="9" t="str">
        <f>IFERROR(__xludf.DUMMYFUNCTION("""COMPUTED_VALUE"""),""",")</f>
        <v>",</v>
      </c>
    </row>
    <row r="2333">
      <c r="A2333" s="9" t="str">
        <f>IFERROR(__xludf.DUMMYFUNCTION("""COMPUTED_VALUE"""),"""")</f>
        <v>"</v>
      </c>
      <c r="B2333" s="9" t="s">
        <v>2342</v>
      </c>
      <c r="C2333" s="9" t="str">
        <f>IFERROR(__xludf.DUMMYFUNCTION("""COMPUTED_VALUE"""),""":""")</f>
        <v>":"</v>
      </c>
      <c r="D2333" s="24">
        <v>5.1389844467972454E18</v>
      </c>
      <c r="E2333" s="9" t="str">
        <f>IFERROR(__xludf.DUMMYFUNCTION("""COMPUTED_VALUE"""),""",")</f>
        <v>",</v>
      </c>
    </row>
    <row r="2334">
      <c r="A2334" s="9" t="str">
        <f>IFERROR(__xludf.DUMMYFUNCTION("""COMPUTED_VALUE"""),"""")</f>
        <v>"</v>
      </c>
      <c r="B2334" s="9" t="s">
        <v>2343</v>
      </c>
      <c r="C2334" s="9" t="str">
        <f>IFERROR(__xludf.DUMMYFUNCTION("""COMPUTED_VALUE"""),""":""")</f>
        <v>":"</v>
      </c>
      <c r="D2334" s="24">
        <v>6.2005979458241782E18</v>
      </c>
      <c r="E2334" s="9" t="str">
        <f>IFERROR(__xludf.DUMMYFUNCTION("""COMPUTED_VALUE"""),""",")</f>
        <v>",</v>
      </c>
    </row>
    <row r="2335">
      <c r="A2335" s="9" t="str">
        <f>IFERROR(__xludf.DUMMYFUNCTION("""COMPUTED_VALUE"""),"""")</f>
        <v>"</v>
      </c>
      <c r="B2335" s="9" t="s">
        <v>2344</v>
      </c>
      <c r="C2335" s="9" t="str">
        <f>IFERROR(__xludf.DUMMYFUNCTION("""COMPUTED_VALUE"""),""":""")</f>
        <v>":"</v>
      </c>
      <c r="D2335" s="24">
        <v>6.028578073374196E19</v>
      </c>
      <c r="E2335" s="9" t="str">
        <f>IFERROR(__xludf.DUMMYFUNCTION("""COMPUTED_VALUE"""),""",")</f>
        <v>",</v>
      </c>
    </row>
    <row r="2336">
      <c r="A2336" s="9" t="str">
        <f>IFERROR(__xludf.DUMMYFUNCTION("""COMPUTED_VALUE"""),"""")</f>
        <v>"</v>
      </c>
      <c r="B2336" s="9" t="s">
        <v>2345</v>
      </c>
      <c r="C2336" s="9" t="str">
        <f>IFERROR(__xludf.DUMMYFUNCTION("""COMPUTED_VALUE"""),""":""")</f>
        <v>":"</v>
      </c>
      <c r="D2336" s="24">
        <v>6.0330929466616443E18</v>
      </c>
      <c r="E2336" s="9" t="str">
        <f>IFERROR(__xludf.DUMMYFUNCTION("""COMPUTED_VALUE"""),""",")</f>
        <v>",</v>
      </c>
    </row>
    <row r="2337">
      <c r="A2337" s="9" t="str">
        <f>IFERROR(__xludf.DUMMYFUNCTION("""COMPUTED_VALUE"""),"""")</f>
        <v>"</v>
      </c>
      <c r="B2337" s="9" t="s">
        <v>2346</v>
      </c>
      <c r="C2337" s="9" t="str">
        <f>IFERROR(__xludf.DUMMYFUNCTION("""COMPUTED_VALUE"""),""":""")</f>
        <v>":"</v>
      </c>
      <c r="D2337" s="24">
        <v>6.2005979458241782E18</v>
      </c>
      <c r="E2337" s="9" t="str">
        <f>IFERROR(__xludf.DUMMYFUNCTION("""COMPUTED_VALUE"""),""",")</f>
        <v>",</v>
      </c>
    </row>
    <row r="2338">
      <c r="A2338" s="9" t="str">
        <f>IFERROR(__xludf.DUMMYFUNCTION("""COMPUTED_VALUE"""),"""")</f>
        <v>"</v>
      </c>
      <c r="B2338" s="9" t="s">
        <v>2347</v>
      </c>
      <c r="C2338" s="9" t="str">
        <f>IFERROR(__xludf.DUMMYFUNCTION("""COMPUTED_VALUE"""),""":""")</f>
        <v>":"</v>
      </c>
      <c r="D2338" s="24">
        <v>1.4721048452370446E19</v>
      </c>
      <c r="E2338" s="9" t="str">
        <f>IFERROR(__xludf.DUMMYFUNCTION("""COMPUTED_VALUE"""),""",")</f>
        <v>",</v>
      </c>
    </row>
    <row r="2339">
      <c r="A2339" s="9" t="str">
        <f>IFERROR(__xludf.DUMMYFUNCTION("""COMPUTED_VALUE"""),"""")</f>
        <v>"</v>
      </c>
      <c r="B2339" s="9" t="s">
        <v>2348</v>
      </c>
      <c r="C2339" s="9" t="str">
        <f>IFERROR(__xludf.DUMMYFUNCTION("""COMPUTED_VALUE"""),""":""")</f>
        <v>":"</v>
      </c>
      <c r="D2339" s="24">
        <v>2.0248888511809958E19</v>
      </c>
      <c r="E2339" s="9" t="str">
        <f>IFERROR(__xludf.DUMMYFUNCTION("""COMPUTED_VALUE"""),""",")</f>
        <v>",</v>
      </c>
    </row>
    <row r="2340">
      <c r="A2340" s="9" t="str">
        <f>IFERROR(__xludf.DUMMYFUNCTION("""COMPUTED_VALUE"""),"""")</f>
        <v>"</v>
      </c>
      <c r="B2340" s="9" t="s">
        <v>2349</v>
      </c>
      <c r="C2340" s="9" t="str">
        <f>IFERROR(__xludf.DUMMYFUNCTION("""COMPUTED_VALUE"""),""":""")</f>
        <v>":"</v>
      </c>
      <c r="D2340" s="24">
        <v>6.2005979458241782E18</v>
      </c>
      <c r="E2340" s="9" t="str">
        <f>IFERROR(__xludf.DUMMYFUNCTION("""COMPUTED_VALUE"""),""",")</f>
        <v>",</v>
      </c>
    </row>
    <row r="2341">
      <c r="A2341" s="9" t="str">
        <f>IFERROR(__xludf.DUMMYFUNCTION("""COMPUTED_VALUE"""),"""")</f>
        <v>"</v>
      </c>
      <c r="B2341" s="9" t="s">
        <v>2350</v>
      </c>
      <c r="C2341" s="9" t="str">
        <f>IFERROR(__xludf.DUMMYFUNCTION("""COMPUTED_VALUE"""),""":""")</f>
        <v>":"</v>
      </c>
      <c r="D2341" s="24">
        <v>6.2005979458241782E18</v>
      </c>
      <c r="E2341" s="9" t="str">
        <f>IFERROR(__xludf.DUMMYFUNCTION("""COMPUTED_VALUE"""),""",")</f>
        <v>",</v>
      </c>
    </row>
    <row r="2342">
      <c r="A2342" s="9" t="str">
        <f>IFERROR(__xludf.DUMMYFUNCTION("""COMPUTED_VALUE"""),"""")</f>
        <v>"</v>
      </c>
      <c r="B2342" s="9" t="s">
        <v>2351</v>
      </c>
      <c r="C2342" s="9" t="str">
        <f>IFERROR(__xludf.DUMMYFUNCTION("""COMPUTED_VALUE"""),""":""")</f>
        <v>":"</v>
      </c>
      <c r="D2342" s="24">
        <v>6.2005979458241782E18</v>
      </c>
      <c r="E2342" s="9" t="str">
        <f>IFERROR(__xludf.DUMMYFUNCTION("""COMPUTED_VALUE"""),""",")</f>
        <v>",</v>
      </c>
    </row>
    <row r="2343">
      <c r="A2343" s="9" t="str">
        <f>IFERROR(__xludf.DUMMYFUNCTION("""COMPUTED_VALUE"""),"""")</f>
        <v>"</v>
      </c>
      <c r="B2343" s="9" t="s">
        <v>2352</v>
      </c>
      <c r="C2343" s="9" t="str">
        <f>IFERROR(__xludf.DUMMYFUNCTION("""COMPUTED_VALUE"""),""":""")</f>
        <v>":"</v>
      </c>
      <c r="D2343" s="24">
        <v>6.2005979458241782E18</v>
      </c>
      <c r="E2343" s="9" t="str">
        <f>IFERROR(__xludf.DUMMYFUNCTION("""COMPUTED_VALUE"""),""",")</f>
        <v>",</v>
      </c>
    </row>
    <row r="2344">
      <c r="A2344" s="9" t="str">
        <f>IFERROR(__xludf.DUMMYFUNCTION("""COMPUTED_VALUE"""),"""")</f>
        <v>"</v>
      </c>
      <c r="B2344" s="9" t="s">
        <v>2353</v>
      </c>
      <c r="C2344" s="9" t="str">
        <f>IFERROR(__xludf.DUMMYFUNCTION("""COMPUTED_VALUE"""),""":""")</f>
        <v>":"</v>
      </c>
      <c r="D2344" s="24">
        <v>6.2005979458241782E18</v>
      </c>
      <c r="E2344" s="9" t="str">
        <f>IFERROR(__xludf.DUMMYFUNCTION("""COMPUTED_VALUE"""),""",")</f>
        <v>",</v>
      </c>
    </row>
    <row r="2345">
      <c r="A2345" s="9" t="str">
        <f>IFERROR(__xludf.DUMMYFUNCTION("""COMPUTED_VALUE"""),"""")</f>
        <v>"</v>
      </c>
      <c r="B2345" s="9" t="s">
        <v>2354</v>
      </c>
      <c r="C2345" s="9" t="str">
        <f>IFERROR(__xludf.DUMMYFUNCTION("""COMPUTED_VALUE"""),""":""")</f>
        <v>":"</v>
      </c>
      <c r="D2345" s="24">
        <v>6.1459370731478446E18</v>
      </c>
      <c r="E2345" s="9" t="str">
        <f>IFERROR(__xludf.DUMMYFUNCTION("""COMPUTED_VALUE"""),""",")</f>
        <v>",</v>
      </c>
    </row>
    <row r="2346">
      <c r="A2346" s="9" t="str">
        <f>IFERROR(__xludf.DUMMYFUNCTION("""COMPUTED_VALUE"""),"""")</f>
        <v>"</v>
      </c>
      <c r="B2346" s="9" t="s">
        <v>2355</v>
      </c>
      <c r="C2346" s="9" t="str">
        <f>IFERROR(__xludf.DUMMYFUNCTION("""COMPUTED_VALUE"""),""":""")</f>
        <v>":"</v>
      </c>
      <c r="D2346" s="24">
        <v>2.0248888511809958E19</v>
      </c>
      <c r="E2346" s="9" t="str">
        <f>IFERROR(__xludf.DUMMYFUNCTION("""COMPUTED_VALUE"""),""",")</f>
        <v>",</v>
      </c>
    </row>
    <row r="2347">
      <c r="A2347" s="9" t="str">
        <f>IFERROR(__xludf.DUMMYFUNCTION("""COMPUTED_VALUE"""),"""")</f>
        <v>"</v>
      </c>
      <c r="B2347" s="9" t="s">
        <v>2356</v>
      </c>
      <c r="C2347" s="9" t="str">
        <f>IFERROR(__xludf.DUMMYFUNCTION("""COMPUTED_VALUE"""),""":""")</f>
        <v>":"</v>
      </c>
      <c r="D2347" s="24">
        <v>4.3023718244100229E18</v>
      </c>
      <c r="E2347" s="9" t="str">
        <f>IFERROR(__xludf.DUMMYFUNCTION("""COMPUTED_VALUE"""),""",")</f>
        <v>",</v>
      </c>
    </row>
    <row r="2348">
      <c r="A2348" s="9" t="str">
        <f>IFERROR(__xludf.DUMMYFUNCTION("""COMPUTED_VALUE"""),"""")</f>
        <v>"</v>
      </c>
      <c r="B2348" s="9" t="s">
        <v>2357</v>
      </c>
      <c r="C2348" s="9" t="str">
        <f>IFERROR(__xludf.DUMMYFUNCTION("""COMPUTED_VALUE"""),""":""")</f>
        <v>":"</v>
      </c>
      <c r="D2348" s="24">
        <v>6.0572041328799549E18</v>
      </c>
      <c r="E2348" s="9" t="str">
        <f>IFERROR(__xludf.DUMMYFUNCTION("""COMPUTED_VALUE"""),""",")</f>
        <v>",</v>
      </c>
    </row>
    <row r="2349">
      <c r="A2349" s="9" t="str">
        <f>IFERROR(__xludf.DUMMYFUNCTION("""COMPUTED_VALUE"""),"""")</f>
        <v>"</v>
      </c>
      <c r="B2349" s="9" t="s">
        <v>2358</v>
      </c>
      <c r="C2349" s="9" t="str">
        <f>IFERROR(__xludf.DUMMYFUNCTION("""COMPUTED_VALUE"""),""":""")</f>
        <v>":"</v>
      </c>
      <c r="D2349" s="24">
        <v>6.581361242355633E20</v>
      </c>
      <c r="E2349" s="9" t="str">
        <f>IFERROR(__xludf.DUMMYFUNCTION("""COMPUTED_VALUE"""),""",")</f>
        <v>",</v>
      </c>
    </row>
    <row r="2350">
      <c r="A2350" s="9" t="str">
        <f>IFERROR(__xludf.DUMMYFUNCTION("""COMPUTED_VALUE"""),"""")</f>
        <v>"</v>
      </c>
      <c r="B2350" s="9" t="s">
        <v>2359</v>
      </c>
      <c r="C2350" s="9" t="str">
        <f>IFERROR(__xludf.DUMMYFUNCTION("""COMPUTED_VALUE"""),""":""")</f>
        <v>":"</v>
      </c>
      <c r="D2350" s="24">
        <v>6.2005979458241782E18</v>
      </c>
      <c r="E2350" s="9" t="str">
        <f>IFERROR(__xludf.DUMMYFUNCTION("""COMPUTED_VALUE"""),""",")</f>
        <v>",</v>
      </c>
    </row>
    <row r="2351">
      <c r="A2351" s="9" t="str">
        <f>IFERROR(__xludf.DUMMYFUNCTION("""COMPUTED_VALUE"""),"""")</f>
        <v>"</v>
      </c>
      <c r="B2351" s="9" t="s">
        <v>2360</v>
      </c>
      <c r="C2351" s="9" t="str">
        <f>IFERROR(__xludf.DUMMYFUNCTION("""COMPUTED_VALUE"""),""":""")</f>
        <v>":"</v>
      </c>
      <c r="D2351" s="24">
        <v>2.0248888511809958E19</v>
      </c>
      <c r="E2351" s="9" t="str">
        <f>IFERROR(__xludf.DUMMYFUNCTION("""COMPUTED_VALUE"""),""",")</f>
        <v>",</v>
      </c>
    </row>
    <row r="2352">
      <c r="A2352" s="9" t="str">
        <f>IFERROR(__xludf.DUMMYFUNCTION("""COMPUTED_VALUE"""),"""")</f>
        <v>"</v>
      </c>
      <c r="B2352" s="9" t="s">
        <v>2361</v>
      </c>
      <c r="C2352" s="9" t="str">
        <f>IFERROR(__xludf.DUMMYFUNCTION("""COMPUTED_VALUE"""),""":""")</f>
        <v>":"</v>
      </c>
      <c r="D2352" s="24">
        <v>2.0248888511809958E19</v>
      </c>
      <c r="E2352" s="9" t="str">
        <f>IFERROR(__xludf.DUMMYFUNCTION("""COMPUTED_VALUE"""),""",")</f>
        <v>",</v>
      </c>
    </row>
    <row r="2353">
      <c r="A2353" s="9" t="str">
        <f>IFERROR(__xludf.DUMMYFUNCTION("""COMPUTED_VALUE"""),"""")</f>
        <v>"</v>
      </c>
      <c r="B2353" s="9" t="s">
        <v>2362</v>
      </c>
      <c r="C2353" s="9" t="str">
        <f>IFERROR(__xludf.DUMMYFUNCTION("""COMPUTED_VALUE"""),""":""")</f>
        <v>":"</v>
      </c>
      <c r="D2353" s="24">
        <v>1.93413178066738E19</v>
      </c>
      <c r="E2353" s="9" t="str">
        <f>IFERROR(__xludf.DUMMYFUNCTION("""COMPUTED_VALUE"""),""",")</f>
        <v>",</v>
      </c>
    </row>
    <row r="2354">
      <c r="A2354" s="9" t="str">
        <f>IFERROR(__xludf.DUMMYFUNCTION("""COMPUTED_VALUE"""),"""")</f>
        <v>"</v>
      </c>
      <c r="B2354" s="9" t="s">
        <v>2363</v>
      </c>
      <c r="C2354" s="9" t="str">
        <f>IFERROR(__xludf.DUMMYFUNCTION("""COMPUTED_VALUE"""),""":""")</f>
        <v>":"</v>
      </c>
      <c r="D2354" s="24">
        <v>2.0248888511809958E19</v>
      </c>
      <c r="E2354" s="9" t="str">
        <f>IFERROR(__xludf.DUMMYFUNCTION("""COMPUTED_VALUE"""),""",")</f>
        <v>",</v>
      </c>
    </row>
    <row r="2355">
      <c r="A2355" s="9" t="str">
        <f>IFERROR(__xludf.DUMMYFUNCTION("""COMPUTED_VALUE"""),"""")</f>
        <v>"</v>
      </c>
      <c r="B2355" s="9" t="s">
        <v>2364</v>
      </c>
      <c r="C2355" s="9" t="str">
        <f>IFERROR(__xludf.DUMMYFUNCTION("""COMPUTED_VALUE"""),""":""")</f>
        <v>":"</v>
      </c>
      <c r="D2355" s="24">
        <v>5.8165571815644887E18</v>
      </c>
      <c r="E2355" s="9" t="str">
        <f>IFERROR(__xludf.DUMMYFUNCTION("""COMPUTED_VALUE"""),""",")</f>
        <v>",</v>
      </c>
    </row>
    <row r="2356">
      <c r="A2356" s="9" t="str">
        <f>IFERROR(__xludf.DUMMYFUNCTION("""COMPUTED_VALUE"""),"""")</f>
        <v>"</v>
      </c>
      <c r="B2356" s="9" t="s">
        <v>2365</v>
      </c>
      <c r="C2356" s="9" t="str">
        <f>IFERROR(__xludf.DUMMYFUNCTION("""COMPUTED_VALUE"""),""":""")</f>
        <v>":"</v>
      </c>
      <c r="D2356" s="24">
        <v>6.2005979458241782E18</v>
      </c>
      <c r="E2356" s="9" t="str">
        <f>IFERROR(__xludf.DUMMYFUNCTION("""COMPUTED_VALUE"""),""",")</f>
        <v>",</v>
      </c>
    </row>
    <row r="2357">
      <c r="A2357" s="9" t="str">
        <f>IFERROR(__xludf.DUMMYFUNCTION("""COMPUTED_VALUE"""),"""")</f>
        <v>"</v>
      </c>
      <c r="B2357" s="9" t="s">
        <v>2366</v>
      </c>
      <c r="C2357" s="9" t="str">
        <f>IFERROR(__xludf.DUMMYFUNCTION("""COMPUTED_VALUE"""),""":""")</f>
        <v>":"</v>
      </c>
      <c r="D2357" s="24">
        <v>4.3100006370880005E18</v>
      </c>
      <c r="E2357" s="9" t="str">
        <f>IFERROR(__xludf.DUMMYFUNCTION("""COMPUTED_VALUE"""),""",")</f>
        <v>",</v>
      </c>
    </row>
    <row r="2358">
      <c r="A2358" s="9" t="str">
        <f>IFERROR(__xludf.DUMMYFUNCTION("""COMPUTED_VALUE"""),"""")</f>
        <v>"</v>
      </c>
      <c r="B2358" s="9" t="s">
        <v>2367</v>
      </c>
      <c r="C2358" s="9" t="str">
        <f>IFERROR(__xludf.DUMMYFUNCTION("""COMPUTED_VALUE"""),""":""")</f>
        <v>":"</v>
      </c>
      <c r="D2358" s="24">
        <v>6.2005979458241782E18</v>
      </c>
      <c r="E2358" s="9" t="str">
        <f>IFERROR(__xludf.DUMMYFUNCTION("""COMPUTED_VALUE"""),""",")</f>
        <v>",</v>
      </c>
    </row>
    <row r="2359">
      <c r="A2359" s="9" t="str">
        <f>IFERROR(__xludf.DUMMYFUNCTION("""COMPUTED_VALUE"""),"""")</f>
        <v>"</v>
      </c>
      <c r="B2359" s="9" t="s">
        <v>2368</v>
      </c>
      <c r="C2359" s="9" t="str">
        <f>IFERROR(__xludf.DUMMYFUNCTION("""COMPUTED_VALUE"""),""":""")</f>
        <v>":"</v>
      </c>
      <c r="D2359" s="24">
        <v>6.2005979458241782E18</v>
      </c>
      <c r="E2359" s="9" t="str">
        <f>IFERROR(__xludf.DUMMYFUNCTION("""COMPUTED_VALUE"""),""",")</f>
        <v>",</v>
      </c>
    </row>
    <row r="2360">
      <c r="A2360" s="9" t="str">
        <f>IFERROR(__xludf.DUMMYFUNCTION("""COMPUTED_VALUE"""),"""")</f>
        <v>"</v>
      </c>
      <c r="B2360" s="9" t="s">
        <v>2369</v>
      </c>
      <c r="C2360" s="9" t="str">
        <f>IFERROR(__xludf.DUMMYFUNCTION("""COMPUTED_VALUE"""),""":""")</f>
        <v>":"</v>
      </c>
      <c r="D2360" s="24">
        <v>1.45509084766573261E18</v>
      </c>
      <c r="E2360" s="9" t="str">
        <f>IFERROR(__xludf.DUMMYFUNCTION("""COMPUTED_VALUE"""),""",")</f>
        <v>",</v>
      </c>
    </row>
    <row r="2361">
      <c r="A2361" s="9" t="str">
        <f>IFERROR(__xludf.DUMMYFUNCTION("""COMPUTED_VALUE"""),"""")</f>
        <v>"</v>
      </c>
      <c r="B2361" s="9" t="s">
        <v>2370</v>
      </c>
      <c r="C2361" s="9" t="str">
        <f>IFERROR(__xludf.DUMMYFUNCTION("""COMPUTED_VALUE"""),""":""")</f>
        <v>":"</v>
      </c>
      <c r="D2361" s="24">
        <v>5.841211214811134E18</v>
      </c>
      <c r="E2361" s="9" t="str">
        <f>IFERROR(__xludf.DUMMYFUNCTION("""COMPUTED_VALUE"""),""",")</f>
        <v>",</v>
      </c>
    </row>
    <row r="2362">
      <c r="A2362" s="9" t="str">
        <f>IFERROR(__xludf.DUMMYFUNCTION("""COMPUTED_VALUE"""),"""")</f>
        <v>"</v>
      </c>
      <c r="B2362" s="9" t="s">
        <v>2371</v>
      </c>
      <c r="C2362" s="9" t="str">
        <f>IFERROR(__xludf.DUMMYFUNCTION("""COMPUTED_VALUE"""),""":""")</f>
        <v>":"</v>
      </c>
      <c r="D2362" s="24">
        <v>5.3716654519152445E18</v>
      </c>
      <c r="E2362" s="9" t="str">
        <f>IFERROR(__xludf.DUMMYFUNCTION("""COMPUTED_VALUE"""),""",")</f>
        <v>",</v>
      </c>
    </row>
    <row r="2363">
      <c r="A2363" s="9" t="str">
        <f>IFERROR(__xludf.DUMMYFUNCTION("""COMPUTED_VALUE"""),"""")</f>
        <v>"</v>
      </c>
      <c r="B2363" s="9" t="s">
        <v>2372</v>
      </c>
      <c r="C2363" s="9" t="str">
        <f>IFERROR(__xludf.DUMMYFUNCTION("""COMPUTED_VALUE"""),""":""")</f>
        <v>":"</v>
      </c>
      <c r="D2363" s="24">
        <v>3.495042150084089E19</v>
      </c>
      <c r="E2363" s="9" t="str">
        <f>IFERROR(__xludf.DUMMYFUNCTION("""COMPUTED_VALUE"""),""",")</f>
        <v>",</v>
      </c>
    </row>
    <row r="2364">
      <c r="A2364" s="9" t="str">
        <f>IFERROR(__xludf.DUMMYFUNCTION("""COMPUTED_VALUE"""),"""")</f>
        <v>"</v>
      </c>
      <c r="B2364" s="9" t="s">
        <v>2373</v>
      </c>
      <c r="C2364" s="9" t="str">
        <f>IFERROR(__xludf.DUMMYFUNCTION("""COMPUTED_VALUE"""),""":""")</f>
        <v>":"</v>
      </c>
      <c r="D2364" s="24">
        <v>6.2005979458241782E18</v>
      </c>
      <c r="E2364" s="9" t="str">
        <f>IFERROR(__xludf.DUMMYFUNCTION("""COMPUTED_VALUE"""),""",")</f>
        <v>",</v>
      </c>
    </row>
    <row r="2365">
      <c r="A2365" s="9" t="str">
        <f>IFERROR(__xludf.DUMMYFUNCTION("""COMPUTED_VALUE"""),"""")</f>
        <v>"</v>
      </c>
      <c r="B2365" s="9" t="s">
        <v>2374</v>
      </c>
      <c r="C2365" s="9" t="str">
        <f>IFERROR(__xludf.DUMMYFUNCTION("""COMPUTED_VALUE"""),""":""")</f>
        <v>":"</v>
      </c>
      <c r="D2365" s="24">
        <v>6.2005979458241782E18</v>
      </c>
      <c r="E2365" s="9" t="str">
        <f>IFERROR(__xludf.DUMMYFUNCTION("""COMPUTED_VALUE"""),""",")</f>
        <v>",</v>
      </c>
    </row>
    <row r="2366">
      <c r="A2366" s="9" t="str">
        <f>IFERROR(__xludf.DUMMYFUNCTION("""COMPUTED_VALUE"""),"""")</f>
        <v>"</v>
      </c>
      <c r="B2366" s="9" t="s">
        <v>2375</v>
      </c>
      <c r="C2366" s="9" t="str">
        <f>IFERROR(__xludf.DUMMYFUNCTION("""COMPUTED_VALUE"""),""":""")</f>
        <v>":"</v>
      </c>
      <c r="D2366" s="24">
        <v>2.0248888511809958E19</v>
      </c>
      <c r="E2366" s="9" t="str">
        <f>IFERROR(__xludf.DUMMYFUNCTION("""COMPUTED_VALUE"""),""",")</f>
        <v>",</v>
      </c>
    </row>
    <row r="2367">
      <c r="A2367" s="9" t="str">
        <f>IFERROR(__xludf.DUMMYFUNCTION("""COMPUTED_VALUE"""),"""")</f>
        <v>"</v>
      </c>
      <c r="B2367" s="9" t="s">
        <v>2376</v>
      </c>
      <c r="C2367" s="9" t="str">
        <f>IFERROR(__xludf.DUMMYFUNCTION("""COMPUTED_VALUE"""),""":""")</f>
        <v>":"</v>
      </c>
      <c r="D2367" s="24">
        <v>4.3825175639929088E18</v>
      </c>
      <c r="E2367" s="9" t="str">
        <f>IFERROR(__xludf.DUMMYFUNCTION("""COMPUTED_VALUE"""),""",")</f>
        <v>",</v>
      </c>
    </row>
    <row r="2368">
      <c r="A2368" s="9" t="str">
        <f>IFERROR(__xludf.DUMMYFUNCTION("""COMPUTED_VALUE"""),"""")</f>
        <v>"</v>
      </c>
      <c r="B2368" s="9" t="s">
        <v>2377</v>
      </c>
      <c r="C2368" s="9" t="str">
        <f>IFERROR(__xludf.DUMMYFUNCTION("""COMPUTED_VALUE"""),""":""")</f>
        <v>":"</v>
      </c>
      <c r="D2368" s="24">
        <v>2.0248888511809958E19</v>
      </c>
      <c r="E2368" s="9" t="str">
        <f>IFERROR(__xludf.DUMMYFUNCTION("""COMPUTED_VALUE"""),""",")</f>
        <v>",</v>
      </c>
    </row>
    <row r="2369">
      <c r="A2369" s="9" t="str">
        <f>IFERROR(__xludf.DUMMYFUNCTION("""COMPUTED_VALUE"""),"""")</f>
        <v>"</v>
      </c>
      <c r="B2369" s="9" t="s">
        <v>2378</v>
      </c>
      <c r="C2369" s="9" t="str">
        <f>IFERROR(__xludf.DUMMYFUNCTION("""COMPUTED_VALUE"""),""":""")</f>
        <v>":"</v>
      </c>
      <c r="D2369" s="24">
        <v>1.5191503908055067E19</v>
      </c>
      <c r="E2369" s="9" t="str">
        <f>IFERROR(__xludf.DUMMYFUNCTION("""COMPUTED_VALUE"""),""",")</f>
        <v>",</v>
      </c>
    </row>
    <row r="2370">
      <c r="A2370" s="9" t="str">
        <f>IFERROR(__xludf.DUMMYFUNCTION("""COMPUTED_VALUE"""),"""")</f>
        <v>"</v>
      </c>
      <c r="B2370" s="9" t="s">
        <v>2379</v>
      </c>
      <c r="C2370" s="9" t="str">
        <f>IFERROR(__xludf.DUMMYFUNCTION("""COMPUTED_VALUE"""),""":""")</f>
        <v>":"</v>
      </c>
      <c r="D2370" s="24">
        <v>5.8962571594183107E18</v>
      </c>
      <c r="E2370" s="9" t="str">
        <f>IFERROR(__xludf.DUMMYFUNCTION("""COMPUTED_VALUE"""),""",")</f>
        <v>",</v>
      </c>
    </row>
    <row r="2371">
      <c r="A2371" s="9" t="str">
        <f>IFERROR(__xludf.DUMMYFUNCTION("""COMPUTED_VALUE"""),"""")</f>
        <v>"</v>
      </c>
      <c r="B2371" s="9" t="s">
        <v>2380</v>
      </c>
      <c r="C2371" s="9" t="str">
        <f>IFERROR(__xludf.DUMMYFUNCTION("""COMPUTED_VALUE"""),""":""")</f>
        <v>":"</v>
      </c>
      <c r="D2371" s="24">
        <v>2.2843275628863468E19</v>
      </c>
      <c r="E2371" s="9" t="str">
        <f>IFERROR(__xludf.DUMMYFUNCTION("""COMPUTED_VALUE"""),""",")</f>
        <v>",</v>
      </c>
    </row>
    <row r="2372">
      <c r="A2372" s="9" t="str">
        <f>IFERROR(__xludf.DUMMYFUNCTION("""COMPUTED_VALUE"""),"""")</f>
        <v>"</v>
      </c>
      <c r="B2372" s="9" t="s">
        <v>2381</v>
      </c>
      <c r="C2372" s="9" t="str">
        <f>IFERROR(__xludf.DUMMYFUNCTION("""COMPUTED_VALUE"""),""":""")</f>
        <v>":"</v>
      </c>
      <c r="D2372" s="24">
        <v>4.553488338853911E18</v>
      </c>
      <c r="E2372" s="9" t="str">
        <f>IFERROR(__xludf.DUMMYFUNCTION("""COMPUTED_VALUE"""),""",")</f>
        <v>",</v>
      </c>
    </row>
    <row r="2373">
      <c r="A2373" s="9" t="str">
        <f>IFERROR(__xludf.DUMMYFUNCTION("""COMPUTED_VALUE"""),"""")</f>
        <v>"</v>
      </c>
      <c r="B2373" s="9" t="s">
        <v>2382</v>
      </c>
      <c r="C2373" s="9" t="str">
        <f>IFERROR(__xludf.DUMMYFUNCTION("""COMPUTED_VALUE"""),""":""")</f>
        <v>":"</v>
      </c>
      <c r="D2373" s="24">
        <v>2.0248888511809958E19</v>
      </c>
      <c r="E2373" s="9" t="str">
        <f>IFERROR(__xludf.DUMMYFUNCTION("""COMPUTED_VALUE"""),""",")</f>
        <v>",</v>
      </c>
    </row>
    <row r="2374">
      <c r="A2374" s="9" t="str">
        <f>IFERROR(__xludf.DUMMYFUNCTION("""COMPUTED_VALUE"""),"""")</f>
        <v>"</v>
      </c>
      <c r="B2374" s="9" t="s">
        <v>2383</v>
      </c>
      <c r="C2374" s="9" t="str">
        <f>IFERROR(__xludf.DUMMYFUNCTION("""COMPUTED_VALUE"""),""":""")</f>
        <v>":"</v>
      </c>
      <c r="D2374" s="24">
        <v>2.7081252429999775E18</v>
      </c>
      <c r="E2374" s="9" t="str">
        <f>IFERROR(__xludf.DUMMYFUNCTION("""COMPUTED_VALUE"""),""",")</f>
        <v>",</v>
      </c>
    </row>
    <row r="2375">
      <c r="A2375" s="9" t="str">
        <f>IFERROR(__xludf.DUMMYFUNCTION("""COMPUTED_VALUE"""),"""")</f>
        <v>"</v>
      </c>
      <c r="B2375" s="9" t="s">
        <v>2384</v>
      </c>
      <c r="C2375" s="9" t="str">
        <f>IFERROR(__xludf.DUMMYFUNCTION("""COMPUTED_VALUE"""),""":""")</f>
        <v>":"</v>
      </c>
      <c r="D2375" s="24">
        <v>2.4802391783296666E18</v>
      </c>
      <c r="E2375" s="9" t="str">
        <f>IFERROR(__xludf.DUMMYFUNCTION("""COMPUTED_VALUE"""),""",")</f>
        <v>",</v>
      </c>
    </row>
    <row r="2376">
      <c r="A2376" s="9" t="str">
        <f>IFERROR(__xludf.DUMMYFUNCTION("""COMPUTED_VALUE"""),"""")</f>
        <v>"</v>
      </c>
      <c r="B2376" s="9" t="s">
        <v>2385</v>
      </c>
      <c r="C2376" s="9" t="str">
        <f>IFERROR(__xludf.DUMMYFUNCTION("""COMPUTED_VALUE"""),""":""")</f>
        <v>":"</v>
      </c>
      <c r="D2376" s="24">
        <v>6.2005979458241782E18</v>
      </c>
      <c r="E2376" s="9" t="str">
        <f>IFERROR(__xludf.DUMMYFUNCTION("""COMPUTED_VALUE"""),""",")</f>
        <v>",</v>
      </c>
    </row>
    <row r="2377">
      <c r="A2377" s="9" t="str">
        <f>IFERROR(__xludf.DUMMYFUNCTION("""COMPUTED_VALUE"""),"""")</f>
        <v>"</v>
      </c>
      <c r="B2377" s="9" t="s">
        <v>2386</v>
      </c>
      <c r="C2377" s="9" t="str">
        <f>IFERROR(__xludf.DUMMYFUNCTION("""COMPUTED_VALUE"""),""":""")</f>
        <v>":"</v>
      </c>
      <c r="D2377" s="24">
        <v>2.0248888511809958E19</v>
      </c>
      <c r="E2377" s="9" t="str">
        <f>IFERROR(__xludf.DUMMYFUNCTION("""COMPUTED_VALUE"""),""",")</f>
        <v>",</v>
      </c>
    </row>
    <row r="2378">
      <c r="A2378" s="9" t="str">
        <f>IFERROR(__xludf.DUMMYFUNCTION("""COMPUTED_VALUE"""),"""")</f>
        <v>"</v>
      </c>
      <c r="B2378" s="9" t="s">
        <v>2387</v>
      </c>
      <c r="C2378" s="9" t="str">
        <f>IFERROR(__xludf.DUMMYFUNCTION("""COMPUTED_VALUE"""),""":""")</f>
        <v>":"</v>
      </c>
      <c r="D2378" s="24">
        <v>2.2843275628863468E19</v>
      </c>
      <c r="E2378" s="9" t="str">
        <f>IFERROR(__xludf.DUMMYFUNCTION("""COMPUTED_VALUE"""),""",")</f>
        <v>",</v>
      </c>
    </row>
    <row r="2379">
      <c r="A2379" s="9" t="str">
        <f>IFERROR(__xludf.DUMMYFUNCTION("""COMPUTED_VALUE"""),"""")</f>
        <v>"</v>
      </c>
      <c r="B2379" s="9" t="s">
        <v>2388</v>
      </c>
      <c r="C2379" s="9" t="str">
        <f>IFERROR(__xludf.DUMMYFUNCTION("""COMPUTED_VALUE"""),""":""")</f>
        <v>":"</v>
      </c>
      <c r="D2379" s="24">
        <v>1.986900972903473E19</v>
      </c>
      <c r="E2379" s="9" t="str">
        <f>IFERROR(__xludf.DUMMYFUNCTION("""COMPUTED_VALUE"""),""",")</f>
        <v>",</v>
      </c>
    </row>
    <row r="2380">
      <c r="A2380" s="9" t="str">
        <f>IFERROR(__xludf.DUMMYFUNCTION("""COMPUTED_VALUE"""),"""")</f>
        <v>"</v>
      </c>
      <c r="B2380" s="9" t="s">
        <v>2389</v>
      </c>
      <c r="C2380" s="9" t="str">
        <f>IFERROR(__xludf.DUMMYFUNCTION("""COMPUTED_VALUE"""),""":""")</f>
        <v>":"</v>
      </c>
      <c r="D2380" s="24">
        <v>6.2005979458241782E18</v>
      </c>
      <c r="E2380" s="9" t="str">
        <f>IFERROR(__xludf.DUMMYFUNCTION("""COMPUTED_VALUE"""),""",")</f>
        <v>",</v>
      </c>
    </row>
    <row r="2381">
      <c r="A2381" s="9" t="str">
        <f>IFERROR(__xludf.DUMMYFUNCTION("""COMPUTED_VALUE"""),"""")</f>
        <v>"</v>
      </c>
      <c r="B2381" s="9" t="s">
        <v>2390</v>
      </c>
      <c r="C2381" s="9" t="str">
        <f>IFERROR(__xludf.DUMMYFUNCTION("""COMPUTED_VALUE"""),""":""")</f>
        <v>":"</v>
      </c>
      <c r="D2381" s="24">
        <v>2.734264513276229E19</v>
      </c>
      <c r="E2381" s="9" t="str">
        <f>IFERROR(__xludf.DUMMYFUNCTION("""COMPUTED_VALUE"""),""",")</f>
        <v>",</v>
      </c>
    </row>
    <row r="2382">
      <c r="A2382" s="9" t="str">
        <f>IFERROR(__xludf.DUMMYFUNCTION("""COMPUTED_VALUE"""),"""")</f>
        <v>"</v>
      </c>
      <c r="B2382" s="9" t="s">
        <v>2391</v>
      </c>
      <c r="C2382" s="9" t="str">
        <f>IFERROR(__xludf.DUMMYFUNCTION("""COMPUTED_VALUE"""),""":""")</f>
        <v>":"</v>
      </c>
      <c r="D2382" s="24">
        <v>1.9316019758127444E19</v>
      </c>
      <c r="E2382" s="9" t="str">
        <f>IFERROR(__xludf.DUMMYFUNCTION("""COMPUTED_VALUE"""),""",")</f>
        <v>",</v>
      </c>
    </row>
    <row r="2383">
      <c r="A2383" s="9" t="str">
        <f>IFERROR(__xludf.DUMMYFUNCTION("""COMPUTED_VALUE"""),"""")</f>
        <v>"</v>
      </c>
      <c r="B2383" s="9" t="s">
        <v>2392</v>
      </c>
      <c r="C2383" s="9" t="str">
        <f>IFERROR(__xludf.DUMMYFUNCTION("""COMPUTED_VALUE"""),""":""")</f>
        <v>":"</v>
      </c>
      <c r="D2383" s="24">
        <v>6.2005979458241782E18</v>
      </c>
      <c r="E2383" s="9" t="str">
        <f>IFERROR(__xludf.DUMMYFUNCTION("""COMPUTED_VALUE"""),""",")</f>
        <v>",</v>
      </c>
    </row>
    <row r="2384">
      <c r="A2384" s="9" t="str">
        <f>IFERROR(__xludf.DUMMYFUNCTION("""COMPUTED_VALUE"""),"""")</f>
        <v>"</v>
      </c>
      <c r="B2384" s="9" t="s">
        <v>2393</v>
      </c>
      <c r="C2384" s="9" t="str">
        <f>IFERROR(__xludf.DUMMYFUNCTION("""COMPUTED_VALUE"""),""":""")</f>
        <v>":"</v>
      </c>
      <c r="D2384" s="24">
        <v>6.2005979458241782E18</v>
      </c>
      <c r="E2384" s="9" t="str">
        <f>IFERROR(__xludf.DUMMYFUNCTION("""COMPUTED_VALUE"""),""",")</f>
        <v>",</v>
      </c>
    </row>
    <row r="2385">
      <c r="A2385" s="9" t="str">
        <f>IFERROR(__xludf.DUMMYFUNCTION("""COMPUTED_VALUE"""),"""")</f>
        <v>"</v>
      </c>
      <c r="B2385" s="9" t="s">
        <v>2394</v>
      </c>
      <c r="C2385" s="9" t="str">
        <f>IFERROR(__xludf.DUMMYFUNCTION("""COMPUTED_VALUE"""),""":""")</f>
        <v>":"</v>
      </c>
      <c r="D2385" s="24">
        <v>2.0248888511809958E19</v>
      </c>
      <c r="E2385" s="9" t="str">
        <f>IFERROR(__xludf.DUMMYFUNCTION("""COMPUTED_VALUE"""),""",")</f>
        <v>",</v>
      </c>
    </row>
    <row r="2386">
      <c r="A2386" s="9" t="str">
        <f>IFERROR(__xludf.DUMMYFUNCTION("""COMPUTED_VALUE"""),"""")</f>
        <v>"</v>
      </c>
      <c r="B2386" s="9" t="s">
        <v>2395</v>
      </c>
      <c r="C2386" s="9" t="str">
        <f>IFERROR(__xludf.DUMMYFUNCTION("""COMPUTED_VALUE"""),""":""")</f>
        <v>":"</v>
      </c>
      <c r="D2386" s="24">
        <v>4.4703881436335555E18</v>
      </c>
      <c r="E2386" s="9" t="str">
        <f>IFERROR(__xludf.DUMMYFUNCTION("""COMPUTED_VALUE"""),""",")</f>
        <v>",</v>
      </c>
    </row>
    <row r="2387">
      <c r="A2387" s="9" t="str">
        <f>IFERROR(__xludf.DUMMYFUNCTION("""COMPUTED_VALUE"""),"""")</f>
        <v>"</v>
      </c>
      <c r="B2387" s="9" t="s">
        <v>2396</v>
      </c>
      <c r="C2387" s="9" t="str">
        <f>IFERROR(__xludf.DUMMYFUNCTION("""COMPUTED_VALUE"""),""":""")</f>
        <v>":"</v>
      </c>
      <c r="D2387" s="24">
        <v>4.0986237194834447E18</v>
      </c>
      <c r="E2387" s="9" t="str">
        <f>IFERROR(__xludf.DUMMYFUNCTION("""COMPUTED_VALUE"""),""",")</f>
        <v>",</v>
      </c>
    </row>
    <row r="2388">
      <c r="A2388" s="9" t="str">
        <f>IFERROR(__xludf.DUMMYFUNCTION("""COMPUTED_VALUE"""),"""")</f>
        <v>"</v>
      </c>
      <c r="B2388" s="9" t="s">
        <v>2397</v>
      </c>
      <c r="C2388" s="9" t="str">
        <f>IFERROR(__xludf.DUMMYFUNCTION("""COMPUTED_VALUE"""),""":""")</f>
        <v>":"</v>
      </c>
      <c r="D2388" s="24">
        <v>6.2005979458241782E18</v>
      </c>
      <c r="E2388" s="9" t="str">
        <f>IFERROR(__xludf.DUMMYFUNCTION("""COMPUTED_VALUE"""),""",")</f>
        <v>",</v>
      </c>
    </row>
    <row r="2389">
      <c r="A2389" s="9" t="str">
        <f>IFERROR(__xludf.DUMMYFUNCTION("""COMPUTED_VALUE"""),"""")</f>
        <v>"</v>
      </c>
      <c r="B2389" s="9" t="s">
        <v>2398</v>
      </c>
      <c r="C2389" s="9" t="str">
        <f>IFERROR(__xludf.DUMMYFUNCTION("""COMPUTED_VALUE"""),""":""")</f>
        <v>":"</v>
      </c>
      <c r="D2389" s="24">
        <v>2.0248888511809958E19</v>
      </c>
      <c r="E2389" s="9" t="str">
        <f>IFERROR(__xludf.DUMMYFUNCTION("""COMPUTED_VALUE"""),""",")</f>
        <v>",</v>
      </c>
    </row>
    <row r="2390">
      <c r="A2390" s="9" t="str">
        <f>IFERROR(__xludf.DUMMYFUNCTION("""COMPUTED_VALUE"""),"""")</f>
        <v>"</v>
      </c>
      <c r="B2390" s="9" t="s">
        <v>2399</v>
      </c>
      <c r="C2390" s="9" t="str">
        <f>IFERROR(__xludf.DUMMYFUNCTION("""COMPUTED_VALUE"""),""":""")</f>
        <v>":"</v>
      </c>
      <c r="D2390" s="24">
        <v>6.2005979458241782E18</v>
      </c>
      <c r="E2390" s="9" t="str">
        <f>IFERROR(__xludf.DUMMYFUNCTION("""COMPUTED_VALUE"""),""",")</f>
        <v>",</v>
      </c>
    </row>
    <row r="2391">
      <c r="A2391" s="9" t="str">
        <f>IFERROR(__xludf.DUMMYFUNCTION("""COMPUTED_VALUE"""),"""")</f>
        <v>"</v>
      </c>
      <c r="B2391" s="9" t="s">
        <v>2400</v>
      </c>
      <c r="C2391" s="9" t="str">
        <f>IFERROR(__xludf.DUMMYFUNCTION("""COMPUTED_VALUE"""),""":""")</f>
        <v>":"</v>
      </c>
      <c r="D2391" s="24">
        <v>2.0000864593977E19</v>
      </c>
      <c r="E2391" s="9" t="str">
        <f>IFERROR(__xludf.DUMMYFUNCTION("""COMPUTED_VALUE"""),""",")</f>
        <v>",</v>
      </c>
    </row>
    <row r="2392">
      <c r="A2392" s="9" t="str">
        <f>IFERROR(__xludf.DUMMYFUNCTION("""COMPUTED_VALUE"""),"""")</f>
        <v>"</v>
      </c>
      <c r="B2392" s="9" t="s">
        <v>2401</v>
      </c>
      <c r="C2392" s="9" t="str">
        <f>IFERROR(__xludf.DUMMYFUNCTION("""COMPUTED_VALUE"""),""":""")</f>
        <v>":"</v>
      </c>
      <c r="D2392" s="24">
        <v>2.1123596050359402E19</v>
      </c>
      <c r="E2392" s="9" t="str">
        <f>IFERROR(__xludf.DUMMYFUNCTION("""COMPUTED_VALUE"""),""",")</f>
        <v>",</v>
      </c>
    </row>
    <row r="2393">
      <c r="A2393" s="9" t="str">
        <f>IFERROR(__xludf.DUMMYFUNCTION("""COMPUTED_VALUE"""),"""")</f>
        <v>"</v>
      </c>
      <c r="B2393" s="9" t="s">
        <v>2402</v>
      </c>
      <c r="C2393" s="9" t="str">
        <f>IFERROR(__xludf.DUMMYFUNCTION("""COMPUTED_VALUE"""),""":""")</f>
        <v>":"</v>
      </c>
      <c r="D2393" s="24">
        <v>6.2005979458241782E18</v>
      </c>
      <c r="E2393" s="9" t="str">
        <f>IFERROR(__xludf.DUMMYFUNCTION("""COMPUTED_VALUE"""),""",")</f>
        <v>",</v>
      </c>
    </row>
    <row r="2394">
      <c r="A2394" s="9" t="str">
        <f>IFERROR(__xludf.DUMMYFUNCTION("""COMPUTED_VALUE"""),"""")</f>
        <v>"</v>
      </c>
      <c r="B2394" s="9" t="s">
        <v>2403</v>
      </c>
      <c r="C2394" s="9" t="str">
        <f>IFERROR(__xludf.DUMMYFUNCTION("""COMPUTED_VALUE"""),""":""")</f>
        <v>":"</v>
      </c>
      <c r="D2394" s="24">
        <v>2.0248888511809958E19</v>
      </c>
      <c r="E2394" s="9" t="str">
        <f>IFERROR(__xludf.DUMMYFUNCTION("""COMPUTED_VALUE"""),""",")</f>
        <v>",</v>
      </c>
    </row>
    <row r="2395">
      <c r="A2395" s="9" t="str">
        <f>IFERROR(__xludf.DUMMYFUNCTION("""COMPUTED_VALUE"""),"""")</f>
        <v>"</v>
      </c>
      <c r="B2395" s="9" t="s">
        <v>2404</v>
      </c>
      <c r="C2395" s="9" t="str">
        <f>IFERROR(__xludf.DUMMYFUNCTION("""COMPUTED_VALUE"""),""":""")</f>
        <v>":"</v>
      </c>
      <c r="D2395" s="24">
        <v>6.2005979458241782E18</v>
      </c>
      <c r="E2395" s="9" t="str">
        <f>IFERROR(__xludf.DUMMYFUNCTION("""COMPUTED_VALUE"""),""",")</f>
        <v>",</v>
      </c>
    </row>
    <row r="2396">
      <c r="A2396" s="9" t="str">
        <f>IFERROR(__xludf.DUMMYFUNCTION("""COMPUTED_VALUE"""),"""")</f>
        <v>"</v>
      </c>
      <c r="B2396" s="9" t="s">
        <v>2405</v>
      </c>
      <c r="C2396" s="9" t="str">
        <f>IFERROR(__xludf.DUMMYFUNCTION("""COMPUTED_VALUE"""),""":""")</f>
        <v>":"</v>
      </c>
      <c r="D2396" s="24">
        <v>5.7586315633076675E18</v>
      </c>
      <c r="E2396" s="9" t="str">
        <f>IFERROR(__xludf.DUMMYFUNCTION("""COMPUTED_VALUE"""),""",")</f>
        <v>",</v>
      </c>
    </row>
    <row r="2397">
      <c r="A2397" s="9" t="str">
        <f>IFERROR(__xludf.DUMMYFUNCTION("""COMPUTED_VALUE"""),"""")</f>
        <v>"</v>
      </c>
      <c r="B2397" s="9" t="s">
        <v>2406</v>
      </c>
      <c r="C2397" s="9" t="str">
        <f>IFERROR(__xludf.DUMMYFUNCTION("""COMPUTED_VALUE"""),""":""")</f>
        <v>":"</v>
      </c>
      <c r="D2397" s="24">
        <v>6.2005979458241782E18</v>
      </c>
      <c r="E2397" s="9" t="str">
        <f>IFERROR(__xludf.DUMMYFUNCTION("""COMPUTED_VALUE"""),""",")</f>
        <v>",</v>
      </c>
    </row>
    <row r="2398">
      <c r="A2398" s="9" t="str">
        <f>IFERROR(__xludf.DUMMYFUNCTION("""COMPUTED_VALUE"""),"""")</f>
        <v>"</v>
      </c>
      <c r="B2398" s="9" t="s">
        <v>2407</v>
      </c>
      <c r="C2398" s="9" t="str">
        <f>IFERROR(__xludf.DUMMYFUNCTION("""COMPUTED_VALUE"""),""":""")</f>
        <v>":"</v>
      </c>
      <c r="D2398" s="24">
        <v>4.5825626891732444E18</v>
      </c>
      <c r="E2398" s="9" t="str">
        <f>IFERROR(__xludf.DUMMYFUNCTION("""COMPUTED_VALUE"""),""",")</f>
        <v>",</v>
      </c>
    </row>
    <row r="2399">
      <c r="A2399" s="9" t="str">
        <f>IFERROR(__xludf.DUMMYFUNCTION("""COMPUTED_VALUE"""),"""")</f>
        <v>"</v>
      </c>
      <c r="B2399" s="9" t="s">
        <v>2408</v>
      </c>
      <c r="C2399" s="9" t="str">
        <f>IFERROR(__xludf.DUMMYFUNCTION("""COMPUTED_VALUE"""),""":""")</f>
        <v>":"</v>
      </c>
      <c r="D2399" s="24">
        <v>1.0121085194821819E20</v>
      </c>
      <c r="E2399" s="9" t="str">
        <f>IFERROR(__xludf.DUMMYFUNCTION("""COMPUTED_VALUE"""),""",")</f>
        <v>",</v>
      </c>
    </row>
    <row r="2400">
      <c r="A2400" s="9" t="str">
        <f>IFERROR(__xludf.DUMMYFUNCTION("""COMPUTED_VALUE"""),"""")</f>
        <v>"</v>
      </c>
      <c r="B2400" s="9" t="s">
        <v>2409</v>
      </c>
      <c r="C2400" s="9" t="str">
        <f>IFERROR(__xludf.DUMMYFUNCTION("""COMPUTED_VALUE"""),""":""")</f>
        <v>":"</v>
      </c>
      <c r="D2400" s="24">
        <v>1.7052232043177605E19</v>
      </c>
      <c r="E2400" s="9" t="str">
        <f>IFERROR(__xludf.DUMMYFUNCTION("""COMPUTED_VALUE"""),""",")</f>
        <v>",</v>
      </c>
    </row>
    <row r="2401">
      <c r="A2401" s="9" t="str">
        <f>IFERROR(__xludf.DUMMYFUNCTION("""COMPUTED_VALUE"""),"""")</f>
        <v>"</v>
      </c>
      <c r="B2401" s="9" t="s">
        <v>2410</v>
      </c>
      <c r="C2401" s="9" t="str">
        <f>IFERROR(__xludf.DUMMYFUNCTION("""COMPUTED_VALUE"""),""":""")</f>
        <v>":"</v>
      </c>
      <c r="D2401" s="24">
        <v>2.1978482769896178E19</v>
      </c>
      <c r="E2401" s="9" t="str">
        <f>IFERROR(__xludf.DUMMYFUNCTION("""COMPUTED_VALUE"""),""",")</f>
        <v>",</v>
      </c>
    </row>
    <row r="2402">
      <c r="A2402" s="9" t="str">
        <f>IFERROR(__xludf.DUMMYFUNCTION("""COMPUTED_VALUE"""),"""")</f>
        <v>"</v>
      </c>
      <c r="B2402" s="9" t="s">
        <v>2411</v>
      </c>
      <c r="C2402" s="9" t="str">
        <f>IFERROR(__xludf.DUMMYFUNCTION("""COMPUTED_VALUE"""),""":""")</f>
        <v>":"</v>
      </c>
      <c r="D2402" s="24">
        <v>4.3870778394837331E17</v>
      </c>
      <c r="E2402" s="9" t="str">
        <f>IFERROR(__xludf.DUMMYFUNCTION("""COMPUTED_VALUE"""),""",")</f>
        <v>",</v>
      </c>
    </row>
    <row r="2403">
      <c r="A2403" s="9" t="str">
        <f>IFERROR(__xludf.DUMMYFUNCTION("""COMPUTED_VALUE"""),"""")</f>
        <v>"</v>
      </c>
      <c r="B2403" s="9" t="s">
        <v>2412</v>
      </c>
      <c r="C2403" s="9" t="str">
        <f>IFERROR(__xludf.DUMMYFUNCTION("""COMPUTED_VALUE"""),""":""")</f>
        <v>":"</v>
      </c>
      <c r="D2403" s="24">
        <v>6.2005979458241782E18</v>
      </c>
      <c r="E2403" s="9" t="str">
        <f>IFERROR(__xludf.DUMMYFUNCTION("""COMPUTED_VALUE"""),""",")</f>
        <v>",</v>
      </c>
    </row>
    <row r="2404">
      <c r="A2404" s="9" t="str">
        <f>IFERROR(__xludf.DUMMYFUNCTION("""COMPUTED_VALUE"""),"""")</f>
        <v>"</v>
      </c>
      <c r="B2404" s="9" t="s">
        <v>2413</v>
      </c>
      <c r="C2404" s="9" t="str">
        <f>IFERROR(__xludf.DUMMYFUNCTION("""COMPUTED_VALUE"""),""":""")</f>
        <v>":"</v>
      </c>
      <c r="D2404" s="24">
        <v>2.0248888511809958E19</v>
      </c>
      <c r="E2404" s="9" t="str">
        <f>IFERROR(__xludf.DUMMYFUNCTION("""COMPUTED_VALUE"""),""",")</f>
        <v>",</v>
      </c>
    </row>
    <row r="2405">
      <c r="A2405" s="9" t="str">
        <f>IFERROR(__xludf.DUMMYFUNCTION("""COMPUTED_VALUE"""),"""")</f>
        <v>"</v>
      </c>
      <c r="B2405" s="9" t="s">
        <v>2414</v>
      </c>
      <c r="C2405" s="9" t="str">
        <f>IFERROR(__xludf.DUMMYFUNCTION("""COMPUTED_VALUE"""),""":""")</f>
        <v>":"</v>
      </c>
      <c r="D2405" s="24">
        <v>7.0840748776171643E18</v>
      </c>
      <c r="E2405" s="9" t="str">
        <f>IFERROR(__xludf.DUMMYFUNCTION("""COMPUTED_VALUE"""),""",")</f>
        <v>",</v>
      </c>
    </row>
    <row r="2406">
      <c r="A2406" s="9" t="str">
        <f>IFERROR(__xludf.DUMMYFUNCTION("""COMPUTED_VALUE"""),"""")</f>
        <v>"</v>
      </c>
      <c r="B2406" s="9" t="s">
        <v>2415</v>
      </c>
      <c r="C2406" s="9" t="str">
        <f>IFERROR(__xludf.DUMMYFUNCTION("""COMPUTED_VALUE"""),""":""")</f>
        <v>":"</v>
      </c>
      <c r="D2406" s="24">
        <v>5.6329500399521341E18</v>
      </c>
      <c r="E2406" s="9" t="str">
        <f>IFERROR(__xludf.DUMMYFUNCTION("""COMPUTED_VALUE"""),""",")</f>
        <v>",</v>
      </c>
    </row>
    <row r="2407">
      <c r="A2407" s="9" t="str">
        <f>IFERROR(__xludf.DUMMYFUNCTION("""COMPUTED_VALUE"""),"""")</f>
        <v>"</v>
      </c>
      <c r="B2407" s="9" t="s">
        <v>2416</v>
      </c>
      <c r="C2407" s="9" t="str">
        <f>IFERROR(__xludf.DUMMYFUNCTION("""COMPUTED_VALUE"""),""":""")</f>
        <v>":"</v>
      </c>
      <c r="D2407" s="24">
        <v>5.2901796810005115E18</v>
      </c>
      <c r="E2407" s="9" t="str">
        <f>IFERROR(__xludf.DUMMYFUNCTION("""COMPUTED_VALUE"""),""",")</f>
        <v>",</v>
      </c>
    </row>
    <row r="2408">
      <c r="A2408" s="9" t="str">
        <f>IFERROR(__xludf.DUMMYFUNCTION("""COMPUTED_VALUE"""),"""")</f>
        <v>"</v>
      </c>
      <c r="B2408" s="9" t="s">
        <v>2417</v>
      </c>
      <c r="C2408" s="9" t="str">
        <f>IFERROR(__xludf.DUMMYFUNCTION("""COMPUTED_VALUE"""),""":""")</f>
        <v>":"</v>
      </c>
      <c r="D2408" s="24">
        <v>6.2005979458241782E18</v>
      </c>
      <c r="E2408" s="9" t="str">
        <f>IFERROR(__xludf.DUMMYFUNCTION("""COMPUTED_VALUE"""),""",")</f>
        <v>",</v>
      </c>
    </row>
    <row r="2409">
      <c r="A2409" s="9" t="str">
        <f>IFERROR(__xludf.DUMMYFUNCTION("""COMPUTED_VALUE"""),"""")</f>
        <v>"</v>
      </c>
      <c r="B2409" s="9" t="s">
        <v>2418</v>
      </c>
      <c r="C2409" s="9" t="str">
        <f>IFERROR(__xludf.DUMMYFUNCTION("""COMPUTED_VALUE"""),""":""")</f>
        <v>":"</v>
      </c>
      <c r="D2409" s="24">
        <v>6.2005979458241782E18</v>
      </c>
      <c r="E2409" s="9" t="str">
        <f>IFERROR(__xludf.DUMMYFUNCTION("""COMPUTED_VALUE"""),""",")</f>
        <v>",</v>
      </c>
    </row>
    <row r="2410">
      <c r="A2410" s="9" t="str">
        <f>IFERROR(__xludf.DUMMYFUNCTION("""COMPUTED_VALUE"""),"""")</f>
        <v>"</v>
      </c>
      <c r="B2410" s="9" t="s">
        <v>2419</v>
      </c>
      <c r="C2410" s="9" t="str">
        <f>IFERROR(__xludf.DUMMYFUNCTION("""COMPUTED_VALUE"""),""":""")</f>
        <v>":"</v>
      </c>
      <c r="D2410" s="24">
        <v>1.94956430135054E19</v>
      </c>
      <c r="E2410" s="9" t="str">
        <f>IFERROR(__xludf.DUMMYFUNCTION("""COMPUTED_VALUE"""),""",")</f>
        <v>",</v>
      </c>
    </row>
    <row r="2411">
      <c r="A2411" s="9" t="str">
        <f>IFERROR(__xludf.DUMMYFUNCTION("""COMPUTED_VALUE"""),"""")</f>
        <v>"</v>
      </c>
      <c r="B2411" s="9" t="s">
        <v>2420</v>
      </c>
      <c r="C2411" s="9" t="str">
        <f>IFERROR(__xludf.DUMMYFUNCTION("""COMPUTED_VALUE"""),""":""")</f>
        <v>":"</v>
      </c>
      <c r="D2411" s="24">
        <v>2.0248888511809958E19</v>
      </c>
      <c r="E2411" s="9" t="str">
        <f>IFERROR(__xludf.DUMMYFUNCTION("""COMPUTED_VALUE"""),""",")</f>
        <v>",</v>
      </c>
    </row>
    <row r="2412">
      <c r="A2412" s="9" t="str">
        <f>IFERROR(__xludf.DUMMYFUNCTION("""COMPUTED_VALUE"""),"""")</f>
        <v>"</v>
      </c>
      <c r="B2412" s="9" t="s">
        <v>2421</v>
      </c>
      <c r="C2412" s="9" t="str">
        <f>IFERROR(__xludf.DUMMYFUNCTION("""COMPUTED_VALUE"""),""":""")</f>
        <v>":"</v>
      </c>
      <c r="D2412" s="24">
        <v>2.775531523715149E19</v>
      </c>
      <c r="E2412" s="9" t="str">
        <f>IFERROR(__xludf.DUMMYFUNCTION("""COMPUTED_VALUE"""),""",")</f>
        <v>",</v>
      </c>
    </row>
    <row r="2413">
      <c r="A2413" s="9" t="str">
        <f>IFERROR(__xludf.DUMMYFUNCTION("""COMPUTED_VALUE"""),"""")</f>
        <v>"</v>
      </c>
      <c r="B2413" s="9" t="s">
        <v>2422</v>
      </c>
      <c r="C2413" s="9" t="str">
        <f>IFERROR(__xludf.DUMMYFUNCTION("""COMPUTED_VALUE"""),""":""")</f>
        <v>":"</v>
      </c>
      <c r="D2413" s="24">
        <v>2.0248888511809958E19</v>
      </c>
      <c r="E2413" s="9" t="str">
        <f>IFERROR(__xludf.DUMMYFUNCTION("""COMPUTED_VALUE"""),""",")</f>
        <v>",</v>
      </c>
    </row>
    <row r="2414">
      <c r="A2414" s="9" t="str">
        <f>IFERROR(__xludf.DUMMYFUNCTION("""COMPUTED_VALUE"""),"""")</f>
        <v>"</v>
      </c>
      <c r="B2414" s="9" t="s">
        <v>2423</v>
      </c>
      <c r="C2414" s="9" t="str">
        <f>IFERROR(__xludf.DUMMYFUNCTION("""COMPUTED_VALUE"""),""":""")</f>
        <v>":"</v>
      </c>
      <c r="D2414" s="24">
        <v>2.0248888511809958E19</v>
      </c>
      <c r="E2414" s="9" t="str">
        <f>IFERROR(__xludf.DUMMYFUNCTION("""COMPUTED_VALUE"""),""",")</f>
        <v>",</v>
      </c>
    </row>
    <row r="2415">
      <c r="A2415" s="9" t="str">
        <f>IFERROR(__xludf.DUMMYFUNCTION("""COMPUTED_VALUE"""),"""")</f>
        <v>"</v>
      </c>
      <c r="B2415" s="9" t="s">
        <v>2424</v>
      </c>
      <c r="C2415" s="9" t="str">
        <f>IFERROR(__xludf.DUMMYFUNCTION("""COMPUTED_VALUE"""),""":""")</f>
        <v>":"</v>
      </c>
      <c r="D2415" s="24">
        <v>6.2005979458241782E18</v>
      </c>
      <c r="E2415" s="9" t="str">
        <f>IFERROR(__xludf.DUMMYFUNCTION("""COMPUTED_VALUE"""),""",")</f>
        <v>",</v>
      </c>
    </row>
    <row r="2416">
      <c r="A2416" s="9" t="str">
        <f>IFERROR(__xludf.DUMMYFUNCTION("""COMPUTED_VALUE"""),"""")</f>
        <v>"</v>
      </c>
      <c r="B2416" s="9" t="s">
        <v>2425</v>
      </c>
      <c r="C2416" s="9" t="str">
        <f>IFERROR(__xludf.DUMMYFUNCTION("""COMPUTED_VALUE"""),""":""")</f>
        <v>":"</v>
      </c>
      <c r="D2416" s="24">
        <v>2.0248888511809958E19</v>
      </c>
      <c r="E2416" s="9" t="str">
        <f>IFERROR(__xludf.DUMMYFUNCTION("""COMPUTED_VALUE"""),""",")</f>
        <v>",</v>
      </c>
    </row>
    <row r="2417">
      <c r="A2417" s="9" t="str">
        <f>IFERROR(__xludf.DUMMYFUNCTION("""COMPUTED_VALUE"""),"""")</f>
        <v>"</v>
      </c>
      <c r="B2417" s="9" t="s">
        <v>2426</v>
      </c>
      <c r="C2417" s="9" t="str">
        <f>IFERROR(__xludf.DUMMYFUNCTION("""COMPUTED_VALUE"""),""":""")</f>
        <v>":"</v>
      </c>
      <c r="D2417" s="24">
        <v>6.6329957986664315E18</v>
      </c>
      <c r="E2417" s="9" t="str">
        <f>IFERROR(__xludf.DUMMYFUNCTION("""COMPUTED_VALUE"""),""",")</f>
        <v>",</v>
      </c>
    </row>
    <row r="2418">
      <c r="A2418" s="9" t="str">
        <f>IFERROR(__xludf.DUMMYFUNCTION("""COMPUTED_VALUE"""),"""")</f>
        <v>"</v>
      </c>
      <c r="B2418" s="9" t="s">
        <v>2427</v>
      </c>
      <c r="C2418" s="9" t="str">
        <f>IFERROR(__xludf.DUMMYFUNCTION("""COMPUTED_VALUE"""),""":""")</f>
        <v>":"</v>
      </c>
      <c r="D2418" s="24">
        <v>2.0248888511809958E19</v>
      </c>
      <c r="E2418" s="9" t="str">
        <f>IFERROR(__xludf.DUMMYFUNCTION("""COMPUTED_VALUE"""),""",")</f>
        <v>",</v>
      </c>
    </row>
    <row r="2419">
      <c r="A2419" s="9" t="str">
        <f>IFERROR(__xludf.DUMMYFUNCTION("""COMPUTED_VALUE"""),"""")</f>
        <v>"</v>
      </c>
      <c r="B2419" s="9" t="s">
        <v>2428</v>
      </c>
      <c r="C2419" s="9" t="str">
        <f>IFERROR(__xludf.DUMMYFUNCTION("""COMPUTED_VALUE"""),""":""")</f>
        <v>":"</v>
      </c>
      <c r="D2419" s="24">
        <v>5.7417571378434662E18</v>
      </c>
      <c r="E2419" s="9" t="str">
        <f>IFERROR(__xludf.DUMMYFUNCTION("""COMPUTED_VALUE"""),""",")</f>
        <v>",</v>
      </c>
    </row>
    <row r="2420">
      <c r="A2420" s="9" t="str">
        <f>IFERROR(__xludf.DUMMYFUNCTION("""COMPUTED_VALUE"""),"""")</f>
        <v>"</v>
      </c>
      <c r="B2420" s="9" t="s">
        <v>2429</v>
      </c>
      <c r="C2420" s="9" t="str">
        <f>IFERROR(__xludf.DUMMYFUNCTION("""COMPUTED_VALUE"""),""":""")</f>
        <v>":"</v>
      </c>
      <c r="D2420" s="24">
        <v>3.7633083031997558E18</v>
      </c>
      <c r="E2420" s="9" t="str">
        <f>IFERROR(__xludf.DUMMYFUNCTION("""COMPUTED_VALUE"""),""",")</f>
        <v>",</v>
      </c>
    </row>
    <row r="2421">
      <c r="A2421" s="9" t="str">
        <f>IFERROR(__xludf.DUMMYFUNCTION("""COMPUTED_VALUE"""),"""")</f>
        <v>"</v>
      </c>
      <c r="B2421" s="9" t="s">
        <v>2430</v>
      </c>
      <c r="C2421" s="9" t="str">
        <f>IFERROR(__xludf.DUMMYFUNCTION("""COMPUTED_VALUE"""),""":""")</f>
        <v>":"</v>
      </c>
      <c r="D2421" s="24">
        <v>2.0248888511809958E19</v>
      </c>
      <c r="E2421" s="9" t="str">
        <f>IFERROR(__xludf.DUMMYFUNCTION("""COMPUTED_VALUE"""),""",")</f>
        <v>",</v>
      </c>
    </row>
    <row r="2422">
      <c r="A2422" s="9" t="str">
        <f>IFERROR(__xludf.DUMMYFUNCTION("""COMPUTED_VALUE"""),"""")</f>
        <v>"</v>
      </c>
      <c r="B2422" s="9" t="s">
        <v>2431</v>
      </c>
      <c r="C2422" s="9" t="str">
        <f>IFERROR(__xludf.DUMMYFUNCTION("""COMPUTED_VALUE"""),""":""")</f>
        <v>":"</v>
      </c>
      <c r="D2422" s="24">
        <v>6.1633943581492439E18</v>
      </c>
      <c r="E2422" s="9" t="str">
        <f>IFERROR(__xludf.DUMMYFUNCTION("""COMPUTED_VALUE"""),""",")</f>
        <v>",</v>
      </c>
    </row>
    <row r="2423">
      <c r="A2423" s="9" t="str">
        <f>IFERROR(__xludf.DUMMYFUNCTION("""COMPUTED_VALUE"""),"""")</f>
        <v>"</v>
      </c>
      <c r="B2423" s="9" t="s">
        <v>2432</v>
      </c>
      <c r="C2423" s="9" t="str">
        <f>IFERROR(__xludf.DUMMYFUNCTION("""COMPUTED_VALUE"""),""":""")</f>
        <v>":"</v>
      </c>
      <c r="D2423" s="24">
        <v>6.6329957986664315E18</v>
      </c>
      <c r="E2423" s="9" t="str">
        <f>IFERROR(__xludf.DUMMYFUNCTION("""COMPUTED_VALUE"""),""",")</f>
        <v>",</v>
      </c>
    </row>
    <row r="2424">
      <c r="A2424" s="9" t="str">
        <f>IFERROR(__xludf.DUMMYFUNCTION("""COMPUTED_VALUE"""),"""")</f>
        <v>"</v>
      </c>
      <c r="B2424" s="9" t="s">
        <v>2433</v>
      </c>
      <c r="C2424" s="9" t="str">
        <f>IFERROR(__xludf.DUMMYFUNCTION("""COMPUTED_VALUE"""),""":""")</f>
        <v>":"</v>
      </c>
      <c r="D2424" s="24">
        <v>6.1098164089771776E18</v>
      </c>
      <c r="E2424" s="9" t="str">
        <f>IFERROR(__xludf.DUMMYFUNCTION("""COMPUTED_VALUE"""),""",")</f>
        <v>",</v>
      </c>
    </row>
    <row r="2425">
      <c r="A2425" s="9" t="str">
        <f>IFERROR(__xludf.DUMMYFUNCTION("""COMPUTED_VALUE"""),"""")</f>
        <v>"</v>
      </c>
      <c r="B2425" s="9" t="s">
        <v>2434</v>
      </c>
      <c r="C2425" s="9" t="str">
        <f>IFERROR(__xludf.DUMMYFUNCTION("""COMPUTED_VALUE"""),""":""")</f>
        <v>":"</v>
      </c>
      <c r="D2425" s="24">
        <v>6.2005979458241782E18</v>
      </c>
      <c r="E2425" s="9" t="str">
        <f>IFERROR(__xludf.DUMMYFUNCTION("""COMPUTED_VALUE"""),""",")</f>
        <v>",</v>
      </c>
    </row>
    <row r="2426">
      <c r="A2426" s="9" t="str">
        <f>IFERROR(__xludf.DUMMYFUNCTION("""COMPUTED_VALUE"""),"""")</f>
        <v>"</v>
      </c>
      <c r="B2426" s="9" t="s">
        <v>2435</v>
      </c>
      <c r="C2426" s="9" t="str">
        <f>IFERROR(__xludf.DUMMYFUNCTION("""COMPUTED_VALUE"""),""":""")</f>
        <v>":"</v>
      </c>
      <c r="D2426" s="24">
        <v>6.2005979458241782E18</v>
      </c>
      <c r="E2426" s="9" t="str">
        <f>IFERROR(__xludf.DUMMYFUNCTION("""COMPUTED_VALUE"""),""",")</f>
        <v>",</v>
      </c>
    </row>
    <row r="2427">
      <c r="A2427" s="9" t="str">
        <f>IFERROR(__xludf.DUMMYFUNCTION("""COMPUTED_VALUE"""),"""")</f>
        <v>"</v>
      </c>
      <c r="B2427" s="9" t="s">
        <v>2436</v>
      </c>
      <c r="C2427" s="9" t="str">
        <f>IFERROR(__xludf.DUMMYFUNCTION("""COMPUTED_VALUE"""),""":""")</f>
        <v>":"</v>
      </c>
      <c r="D2427" s="24">
        <v>6.2005979458241782E18</v>
      </c>
      <c r="E2427" s="9" t="str">
        <f>IFERROR(__xludf.DUMMYFUNCTION("""COMPUTED_VALUE"""),""",")</f>
        <v>",</v>
      </c>
    </row>
    <row r="2428">
      <c r="A2428" s="9" t="str">
        <f>IFERROR(__xludf.DUMMYFUNCTION("""COMPUTED_VALUE"""),"""")</f>
        <v>"</v>
      </c>
      <c r="B2428" s="9" t="s">
        <v>2437</v>
      </c>
      <c r="C2428" s="9" t="str">
        <f>IFERROR(__xludf.DUMMYFUNCTION("""COMPUTED_VALUE"""),""":""")</f>
        <v>":"</v>
      </c>
      <c r="D2428" s="24">
        <v>6.089428667898174E19</v>
      </c>
      <c r="E2428" s="9" t="str">
        <f>IFERROR(__xludf.DUMMYFUNCTION("""COMPUTED_VALUE"""),""",")</f>
        <v>",</v>
      </c>
    </row>
    <row r="2429">
      <c r="A2429" s="9" t="str">
        <f>IFERROR(__xludf.DUMMYFUNCTION("""COMPUTED_VALUE"""),"""")</f>
        <v>"</v>
      </c>
      <c r="B2429" s="9" t="s">
        <v>2438</v>
      </c>
      <c r="C2429" s="9" t="str">
        <f>IFERROR(__xludf.DUMMYFUNCTION("""COMPUTED_VALUE"""),""":""")</f>
        <v>":"</v>
      </c>
      <c r="D2429" s="24">
        <v>1.9515562303005147E19</v>
      </c>
      <c r="E2429" s="9" t="str">
        <f>IFERROR(__xludf.DUMMYFUNCTION("""COMPUTED_VALUE"""),""",")</f>
        <v>",</v>
      </c>
    </row>
    <row r="2430">
      <c r="A2430" s="9" t="str">
        <f>IFERROR(__xludf.DUMMYFUNCTION("""COMPUTED_VALUE"""),"""")</f>
        <v>"</v>
      </c>
      <c r="B2430" s="9" t="s">
        <v>2439</v>
      </c>
      <c r="C2430" s="9" t="str">
        <f>IFERROR(__xludf.DUMMYFUNCTION("""COMPUTED_VALUE"""),""":""")</f>
        <v>":"</v>
      </c>
      <c r="D2430" s="24">
        <v>6.2005979458241782E18</v>
      </c>
      <c r="E2430" s="9" t="str">
        <f>IFERROR(__xludf.DUMMYFUNCTION("""COMPUTED_VALUE"""),""",")</f>
        <v>",</v>
      </c>
    </row>
    <row r="2431">
      <c r="A2431" s="9" t="str">
        <f>IFERROR(__xludf.DUMMYFUNCTION("""COMPUTED_VALUE"""),"""")</f>
        <v>"</v>
      </c>
      <c r="B2431" s="9" t="s">
        <v>2440</v>
      </c>
      <c r="C2431" s="9" t="str">
        <f>IFERROR(__xludf.DUMMYFUNCTION("""COMPUTED_VALUE"""),""":""")</f>
        <v>":"</v>
      </c>
      <c r="D2431" s="24">
        <v>6.2005979458241782E18</v>
      </c>
      <c r="E2431" s="9" t="str">
        <f>IFERROR(__xludf.DUMMYFUNCTION("""COMPUTED_VALUE"""),""",")</f>
        <v>",</v>
      </c>
    </row>
    <row r="2432">
      <c r="A2432" s="9" t="str">
        <f>IFERROR(__xludf.DUMMYFUNCTION("""COMPUTED_VALUE"""),"""")</f>
        <v>"</v>
      </c>
      <c r="B2432" s="9" t="s">
        <v>2441</v>
      </c>
      <c r="C2432" s="9" t="str">
        <f>IFERROR(__xludf.DUMMYFUNCTION("""COMPUTED_VALUE"""),""":""")</f>
        <v>":"</v>
      </c>
      <c r="D2432" s="24">
        <v>1.977457619008018E19</v>
      </c>
      <c r="E2432" s="9" t="str">
        <f>IFERROR(__xludf.DUMMYFUNCTION("""COMPUTED_VALUE"""),""",")</f>
        <v>",</v>
      </c>
    </row>
    <row r="2433">
      <c r="A2433" s="9" t="str">
        <f>IFERROR(__xludf.DUMMYFUNCTION("""COMPUTED_VALUE"""),"""")</f>
        <v>"</v>
      </c>
      <c r="B2433" s="9" t="s">
        <v>2442</v>
      </c>
      <c r="C2433" s="9" t="str">
        <f>IFERROR(__xludf.DUMMYFUNCTION("""COMPUTED_VALUE"""),""":""")</f>
        <v>":"</v>
      </c>
      <c r="D2433" s="24">
        <v>6.2005979458241782E18</v>
      </c>
      <c r="E2433" s="9" t="str">
        <f>IFERROR(__xludf.DUMMYFUNCTION("""COMPUTED_VALUE"""),""",")</f>
        <v>",</v>
      </c>
    </row>
    <row r="2434">
      <c r="A2434" s="9" t="str">
        <f>IFERROR(__xludf.DUMMYFUNCTION("""COMPUTED_VALUE"""),"""")</f>
        <v>"</v>
      </c>
      <c r="B2434" s="9" t="s">
        <v>2443</v>
      </c>
      <c r="C2434" s="9" t="str">
        <f>IFERROR(__xludf.DUMMYFUNCTION("""COMPUTED_VALUE"""),""":""")</f>
        <v>":"</v>
      </c>
      <c r="D2434" s="24">
        <v>5.8332691769375109E18</v>
      </c>
      <c r="E2434" s="9" t="str">
        <f>IFERROR(__xludf.DUMMYFUNCTION("""COMPUTED_VALUE"""),""",")</f>
        <v>",</v>
      </c>
    </row>
    <row r="2435">
      <c r="A2435" s="9" t="str">
        <f>IFERROR(__xludf.DUMMYFUNCTION("""COMPUTED_VALUE"""),"""")</f>
        <v>"</v>
      </c>
      <c r="B2435" s="9" t="s">
        <v>2444</v>
      </c>
      <c r="C2435" s="9" t="str">
        <f>IFERROR(__xludf.DUMMYFUNCTION("""COMPUTED_VALUE"""),""":""")</f>
        <v>":"</v>
      </c>
      <c r="D2435" s="24">
        <v>6.2005979458241782E18</v>
      </c>
      <c r="E2435" s="9" t="str">
        <f>IFERROR(__xludf.DUMMYFUNCTION("""COMPUTED_VALUE"""),""",")</f>
        <v>",</v>
      </c>
    </row>
    <row r="2436">
      <c r="A2436" s="9" t="str">
        <f>IFERROR(__xludf.DUMMYFUNCTION("""COMPUTED_VALUE"""),"""")</f>
        <v>"</v>
      </c>
      <c r="B2436" s="9" t="s">
        <v>2445</v>
      </c>
      <c r="C2436" s="9" t="str">
        <f>IFERROR(__xludf.DUMMYFUNCTION("""COMPUTED_VALUE"""),""":""")</f>
        <v>":"</v>
      </c>
      <c r="D2436" s="24">
        <v>3.5093375742415667E19</v>
      </c>
      <c r="E2436" s="9" t="str">
        <f>IFERROR(__xludf.DUMMYFUNCTION("""COMPUTED_VALUE"""),""",")</f>
        <v>",</v>
      </c>
    </row>
    <row r="2437">
      <c r="A2437" s="9" t="str">
        <f>IFERROR(__xludf.DUMMYFUNCTION("""COMPUTED_VALUE"""),"""")</f>
        <v>"</v>
      </c>
      <c r="B2437" s="9" t="s">
        <v>2446</v>
      </c>
      <c r="C2437" s="9" t="str">
        <f>IFERROR(__xludf.DUMMYFUNCTION("""COMPUTED_VALUE"""),""":""")</f>
        <v>":"</v>
      </c>
      <c r="D2437" s="24">
        <v>6.2005979458241782E18</v>
      </c>
      <c r="E2437" s="9" t="str">
        <f>IFERROR(__xludf.DUMMYFUNCTION("""COMPUTED_VALUE"""),""",")</f>
        <v>",</v>
      </c>
    </row>
    <row r="2438">
      <c r="A2438" s="9" t="str">
        <f>IFERROR(__xludf.DUMMYFUNCTION("""COMPUTED_VALUE"""),"""")</f>
        <v>"</v>
      </c>
      <c r="B2438" s="9" t="s">
        <v>2447</v>
      </c>
      <c r="C2438" s="9" t="str">
        <f>IFERROR(__xludf.DUMMYFUNCTION("""COMPUTED_VALUE"""),""":""")</f>
        <v>":"</v>
      </c>
      <c r="D2438" s="24">
        <v>5.9437474822032445E18</v>
      </c>
      <c r="E2438" s="9" t="str">
        <f>IFERROR(__xludf.DUMMYFUNCTION("""COMPUTED_VALUE"""),""",")</f>
        <v>",</v>
      </c>
    </row>
    <row r="2439">
      <c r="A2439" s="9" t="str">
        <f>IFERROR(__xludf.DUMMYFUNCTION("""COMPUTED_VALUE"""),"""")</f>
        <v>"</v>
      </c>
      <c r="B2439" s="9" t="s">
        <v>2448</v>
      </c>
      <c r="C2439" s="9" t="str">
        <f>IFERROR(__xludf.DUMMYFUNCTION("""COMPUTED_VALUE"""),""":""")</f>
        <v>":"</v>
      </c>
      <c r="D2439" s="24">
        <v>6.2005979458241782E18</v>
      </c>
      <c r="E2439" s="9" t="str">
        <f>IFERROR(__xludf.DUMMYFUNCTION("""COMPUTED_VALUE"""),""",")</f>
        <v>",</v>
      </c>
    </row>
    <row r="2440">
      <c r="A2440" s="9" t="str">
        <f>IFERROR(__xludf.DUMMYFUNCTION("""COMPUTED_VALUE"""),"""")</f>
        <v>"</v>
      </c>
      <c r="B2440" s="9" t="s">
        <v>2449</v>
      </c>
      <c r="C2440" s="9" t="str">
        <f>IFERROR(__xludf.DUMMYFUNCTION("""COMPUTED_VALUE"""),""":""")</f>
        <v>":"</v>
      </c>
      <c r="D2440" s="24">
        <v>5.8195052976389775E18</v>
      </c>
      <c r="E2440" s="9" t="str">
        <f>IFERROR(__xludf.DUMMYFUNCTION("""COMPUTED_VALUE"""),""",")</f>
        <v>",</v>
      </c>
    </row>
    <row r="2441">
      <c r="A2441" s="9" t="str">
        <f>IFERROR(__xludf.DUMMYFUNCTION("""COMPUTED_VALUE"""),"""")</f>
        <v>"</v>
      </c>
      <c r="B2441" s="9" t="s">
        <v>2450</v>
      </c>
      <c r="C2441" s="9" t="str">
        <f>IFERROR(__xludf.DUMMYFUNCTION("""COMPUTED_VALUE"""),""":""")</f>
        <v>":"</v>
      </c>
      <c r="D2441" s="24">
        <v>6.2005979458241782E18</v>
      </c>
      <c r="E2441" s="9" t="str">
        <f>IFERROR(__xludf.DUMMYFUNCTION("""COMPUTED_VALUE"""),""",")</f>
        <v>",</v>
      </c>
    </row>
    <row r="2442">
      <c r="A2442" s="9" t="str">
        <f>IFERROR(__xludf.DUMMYFUNCTION("""COMPUTED_VALUE"""),"""")</f>
        <v>"</v>
      </c>
      <c r="B2442" s="9" t="s">
        <v>2451</v>
      </c>
      <c r="C2442" s="9" t="str">
        <f>IFERROR(__xludf.DUMMYFUNCTION("""COMPUTED_VALUE"""),""":""")</f>
        <v>":"</v>
      </c>
      <c r="D2442" s="24">
        <v>2.0248888511809958E19</v>
      </c>
      <c r="E2442" s="9" t="str">
        <f>IFERROR(__xludf.DUMMYFUNCTION("""COMPUTED_VALUE"""),""",")</f>
        <v>",</v>
      </c>
    </row>
    <row r="2443">
      <c r="A2443" s="9" t="str">
        <f>IFERROR(__xludf.DUMMYFUNCTION("""COMPUTED_VALUE"""),"""")</f>
        <v>"</v>
      </c>
      <c r="B2443" s="9" t="s">
        <v>2452</v>
      </c>
      <c r="C2443" s="9" t="str">
        <f>IFERROR(__xludf.DUMMYFUNCTION("""COMPUTED_VALUE"""),""":""")</f>
        <v>":"</v>
      </c>
      <c r="D2443" s="24">
        <v>6.2005979458241782E18</v>
      </c>
      <c r="E2443" s="9" t="str">
        <f>IFERROR(__xludf.DUMMYFUNCTION("""COMPUTED_VALUE"""),""",")</f>
        <v>",</v>
      </c>
    </row>
    <row r="2444">
      <c r="A2444" s="9" t="str">
        <f>IFERROR(__xludf.DUMMYFUNCTION("""COMPUTED_VALUE"""),"""")</f>
        <v>"</v>
      </c>
      <c r="B2444" s="9" t="s">
        <v>2453</v>
      </c>
      <c r="C2444" s="9" t="str">
        <f>IFERROR(__xludf.DUMMYFUNCTION("""COMPUTED_VALUE"""),""":""")</f>
        <v>":"</v>
      </c>
      <c r="D2444" s="24">
        <v>2.0146765350048444E19</v>
      </c>
      <c r="E2444" s="9" t="str">
        <f>IFERROR(__xludf.DUMMYFUNCTION("""COMPUTED_VALUE"""),""",")</f>
        <v>",</v>
      </c>
    </row>
    <row r="2445">
      <c r="A2445" s="9" t="str">
        <f>IFERROR(__xludf.DUMMYFUNCTION("""COMPUTED_VALUE"""),"""")</f>
        <v>"</v>
      </c>
      <c r="B2445" s="9" t="s">
        <v>2454</v>
      </c>
      <c r="C2445" s="9" t="str">
        <f>IFERROR(__xludf.DUMMYFUNCTION("""COMPUTED_VALUE"""),""":""")</f>
        <v>":"</v>
      </c>
      <c r="D2445" s="24">
        <v>1.2662811606177622E19</v>
      </c>
      <c r="E2445" s="9" t="str">
        <f>IFERROR(__xludf.DUMMYFUNCTION("""COMPUTED_VALUE"""),""",")</f>
        <v>",</v>
      </c>
    </row>
    <row r="2446">
      <c r="A2446" s="9" t="str">
        <f>IFERROR(__xludf.DUMMYFUNCTION("""COMPUTED_VALUE"""),"""")</f>
        <v>"</v>
      </c>
      <c r="B2446" s="9" t="s">
        <v>2455</v>
      </c>
      <c r="C2446" s="9" t="str">
        <f>IFERROR(__xludf.DUMMYFUNCTION("""COMPUTED_VALUE"""),""":""")</f>
        <v>":"</v>
      </c>
      <c r="D2446" s="24">
        <v>6.2005979458241782E18</v>
      </c>
      <c r="E2446" s="9" t="str">
        <f>IFERROR(__xludf.DUMMYFUNCTION("""COMPUTED_VALUE"""),""",")</f>
        <v>",</v>
      </c>
    </row>
    <row r="2447">
      <c r="A2447" s="9" t="str">
        <f>IFERROR(__xludf.DUMMYFUNCTION("""COMPUTED_VALUE"""),"""")</f>
        <v>"</v>
      </c>
      <c r="B2447" s="9" t="s">
        <v>2456</v>
      </c>
      <c r="C2447" s="9" t="str">
        <f>IFERROR(__xludf.DUMMYFUNCTION("""COMPUTED_VALUE"""),""":""")</f>
        <v>":"</v>
      </c>
      <c r="D2447" s="24">
        <v>2.0248888511809958E19</v>
      </c>
      <c r="E2447" s="9" t="str">
        <f>IFERROR(__xludf.DUMMYFUNCTION("""COMPUTED_VALUE"""),""",")</f>
        <v>",</v>
      </c>
    </row>
    <row r="2448">
      <c r="A2448" s="9" t="str">
        <f>IFERROR(__xludf.DUMMYFUNCTION("""COMPUTED_VALUE"""),"""")</f>
        <v>"</v>
      </c>
      <c r="B2448" s="9" t="s">
        <v>2457</v>
      </c>
      <c r="C2448" s="9" t="str">
        <f>IFERROR(__xludf.DUMMYFUNCTION("""COMPUTED_VALUE"""),""":""")</f>
        <v>":"</v>
      </c>
      <c r="D2448" s="24">
        <v>6.0468147208966666E18</v>
      </c>
      <c r="E2448" s="9" t="str">
        <f>IFERROR(__xludf.DUMMYFUNCTION("""COMPUTED_VALUE"""),""",")</f>
        <v>",</v>
      </c>
    </row>
    <row r="2449">
      <c r="A2449" s="9" t="str">
        <f>IFERROR(__xludf.DUMMYFUNCTION("""COMPUTED_VALUE"""),"""")</f>
        <v>"</v>
      </c>
      <c r="B2449" s="9" t="s">
        <v>2458</v>
      </c>
      <c r="C2449" s="9" t="str">
        <f>IFERROR(__xludf.DUMMYFUNCTION("""COMPUTED_VALUE"""),""":""")</f>
        <v>":"</v>
      </c>
      <c r="D2449" s="24">
        <v>6.2005979458241782E18</v>
      </c>
      <c r="E2449" s="9" t="str">
        <f>IFERROR(__xludf.DUMMYFUNCTION("""COMPUTED_VALUE"""),""",")</f>
        <v>",</v>
      </c>
    </row>
    <row r="2450">
      <c r="A2450" s="9" t="str">
        <f>IFERROR(__xludf.DUMMYFUNCTION("""COMPUTED_VALUE"""),"""")</f>
        <v>"</v>
      </c>
      <c r="B2450" s="9" t="s">
        <v>2459</v>
      </c>
      <c r="C2450" s="9" t="str">
        <f>IFERROR(__xludf.DUMMYFUNCTION("""COMPUTED_VALUE"""),""":""")</f>
        <v>":"</v>
      </c>
      <c r="D2450" s="24">
        <v>2.2076127872653746E19</v>
      </c>
      <c r="E2450" s="9" t="str">
        <f>IFERROR(__xludf.DUMMYFUNCTION("""COMPUTED_VALUE"""),""",")</f>
        <v>",</v>
      </c>
    </row>
    <row r="2451">
      <c r="A2451" s="9" t="str">
        <f>IFERROR(__xludf.DUMMYFUNCTION("""COMPUTED_VALUE"""),"""")</f>
        <v>"</v>
      </c>
      <c r="B2451" s="9" t="s">
        <v>2460</v>
      </c>
      <c r="C2451" s="9" t="str">
        <f>IFERROR(__xludf.DUMMYFUNCTION("""COMPUTED_VALUE"""),""":""")</f>
        <v>":"</v>
      </c>
      <c r="D2451" s="24">
        <v>6.2005979458241782E18</v>
      </c>
      <c r="E2451" s="9" t="str">
        <f>IFERROR(__xludf.DUMMYFUNCTION("""COMPUTED_VALUE"""),""",")</f>
        <v>",</v>
      </c>
    </row>
    <row r="2452">
      <c r="A2452" s="9" t="str">
        <f>IFERROR(__xludf.DUMMYFUNCTION("""COMPUTED_VALUE"""),"""")</f>
        <v>"</v>
      </c>
      <c r="B2452" s="9" t="s">
        <v>2461</v>
      </c>
      <c r="C2452" s="9" t="str">
        <f>IFERROR(__xludf.DUMMYFUNCTION("""COMPUTED_VALUE"""),""":""")</f>
        <v>":"</v>
      </c>
      <c r="D2452" s="24">
        <v>1.24024906279122432E18</v>
      </c>
      <c r="E2452" s="9" t="str">
        <f>IFERROR(__xludf.DUMMYFUNCTION("""COMPUTED_VALUE"""),""",")</f>
        <v>",</v>
      </c>
    </row>
    <row r="2453">
      <c r="A2453" s="9" t="str">
        <f>IFERROR(__xludf.DUMMYFUNCTION("""COMPUTED_VALUE"""),"""")</f>
        <v>"</v>
      </c>
      <c r="B2453" s="9" t="s">
        <v>2462</v>
      </c>
      <c r="C2453" s="9" t="str">
        <f>IFERROR(__xludf.DUMMYFUNCTION("""COMPUTED_VALUE"""),""":""")</f>
        <v>":"</v>
      </c>
      <c r="D2453" s="24">
        <v>5.8945981786649784E18</v>
      </c>
      <c r="E2453" s="9" t="str">
        <f>IFERROR(__xludf.DUMMYFUNCTION("""COMPUTED_VALUE"""),""",")</f>
        <v>",</v>
      </c>
    </row>
    <row r="2454">
      <c r="A2454" s="9" t="str">
        <f>IFERROR(__xludf.DUMMYFUNCTION("""COMPUTED_VALUE"""),"""")</f>
        <v>"</v>
      </c>
      <c r="B2454" s="9" t="s">
        <v>2463</v>
      </c>
      <c r="C2454" s="9" t="str">
        <f>IFERROR(__xludf.DUMMYFUNCTION("""COMPUTED_VALUE"""),""":""")</f>
        <v>":"</v>
      </c>
      <c r="D2454" s="24">
        <v>6.2005979458241782E18</v>
      </c>
      <c r="E2454" s="9" t="str">
        <f>IFERROR(__xludf.DUMMYFUNCTION("""COMPUTED_VALUE"""),""",")</f>
        <v>",</v>
      </c>
    </row>
    <row r="2455">
      <c r="A2455" s="9" t="str">
        <f>IFERROR(__xludf.DUMMYFUNCTION("""COMPUTED_VALUE"""),"""")</f>
        <v>"</v>
      </c>
      <c r="B2455" s="9" t="s">
        <v>2464</v>
      </c>
      <c r="C2455" s="9" t="str">
        <f>IFERROR(__xludf.DUMMYFUNCTION("""COMPUTED_VALUE"""),""":""")</f>
        <v>":"</v>
      </c>
      <c r="D2455" s="24">
        <v>5.6969314796046889E18</v>
      </c>
      <c r="E2455" s="9" t="str">
        <f>IFERROR(__xludf.DUMMYFUNCTION("""COMPUTED_VALUE"""),""",")</f>
        <v>",</v>
      </c>
    </row>
    <row r="2456">
      <c r="A2456" s="9" t="str">
        <f>IFERROR(__xludf.DUMMYFUNCTION("""COMPUTED_VALUE"""),"""")</f>
        <v>"</v>
      </c>
      <c r="B2456" s="9" t="s">
        <v>2465</v>
      </c>
      <c r="C2456" s="9" t="str">
        <f>IFERROR(__xludf.DUMMYFUNCTION("""COMPUTED_VALUE"""),""":""")</f>
        <v>":"</v>
      </c>
      <c r="D2456" s="24">
        <v>1.4629572285415645E19</v>
      </c>
      <c r="E2456" s="9" t="str">
        <f>IFERROR(__xludf.DUMMYFUNCTION("""COMPUTED_VALUE"""),""",")</f>
        <v>",</v>
      </c>
    </row>
    <row r="2457">
      <c r="A2457" s="9" t="str">
        <f>IFERROR(__xludf.DUMMYFUNCTION("""COMPUTED_VALUE"""),"""")</f>
        <v>"</v>
      </c>
      <c r="B2457" s="9" t="s">
        <v>2466</v>
      </c>
      <c r="C2457" s="9" t="str">
        <f>IFERROR(__xludf.DUMMYFUNCTION("""COMPUTED_VALUE"""),""":""")</f>
        <v>":"</v>
      </c>
      <c r="D2457" s="24">
        <v>6.2005979458241782E18</v>
      </c>
      <c r="E2457" s="9" t="str">
        <f>IFERROR(__xludf.DUMMYFUNCTION("""COMPUTED_VALUE"""),""",")</f>
        <v>",</v>
      </c>
    </row>
    <row r="2458">
      <c r="A2458" s="9" t="str">
        <f>IFERROR(__xludf.DUMMYFUNCTION("""COMPUTED_VALUE"""),"""")</f>
        <v>"</v>
      </c>
      <c r="B2458" s="9" t="s">
        <v>2467</v>
      </c>
      <c r="C2458" s="9" t="str">
        <f>IFERROR(__xludf.DUMMYFUNCTION("""COMPUTED_VALUE"""),""":""")</f>
        <v>":"</v>
      </c>
      <c r="D2458" s="24">
        <v>6.2005979458241782E18</v>
      </c>
      <c r="E2458" s="9" t="str">
        <f>IFERROR(__xludf.DUMMYFUNCTION("""COMPUTED_VALUE"""),""",")</f>
        <v>",</v>
      </c>
    </row>
    <row r="2459">
      <c r="A2459" s="9" t="str">
        <f>IFERROR(__xludf.DUMMYFUNCTION("""COMPUTED_VALUE"""),"""")</f>
        <v>"</v>
      </c>
      <c r="B2459" s="9" t="s">
        <v>2468</v>
      </c>
      <c r="C2459" s="9" t="str">
        <f>IFERROR(__xludf.DUMMYFUNCTION("""COMPUTED_VALUE"""),""":""")</f>
        <v>":"</v>
      </c>
      <c r="D2459" s="24">
        <v>2.0248888511809958E19</v>
      </c>
      <c r="E2459" s="9" t="str">
        <f>IFERROR(__xludf.DUMMYFUNCTION("""COMPUTED_VALUE"""),""",")</f>
        <v>",</v>
      </c>
    </row>
    <row r="2460">
      <c r="A2460" s="9" t="str">
        <f>IFERROR(__xludf.DUMMYFUNCTION("""COMPUTED_VALUE"""),"""")</f>
        <v>"</v>
      </c>
      <c r="B2460" s="9" t="s">
        <v>2469</v>
      </c>
      <c r="C2460" s="9" t="str">
        <f>IFERROR(__xludf.DUMMYFUNCTION("""COMPUTED_VALUE"""),""":""")</f>
        <v>":"</v>
      </c>
      <c r="D2460" s="24">
        <v>6.2005979458241782E18</v>
      </c>
      <c r="E2460" s="9" t="str">
        <f>IFERROR(__xludf.DUMMYFUNCTION("""COMPUTED_VALUE"""),""",")</f>
        <v>",</v>
      </c>
    </row>
    <row r="2461">
      <c r="A2461" s="9" t="str">
        <f>IFERROR(__xludf.DUMMYFUNCTION("""COMPUTED_VALUE"""),"""")</f>
        <v>"</v>
      </c>
      <c r="B2461" s="9" t="s">
        <v>2470</v>
      </c>
      <c r="C2461" s="9" t="str">
        <f>IFERROR(__xludf.DUMMYFUNCTION("""COMPUTED_VALUE"""),""":""")</f>
        <v>":"</v>
      </c>
      <c r="D2461" s="24">
        <v>4.0740909685827113E18</v>
      </c>
      <c r="E2461" s="9" t="str">
        <f>IFERROR(__xludf.DUMMYFUNCTION("""COMPUTED_VALUE"""),""",")</f>
        <v>",</v>
      </c>
    </row>
    <row r="2462">
      <c r="A2462" s="9" t="str">
        <f>IFERROR(__xludf.DUMMYFUNCTION("""COMPUTED_VALUE"""),"""")</f>
        <v>"</v>
      </c>
      <c r="B2462" s="9" t="s">
        <v>2471</v>
      </c>
      <c r="C2462" s="9" t="str">
        <f>IFERROR(__xludf.DUMMYFUNCTION("""COMPUTED_VALUE"""),""":""")</f>
        <v>":"</v>
      </c>
      <c r="D2462" s="24">
        <v>6.2005979458241782E18</v>
      </c>
      <c r="E2462" s="9" t="str">
        <f>IFERROR(__xludf.DUMMYFUNCTION("""COMPUTED_VALUE"""),""",")</f>
        <v>",</v>
      </c>
    </row>
    <row r="2463">
      <c r="A2463" s="9" t="str">
        <f>IFERROR(__xludf.DUMMYFUNCTION("""COMPUTED_VALUE"""),"""")</f>
        <v>"</v>
      </c>
      <c r="B2463" s="9" t="s">
        <v>2472</v>
      </c>
      <c r="C2463" s="9" t="str">
        <f>IFERROR(__xludf.DUMMYFUNCTION("""COMPUTED_VALUE"""),""":""")</f>
        <v>":"</v>
      </c>
      <c r="D2463" s="24">
        <v>4.1926479951117776E16</v>
      </c>
      <c r="E2463" s="9" t="str">
        <f>IFERROR(__xludf.DUMMYFUNCTION("""COMPUTED_VALUE"""),""",")</f>
        <v>",</v>
      </c>
    </row>
    <row r="2464">
      <c r="A2464" s="9" t="str">
        <f>IFERROR(__xludf.DUMMYFUNCTION("""COMPUTED_VALUE"""),"""")</f>
        <v>"</v>
      </c>
      <c r="B2464" s="9" t="s">
        <v>2473</v>
      </c>
      <c r="C2464" s="9" t="str">
        <f>IFERROR(__xludf.DUMMYFUNCTION("""COMPUTED_VALUE"""),""":""")</f>
        <v>":"</v>
      </c>
      <c r="D2464" s="24">
        <v>4.794738153008484E19</v>
      </c>
      <c r="E2464" s="9" t="str">
        <f>IFERROR(__xludf.DUMMYFUNCTION("""COMPUTED_VALUE"""),""",")</f>
        <v>",</v>
      </c>
    </row>
    <row r="2465">
      <c r="A2465" s="9" t="str">
        <f>IFERROR(__xludf.DUMMYFUNCTION("""COMPUTED_VALUE"""),"""")</f>
        <v>"</v>
      </c>
      <c r="B2465" s="9" t="s">
        <v>2474</v>
      </c>
      <c r="C2465" s="9" t="str">
        <f>IFERROR(__xludf.DUMMYFUNCTION("""COMPUTED_VALUE"""),""":""")</f>
        <v>":"</v>
      </c>
      <c r="D2465" s="24">
        <v>6.2005979458241782E18</v>
      </c>
      <c r="E2465" s="9" t="str">
        <f>IFERROR(__xludf.DUMMYFUNCTION("""COMPUTED_VALUE"""),""",")</f>
        <v>",</v>
      </c>
    </row>
    <row r="2466">
      <c r="A2466" s="9" t="str">
        <f>IFERROR(__xludf.DUMMYFUNCTION("""COMPUTED_VALUE"""),"""")</f>
        <v>"</v>
      </c>
      <c r="B2466" s="9" t="s">
        <v>2475</v>
      </c>
      <c r="C2466" s="9" t="str">
        <f>IFERROR(__xludf.DUMMYFUNCTION("""COMPUTED_VALUE"""),""":""")</f>
        <v>":"</v>
      </c>
      <c r="D2466" s="24">
        <v>6.2005979458241782E18</v>
      </c>
      <c r="E2466" s="9" t="str">
        <f>IFERROR(__xludf.DUMMYFUNCTION("""COMPUTED_VALUE"""),""",")</f>
        <v>",</v>
      </c>
    </row>
    <row r="2467">
      <c r="A2467" s="9" t="str">
        <f>IFERROR(__xludf.DUMMYFUNCTION("""COMPUTED_VALUE"""),"""")</f>
        <v>"</v>
      </c>
      <c r="B2467" s="9" t="s">
        <v>2476</v>
      </c>
      <c r="C2467" s="9" t="str">
        <f>IFERROR(__xludf.DUMMYFUNCTION("""COMPUTED_VALUE"""),""":""")</f>
        <v>":"</v>
      </c>
      <c r="D2467" s="24">
        <v>2.0685952822715204E19</v>
      </c>
      <c r="E2467" s="9" t="str">
        <f>IFERROR(__xludf.DUMMYFUNCTION("""COMPUTED_VALUE"""),""",")</f>
        <v>",</v>
      </c>
    </row>
    <row r="2468">
      <c r="A2468" s="9" t="str">
        <f>IFERROR(__xludf.DUMMYFUNCTION("""COMPUTED_VALUE"""),"""")</f>
        <v>"</v>
      </c>
      <c r="B2468" s="9" t="s">
        <v>2477</v>
      </c>
      <c r="C2468" s="9" t="str">
        <f>IFERROR(__xludf.DUMMYFUNCTION("""COMPUTED_VALUE"""),""":""")</f>
        <v>":"</v>
      </c>
      <c r="D2468" s="24">
        <v>1.16739478428934886E18</v>
      </c>
      <c r="E2468" s="9" t="str">
        <f>IFERROR(__xludf.DUMMYFUNCTION("""COMPUTED_VALUE"""),""",")</f>
        <v>",</v>
      </c>
    </row>
    <row r="2469">
      <c r="A2469" s="9" t="str">
        <f>IFERROR(__xludf.DUMMYFUNCTION("""COMPUTED_VALUE"""),"""")</f>
        <v>"</v>
      </c>
      <c r="B2469" s="9" t="s">
        <v>2478</v>
      </c>
      <c r="C2469" s="9" t="str">
        <f>IFERROR(__xludf.DUMMYFUNCTION("""COMPUTED_VALUE"""),""":""")</f>
        <v>":"</v>
      </c>
      <c r="D2469" s="24">
        <v>4.23434647182594E19</v>
      </c>
      <c r="E2469" s="9" t="str">
        <f>IFERROR(__xludf.DUMMYFUNCTION("""COMPUTED_VALUE"""),""",")</f>
        <v>",</v>
      </c>
    </row>
    <row r="2470">
      <c r="A2470" s="9" t="str">
        <f>IFERROR(__xludf.DUMMYFUNCTION("""COMPUTED_VALUE"""),"""")</f>
        <v>"</v>
      </c>
      <c r="B2470" s="9" t="s">
        <v>2479</v>
      </c>
      <c r="C2470" s="9" t="str">
        <f>IFERROR(__xludf.DUMMYFUNCTION("""COMPUTED_VALUE"""),""":""")</f>
        <v>":"</v>
      </c>
      <c r="D2470" s="24">
        <v>6.2005979458241782E18</v>
      </c>
      <c r="E2470" s="9" t="str">
        <f>IFERROR(__xludf.DUMMYFUNCTION("""COMPUTED_VALUE"""),""",")</f>
        <v>",</v>
      </c>
    </row>
    <row r="2471">
      <c r="A2471" s="9" t="str">
        <f>IFERROR(__xludf.DUMMYFUNCTION("""COMPUTED_VALUE"""),"""")</f>
        <v>"</v>
      </c>
      <c r="B2471" s="9" t="s">
        <v>2480</v>
      </c>
      <c r="C2471" s="9" t="str">
        <f>IFERROR(__xludf.DUMMYFUNCTION("""COMPUTED_VALUE"""),""":""")</f>
        <v>":"</v>
      </c>
      <c r="D2471" s="24">
        <v>2.0248888511809958E19</v>
      </c>
      <c r="E2471" s="9" t="str">
        <f>IFERROR(__xludf.DUMMYFUNCTION("""COMPUTED_VALUE"""),""",")</f>
        <v>",</v>
      </c>
    </row>
    <row r="2472">
      <c r="A2472" s="9" t="str">
        <f>IFERROR(__xludf.DUMMYFUNCTION("""COMPUTED_VALUE"""),"""")</f>
        <v>"</v>
      </c>
      <c r="B2472" s="9" t="s">
        <v>2481</v>
      </c>
      <c r="C2472" s="9" t="str">
        <f>IFERROR(__xludf.DUMMYFUNCTION("""COMPUTED_VALUE"""),""":""")</f>
        <v>":"</v>
      </c>
      <c r="D2472" s="24">
        <v>6.2005979458241782E18</v>
      </c>
      <c r="E2472" s="9" t="str">
        <f>IFERROR(__xludf.DUMMYFUNCTION("""COMPUTED_VALUE"""),""",")</f>
        <v>",</v>
      </c>
    </row>
    <row r="2473">
      <c r="A2473" s="9" t="str">
        <f>IFERROR(__xludf.DUMMYFUNCTION("""COMPUTED_VALUE"""),"""")</f>
        <v>"</v>
      </c>
      <c r="B2473" s="9" t="s">
        <v>2482</v>
      </c>
      <c r="C2473" s="9" t="str">
        <f>IFERROR(__xludf.DUMMYFUNCTION("""COMPUTED_VALUE"""),""":""")</f>
        <v>":"</v>
      </c>
      <c r="D2473" s="24">
        <v>6.2005979458241782E18</v>
      </c>
      <c r="E2473" s="9" t="str">
        <f>IFERROR(__xludf.DUMMYFUNCTION("""COMPUTED_VALUE"""),""",")</f>
        <v>",</v>
      </c>
    </row>
    <row r="2474">
      <c r="A2474" s="9" t="str">
        <f>IFERROR(__xludf.DUMMYFUNCTION("""COMPUTED_VALUE"""),"""")</f>
        <v>"</v>
      </c>
      <c r="B2474" s="9" t="s">
        <v>2483</v>
      </c>
      <c r="C2474" s="9" t="str">
        <f>IFERROR(__xludf.DUMMYFUNCTION("""COMPUTED_VALUE"""),""":""")</f>
        <v>":"</v>
      </c>
      <c r="D2474" s="24">
        <v>4.4804622490545556E18</v>
      </c>
      <c r="E2474" s="9" t="str">
        <f>IFERROR(__xludf.DUMMYFUNCTION("""COMPUTED_VALUE"""),""",")</f>
        <v>",</v>
      </c>
    </row>
    <row r="2475">
      <c r="A2475" s="9" t="str">
        <f>IFERROR(__xludf.DUMMYFUNCTION("""COMPUTED_VALUE"""),"""")</f>
        <v>"</v>
      </c>
      <c r="B2475" s="9" t="s">
        <v>2484</v>
      </c>
      <c r="C2475" s="9" t="str">
        <f>IFERROR(__xludf.DUMMYFUNCTION("""COMPUTED_VALUE"""),""":""")</f>
        <v>":"</v>
      </c>
      <c r="D2475" s="24">
        <v>6.2005979458241782E18</v>
      </c>
      <c r="E2475" s="9" t="str">
        <f>IFERROR(__xludf.DUMMYFUNCTION("""COMPUTED_VALUE"""),""",")</f>
        <v>",</v>
      </c>
    </row>
    <row r="2476">
      <c r="A2476" s="9" t="str">
        <f>IFERROR(__xludf.DUMMYFUNCTION("""COMPUTED_VALUE"""),"""")</f>
        <v>"</v>
      </c>
      <c r="B2476" s="9" t="s">
        <v>2485</v>
      </c>
      <c r="C2476" s="9" t="str">
        <f>IFERROR(__xludf.DUMMYFUNCTION("""COMPUTED_VALUE"""),""":""")</f>
        <v>":"</v>
      </c>
      <c r="D2476" s="24">
        <v>2.4832305751937843E19</v>
      </c>
      <c r="E2476" s="9" t="str">
        <f>IFERROR(__xludf.DUMMYFUNCTION("""COMPUTED_VALUE"""),""",")</f>
        <v>",</v>
      </c>
    </row>
    <row r="2477">
      <c r="A2477" s="9" t="str">
        <f>IFERROR(__xludf.DUMMYFUNCTION("""COMPUTED_VALUE"""),"""")</f>
        <v>"</v>
      </c>
      <c r="B2477" s="9" t="s">
        <v>2486</v>
      </c>
      <c r="C2477" s="9" t="str">
        <f>IFERROR(__xludf.DUMMYFUNCTION("""COMPUTED_VALUE"""),""":""")</f>
        <v>":"</v>
      </c>
      <c r="D2477" s="24">
        <v>2.2843275628863468E19</v>
      </c>
      <c r="E2477" s="9" t="str">
        <f>IFERROR(__xludf.DUMMYFUNCTION("""COMPUTED_VALUE"""),""",")</f>
        <v>",</v>
      </c>
    </row>
    <row r="2478">
      <c r="A2478" s="9" t="str">
        <f>IFERROR(__xludf.DUMMYFUNCTION("""COMPUTED_VALUE"""),"""")</f>
        <v>"</v>
      </c>
      <c r="B2478" s="9" t="s">
        <v>2487</v>
      </c>
      <c r="C2478" s="9" t="str">
        <f>IFERROR(__xludf.DUMMYFUNCTION("""COMPUTED_VALUE"""),""":""")</f>
        <v>":"</v>
      </c>
      <c r="D2478" s="24">
        <v>6.2005979458241782E18</v>
      </c>
      <c r="E2478" s="9" t="str">
        <f>IFERROR(__xludf.DUMMYFUNCTION("""COMPUTED_VALUE"""),""",")</f>
        <v>",</v>
      </c>
    </row>
    <row r="2479">
      <c r="A2479" s="9" t="str">
        <f>IFERROR(__xludf.DUMMYFUNCTION("""COMPUTED_VALUE"""),"""")</f>
        <v>"</v>
      </c>
      <c r="B2479" s="9" t="s">
        <v>2488</v>
      </c>
      <c r="C2479" s="9" t="str">
        <f>IFERROR(__xludf.DUMMYFUNCTION("""COMPUTED_VALUE"""),""":""")</f>
        <v>":"</v>
      </c>
      <c r="D2479" s="24">
        <v>9.347415032604977E18</v>
      </c>
      <c r="E2479" s="9" t="str">
        <f>IFERROR(__xludf.DUMMYFUNCTION("""COMPUTED_VALUE"""),""",")</f>
        <v>",</v>
      </c>
    </row>
    <row r="2480">
      <c r="A2480" s="9" t="str">
        <f>IFERROR(__xludf.DUMMYFUNCTION("""COMPUTED_VALUE"""),"""")</f>
        <v>"</v>
      </c>
      <c r="B2480" s="9" t="s">
        <v>2489</v>
      </c>
      <c r="C2480" s="9" t="str">
        <f>IFERROR(__xludf.DUMMYFUNCTION("""COMPUTED_VALUE"""),""":""")</f>
        <v>":"</v>
      </c>
      <c r="D2480" s="24">
        <v>6.2005979458241782E18</v>
      </c>
      <c r="E2480" s="9" t="str">
        <f>IFERROR(__xludf.DUMMYFUNCTION("""COMPUTED_VALUE"""),""",")</f>
        <v>",</v>
      </c>
    </row>
    <row r="2481">
      <c r="A2481" s="9" t="str">
        <f>IFERROR(__xludf.DUMMYFUNCTION("""COMPUTED_VALUE"""),"""")</f>
        <v>"</v>
      </c>
      <c r="B2481" s="9" t="s">
        <v>2490</v>
      </c>
      <c r="C2481" s="9" t="str">
        <f>IFERROR(__xludf.DUMMYFUNCTION("""COMPUTED_VALUE"""),""":""")</f>
        <v>":"</v>
      </c>
      <c r="D2481" s="24">
        <v>6.0463999261636444E18</v>
      </c>
      <c r="E2481" s="9" t="str">
        <f>IFERROR(__xludf.DUMMYFUNCTION("""COMPUTED_VALUE"""),""",")</f>
        <v>",</v>
      </c>
    </row>
    <row r="2482">
      <c r="A2482" s="9" t="str">
        <f>IFERROR(__xludf.DUMMYFUNCTION("""COMPUTED_VALUE"""),"""")</f>
        <v>"</v>
      </c>
      <c r="B2482" s="9" t="s">
        <v>2491</v>
      </c>
      <c r="C2482" s="9" t="str">
        <f>IFERROR(__xludf.DUMMYFUNCTION("""COMPUTED_VALUE"""),""":""")</f>
        <v>":"</v>
      </c>
      <c r="D2482" s="24">
        <v>6.2005979458241782E18</v>
      </c>
      <c r="E2482" s="9" t="str">
        <f>IFERROR(__xludf.DUMMYFUNCTION("""COMPUTED_VALUE"""),""",")</f>
        <v>",</v>
      </c>
    </row>
    <row r="2483">
      <c r="A2483" s="9" t="str">
        <f>IFERROR(__xludf.DUMMYFUNCTION("""COMPUTED_VALUE"""),"""")</f>
        <v>"</v>
      </c>
      <c r="B2483" s="9" t="s">
        <v>2492</v>
      </c>
      <c r="C2483" s="9" t="str">
        <f>IFERROR(__xludf.DUMMYFUNCTION("""COMPUTED_VALUE"""),""":""")</f>
        <v>":"</v>
      </c>
      <c r="D2483" s="24">
        <v>2.0248888511809958E19</v>
      </c>
      <c r="E2483" s="9" t="str">
        <f>IFERROR(__xludf.DUMMYFUNCTION("""COMPUTED_VALUE"""),""",")</f>
        <v>",</v>
      </c>
    </row>
    <row r="2484">
      <c r="A2484" s="9" t="str">
        <f>IFERROR(__xludf.DUMMYFUNCTION("""COMPUTED_VALUE"""),"""")</f>
        <v>"</v>
      </c>
      <c r="B2484" s="9" t="s">
        <v>2493</v>
      </c>
      <c r="C2484" s="9" t="str">
        <f>IFERROR(__xludf.DUMMYFUNCTION("""COMPUTED_VALUE"""),""":""")</f>
        <v>":"</v>
      </c>
      <c r="D2484" s="24">
        <v>4.3041102528504893E18</v>
      </c>
      <c r="E2484" s="9" t="str">
        <f>IFERROR(__xludf.DUMMYFUNCTION("""COMPUTED_VALUE"""),""",")</f>
        <v>",</v>
      </c>
    </row>
    <row r="2485">
      <c r="A2485" s="9" t="str">
        <f>IFERROR(__xludf.DUMMYFUNCTION("""COMPUTED_VALUE"""),"""")</f>
        <v>"</v>
      </c>
      <c r="B2485" s="9" t="s">
        <v>2494</v>
      </c>
      <c r="C2485" s="9" t="str">
        <f>IFERROR(__xludf.DUMMYFUNCTION("""COMPUTED_VALUE"""),""":""")</f>
        <v>":"</v>
      </c>
      <c r="D2485" s="24">
        <v>2.0248888511809958E19</v>
      </c>
      <c r="E2485" s="9" t="str">
        <f>IFERROR(__xludf.DUMMYFUNCTION("""COMPUTED_VALUE"""),""",")</f>
        <v>",</v>
      </c>
    </row>
    <row r="2486">
      <c r="A2486" s="9" t="str">
        <f>IFERROR(__xludf.DUMMYFUNCTION("""COMPUTED_VALUE"""),"""")</f>
        <v>"</v>
      </c>
      <c r="B2486" s="9" t="s">
        <v>2495</v>
      </c>
      <c r="C2486" s="9" t="str">
        <f>IFERROR(__xludf.DUMMYFUNCTION("""COMPUTED_VALUE"""),""":""")</f>
        <v>":"</v>
      </c>
      <c r="D2486" s="24">
        <v>6.2005979458241782E18</v>
      </c>
      <c r="E2486" s="9" t="str">
        <f>IFERROR(__xludf.DUMMYFUNCTION("""COMPUTED_VALUE"""),""",")</f>
        <v>",</v>
      </c>
    </row>
    <row r="2487">
      <c r="A2487" s="9" t="str">
        <f>IFERROR(__xludf.DUMMYFUNCTION("""COMPUTED_VALUE"""),"""")</f>
        <v>"</v>
      </c>
      <c r="B2487" s="9" t="s">
        <v>2496</v>
      </c>
      <c r="C2487" s="9" t="str">
        <f>IFERROR(__xludf.DUMMYFUNCTION("""COMPUTED_VALUE"""),""":""")</f>
        <v>":"</v>
      </c>
      <c r="D2487" s="24">
        <v>5.456526192325289E18</v>
      </c>
      <c r="E2487" s="9" t="str">
        <f>IFERROR(__xludf.DUMMYFUNCTION("""COMPUTED_VALUE"""),""",")</f>
        <v>",</v>
      </c>
    </row>
    <row r="2488">
      <c r="A2488" s="9" t="str">
        <f>IFERROR(__xludf.DUMMYFUNCTION("""COMPUTED_VALUE"""),"""")</f>
        <v>"</v>
      </c>
      <c r="B2488" s="9" t="s">
        <v>2497</v>
      </c>
      <c r="C2488" s="9" t="str">
        <f>IFERROR(__xludf.DUMMYFUNCTION("""COMPUTED_VALUE"""),""":""")</f>
        <v>":"</v>
      </c>
      <c r="D2488" s="24">
        <v>2.0248888511809958E19</v>
      </c>
      <c r="E2488" s="9" t="str">
        <f>IFERROR(__xludf.DUMMYFUNCTION("""COMPUTED_VALUE"""),""",")</f>
        <v>",</v>
      </c>
    </row>
    <row r="2489">
      <c r="A2489" s="9" t="str">
        <f>IFERROR(__xludf.DUMMYFUNCTION("""COMPUTED_VALUE"""),"""")</f>
        <v>"</v>
      </c>
      <c r="B2489" s="9" t="s">
        <v>2498</v>
      </c>
      <c r="C2489" s="9" t="str">
        <f>IFERROR(__xludf.DUMMYFUNCTION("""COMPUTED_VALUE"""),""":""")</f>
        <v>":"</v>
      </c>
      <c r="D2489" s="24">
        <v>2.0248888511809958E19</v>
      </c>
      <c r="E2489" s="9" t="str">
        <f>IFERROR(__xludf.DUMMYFUNCTION("""COMPUTED_VALUE"""),""",")</f>
        <v>",</v>
      </c>
    </row>
    <row r="2490">
      <c r="A2490" s="9" t="str">
        <f>IFERROR(__xludf.DUMMYFUNCTION("""COMPUTED_VALUE"""),"""")</f>
        <v>"</v>
      </c>
      <c r="B2490" s="9" t="s">
        <v>2499</v>
      </c>
      <c r="C2490" s="9" t="str">
        <f>IFERROR(__xludf.DUMMYFUNCTION("""COMPUTED_VALUE"""),""":""")</f>
        <v>":"</v>
      </c>
      <c r="D2490" s="24">
        <v>6.2005979458241782E18</v>
      </c>
      <c r="E2490" s="9" t="str">
        <f>IFERROR(__xludf.DUMMYFUNCTION("""COMPUTED_VALUE"""),""",")</f>
        <v>",</v>
      </c>
    </row>
    <row r="2491">
      <c r="A2491" s="9" t="str">
        <f>IFERROR(__xludf.DUMMYFUNCTION("""COMPUTED_VALUE"""),"""")</f>
        <v>"</v>
      </c>
      <c r="B2491" s="9" t="s">
        <v>2500</v>
      </c>
      <c r="C2491" s="9" t="str">
        <f>IFERROR(__xludf.DUMMYFUNCTION("""COMPUTED_VALUE"""),""":""")</f>
        <v>":"</v>
      </c>
      <c r="D2491" s="24">
        <v>2.917855967593644E18</v>
      </c>
      <c r="E2491" s="9" t="str">
        <f>IFERROR(__xludf.DUMMYFUNCTION("""COMPUTED_VALUE"""),""",")</f>
        <v>",</v>
      </c>
    </row>
    <row r="2492">
      <c r="A2492" s="9" t="str">
        <f>IFERROR(__xludf.DUMMYFUNCTION("""COMPUTED_VALUE"""),"""")</f>
        <v>"</v>
      </c>
      <c r="B2492" s="9" t="s">
        <v>2501</v>
      </c>
      <c r="C2492" s="9" t="str">
        <f>IFERROR(__xludf.DUMMYFUNCTION("""COMPUTED_VALUE"""),""":""")</f>
        <v>":"</v>
      </c>
      <c r="D2492" s="24">
        <v>3.8342817702008893E18</v>
      </c>
      <c r="E2492" s="9" t="str">
        <f>IFERROR(__xludf.DUMMYFUNCTION("""COMPUTED_VALUE"""),""",")</f>
        <v>",</v>
      </c>
    </row>
    <row r="2493">
      <c r="A2493" s="9" t="str">
        <f>IFERROR(__xludf.DUMMYFUNCTION("""COMPUTED_VALUE"""),"""")</f>
        <v>"</v>
      </c>
      <c r="B2493" s="9" t="s">
        <v>2502</v>
      </c>
      <c r="C2493" s="9" t="str">
        <f>IFERROR(__xludf.DUMMYFUNCTION("""COMPUTED_VALUE"""),""":""")</f>
        <v>":"</v>
      </c>
      <c r="D2493" s="24">
        <v>4.1727621864123781E18</v>
      </c>
      <c r="E2493" s="9" t="str">
        <f>IFERROR(__xludf.DUMMYFUNCTION("""COMPUTED_VALUE"""),""",")</f>
        <v>",</v>
      </c>
    </row>
    <row r="2494">
      <c r="A2494" s="9" t="str">
        <f>IFERROR(__xludf.DUMMYFUNCTION("""COMPUTED_VALUE"""),"""")</f>
        <v>"</v>
      </c>
      <c r="B2494" s="9" t="s">
        <v>2503</v>
      </c>
      <c r="C2494" s="9" t="str">
        <f>IFERROR(__xludf.DUMMYFUNCTION("""COMPUTED_VALUE"""),""":""")</f>
        <v>":"</v>
      </c>
      <c r="D2494" s="24">
        <v>2.0248888511809958E19</v>
      </c>
      <c r="E2494" s="9" t="str">
        <f>IFERROR(__xludf.DUMMYFUNCTION("""COMPUTED_VALUE"""),""",")</f>
        <v>",</v>
      </c>
    </row>
    <row r="2495">
      <c r="A2495" s="9" t="str">
        <f>IFERROR(__xludf.DUMMYFUNCTION("""COMPUTED_VALUE"""),"""")</f>
        <v>"</v>
      </c>
      <c r="B2495" s="9" t="s">
        <v>2504</v>
      </c>
      <c r="C2495" s="9" t="str">
        <f>IFERROR(__xludf.DUMMYFUNCTION("""COMPUTED_VALUE"""),""":""")</f>
        <v>":"</v>
      </c>
      <c r="D2495" s="24">
        <v>6.2005979458241782E18</v>
      </c>
      <c r="E2495" s="9" t="str">
        <f>IFERROR(__xludf.DUMMYFUNCTION("""COMPUTED_VALUE"""),""",")</f>
        <v>",</v>
      </c>
    </row>
    <row r="2496">
      <c r="A2496" s="9" t="str">
        <f>IFERROR(__xludf.DUMMYFUNCTION("""COMPUTED_VALUE"""),"""")</f>
        <v>"</v>
      </c>
      <c r="B2496" s="9" t="s">
        <v>2505</v>
      </c>
      <c r="C2496" s="9" t="str">
        <f>IFERROR(__xludf.DUMMYFUNCTION("""COMPUTED_VALUE"""),""":""")</f>
        <v>":"</v>
      </c>
      <c r="D2496" s="24">
        <v>1.5928407263129778E19</v>
      </c>
      <c r="E2496" s="9" t="str">
        <f>IFERROR(__xludf.DUMMYFUNCTION("""COMPUTED_VALUE"""),""",")</f>
        <v>",</v>
      </c>
    </row>
    <row r="2497">
      <c r="A2497" s="9" t="str">
        <f>IFERROR(__xludf.DUMMYFUNCTION("""COMPUTED_VALUE"""),"""")</f>
        <v>"</v>
      </c>
      <c r="B2497" s="9" t="s">
        <v>2506</v>
      </c>
      <c r="C2497" s="9" t="str">
        <f>IFERROR(__xludf.DUMMYFUNCTION("""COMPUTED_VALUE"""),""":""")</f>
        <v>":"</v>
      </c>
      <c r="D2497" s="24">
        <v>4.91936007810704E19</v>
      </c>
      <c r="E2497" s="9" t="str">
        <f>IFERROR(__xludf.DUMMYFUNCTION("""COMPUTED_VALUE"""),""",")</f>
        <v>",</v>
      </c>
    </row>
    <row r="2498">
      <c r="A2498" s="9" t="str">
        <f>IFERROR(__xludf.DUMMYFUNCTION("""COMPUTED_VALUE"""),"""")</f>
        <v>"</v>
      </c>
      <c r="B2498" s="9" t="s">
        <v>2507</v>
      </c>
      <c r="C2498" s="9" t="str">
        <f>IFERROR(__xludf.DUMMYFUNCTION("""COMPUTED_VALUE"""),""":""")</f>
        <v>":"</v>
      </c>
      <c r="D2498" s="24">
        <v>3.840959833118463E19</v>
      </c>
      <c r="E2498" s="9" t="str">
        <f>IFERROR(__xludf.DUMMYFUNCTION("""COMPUTED_VALUE"""),""",")</f>
        <v>",</v>
      </c>
    </row>
    <row r="2499">
      <c r="A2499" s="9" t="str">
        <f>IFERROR(__xludf.DUMMYFUNCTION("""COMPUTED_VALUE"""),"""")</f>
        <v>"</v>
      </c>
      <c r="B2499" s="9" t="s">
        <v>2508</v>
      </c>
      <c r="C2499" s="9" t="str">
        <f>IFERROR(__xludf.DUMMYFUNCTION("""COMPUTED_VALUE"""),""":""")</f>
        <v>":"</v>
      </c>
      <c r="D2499" s="24">
        <v>4.4032143205191552E18</v>
      </c>
      <c r="E2499" s="9" t="str">
        <f>IFERROR(__xludf.DUMMYFUNCTION("""COMPUTED_VALUE"""),""",")</f>
        <v>",</v>
      </c>
    </row>
    <row r="2500">
      <c r="A2500" s="9" t="str">
        <f>IFERROR(__xludf.DUMMYFUNCTION("""COMPUTED_VALUE"""),"""")</f>
        <v>"</v>
      </c>
      <c r="B2500" s="9" t="s">
        <v>2509</v>
      </c>
      <c r="C2500" s="9" t="str">
        <f>IFERROR(__xludf.DUMMYFUNCTION("""COMPUTED_VALUE"""),""":""")</f>
        <v>":"</v>
      </c>
      <c r="D2500" s="24">
        <v>6.2005979458241782E18</v>
      </c>
      <c r="E2500" s="9" t="str">
        <f>IFERROR(__xludf.DUMMYFUNCTION("""COMPUTED_VALUE"""),""",")</f>
        <v>",</v>
      </c>
    </row>
    <row r="2501">
      <c r="A2501" s="9" t="str">
        <f>IFERROR(__xludf.DUMMYFUNCTION("""COMPUTED_VALUE"""),"""")</f>
        <v>"</v>
      </c>
      <c r="B2501" s="9" t="s">
        <v>2510</v>
      </c>
      <c r="C2501" s="9" t="str">
        <f>IFERROR(__xludf.DUMMYFUNCTION("""COMPUTED_VALUE"""),""":""")</f>
        <v>":"</v>
      </c>
      <c r="D2501" s="24">
        <v>6.2005979458241782E18</v>
      </c>
      <c r="E2501" s="9" t="str">
        <f>IFERROR(__xludf.DUMMYFUNCTION("""COMPUTED_VALUE"""),""",")</f>
        <v>",</v>
      </c>
    </row>
    <row r="2502">
      <c r="A2502" s="9" t="str">
        <f>IFERROR(__xludf.DUMMYFUNCTION("""COMPUTED_VALUE"""),"""")</f>
        <v>"</v>
      </c>
      <c r="B2502" s="9" t="s">
        <v>2511</v>
      </c>
      <c r="C2502" s="9" t="str">
        <f>IFERROR(__xludf.DUMMYFUNCTION("""COMPUTED_VALUE"""),""":""")</f>
        <v>":"</v>
      </c>
      <c r="D2502" s="24">
        <v>5.5524989224422441E18</v>
      </c>
      <c r="E2502" s="9" t="str">
        <f>IFERROR(__xludf.DUMMYFUNCTION("""COMPUTED_VALUE"""),""",")</f>
        <v>",</v>
      </c>
    </row>
    <row r="2503">
      <c r="A2503" s="9" t="str">
        <f>IFERROR(__xludf.DUMMYFUNCTION("""COMPUTED_VALUE"""),"""")</f>
        <v>"</v>
      </c>
      <c r="B2503" s="9" t="s">
        <v>2512</v>
      </c>
      <c r="C2503" s="9" t="str">
        <f>IFERROR(__xludf.DUMMYFUNCTION("""COMPUTED_VALUE"""),""":""")</f>
        <v>":"</v>
      </c>
      <c r="D2503" s="24">
        <v>6.1738796340379331E18</v>
      </c>
      <c r="E2503" s="9" t="str">
        <f>IFERROR(__xludf.DUMMYFUNCTION("""COMPUTED_VALUE"""),""",")</f>
        <v>",</v>
      </c>
    </row>
    <row r="2504">
      <c r="A2504" s="9" t="str">
        <f>IFERROR(__xludf.DUMMYFUNCTION("""COMPUTED_VALUE"""),"""")</f>
        <v>"</v>
      </c>
      <c r="B2504" s="9" t="s">
        <v>2513</v>
      </c>
      <c r="C2504" s="9" t="str">
        <f>IFERROR(__xludf.DUMMYFUNCTION("""COMPUTED_VALUE"""),""":""")</f>
        <v>":"</v>
      </c>
      <c r="D2504" s="24">
        <v>6.2005979458241782E18</v>
      </c>
      <c r="E2504" s="9" t="str">
        <f>IFERROR(__xludf.DUMMYFUNCTION("""COMPUTED_VALUE"""),""",")</f>
        <v>",</v>
      </c>
    </row>
    <row r="2505">
      <c r="A2505" s="9" t="str">
        <f>IFERROR(__xludf.DUMMYFUNCTION("""COMPUTED_VALUE"""),"""")</f>
        <v>"</v>
      </c>
      <c r="B2505" s="9" t="s">
        <v>2514</v>
      </c>
      <c r="C2505" s="9" t="str">
        <f>IFERROR(__xludf.DUMMYFUNCTION("""COMPUTED_VALUE"""),""":""")</f>
        <v>":"</v>
      </c>
      <c r="D2505" s="24">
        <v>3.2311032701878927E19</v>
      </c>
      <c r="E2505" s="9" t="str">
        <f>IFERROR(__xludf.DUMMYFUNCTION("""COMPUTED_VALUE"""),""",")</f>
        <v>",</v>
      </c>
    </row>
    <row r="2506">
      <c r="A2506" s="9" t="str">
        <f>IFERROR(__xludf.DUMMYFUNCTION("""COMPUTED_VALUE"""),"""")</f>
        <v>"</v>
      </c>
      <c r="B2506" s="9" t="s">
        <v>2515</v>
      </c>
      <c r="C2506" s="9" t="str">
        <f>IFERROR(__xludf.DUMMYFUNCTION("""COMPUTED_VALUE"""),""":""")</f>
        <v>":"</v>
      </c>
      <c r="D2506" s="24">
        <v>6.1999141167241114E18</v>
      </c>
      <c r="E2506" s="9" t="str">
        <f>IFERROR(__xludf.DUMMYFUNCTION("""COMPUTED_VALUE"""),""",")</f>
        <v>",</v>
      </c>
    </row>
    <row r="2507">
      <c r="A2507" s="9" t="str">
        <f>IFERROR(__xludf.DUMMYFUNCTION("""COMPUTED_VALUE"""),"""")</f>
        <v>"</v>
      </c>
      <c r="B2507" s="9" t="s">
        <v>2516</v>
      </c>
      <c r="C2507" s="9" t="str">
        <f>IFERROR(__xludf.DUMMYFUNCTION("""COMPUTED_VALUE"""),""":""")</f>
        <v>":"</v>
      </c>
      <c r="D2507" s="24">
        <v>2.0086977491444113E19</v>
      </c>
      <c r="E2507" s="9" t="str">
        <f>IFERROR(__xludf.DUMMYFUNCTION("""COMPUTED_VALUE"""),""",")</f>
        <v>",</v>
      </c>
    </row>
    <row r="2508">
      <c r="A2508" s="9" t="str">
        <f>IFERROR(__xludf.DUMMYFUNCTION("""COMPUTED_VALUE"""),"""")</f>
        <v>"</v>
      </c>
      <c r="B2508" s="9" t="s">
        <v>2517</v>
      </c>
      <c r="C2508" s="9" t="str">
        <f>IFERROR(__xludf.DUMMYFUNCTION("""COMPUTED_VALUE"""),""":""")</f>
        <v>":"</v>
      </c>
      <c r="D2508" s="24">
        <v>3.657457467686831E19</v>
      </c>
      <c r="E2508" s="9" t="str">
        <f>IFERROR(__xludf.DUMMYFUNCTION("""COMPUTED_VALUE"""),""",")</f>
        <v>",</v>
      </c>
    </row>
    <row r="2509">
      <c r="A2509" s="9" t="str">
        <f>IFERROR(__xludf.DUMMYFUNCTION("""COMPUTED_VALUE"""),"""")</f>
        <v>"</v>
      </c>
      <c r="B2509" s="9" t="s">
        <v>2518</v>
      </c>
      <c r="C2509" s="9" t="str">
        <f>IFERROR(__xludf.DUMMYFUNCTION("""COMPUTED_VALUE"""),""":""")</f>
        <v>":"</v>
      </c>
      <c r="D2509" s="24">
        <v>2.0248888511809958E19</v>
      </c>
      <c r="E2509" s="9" t="str">
        <f>IFERROR(__xludf.DUMMYFUNCTION("""COMPUTED_VALUE"""),""",")</f>
        <v>",</v>
      </c>
    </row>
    <row r="2510">
      <c r="A2510" s="9" t="str">
        <f>IFERROR(__xludf.DUMMYFUNCTION("""COMPUTED_VALUE"""),"""")</f>
        <v>"</v>
      </c>
      <c r="B2510" s="9" t="s">
        <v>2519</v>
      </c>
      <c r="C2510" s="9" t="str">
        <f>IFERROR(__xludf.DUMMYFUNCTION("""COMPUTED_VALUE"""),""":""")</f>
        <v>":"</v>
      </c>
      <c r="D2510" s="24">
        <v>6.6944728067132375E18</v>
      </c>
      <c r="E2510" s="9" t="str">
        <f>IFERROR(__xludf.DUMMYFUNCTION("""COMPUTED_VALUE"""),""",")</f>
        <v>",</v>
      </c>
    </row>
    <row r="2511">
      <c r="A2511" s="9" t="str">
        <f>IFERROR(__xludf.DUMMYFUNCTION("""COMPUTED_VALUE"""),"""")</f>
        <v>"</v>
      </c>
      <c r="B2511" s="9" t="s">
        <v>2520</v>
      </c>
      <c r="C2511" s="9" t="str">
        <f>IFERROR(__xludf.DUMMYFUNCTION("""COMPUTED_VALUE"""),""":""")</f>
        <v>":"</v>
      </c>
      <c r="D2511" s="24">
        <v>2.288497653797531E19</v>
      </c>
      <c r="E2511" s="9" t="str">
        <f>IFERROR(__xludf.DUMMYFUNCTION("""COMPUTED_VALUE"""),""",")</f>
        <v>",</v>
      </c>
    </row>
    <row r="2512">
      <c r="A2512" s="9" t="str">
        <f>IFERROR(__xludf.DUMMYFUNCTION("""COMPUTED_VALUE"""),"""")</f>
        <v>"</v>
      </c>
      <c r="B2512" s="9" t="s">
        <v>2521</v>
      </c>
      <c r="C2512" s="9" t="str">
        <f>IFERROR(__xludf.DUMMYFUNCTION("""COMPUTED_VALUE"""),""":""")</f>
        <v>":"</v>
      </c>
      <c r="D2512" s="24">
        <v>5.9295364579016899E18</v>
      </c>
      <c r="E2512" s="9" t="str">
        <f>IFERROR(__xludf.DUMMYFUNCTION("""COMPUTED_VALUE"""),""",")</f>
        <v>",</v>
      </c>
    </row>
    <row r="2513">
      <c r="A2513" s="9" t="str">
        <f>IFERROR(__xludf.DUMMYFUNCTION("""COMPUTED_VALUE"""),"""")</f>
        <v>"</v>
      </c>
      <c r="B2513" s="9" t="s">
        <v>2522</v>
      </c>
      <c r="C2513" s="9" t="str">
        <f>IFERROR(__xludf.DUMMYFUNCTION("""COMPUTED_VALUE"""),""":""")</f>
        <v>":"</v>
      </c>
      <c r="D2513" s="24">
        <v>1.3963331002624175E20</v>
      </c>
      <c r="E2513" s="9" t="str">
        <f>IFERROR(__xludf.DUMMYFUNCTION("""COMPUTED_VALUE"""),""",")</f>
        <v>",</v>
      </c>
    </row>
    <row r="2514">
      <c r="A2514" s="9" t="str">
        <f>IFERROR(__xludf.DUMMYFUNCTION("""COMPUTED_VALUE"""),"""")</f>
        <v>"</v>
      </c>
      <c r="B2514" s="9" t="s">
        <v>2523</v>
      </c>
      <c r="C2514" s="9" t="str">
        <f>IFERROR(__xludf.DUMMYFUNCTION("""COMPUTED_VALUE"""),""":""")</f>
        <v>":"</v>
      </c>
      <c r="D2514" s="24">
        <v>2.0683924863225377E19</v>
      </c>
      <c r="E2514" s="9" t="str">
        <f>IFERROR(__xludf.DUMMYFUNCTION("""COMPUTED_VALUE"""),""",")</f>
        <v>",</v>
      </c>
    </row>
    <row r="2515">
      <c r="A2515" s="9" t="str">
        <f>IFERROR(__xludf.DUMMYFUNCTION("""COMPUTED_VALUE"""),"""")</f>
        <v>"</v>
      </c>
      <c r="B2515" s="9" t="s">
        <v>2524</v>
      </c>
      <c r="C2515" s="9" t="str">
        <f>IFERROR(__xludf.DUMMYFUNCTION("""COMPUTED_VALUE"""),""":""")</f>
        <v>":"</v>
      </c>
      <c r="D2515" s="24">
        <v>4.1389445011705114E18</v>
      </c>
      <c r="E2515" s="9" t="str">
        <f>IFERROR(__xludf.DUMMYFUNCTION("""COMPUTED_VALUE"""),""",")</f>
        <v>",</v>
      </c>
    </row>
    <row r="2516">
      <c r="A2516" s="9" t="str">
        <f>IFERROR(__xludf.DUMMYFUNCTION("""COMPUTED_VALUE"""),"""")</f>
        <v>"</v>
      </c>
      <c r="B2516" s="9" t="s">
        <v>2525</v>
      </c>
      <c r="C2516" s="9" t="str">
        <f>IFERROR(__xludf.DUMMYFUNCTION("""COMPUTED_VALUE"""),""":""")</f>
        <v>":"</v>
      </c>
      <c r="D2516" s="24">
        <v>5.6565670268587991E18</v>
      </c>
      <c r="E2516" s="9" t="str">
        <f>IFERROR(__xludf.DUMMYFUNCTION("""COMPUTED_VALUE"""),""",")</f>
        <v>",</v>
      </c>
    </row>
    <row r="2517">
      <c r="A2517" s="9" t="str">
        <f>IFERROR(__xludf.DUMMYFUNCTION("""COMPUTED_VALUE"""),"""")</f>
        <v>"</v>
      </c>
      <c r="B2517" s="9" t="s">
        <v>2526</v>
      </c>
      <c r="C2517" s="9" t="str">
        <f>IFERROR(__xludf.DUMMYFUNCTION("""COMPUTED_VALUE"""),""":""")</f>
        <v>":"</v>
      </c>
      <c r="D2517" s="24">
        <v>2.197847992317897E19</v>
      </c>
      <c r="E2517" s="9" t="str">
        <f>IFERROR(__xludf.DUMMYFUNCTION("""COMPUTED_VALUE"""),""",")</f>
        <v>",</v>
      </c>
    </row>
    <row r="2518">
      <c r="A2518" s="9" t="str">
        <f>IFERROR(__xludf.DUMMYFUNCTION("""COMPUTED_VALUE"""),"""")</f>
        <v>"</v>
      </c>
      <c r="B2518" s="9" t="s">
        <v>2527</v>
      </c>
      <c r="C2518" s="9" t="str">
        <f>IFERROR(__xludf.DUMMYFUNCTION("""COMPUTED_VALUE"""),""":""")</f>
        <v>":"</v>
      </c>
      <c r="D2518" s="24">
        <v>6.2005979458241782E18</v>
      </c>
      <c r="E2518" s="9" t="str">
        <f>IFERROR(__xludf.DUMMYFUNCTION("""COMPUTED_VALUE"""),""",")</f>
        <v>",</v>
      </c>
    </row>
    <row r="2519">
      <c r="A2519" s="9" t="str">
        <f>IFERROR(__xludf.DUMMYFUNCTION("""COMPUTED_VALUE"""),"""")</f>
        <v>"</v>
      </c>
      <c r="B2519" s="9" t="s">
        <v>2528</v>
      </c>
      <c r="C2519" s="9" t="str">
        <f>IFERROR(__xludf.DUMMYFUNCTION("""COMPUTED_VALUE"""),""":""")</f>
        <v>":"</v>
      </c>
      <c r="D2519" s="24">
        <v>2.0335368082378404E19</v>
      </c>
      <c r="E2519" s="9" t="str">
        <f>IFERROR(__xludf.DUMMYFUNCTION("""COMPUTED_VALUE"""),""",")</f>
        <v>",</v>
      </c>
    </row>
    <row r="2520">
      <c r="A2520" s="9" t="str">
        <f>IFERROR(__xludf.DUMMYFUNCTION("""COMPUTED_VALUE"""),"""")</f>
        <v>"</v>
      </c>
      <c r="B2520" s="9" t="s">
        <v>2529</v>
      </c>
      <c r="C2520" s="9" t="str">
        <f>IFERROR(__xludf.DUMMYFUNCTION("""COMPUTED_VALUE"""),""":""")</f>
        <v>":"</v>
      </c>
      <c r="D2520" s="24">
        <v>6.2005979458241782E18</v>
      </c>
      <c r="E2520" s="9" t="str">
        <f>IFERROR(__xludf.DUMMYFUNCTION("""COMPUTED_VALUE"""),""",")</f>
        <v>",</v>
      </c>
    </row>
    <row r="2521">
      <c r="A2521" s="9" t="str">
        <f>IFERROR(__xludf.DUMMYFUNCTION("""COMPUTED_VALUE"""),"""")</f>
        <v>"</v>
      </c>
      <c r="B2521" s="9" t="s">
        <v>2530</v>
      </c>
      <c r="C2521" s="9" t="str">
        <f>IFERROR(__xludf.DUMMYFUNCTION("""COMPUTED_VALUE"""),""":""")</f>
        <v>":"</v>
      </c>
      <c r="D2521" s="24">
        <v>2.0248888511809958E19</v>
      </c>
      <c r="E2521" s="9" t="str">
        <f>IFERROR(__xludf.DUMMYFUNCTION("""COMPUTED_VALUE"""),""",")</f>
        <v>",</v>
      </c>
    </row>
    <row r="2522">
      <c r="A2522" s="9" t="str">
        <f>IFERROR(__xludf.DUMMYFUNCTION("""COMPUTED_VALUE"""),"""")</f>
        <v>"</v>
      </c>
      <c r="B2522" s="9" t="s">
        <v>2531</v>
      </c>
      <c r="C2522" s="9" t="str">
        <f>IFERROR(__xludf.DUMMYFUNCTION("""COMPUTED_VALUE"""),""":""")</f>
        <v>":"</v>
      </c>
      <c r="D2522" s="24">
        <v>2.2843275628863468E19</v>
      </c>
      <c r="E2522" s="9" t="str">
        <f>IFERROR(__xludf.DUMMYFUNCTION("""COMPUTED_VALUE"""),""",")</f>
        <v>",</v>
      </c>
    </row>
    <row r="2523">
      <c r="A2523" s="9" t="str">
        <f>IFERROR(__xludf.DUMMYFUNCTION("""COMPUTED_VALUE"""),"""")</f>
        <v>"</v>
      </c>
      <c r="B2523" s="9" t="s">
        <v>2532</v>
      </c>
      <c r="C2523" s="9" t="str">
        <f>IFERROR(__xludf.DUMMYFUNCTION("""COMPUTED_VALUE"""),""":""")</f>
        <v>":"</v>
      </c>
      <c r="D2523" s="24">
        <v>6.2005979458241782E18</v>
      </c>
      <c r="E2523" s="9" t="str">
        <f>IFERROR(__xludf.DUMMYFUNCTION("""COMPUTED_VALUE"""),""",")</f>
        <v>",</v>
      </c>
    </row>
    <row r="2524">
      <c r="A2524" s="9" t="str">
        <f>IFERROR(__xludf.DUMMYFUNCTION("""COMPUTED_VALUE"""),"""")</f>
        <v>"</v>
      </c>
      <c r="B2524" s="9" t="s">
        <v>2533</v>
      </c>
      <c r="C2524" s="9" t="str">
        <f>IFERROR(__xludf.DUMMYFUNCTION("""COMPUTED_VALUE"""),""":""")</f>
        <v>":"</v>
      </c>
      <c r="D2524" s="24">
        <v>6.2005979458241782E18</v>
      </c>
      <c r="E2524" s="9" t="str">
        <f>IFERROR(__xludf.DUMMYFUNCTION("""COMPUTED_VALUE"""),""",")</f>
        <v>",</v>
      </c>
    </row>
    <row r="2525">
      <c r="A2525" s="9" t="str">
        <f>IFERROR(__xludf.DUMMYFUNCTION("""COMPUTED_VALUE"""),"""")</f>
        <v>"</v>
      </c>
      <c r="B2525" s="9" t="s">
        <v>2534</v>
      </c>
      <c r="C2525" s="9" t="str">
        <f>IFERROR(__xludf.DUMMYFUNCTION("""COMPUTED_VALUE"""),""":""")</f>
        <v>":"</v>
      </c>
      <c r="D2525" s="24">
        <v>1.4814856816881689E19</v>
      </c>
      <c r="E2525" s="9" t="str">
        <f>IFERROR(__xludf.DUMMYFUNCTION("""COMPUTED_VALUE"""),""",")</f>
        <v>",</v>
      </c>
    </row>
    <row r="2526">
      <c r="A2526" s="9" t="str">
        <f>IFERROR(__xludf.DUMMYFUNCTION("""COMPUTED_VALUE"""),"""")</f>
        <v>"</v>
      </c>
      <c r="B2526" s="9" t="s">
        <v>2535</v>
      </c>
      <c r="C2526" s="9" t="str">
        <f>IFERROR(__xludf.DUMMYFUNCTION("""COMPUTED_VALUE"""),""":""")</f>
        <v>":"</v>
      </c>
      <c r="D2526" s="24">
        <v>5.7310339183035556E18</v>
      </c>
      <c r="E2526" s="9" t="str">
        <f>IFERROR(__xludf.DUMMYFUNCTION("""COMPUTED_VALUE"""),""",")</f>
        <v>",</v>
      </c>
    </row>
    <row r="2527">
      <c r="A2527" s="9" t="str">
        <f>IFERROR(__xludf.DUMMYFUNCTION("""COMPUTED_VALUE"""),"""")</f>
        <v>"</v>
      </c>
      <c r="B2527" s="9" t="s">
        <v>2536</v>
      </c>
      <c r="C2527" s="9" t="str">
        <f>IFERROR(__xludf.DUMMYFUNCTION("""COMPUTED_VALUE"""),""":""")</f>
        <v>":"</v>
      </c>
      <c r="D2527" s="24">
        <v>8.7455987643644662E18</v>
      </c>
      <c r="E2527" s="9" t="str">
        <f>IFERROR(__xludf.DUMMYFUNCTION("""COMPUTED_VALUE"""),""",")</f>
        <v>",</v>
      </c>
    </row>
    <row r="2528">
      <c r="A2528" s="9" t="str">
        <f>IFERROR(__xludf.DUMMYFUNCTION("""COMPUTED_VALUE"""),"""")</f>
        <v>"</v>
      </c>
      <c r="B2528" s="9" t="s">
        <v>2537</v>
      </c>
      <c r="C2528" s="9" t="str">
        <f>IFERROR(__xludf.DUMMYFUNCTION("""COMPUTED_VALUE"""),""":""")</f>
        <v>":"</v>
      </c>
      <c r="D2528" s="24">
        <v>1.839118701306578E19</v>
      </c>
      <c r="E2528" s="9" t="str">
        <f>IFERROR(__xludf.DUMMYFUNCTION("""COMPUTED_VALUE"""),""",")</f>
        <v>",</v>
      </c>
    </row>
    <row r="2529">
      <c r="A2529" s="9" t="str">
        <f>IFERROR(__xludf.DUMMYFUNCTION("""COMPUTED_VALUE"""),"""")</f>
        <v>"</v>
      </c>
      <c r="B2529" s="9" t="s">
        <v>2538</v>
      </c>
      <c r="C2529" s="9" t="str">
        <f>IFERROR(__xludf.DUMMYFUNCTION("""COMPUTED_VALUE"""),""":""")</f>
        <v>":"</v>
      </c>
      <c r="D2529" s="24">
        <v>6.2005979458241782E18</v>
      </c>
      <c r="E2529" s="9" t="str">
        <f>IFERROR(__xludf.DUMMYFUNCTION("""COMPUTED_VALUE"""),""",")</f>
        <v>",</v>
      </c>
    </row>
    <row r="2530">
      <c r="A2530" s="9" t="str">
        <f>IFERROR(__xludf.DUMMYFUNCTION("""COMPUTED_VALUE"""),"""")</f>
        <v>"</v>
      </c>
      <c r="B2530" s="9" t="s">
        <v>2539</v>
      </c>
      <c r="C2530" s="9" t="str">
        <f>IFERROR(__xludf.DUMMYFUNCTION("""COMPUTED_VALUE"""),""":""")</f>
        <v>":"</v>
      </c>
      <c r="D2530" s="24">
        <v>6.1595353482813338E18</v>
      </c>
      <c r="E2530" s="9" t="str">
        <f>IFERROR(__xludf.DUMMYFUNCTION("""COMPUTED_VALUE"""),""",")</f>
        <v>",</v>
      </c>
    </row>
    <row r="2531">
      <c r="A2531" s="9" t="str">
        <f>IFERROR(__xludf.DUMMYFUNCTION("""COMPUTED_VALUE"""),"""")</f>
        <v>"</v>
      </c>
      <c r="B2531" s="9" t="s">
        <v>2540</v>
      </c>
      <c r="C2531" s="9" t="str">
        <f>IFERROR(__xludf.DUMMYFUNCTION("""COMPUTED_VALUE"""),""":""")</f>
        <v>":"</v>
      </c>
      <c r="D2531" s="24">
        <v>2.2757476752589554E19</v>
      </c>
      <c r="E2531" s="9" t="str">
        <f>IFERROR(__xludf.DUMMYFUNCTION("""COMPUTED_VALUE"""),""",")</f>
        <v>",</v>
      </c>
    </row>
    <row r="2532">
      <c r="A2532" s="9" t="str">
        <f>IFERROR(__xludf.DUMMYFUNCTION("""COMPUTED_VALUE"""),"""")</f>
        <v>"</v>
      </c>
      <c r="B2532" s="9" t="s">
        <v>2541</v>
      </c>
      <c r="C2532" s="9" t="str">
        <f>IFERROR(__xludf.DUMMYFUNCTION("""COMPUTED_VALUE"""),""":""")</f>
        <v>":"</v>
      </c>
      <c r="D2532" s="24">
        <v>2.0248888511809958E19</v>
      </c>
      <c r="E2532" s="9" t="str">
        <f>IFERROR(__xludf.DUMMYFUNCTION("""COMPUTED_VALUE"""),""",")</f>
        <v>",</v>
      </c>
    </row>
    <row r="2533">
      <c r="A2533" s="9" t="str">
        <f>IFERROR(__xludf.DUMMYFUNCTION("""COMPUTED_VALUE"""),"""")</f>
        <v>"</v>
      </c>
      <c r="B2533" s="9" t="s">
        <v>2542</v>
      </c>
      <c r="C2533" s="9" t="str">
        <f>IFERROR(__xludf.DUMMYFUNCTION("""COMPUTED_VALUE"""),""":""")</f>
        <v>":"</v>
      </c>
      <c r="D2533" s="24">
        <v>4.4258162487992668E18</v>
      </c>
      <c r="E2533" s="9" t="str">
        <f>IFERROR(__xludf.DUMMYFUNCTION("""COMPUTED_VALUE"""),""",")</f>
        <v>",</v>
      </c>
    </row>
    <row r="2534">
      <c r="A2534" s="9" t="str">
        <f>IFERROR(__xludf.DUMMYFUNCTION("""COMPUTED_VALUE"""),"""")</f>
        <v>"</v>
      </c>
      <c r="B2534" s="9" t="s">
        <v>2543</v>
      </c>
      <c r="C2534" s="9" t="str">
        <f>IFERROR(__xludf.DUMMYFUNCTION("""COMPUTED_VALUE"""),""":""")</f>
        <v>":"</v>
      </c>
      <c r="D2534" s="24">
        <v>1.6393723836490093E19</v>
      </c>
      <c r="E2534" s="9" t="str">
        <f>IFERROR(__xludf.DUMMYFUNCTION("""COMPUTED_VALUE"""),""",")</f>
        <v>",</v>
      </c>
    </row>
    <row r="2535">
      <c r="A2535" s="9" t="str">
        <f>IFERROR(__xludf.DUMMYFUNCTION("""COMPUTED_VALUE"""),"""")</f>
        <v>"</v>
      </c>
      <c r="B2535" s="9" t="s">
        <v>2544</v>
      </c>
      <c r="C2535" s="9" t="str">
        <f>IFERROR(__xludf.DUMMYFUNCTION("""COMPUTED_VALUE"""),""":""")</f>
        <v>":"</v>
      </c>
      <c r="D2535" s="24">
        <v>4.6216252174572667E18</v>
      </c>
      <c r="E2535" s="9" t="str">
        <f>IFERROR(__xludf.DUMMYFUNCTION("""COMPUTED_VALUE"""),""",")</f>
        <v>",</v>
      </c>
    </row>
    <row r="2536">
      <c r="A2536" s="9" t="str">
        <f>IFERROR(__xludf.DUMMYFUNCTION("""COMPUTED_VALUE"""),"""")</f>
        <v>"</v>
      </c>
      <c r="B2536" s="9" t="s">
        <v>2545</v>
      </c>
      <c r="C2536" s="9" t="str">
        <f>IFERROR(__xludf.DUMMYFUNCTION("""COMPUTED_VALUE"""),""":""")</f>
        <v>":"</v>
      </c>
      <c r="D2536" s="24">
        <v>6.1885852202436127E18</v>
      </c>
      <c r="E2536" s="9" t="str">
        <f>IFERROR(__xludf.DUMMYFUNCTION("""COMPUTED_VALUE"""),""",")</f>
        <v>",</v>
      </c>
    </row>
    <row r="2537">
      <c r="A2537" s="9" t="str">
        <f>IFERROR(__xludf.DUMMYFUNCTION("""COMPUTED_VALUE"""),"""")</f>
        <v>"</v>
      </c>
      <c r="B2537" s="9" t="s">
        <v>2546</v>
      </c>
      <c r="C2537" s="9" t="str">
        <f>IFERROR(__xludf.DUMMYFUNCTION("""COMPUTED_VALUE"""),""":""")</f>
        <v>":"</v>
      </c>
      <c r="D2537" s="24">
        <v>1.0522371455236974E20</v>
      </c>
      <c r="E2537" s="9" t="str">
        <f>IFERROR(__xludf.DUMMYFUNCTION("""COMPUTED_VALUE"""),""",")</f>
        <v>",</v>
      </c>
    </row>
    <row r="2538">
      <c r="A2538" s="9" t="str">
        <f>IFERROR(__xludf.DUMMYFUNCTION("""COMPUTED_VALUE"""),"""")</f>
        <v>"</v>
      </c>
      <c r="B2538" s="9" t="s">
        <v>2547</v>
      </c>
      <c r="C2538" s="9" t="str">
        <f>IFERROR(__xludf.DUMMYFUNCTION("""COMPUTED_VALUE"""),""":""")</f>
        <v>":"</v>
      </c>
      <c r="D2538" s="24">
        <v>2.0248888511809958E19</v>
      </c>
      <c r="E2538" s="9" t="str">
        <f>IFERROR(__xludf.DUMMYFUNCTION("""COMPUTED_VALUE"""),""",")</f>
        <v>",</v>
      </c>
    </row>
    <row r="2539">
      <c r="A2539" s="9" t="str">
        <f>IFERROR(__xludf.DUMMYFUNCTION("""COMPUTED_VALUE"""),"""")</f>
        <v>"</v>
      </c>
      <c r="B2539" s="9" t="s">
        <v>2548</v>
      </c>
      <c r="C2539" s="9" t="str">
        <f>IFERROR(__xludf.DUMMYFUNCTION("""COMPUTED_VALUE"""),""":""")</f>
        <v>":"</v>
      </c>
      <c r="D2539" s="24">
        <v>2.9409919191510001E18</v>
      </c>
      <c r="E2539" s="9" t="str">
        <f>IFERROR(__xludf.DUMMYFUNCTION("""COMPUTED_VALUE"""),""",")</f>
        <v>",</v>
      </c>
    </row>
    <row r="2540">
      <c r="A2540" s="9" t="str">
        <f>IFERROR(__xludf.DUMMYFUNCTION("""COMPUTED_VALUE"""),"""")</f>
        <v>"</v>
      </c>
      <c r="B2540" s="9" t="s">
        <v>2549</v>
      </c>
      <c r="C2540" s="9" t="str">
        <f>IFERROR(__xludf.DUMMYFUNCTION("""COMPUTED_VALUE"""),""":""")</f>
        <v>":"</v>
      </c>
      <c r="D2540" s="24">
        <v>6.2005979458241782E18</v>
      </c>
      <c r="E2540" s="9" t="str">
        <f>IFERROR(__xludf.DUMMYFUNCTION("""COMPUTED_VALUE"""),""",")</f>
        <v>",</v>
      </c>
    </row>
    <row r="2541">
      <c r="A2541" s="9" t="str">
        <f>IFERROR(__xludf.DUMMYFUNCTION("""COMPUTED_VALUE"""),"""")</f>
        <v>"</v>
      </c>
      <c r="B2541" s="9" t="s">
        <v>2550</v>
      </c>
      <c r="C2541" s="9" t="str">
        <f>IFERROR(__xludf.DUMMYFUNCTION("""COMPUTED_VALUE"""),""":""")</f>
        <v>":"</v>
      </c>
      <c r="D2541" s="24">
        <v>5.8704037066920223E18</v>
      </c>
      <c r="E2541" s="9" t="str">
        <f>IFERROR(__xludf.DUMMYFUNCTION("""COMPUTED_VALUE"""),""",")</f>
        <v>",</v>
      </c>
    </row>
    <row r="2542">
      <c r="A2542" s="9" t="str">
        <f>IFERROR(__xludf.DUMMYFUNCTION("""COMPUTED_VALUE"""),"""")</f>
        <v>"</v>
      </c>
      <c r="B2542" s="9" t="s">
        <v>2551</v>
      </c>
      <c r="C2542" s="9" t="str">
        <f>IFERROR(__xludf.DUMMYFUNCTION("""COMPUTED_VALUE"""),""":""")</f>
        <v>":"</v>
      </c>
      <c r="D2542" s="24">
        <v>2.0248888511809958E19</v>
      </c>
      <c r="E2542" s="9" t="str">
        <f>IFERROR(__xludf.DUMMYFUNCTION("""COMPUTED_VALUE"""),""",")</f>
        <v>",</v>
      </c>
    </row>
    <row r="2543">
      <c r="A2543" s="9" t="str">
        <f>IFERROR(__xludf.DUMMYFUNCTION("""COMPUTED_VALUE"""),"""")</f>
        <v>"</v>
      </c>
      <c r="B2543" s="9" t="s">
        <v>2552</v>
      </c>
      <c r="C2543" s="9" t="str">
        <f>IFERROR(__xludf.DUMMYFUNCTION("""COMPUTED_VALUE"""),""":""")</f>
        <v>":"</v>
      </c>
      <c r="D2543" s="24">
        <v>2.0248888511809958E19</v>
      </c>
      <c r="E2543" s="9" t="str">
        <f>IFERROR(__xludf.DUMMYFUNCTION("""COMPUTED_VALUE"""),""",")</f>
        <v>",</v>
      </c>
    </row>
    <row r="2544">
      <c r="A2544" s="9" t="str">
        <f>IFERROR(__xludf.DUMMYFUNCTION("""COMPUTED_VALUE"""),"""")</f>
        <v>"</v>
      </c>
      <c r="B2544" s="9" t="s">
        <v>2553</v>
      </c>
      <c r="C2544" s="9" t="str">
        <f>IFERROR(__xludf.DUMMYFUNCTION("""COMPUTED_VALUE"""),""":""")</f>
        <v>":"</v>
      </c>
      <c r="D2544" s="24">
        <v>5.6765646493080658E18</v>
      </c>
      <c r="E2544" s="9" t="str">
        <f>IFERROR(__xludf.DUMMYFUNCTION("""COMPUTED_VALUE"""),""",")</f>
        <v>",</v>
      </c>
    </row>
    <row r="2545">
      <c r="A2545" s="9" t="str">
        <f>IFERROR(__xludf.DUMMYFUNCTION("""COMPUTED_VALUE"""),"""")</f>
        <v>"</v>
      </c>
      <c r="B2545" s="9" t="s">
        <v>2554</v>
      </c>
      <c r="C2545" s="9" t="str">
        <f>IFERROR(__xludf.DUMMYFUNCTION("""COMPUTED_VALUE"""),""":""")</f>
        <v>":"</v>
      </c>
      <c r="D2545" s="24">
        <v>6.2005979458241782E18</v>
      </c>
      <c r="E2545" s="9" t="str">
        <f>IFERROR(__xludf.DUMMYFUNCTION("""COMPUTED_VALUE"""),""",")</f>
        <v>",</v>
      </c>
    </row>
    <row r="2546">
      <c r="A2546" s="9" t="str">
        <f>IFERROR(__xludf.DUMMYFUNCTION("""COMPUTED_VALUE"""),"""")</f>
        <v>"</v>
      </c>
      <c r="B2546" s="9" t="s">
        <v>2555</v>
      </c>
      <c r="C2546" s="9" t="str">
        <f>IFERROR(__xludf.DUMMYFUNCTION("""COMPUTED_VALUE"""),""":""")</f>
        <v>":"</v>
      </c>
      <c r="D2546" s="24">
        <v>6.2005979458241782E18</v>
      </c>
      <c r="E2546" s="9" t="str">
        <f>IFERROR(__xludf.DUMMYFUNCTION("""COMPUTED_VALUE"""),""",")</f>
        <v>",</v>
      </c>
    </row>
    <row r="2547">
      <c r="A2547" s="9" t="str">
        <f>IFERROR(__xludf.DUMMYFUNCTION("""COMPUTED_VALUE"""),"""")</f>
        <v>"</v>
      </c>
      <c r="B2547" s="9" t="s">
        <v>2556</v>
      </c>
      <c r="C2547" s="9" t="str">
        <f>IFERROR(__xludf.DUMMYFUNCTION("""COMPUTED_VALUE"""),""":""")</f>
        <v>":"</v>
      </c>
      <c r="D2547" s="24">
        <v>2.0248888511809958E19</v>
      </c>
      <c r="E2547" s="9" t="str">
        <f>IFERROR(__xludf.DUMMYFUNCTION("""COMPUTED_VALUE"""),""",")</f>
        <v>",</v>
      </c>
    </row>
    <row r="2548">
      <c r="A2548" s="9" t="str">
        <f>IFERROR(__xludf.DUMMYFUNCTION("""COMPUTED_VALUE"""),"""")</f>
        <v>"</v>
      </c>
      <c r="B2548" s="9" t="s">
        <v>2557</v>
      </c>
      <c r="C2548" s="9" t="str">
        <f>IFERROR(__xludf.DUMMYFUNCTION("""COMPUTED_VALUE"""),""":""")</f>
        <v>":"</v>
      </c>
      <c r="D2548" s="24">
        <v>2.0248888511809958E19</v>
      </c>
      <c r="E2548" s="9" t="str">
        <f>IFERROR(__xludf.DUMMYFUNCTION("""COMPUTED_VALUE"""),""",")</f>
        <v>",</v>
      </c>
    </row>
    <row r="2549">
      <c r="A2549" s="9" t="str">
        <f>IFERROR(__xludf.DUMMYFUNCTION("""COMPUTED_VALUE"""),"""")</f>
        <v>"</v>
      </c>
      <c r="B2549" s="9" t="s">
        <v>2558</v>
      </c>
      <c r="C2549" s="9" t="str">
        <f>IFERROR(__xludf.DUMMYFUNCTION("""COMPUTED_VALUE"""),""":""")</f>
        <v>":"</v>
      </c>
      <c r="D2549" s="24">
        <v>6.2005979458241782E18</v>
      </c>
      <c r="E2549" s="9" t="str">
        <f>IFERROR(__xludf.DUMMYFUNCTION("""COMPUTED_VALUE"""),""",")</f>
        <v>",</v>
      </c>
    </row>
    <row r="2550">
      <c r="A2550" s="9" t="str">
        <f>IFERROR(__xludf.DUMMYFUNCTION("""COMPUTED_VALUE"""),"""")</f>
        <v>"</v>
      </c>
      <c r="B2550" s="9" t="s">
        <v>2559</v>
      </c>
      <c r="C2550" s="9" t="str">
        <f>IFERROR(__xludf.DUMMYFUNCTION("""COMPUTED_VALUE"""),""":""")</f>
        <v>":"</v>
      </c>
      <c r="D2550" s="24">
        <v>2.0880189376959648E19</v>
      </c>
      <c r="E2550" s="9" t="str">
        <f>IFERROR(__xludf.DUMMYFUNCTION("""COMPUTED_VALUE"""),""",")</f>
        <v>",</v>
      </c>
    </row>
    <row r="2551">
      <c r="A2551" s="9" t="str">
        <f>IFERROR(__xludf.DUMMYFUNCTION("""COMPUTED_VALUE"""),"""")</f>
        <v>"</v>
      </c>
      <c r="B2551" s="9" t="s">
        <v>2560</v>
      </c>
      <c r="C2551" s="9" t="str">
        <f>IFERROR(__xludf.DUMMYFUNCTION("""COMPUTED_VALUE"""),""":""")</f>
        <v>":"</v>
      </c>
      <c r="D2551" s="24">
        <v>2.0248888511809958E19</v>
      </c>
      <c r="E2551" s="9" t="str">
        <f>IFERROR(__xludf.DUMMYFUNCTION("""COMPUTED_VALUE"""),""",")</f>
        <v>",</v>
      </c>
    </row>
    <row r="2552">
      <c r="A2552" s="9" t="str">
        <f>IFERROR(__xludf.DUMMYFUNCTION("""COMPUTED_VALUE"""),"""")</f>
        <v>"</v>
      </c>
      <c r="B2552" s="9" t="s">
        <v>2561</v>
      </c>
      <c r="C2552" s="9" t="str">
        <f>IFERROR(__xludf.DUMMYFUNCTION("""COMPUTED_VALUE"""),""":""")</f>
        <v>":"</v>
      </c>
      <c r="D2552" s="24">
        <v>1.33857994803822234E18</v>
      </c>
      <c r="E2552" s="9" t="str">
        <f>IFERROR(__xludf.DUMMYFUNCTION("""COMPUTED_VALUE"""),""",")</f>
        <v>",</v>
      </c>
    </row>
    <row r="2553">
      <c r="A2553" s="9" t="str">
        <f>IFERROR(__xludf.DUMMYFUNCTION("""COMPUTED_VALUE"""),"""")</f>
        <v>"</v>
      </c>
      <c r="B2553" s="9" t="s">
        <v>2562</v>
      </c>
      <c r="C2553" s="9" t="str">
        <f>IFERROR(__xludf.DUMMYFUNCTION("""COMPUTED_VALUE"""),""":""")</f>
        <v>":"</v>
      </c>
      <c r="D2553" s="24">
        <v>6.2005979458241782E18</v>
      </c>
      <c r="E2553" s="9" t="str">
        <f>IFERROR(__xludf.DUMMYFUNCTION("""COMPUTED_VALUE"""),""",")</f>
        <v>",</v>
      </c>
    </row>
    <row r="2554">
      <c r="A2554" s="9" t="str">
        <f>IFERROR(__xludf.DUMMYFUNCTION("""COMPUTED_VALUE"""),"""")</f>
        <v>"</v>
      </c>
      <c r="B2554" s="9" t="s">
        <v>2563</v>
      </c>
      <c r="C2554" s="9" t="str">
        <f>IFERROR(__xludf.DUMMYFUNCTION("""COMPUTED_VALUE"""),""":""")</f>
        <v>":"</v>
      </c>
      <c r="D2554" s="24">
        <v>5.4518799159478221E18</v>
      </c>
      <c r="E2554" s="9" t="str">
        <f>IFERROR(__xludf.DUMMYFUNCTION("""COMPUTED_VALUE"""),""",")</f>
        <v>",</v>
      </c>
    </row>
    <row r="2555">
      <c r="A2555" s="9" t="str">
        <f>IFERROR(__xludf.DUMMYFUNCTION("""COMPUTED_VALUE"""),"""")</f>
        <v>"</v>
      </c>
      <c r="B2555" s="9" t="s">
        <v>2564</v>
      </c>
      <c r="C2555" s="9" t="str">
        <f>IFERROR(__xludf.DUMMYFUNCTION("""COMPUTED_VALUE"""),""":""")</f>
        <v>":"</v>
      </c>
      <c r="D2555" s="24">
        <v>9.458533414057622E18</v>
      </c>
      <c r="E2555" s="9" t="str">
        <f>IFERROR(__xludf.DUMMYFUNCTION("""COMPUTED_VALUE"""),""",")</f>
        <v>",</v>
      </c>
    </row>
    <row r="2556">
      <c r="A2556" s="9" t="str">
        <f>IFERROR(__xludf.DUMMYFUNCTION("""COMPUTED_VALUE"""),"""")</f>
        <v>"</v>
      </c>
      <c r="B2556" s="9" t="s">
        <v>2565</v>
      </c>
      <c r="C2556" s="9" t="str">
        <f>IFERROR(__xludf.DUMMYFUNCTION("""COMPUTED_VALUE"""),""":""")</f>
        <v>":"</v>
      </c>
      <c r="D2556" s="24">
        <v>6.2005979458241782E18</v>
      </c>
      <c r="E2556" s="9" t="str">
        <f>IFERROR(__xludf.DUMMYFUNCTION("""COMPUTED_VALUE"""),""",")</f>
        <v>",</v>
      </c>
    </row>
    <row r="2557">
      <c r="A2557" s="9" t="str">
        <f>IFERROR(__xludf.DUMMYFUNCTION("""COMPUTED_VALUE"""),"""")</f>
        <v>"</v>
      </c>
      <c r="B2557" s="9" t="s">
        <v>2566</v>
      </c>
      <c r="C2557" s="9" t="str">
        <f>IFERROR(__xludf.DUMMYFUNCTION("""COMPUTED_VALUE"""),""":""")</f>
        <v>":"</v>
      </c>
      <c r="D2557" s="24">
        <v>5.3717670199352668E18</v>
      </c>
      <c r="E2557" s="9" t="str">
        <f>IFERROR(__xludf.DUMMYFUNCTION("""COMPUTED_VALUE"""),""",")</f>
        <v>",</v>
      </c>
    </row>
    <row r="2558">
      <c r="A2558" s="9" t="str">
        <f>IFERROR(__xludf.DUMMYFUNCTION("""COMPUTED_VALUE"""),"""")</f>
        <v>"</v>
      </c>
      <c r="B2558" s="9" t="s">
        <v>2567</v>
      </c>
      <c r="C2558" s="9" t="str">
        <f>IFERROR(__xludf.DUMMYFUNCTION("""COMPUTED_VALUE"""),""":""")</f>
        <v>":"</v>
      </c>
      <c r="D2558" s="24">
        <v>6.2005979458241782E18</v>
      </c>
      <c r="E2558" s="9" t="str">
        <f>IFERROR(__xludf.DUMMYFUNCTION("""COMPUTED_VALUE"""),""",")</f>
        <v>",</v>
      </c>
    </row>
    <row r="2559">
      <c r="A2559" s="9" t="str">
        <f>IFERROR(__xludf.DUMMYFUNCTION("""COMPUTED_VALUE"""),"""")</f>
        <v>"</v>
      </c>
      <c r="B2559" s="9" t="s">
        <v>2568</v>
      </c>
      <c r="C2559" s="9" t="str">
        <f>IFERROR(__xludf.DUMMYFUNCTION("""COMPUTED_VALUE"""),""":""")</f>
        <v>":"</v>
      </c>
      <c r="D2559" s="24">
        <v>2.0248888511809958E19</v>
      </c>
      <c r="E2559" s="9" t="str">
        <f>IFERROR(__xludf.DUMMYFUNCTION("""COMPUTED_VALUE"""),""",")</f>
        <v>",</v>
      </c>
    </row>
    <row r="2560">
      <c r="A2560" s="9" t="str">
        <f>IFERROR(__xludf.DUMMYFUNCTION("""COMPUTED_VALUE"""),"""")</f>
        <v>"</v>
      </c>
      <c r="B2560" s="9" t="s">
        <v>2569</v>
      </c>
      <c r="C2560" s="9" t="str">
        <f>IFERROR(__xludf.DUMMYFUNCTION("""COMPUTED_VALUE"""),""":""")</f>
        <v>":"</v>
      </c>
      <c r="D2560" s="24">
        <v>2.9774698208820895E18</v>
      </c>
      <c r="E2560" s="9" t="str">
        <f>IFERROR(__xludf.DUMMYFUNCTION("""COMPUTED_VALUE"""),""",")</f>
        <v>",</v>
      </c>
    </row>
    <row r="2561">
      <c r="A2561" s="9" t="str">
        <f>IFERROR(__xludf.DUMMYFUNCTION("""COMPUTED_VALUE"""),"""")</f>
        <v>"</v>
      </c>
      <c r="B2561" s="9" t="s">
        <v>2570</v>
      </c>
      <c r="C2561" s="9" t="str">
        <f>IFERROR(__xludf.DUMMYFUNCTION("""COMPUTED_VALUE"""),""":""")</f>
        <v>":"</v>
      </c>
      <c r="D2561" s="24">
        <v>1.78198570684480205E18</v>
      </c>
      <c r="E2561" s="9" t="str">
        <f>IFERROR(__xludf.DUMMYFUNCTION("""COMPUTED_VALUE"""),""",")</f>
        <v>",</v>
      </c>
    </row>
    <row r="2562">
      <c r="A2562" s="9" t="str">
        <f>IFERROR(__xludf.DUMMYFUNCTION("""COMPUTED_VALUE"""),"""")</f>
        <v>"</v>
      </c>
      <c r="B2562" s="9" t="s">
        <v>2571</v>
      </c>
      <c r="C2562" s="9" t="str">
        <f>IFERROR(__xludf.DUMMYFUNCTION("""COMPUTED_VALUE"""),""":""")</f>
        <v>":"</v>
      </c>
      <c r="D2562" s="24">
        <v>6.553372620966529E18</v>
      </c>
      <c r="E2562" s="9" t="str">
        <f>IFERROR(__xludf.DUMMYFUNCTION("""COMPUTED_VALUE"""),""",")</f>
        <v>",</v>
      </c>
    </row>
    <row r="2563">
      <c r="A2563" s="9" t="str">
        <f>IFERROR(__xludf.DUMMYFUNCTION("""COMPUTED_VALUE"""),"""")</f>
        <v>"</v>
      </c>
      <c r="B2563" s="9" t="s">
        <v>2572</v>
      </c>
      <c r="C2563" s="9" t="str">
        <f>IFERROR(__xludf.DUMMYFUNCTION("""COMPUTED_VALUE"""),""":""")</f>
        <v>":"</v>
      </c>
      <c r="D2563" s="24">
        <v>5.8927697370774446E18</v>
      </c>
      <c r="E2563" s="9" t="str">
        <f>IFERROR(__xludf.DUMMYFUNCTION("""COMPUTED_VALUE"""),""",")</f>
        <v>",</v>
      </c>
    </row>
    <row r="2564">
      <c r="A2564" s="9" t="str">
        <f>IFERROR(__xludf.DUMMYFUNCTION("""COMPUTED_VALUE"""),"""")</f>
        <v>"</v>
      </c>
      <c r="B2564" s="9" t="s">
        <v>2573</v>
      </c>
      <c r="C2564" s="9" t="str">
        <f>IFERROR(__xludf.DUMMYFUNCTION("""COMPUTED_VALUE"""),""":""")</f>
        <v>":"</v>
      </c>
      <c r="D2564" s="24">
        <v>6.2005979458241782E18</v>
      </c>
      <c r="E2564" s="9" t="str">
        <f>IFERROR(__xludf.DUMMYFUNCTION("""COMPUTED_VALUE"""),""",")</f>
        <v>",</v>
      </c>
    </row>
    <row r="2565">
      <c r="A2565" s="9" t="str">
        <f>IFERROR(__xludf.DUMMYFUNCTION("""COMPUTED_VALUE"""),"""")</f>
        <v>"</v>
      </c>
      <c r="B2565" s="9" t="s">
        <v>2574</v>
      </c>
      <c r="C2565" s="9" t="str">
        <f>IFERROR(__xludf.DUMMYFUNCTION("""COMPUTED_VALUE"""),""":""")</f>
        <v>":"</v>
      </c>
      <c r="D2565" s="24">
        <v>5.4924521099619338E18</v>
      </c>
      <c r="E2565" s="9" t="str">
        <f>IFERROR(__xludf.DUMMYFUNCTION("""COMPUTED_VALUE"""),""",")</f>
        <v>",</v>
      </c>
    </row>
    <row r="2566">
      <c r="A2566" s="9" t="str">
        <f>IFERROR(__xludf.DUMMYFUNCTION("""COMPUTED_VALUE"""),"""")</f>
        <v>"</v>
      </c>
      <c r="B2566" s="9" t="s">
        <v>2575</v>
      </c>
      <c r="C2566" s="9" t="str">
        <f>IFERROR(__xludf.DUMMYFUNCTION("""COMPUTED_VALUE"""),""":""")</f>
        <v>":"</v>
      </c>
      <c r="D2566" s="24">
        <v>1.6876217971834044E19</v>
      </c>
      <c r="E2566" s="9" t="str">
        <f>IFERROR(__xludf.DUMMYFUNCTION("""COMPUTED_VALUE"""),""",")</f>
        <v>",</v>
      </c>
    </row>
    <row r="2567">
      <c r="A2567" s="9" t="str">
        <f>IFERROR(__xludf.DUMMYFUNCTION("""COMPUTED_VALUE"""),"""")</f>
        <v>"</v>
      </c>
      <c r="B2567" s="9" t="s">
        <v>2576</v>
      </c>
      <c r="C2567" s="9" t="str">
        <f>IFERROR(__xludf.DUMMYFUNCTION("""COMPUTED_VALUE"""),""":""")</f>
        <v>":"</v>
      </c>
      <c r="D2567" s="24">
        <v>5.6387660359601777E18</v>
      </c>
      <c r="E2567" s="9" t="str">
        <f>IFERROR(__xludf.DUMMYFUNCTION("""COMPUTED_VALUE"""),""",")</f>
        <v>",</v>
      </c>
    </row>
    <row r="2568">
      <c r="A2568" s="9" t="str">
        <f>IFERROR(__xludf.DUMMYFUNCTION("""COMPUTED_VALUE"""),"""")</f>
        <v>"</v>
      </c>
      <c r="B2568" s="9" t="s">
        <v>2577</v>
      </c>
      <c r="C2568" s="9" t="str">
        <f>IFERROR(__xludf.DUMMYFUNCTION("""COMPUTED_VALUE"""),""":""")</f>
        <v>":"</v>
      </c>
      <c r="D2568" s="24">
        <v>5.9790632778013338E18</v>
      </c>
      <c r="E2568" s="9" t="str">
        <f>IFERROR(__xludf.DUMMYFUNCTION("""COMPUTED_VALUE"""),""",")</f>
        <v>",</v>
      </c>
    </row>
    <row r="2569">
      <c r="A2569" s="9" t="str">
        <f>IFERROR(__xludf.DUMMYFUNCTION("""COMPUTED_VALUE"""),"""")</f>
        <v>"</v>
      </c>
      <c r="B2569" s="9" t="s">
        <v>2578</v>
      </c>
      <c r="C2569" s="9" t="str">
        <f>IFERROR(__xludf.DUMMYFUNCTION("""COMPUTED_VALUE"""),""":""")</f>
        <v>":"</v>
      </c>
      <c r="D2569" s="24">
        <v>5.2406528599690004E18</v>
      </c>
      <c r="E2569" s="9" t="str">
        <f>IFERROR(__xludf.DUMMYFUNCTION("""COMPUTED_VALUE"""),""",")</f>
        <v>",</v>
      </c>
    </row>
    <row r="2570">
      <c r="A2570" s="9" t="str">
        <f>IFERROR(__xludf.DUMMYFUNCTION("""COMPUTED_VALUE"""),"""")</f>
        <v>"</v>
      </c>
      <c r="B2570" s="9" t="s">
        <v>2579</v>
      </c>
      <c r="C2570" s="9" t="str">
        <f>IFERROR(__xludf.DUMMYFUNCTION("""COMPUTED_VALUE"""),""":""")</f>
        <v>":"</v>
      </c>
      <c r="D2570" s="24">
        <v>1.0234163603495131E19</v>
      </c>
      <c r="E2570" s="9" t="str">
        <f>IFERROR(__xludf.DUMMYFUNCTION("""COMPUTED_VALUE"""),""",")</f>
        <v>",</v>
      </c>
    </row>
    <row r="2571">
      <c r="A2571" s="9" t="str">
        <f>IFERROR(__xludf.DUMMYFUNCTION("""COMPUTED_VALUE"""),"""")</f>
        <v>"</v>
      </c>
      <c r="B2571" s="9" t="s">
        <v>2580</v>
      </c>
      <c r="C2571" s="9" t="str">
        <f>IFERROR(__xludf.DUMMYFUNCTION("""COMPUTED_VALUE"""),""":""")</f>
        <v>":"</v>
      </c>
      <c r="D2571" s="24">
        <v>6.099016476735445E18</v>
      </c>
      <c r="E2571" s="9" t="str">
        <f>IFERROR(__xludf.DUMMYFUNCTION("""COMPUTED_VALUE"""),""",")</f>
        <v>",</v>
      </c>
    </row>
    <row r="2572">
      <c r="A2572" s="9" t="str">
        <f>IFERROR(__xludf.DUMMYFUNCTION("""COMPUTED_VALUE"""),"""")</f>
        <v>"</v>
      </c>
      <c r="B2572" s="9" t="s">
        <v>2581</v>
      </c>
      <c r="C2572" s="9" t="str">
        <f>IFERROR(__xludf.DUMMYFUNCTION("""COMPUTED_VALUE"""),""":""")</f>
        <v>":"</v>
      </c>
      <c r="D2572" s="24">
        <v>2.0248888511809958E19</v>
      </c>
      <c r="E2572" s="9" t="str">
        <f>IFERROR(__xludf.DUMMYFUNCTION("""COMPUTED_VALUE"""),""",")</f>
        <v>",</v>
      </c>
    </row>
    <row r="2573">
      <c r="A2573" s="9" t="str">
        <f>IFERROR(__xludf.DUMMYFUNCTION("""COMPUTED_VALUE"""),"""")</f>
        <v>"</v>
      </c>
      <c r="B2573" s="9" t="s">
        <v>2582</v>
      </c>
      <c r="C2573" s="9" t="str">
        <f>IFERROR(__xludf.DUMMYFUNCTION("""COMPUTED_VALUE"""),""":""")</f>
        <v>":"</v>
      </c>
      <c r="D2573" s="24">
        <v>6.2005979458241782E18</v>
      </c>
      <c r="E2573" s="9" t="str">
        <f>IFERROR(__xludf.DUMMYFUNCTION("""COMPUTED_VALUE"""),""",")</f>
        <v>",</v>
      </c>
    </row>
    <row r="2574">
      <c r="A2574" s="9" t="str">
        <f>IFERROR(__xludf.DUMMYFUNCTION("""COMPUTED_VALUE"""),"""")</f>
        <v>"</v>
      </c>
      <c r="B2574" s="9" t="s">
        <v>2583</v>
      </c>
      <c r="C2574" s="9" t="str">
        <f>IFERROR(__xludf.DUMMYFUNCTION("""COMPUTED_VALUE"""),""":""")</f>
        <v>":"</v>
      </c>
      <c r="D2574" s="24">
        <v>5.7496599784158003E18</v>
      </c>
      <c r="E2574" s="9" t="str">
        <f>IFERROR(__xludf.DUMMYFUNCTION("""COMPUTED_VALUE"""),""",")</f>
        <v>",</v>
      </c>
    </row>
    <row r="2575">
      <c r="A2575" s="9" t="str">
        <f>IFERROR(__xludf.DUMMYFUNCTION("""COMPUTED_VALUE"""),"""")</f>
        <v>"</v>
      </c>
      <c r="B2575" s="9" t="s">
        <v>2584</v>
      </c>
      <c r="C2575" s="9" t="str">
        <f>IFERROR(__xludf.DUMMYFUNCTION("""COMPUTED_VALUE"""),""":""")</f>
        <v>":"</v>
      </c>
      <c r="D2575" s="24">
        <v>1.46641484482211763E18</v>
      </c>
      <c r="E2575" s="9" t="str">
        <f>IFERROR(__xludf.DUMMYFUNCTION("""COMPUTED_VALUE"""),""",")</f>
        <v>",</v>
      </c>
    </row>
    <row r="2576">
      <c r="A2576" s="9" t="str">
        <f>IFERROR(__xludf.DUMMYFUNCTION("""COMPUTED_VALUE"""),"""")</f>
        <v>"</v>
      </c>
      <c r="B2576" s="9" t="s">
        <v>2585</v>
      </c>
      <c r="C2576" s="9" t="str">
        <f>IFERROR(__xludf.DUMMYFUNCTION("""COMPUTED_VALUE"""),""":""")</f>
        <v>":"</v>
      </c>
      <c r="D2576" s="24">
        <v>2.0248888511809958E19</v>
      </c>
      <c r="E2576" s="9" t="str">
        <f>IFERROR(__xludf.DUMMYFUNCTION("""COMPUTED_VALUE"""),""",")</f>
        <v>",</v>
      </c>
    </row>
    <row r="2577">
      <c r="A2577" s="9" t="str">
        <f>IFERROR(__xludf.DUMMYFUNCTION("""COMPUTED_VALUE"""),"""")</f>
        <v>"</v>
      </c>
      <c r="B2577" s="9" t="s">
        <v>2586</v>
      </c>
      <c r="C2577" s="9" t="str">
        <f>IFERROR(__xludf.DUMMYFUNCTION("""COMPUTED_VALUE"""),""":""")</f>
        <v>":"</v>
      </c>
      <c r="D2577" s="24">
        <v>2.0248888511809958E19</v>
      </c>
      <c r="E2577" s="9" t="str">
        <f>IFERROR(__xludf.DUMMYFUNCTION("""COMPUTED_VALUE"""),""",")</f>
        <v>",</v>
      </c>
    </row>
    <row r="2578">
      <c r="A2578" s="9" t="str">
        <f>IFERROR(__xludf.DUMMYFUNCTION("""COMPUTED_VALUE"""),"""")</f>
        <v>"</v>
      </c>
      <c r="B2578" s="9" t="s">
        <v>2587</v>
      </c>
      <c r="C2578" s="9" t="str">
        <f>IFERROR(__xludf.DUMMYFUNCTION("""COMPUTED_VALUE"""),""":""")</f>
        <v>":"</v>
      </c>
      <c r="D2578" s="24">
        <v>6.2005979458241782E18</v>
      </c>
      <c r="E2578" s="9" t="str">
        <f>IFERROR(__xludf.DUMMYFUNCTION("""COMPUTED_VALUE"""),""",")</f>
        <v>",</v>
      </c>
    </row>
    <row r="2579">
      <c r="A2579" s="9" t="str">
        <f>IFERROR(__xludf.DUMMYFUNCTION("""COMPUTED_VALUE"""),"""")</f>
        <v>"</v>
      </c>
      <c r="B2579" s="9" t="s">
        <v>2588</v>
      </c>
      <c r="C2579" s="9" t="str">
        <f>IFERROR(__xludf.DUMMYFUNCTION("""COMPUTED_VALUE"""),""":""")</f>
        <v>":"</v>
      </c>
      <c r="D2579" s="24">
        <v>7.885730268044396E19</v>
      </c>
      <c r="E2579" s="9" t="str">
        <f>IFERROR(__xludf.DUMMYFUNCTION("""COMPUTED_VALUE"""),""",")</f>
        <v>",</v>
      </c>
    </row>
    <row r="2580">
      <c r="A2580" s="9" t="str">
        <f>IFERROR(__xludf.DUMMYFUNCTION("""COMPUTED_VALUE"""),"""")</f>
        <v>"</v>
      </c>
      <c r="B2580" s="9" t="s">
        <v>2589</v>
      </c>
      <c r="C2580" s="9" t="str">
        <f>IFERROR(__xludf.DUMMYFUNCTION("""COMPUTED_VALUE"""),""":""")</f>
        <v>":"</v>
      </c>
      <c r="D2580" s="24">
        <v>5.4578566087875113E18</v>
      </c>
      <c r="E2580" s="9" t="str">
        <f>IFERROR(__xludf.DUMMYFUNCTION("""COMPUTED_VALUE"""),""",")</f>
        <v>",</v>
      </c>
    </row>
    <row r="2581">
      <c r="A2581" s="9" t="str">
        <f>IFERROR(__xludf.DUMMYFUNCTION("""COMPUTED_VALUE"""),"""")</f>
        <v>"</v>
      </c>
      <c r="B2581" s="9" t="s">
        <v>2590</v>
      </c>
      <c r="C2581" s="9" t="str">
        <f>IFERROR(__xludf.DUMMYFUNCTION("""COMPUTED_VALUE"""),""":""")</f>
        <v>":"</v>
      </c>
      <c r="D2581" s="24">
        <v>2.0248888511809958E19</v>
      </c>
      <c r="E2581" s="9" t="str">
        <f>IFERROR(__xludf.DUMMYFUNCTION("""COMPUTED_VALUE"""),""",")</f>
        <v>",</v>
      </c>
    </row>
    <row r="2582">
      <c r="A2582" s="9" t="str">
        <f>IFERROR(__xludf.DUMMYFUNCTION("""COMPUTED_VALUE"""),"""")</f>
        <v>"</v>
      </c>
      <c r="B2582" s="9" t="s">
        <v>2591</v>
      </c>
      <c r="C2582" s="9" t="str">
        <f>IFERROR(__xludf.DUMMYFUNCTION("""COMPUTED_VALUE"""),""":""")</f>
        <v>":"</v>
      </c>
      <c r="D2582" s="24">
        <v>6.0284535838120223E18</v>
      </c>
      <c r="E2582" s="9" t="str">
        <f>IFERROR(__xludf.DUMMYFUNCTION("""COMPUTED_VALUE"""),""",")</f>
        <v>",</v>
      </c>
    </row>
    <row r="2583">
      <c r="A2583" s="9" t="str">
        <f>IFERROR(__xludf.DUMMYFUNCTION("""COMPUTED_VALUE"""),"""")</f>
        <v>"</v>
      </c>
      <c r="B2583" s="9" t="s">
        <v>2592</v>
      </c>
      <c r="C2583" s="9" t="str">
        <f>IFERROR(__xludf.DUMMYFUNCTION("""COMPUTED_VALUE"""),""":""")</f>
        <v>":"</v>
      </c>
      <c r="D2583" s="24">
        <v>5.900094369410089E18</v>
      </c>
      <c r="E2583" s="9" t="str">
        <f>IFERROR(__xludf.DUMMYFUNCTION("""COMPUTED_VALUE"""),""",")</f>
        <v>",</v>
      </c>
    </row>
    <row r="2584">
      <c r="A2584" s="9" t="str">
        <f>IFERROR(__xludf.DUMMYFUNCTION("""COMPUTED_VALUE"""),"""")</f>
        <v>"</v>
      </c>
      <c r="B2584" s="9" t="s">
        <v>2593</v>
      </c>
      <c r="C2584" s="9" t="str">
        <f>IFERROR(__xludf.DUMMYFUNCTION("""COMPUTED_VALUE"""),""":""")</f>
        <v>":"</v>
      </c>
      <c r="D2584" s="24">
        <v>6.2005979458241782E18</v>
      </c>
      <c r="E2584" s="9" t="str">
        <f>IFERROR(__xludf.DUMMYFUNCTION("""COMPUTED_VALUE"""),""",")</f>
        <v>",</v>
      </c>
    </row>
    <row r="2585">
      <c r="A2585" s="9" t="str">
        <f>IFERROR(__xludf.DUMMYFUNCTION("""COMPUTED_VALUE"""),"""")</f>
        <v>"</v>
      </c>
      <c r="B2585" s="9" t="s">
        <v>2594</v>
      </c>
      <c r="C2585" s="9" t="str">
        <f>IFERROR(__xludf.DUMMYFUNCTION("""COMPUTED_VALUE"""),""":""")</f>
        <v>":"</v>
      </c>
      <c r="D2585" s="24">
        <v>6.2005979458241782E18</v>
      </c>
      <c r="E2585" s="9" t="str">
        <f>IFERROR(__xludf.DUMMYFUNCTION("""COMPUTED_VALUE"""),""",")</f>
        <v>",</v>
      </c>
    </row>
    <row r="2586">
      <c r="A2586" s="9" t="str">
        <f>IFERROR(__xludf.DUMMYFUNCTION("""COMPUTED_VALUE"""),"""")</f>
        <v>"</v>
      </c>
      <c r="B2586" s="9" t="s">
        <v>2595</v>
      </c>
      <c r="C2586" s="9" t="str">
        <f>IFERROR(__xludf.DUMMYFUNCTION("""COMPUTED_VALUE"""),""":""")</f>
        <v>":"</v>
      </c>
      <c r="D2586" s="24">
        <v>4.9171680294748672E18</v>
      </c>
      <c r="E2586" s="9" t="str">
        <f>IFERROR(__xludf.DUMMYFUNCTION("""COMPUTED_VALUE"""),""",")</f>
        <v>",</v>
      </c>
    </row>
    <row r="2587">
      <c r="A2587" s="9" t="str">
        <f>IFERROR(__xludf.DUMMYFUNCTION("""COMPUTED_VALUE"""),"""")</f>
        <v>"</v>
      </c>
      <c r="B2587" s="9" t="s">
        <v>2596</v>
      </c>
      <c r="C2587" s="9" t="str">
        <f>IFERROR(__xludf.DUMMYFUNCTION("""COMPUTED_VALUE"""),""":""")</f>
        <v>":"</v>
      </c>
      <c r="D2587" s="24">
        <v>5.9398707399660001E18</v>
      </c>
      <c r="E2587" s="9" t="str">
        <f>IFERROR(__xludf.DUMMYFUNCTION("""COMPUTED_VALUE"""),""",")</f>
        <v>",</v>
      </c>
    </row>
    <row r="2588">
      <c r="A2588" s="9" t="str">
        <f>IFERROR(__xludf.DUMMYFUNCTION("""COMPUTED_VALUE"""),"""")</f>
        <v>"</v>
      </c>
      <c r="B2588" s="9" t="s">
        <v>2597</v>
      </c>
      <c r="C2588" s="9" t="str">
        <f>IFERROR(__xludf.DUMMYFUNCTION("""COMPUTED_VALUE"""),""":""")</f>
        <v>":"</v>
      </c>
      <c r="D2588" s="24">
        <v>6.2005979458241782E18</v>
      </c>
      <c r="E2588" s="9" t="str">
        <f>IFERROR(__xludf.DUMMYFUNCTION("""COMPUTED_VALUE"""),""",")</f>
        <v>",</v>
      </c>
    </row>
    <row r="2589">
      <c r="A2589" s="9" t="str">
        <f>IFERROR(__xludf.DUMMYFUNCTION("""COMPUTED_VALUE"""),"""")</f>
        <v>"</v>
      </c>
      <c r="B2589" s="9" t="s">
        <v>2598</v>
      </c>
      <c r="C2589" s="9" t="str">
        <f>IFERROR(__xludf.DUMMYFUNCTION("""COMPUTED_VALUE"""),""":""")</f>
        <v>":"</v>
      </c>
      <c r="D2589" s="24">
        <v>2.0248888511809958E19</v>
      </c>
      <c r="E2589" s="9" t="str">
        <f>IFERROR(__xludf.DUMMYFUNCTION("""COMPUTED_VALUE"""),""",")</f>
        <v>",</v>
      </c>
    </row>
    <row r="2590">
      <c r="A2590" s="9" t="str">
        <f>IFERROR(__xludf.DUMMYFUNCTION("""COMPUTED_VALUE"""),"""")</f>
        <v>"</v>
      </c>
      <c r="B2590" s="9" t="s">
        <v>2599</v>
      </c>
      <c r="C2590" s="9" t="str">
        <f>IFERROR(__xludf.DUMMYFUNCTION("""COMPUTED_VALUE"""),""":""")</f>
        <v>":"</v>
      </c>
      <c r="D2590" s="24">
        <v>6.2005979458241782E18</v>
      </c>
      <c r="E2590" s="9" t="str">
        <f>IFERROR(__xludf.DUMMYFUNCTION("""COMPUTED_VALUE"""),""",")</f>
        <v>",</v>
      </c>
    </row>
    <row r="2591">
      <c r="A2591" s="9" t="str">
        <f>IFERROR(__xludf.DUMMYFUNCTION("""COMPUTED_VALUE"""),"""")</f>
        <v>"</v>
      </c>
      <c r="B2591" s="9" t="s">
        <v>2600</v>
      </c>
      <c r="C2591" s="9" t="str">
        <f>IFERROR(__xludf.DUMMYFUNCTION("""COMPUTED_VALUE"""),""":""")</f>
        <v>":"</v>
      </c>
      <c r="D2591" s="24">
        <v>6.2005979458241782E18</v>
      </c>
      <c r="E2591" s="9" t="str">
        <f>IFERROR(__xludf.DUMMYFUNCTION("""COMPUTED_VALUE"""),""",")</f>
        <v>",</v>
      </c>
    </row>
    <row r="2592">
      <c r="A2592" s="9" t="str">
        <f>IFERROR(__xludf.DUMMYFUNCTION("""COMPUTED_VALUE"""),"""")</f>
        <v>"</v>
      </c>
      <c r="B2592" s="9" t="s">
        <v>2601</v>
      </c>
      <c r="C2592" s="9" t="str">
        <f>IFERROR(__xludf.DUMMYFUNCTION("""COMPUTED_VALUE"""),""":""")</f>
        <v>":"</v>
      </c>
      <c r="D2592" s="24">
        <v>6.2005979458241782E18</v>
      </c>
      <c r="E2592" s="9" t="str">
        <f>IFERROR(__xludf.DUMMYFUNCTION("""COMPUTED_VALUE"""),""",")</f>
        <v>",</v>
      </c>
    </row>
    <row r="2593">
      <c r="A2593" s="9" t="str">
        <f>IFERROR(__xludf.DUMMYFUNCTION("""COMPUTED_VALUE"""),"""")</f>
        <v>"</v>
      </c>
      <c r="B2593" s="9" t="s">
        <v>2602</v>
      </c>
      <c r="C2593" s="9" t="str">
        <f>IFERROR(__xludf.DUMMYFUNCTION("""COMPUTED_VALUE"""),""":""")</f>
        <v>":"</v>
      </c>
      <c r="D2593" s="24">
        <v>6.2005979458241782E18</v>
      </c>
      <c r="E2593" s="9" t="str">
        <f>IFERROR(__xludf.DUMMYFUNCTION("""COMPUTED_VALUE"""),""",")</f>
        <v>",</v>
      </c>
    </row>
    <row r="2594">
      <c r="A2594" s="9" t="str">
        <f>IFERROR(__xludf.DUMMYFUNCTION("""COMPUTED_VALUE"""),"""")</f>
        <v>"</v>
      </c>
      <c r="B2594" s="9" t="s">
        <v>2603</v>
      </c>
      <c r="C2594" s="9" t="str">
        <f>IFERROR(__xludf.DUMMYFUNCTION("""COMPUTED_VALUE"""),""":""")</f>
        <v>":"</v>
      </c>
      <c r="D2594" s="24">
        <v>6.0566094590329774E18</v>
      </c>
      <c r="E2594" s="9" t="str">
        <f>IFERROR(__xludf.DUMMYFUNCTION("""COMPUTED_VALUE"""),""",")</f>
        <v>",</v>
      </c>
    </row>
    <row r="2595">
      <c r="A2595" s="9" t="str">
        <f>IFERROR(__xludf.DUMMYFUNCTION("""COMPUTED_VALUE"""),"""")</f>
        <v>"</v>
      </c>
      <c r="B2595" s="9" t="s">
        <v>2604</v>
      </c>
      <c r="C2595" s="9" t="str">
        <f>IFERROR(__xludf.DUMMYFUNCTION("""COMPUTED_VALUE"""),""":""")</f>
        <v>":"</v>
      </c>
      <c r="D2595" s="24">
        <v>2.0248888511809958E19</v>
      </c>
      <c r="E2595" s="9" t="str">
        <f>IFERROR(__xludf.DUMMYFUNCTION("""COMPUTED_VALUE"""),""",")</f>
        <v>",</v>
      </c>
    </row>
    <row r="2596">
      <c r="A2596" s="9" t="str">
        <f>IFERROR(__xludf.DUMMYFUNCTION("""COMPUTED_VALUE"""),"""")</f>
        <v>"</v>
      </c>
      <c r="B2596" s="9" t="s">
        <v>2605</v>
      </c>
      <c r="C2596" s="9" t="str">
        <f>IFERROR(__xludf.DUMMYFUNCTION("""COMPUTED_VALUE"""),""":""")</f>
        <v>":"</v>
      </c>
      <c r="D2596" s="24">
        <v>9.432868283451468E15</v>
      </c>
      <c r="E2596" s="9" t="str">
        <f>IFERROR(__xludf.DUMMYFUNCTION("""COMPUTED_VALUE"""),""",")</f>
        <v>",</v>
      </c>
    </row>
    <row r="2597">
      <c r="A2597" s="9" t="str">
        <f>IFERROR(__xludf.DUMMYFUNCTION("""COMPUTED_VALUE"""),"""")</f>
        <v>"</v>
      </c>
      <c r="B2597" s="9" t="s">
        <v>2606</v>
      </c>
      <c r="C2597" s="9" t="str">
        <f>IFERROR(__xludf.DUMMYFUNCTION("""COMPUTED_VALUE"""),""":""")</f>
        <v>":"</v>
      </c>
      <c r="D2597" s="24">
        <v>6.2005979458241782E18</v>
      </c>
      <c r="E2597" s="9" t="str">
        <f>IFERROR(__xludf.DUMMYFUNCTION("""COMPUTED_VALUE"""),""",")</f>
        <v>",</v>
      </c>
    </row>
    <row r="2598">
      <c r="A2598" s="9" t="str">
        <f>IFERROR(__xludf.DUMMYFUNCTION("""COMPUTED_VALUE"""),"""")</f>
        <v>"</v>
      </c>
      <c r="B2598" s="9" t="s">
        <v>2607</v>
      </c>
      <c r="C2598" s="9" t="str">
        <f>IFERROR(__xludf.DUMMYFUNCTION("""COMPUTED_VALUE"""),""":""")</f>
        <v>":"</v>
      </c>
      <c r="D2598" s="24">
        <v>2.0248888511809958E19</v>
      </c>
      <c r="E2598" s="9" t="str">
        <f>IFERROR(__xludf.DUMMYFUNCTION("""COMPUTED_VALUE"""),""",")</f>
        <v>",</v>
      </c>
    </row>
    <row r="2599">
      <c r="A2599" s="9" t="str">
        <f>IFERROR(__xludf.DUMMYFUNCTION("""COMPUTED_VALUE"""),"""")</f>
        <v>"</v>
      </c>
      <c r="B2599" s="9" t="s">
        <v>2608</v>
      </c>
      <c r="C2599" s="9" t="str">
        <f>IFERROR(__xludf.DUMMYFUNCTION("""COMPUTED_VALUE"""),""":""")</f>
        <v>":"</v>
      </c>
      <c r="D2599" s="24">
        <v>2.0248888511809958E19</v>
      </c>
      <c r="E2599" s="9" t="str">
        <f>IFERROR(__xludf.DUMMYFUNCTION("""COMPUTED_VALUE"""),""",")</f>
        <v>",</v>
      </c>
    </row>
    <row r="2600">
      <c r="A2600" s="9" t="str">
        <f>IFERROR(__xludf.DUMMYFUNCTION("""COMPUTED_VALUE"""),"""")</f>
        <v>"</v>
      </c>
      <c r="B2600" s="9" t="s">
        <v>2609</v>
      </c>
      <c r="C2600" s="9" t="str">
        <f>IFERROR(__xludf.DUMMYFUNCTION("""COMPUTED_VALUE"""),""":""")</f>
        <v>":"</v>
      </c>
      <c r="D2600" s="24">
        <v>1.1059730883318343E21</v>
      </c>
      <c r="E2600" s="9" t="str">
        <f>IFERROR(__xludf.DUMMYFUNCTION("""COMPUTED_VALUE"""),""",")</f>
        <v>",</v>
      </c>
    </row>
    <row r="2601">
      <c r="A2601" s="9" t="str">
        <f>IFERROR(__xludf.DUMMYFUNCTION("""COMPUTED_VALUE"""),"""")</f>
        <v>"</v>
      </c>
      <c r="B2601" s="9" t="s">
        <v>2610</v>
      </c>
      <c r="C2601" s="9" t="str">
        <f>IFERROR(__xludf.DUMMYFUNCTION("""COMPUTED_VALUE"""),""":""")</f>
        <v>":"</v>
      </c>
      <c r="D2601" s="24">
        <v>6.2005979458241782E18</v>
      </c>
      <c r="E2601" s="9" t="str">
        <f>IFERROR(__xludf.DUMMYFUNCTION("""COMPUTED_VALUE"""),""",")</f>
        <v>",</v>
      </c>
    </row>
    <row r="2602">
      <c r="A2602" s="9" t="str">
        <f>IFERROR(__xludf.DUMMYFUNCTION("""COMPUTED_VALUE"""),"""")</f>
        <v>"</v>
      </c>
      <c r="B2602" s="9" t="s">
        <v>2611</v>
      </c>
      <c r="C2602" s="9" t="str">
        <f>IFERROR(__xludf.DUMMYFUNCTION("""COMPUTED_VALUE"""),""":""")</f>
        <v>":"</v>
      </c>
      <c r="D2602" s="24">
        <v>5.5972939669739325E18</v>
      </c>
      <c r="E2602" s="9" t="str">
        <f>IFERROR(__xludf.DUMMYFUNCTION("""COMPUTED_VALUE"""),""",")</f>
        <v>",</v>
      </c>
    </row>
    <row r="2603">
      <c r="A2603" s="9" t="str">
        <f>IFERROR(__xludf.DUMMYFUNCTION("""COMPUTED_VALUE"""),"""")</f>
        <v>"</v>
      </c>
      <c r="B2603" s="9" t="s">
        <v>2612</v>
      </c>
      <c r="C2603" s="9" t="str">
        <f>IFERROR(__xludf.DUMMYFUNCTION("""COMPUTED_VALUE"""),""":""")</f>
        <v>":"</v>
      </c>
      <c r="D2603" s="24">
        <v>2.0248888511809958E19</v>
      </c>
      <c r="E2603" s="9" t="str">
        <f>IFERROR(__xludf.DUMMYFUNCTION("""COMPUTED_VALUE"""),""",")</f>
        <v>",</v>
      </c>
    </row>
    <row r="2604">
      <c r="A2604" s="9" t="str">
        <f>IFERROR(__xludf.DUMMYFUNCTION("""COMPUTED_VALUE"""),"""")</f>
        <v>"</v>
      </c>
      <c r="B2604" s="9" t="s">
        <v>2613</v>
      </c>
      <c r="C2604" s="9" t="str">
        <f>IFERROR(__xludf.DUMMYFUNCTION("""COMPUTED_VALUE"""),""":""")</f>
        <v>":"</v>
      </c>
      <c r="D2604" s="24">
        <v>6.2005979458241782E18</v>
      </c>
      <c r="E2604" s="9" t="str">
        <f>IFERROR(__xludf.DUMMYFUNCTION("""COMPUTED_VALUE"""),""",")</f>
        <v>",</v>
      </c>
    </row>
    <row r="2605">
      <c r="A2605" s="9" t="str">
        <f>IFERROR(__xludf.DUMMYFUNCTION("""COMPUTED_VALUE"""),"""")</f>
        <v>"</v>
      </c>
      <c r="B2605" s="9" t="s">
        <v>2614</v>
      </c>
      <c r="C2605" s="9" t="str">
        <f>IFERROR(__xludf.DUMMYFUNCTION("""COMPUTED_VALUE"""),""":""")</f>
        <v>":"</v>
      </c>
      <c r="D2605" s="24">
        <v>1.6229602969962128E17</v>
      </c>
      <c r="E2605" s="9" t="str">
        <f>IFERROR(__xludf.DUMMYFUNCTION("""COMPUTED_VALUE"""),""",")</f>
        <v>",</v>
      </c>
    </row>
    <row r="2606">
      <c r="A2606" s="9" t="str">
        <f>IFERROR(__xludf.DUMMYFUNCTION("""COMPUTED_VALUE"""),"""")</f>
        <v>"</v>
      </c>
      <c r="B2606" s="9" t="s">
        <v>2615</v>
      </c>
      <c r="C2606" s="9" t="str">
        <f>IFERROR(__xludf.DUMMYFUNCTION("""COMPUTED_VALUE"""),""":""")</f>
        <v>":"</v>
      </c>
      <c r="D2606" s="24">
        <v>3.759542133329651E20</v>
      </c>
      <c r="E2606" s="9" t="str">
        <f>IFERROR(__xludf.DUMMYFUNCTION("""COMPUTED_VALUE"""),""",")</f>
        <v>",</v>
      </c>
    </row>
    <row r="2607">
      <c r="A2607" s="9" t="str">
        <f>IFERROR(__xludf.DUMMYFUNCTION("""COMPUTED_VALUE"""),"""")</f>
        <v>"</v>
      </c>
      <c r="B2607" s="9" t="s">
        <v>2616</v>
      </c>
      <c r="C2607" s="9" t="str">
        <f>IFERROR(__xludf.DUMMYFUNCTION("""COMPUTED_VALUE"""),""":""")</f>
        <v>":"</v>
      </c>
      <c r="D2607" s="24">
        <v>5.8102227980144005E18</v>
      </c>
      <c r="E2607" s="9" t="str">
        <f>IFERROR(__xludf.DUMMYFUNCTION("""COMPUTED_VALUE"""),""",")</f>
        <v>",</v>
      </c>
    </row>
    <row r="2608">
      <c r="A2608" s="9" t="str">
        <f>IFERROR(__xludf.DUMMYFUNCTION("""COMPUTED_VALUE"""),"""")</f>
        <v>"</v>
      </c>
      <c r="B2608" s="9" t="s">
        <v>2617</v>
      </c>
      <c r="C2608" s="9" t="str">
        <f>IFERROR(__xludf.DUMMYFUNCTION("""COMPUTED_VALUE"""),""":""")</f>
        <v>":"</v>
      </c>
      <c r="D2608" s="24">
        <v>6.2005979458241782E18</v>
      </c>
      <c r="E2608" s="9" t="str">
        <f>IFERROR(__xludf.DUMMYFUNCTION("""COMPUTED_VALUE"""),""",")</f>
        <v>",</v>
      </c>
    </row>
    <row r="2609">
      <c r="A2609" s="9" t="str">
        <f>IFERROR(__xludf.DUMMYFUNCTION("""COMPUTED_VALUE"""),"""")</f>
        <v>"</v>
      </c>
      <c r="B2609" s="9" t="s">
        <v>2618</v>
      </c>
      <c r="C2609" s="9" t="str">
        <f>IFERROR(__xludf.DUMMYFUNCTION("""COMPUTED_VALUE"""),""":""")</f>
        <v>":"</v>
      </c>
      <c r="D2609" s="24">
        <v>2.0248888511809958E19</v>
      </c>
      <c r="E2609" s="9" t="str">
        <f>IFERROR(__xludf.DUMMYFUNCTION("""COMPUTED_VALUE"""),""",")</f>
        <v>",</v>
      </c>
    </row>
    <row r="2610">
      <c r="A2610" s="9" t="str">
        <f>IFERROR(__xludf.DUMMYFUNCTION("""COMPUTED_VALUE"""),"""")</f>
        <v>"</v>
      </c>
      <c r="B2610" s="9" t="s">
        <v>2619</v>
      </c>
      <c r="C2610" s="9" t="str">
        <f>IFERROR(__xludf.DUMMYFUNCTION("""COMPUTED_VALUE"""),""":""")</f>
        <v>":"</v>
      </c>
      <c r="D2610" s="24">
        <v>1.1362674670215083E20</v>
      </c>
      <c r="E2610" s="9" t="str">
        <f>IFERROR(__xludf.DUMMYFUNCTION("""COMPUTED_VALUE"""),""",")</f>
        <v>",</v>
      </c>
    </row>
    <row r="2611">
      <c r="A2611" s="9" t="str">
        <f>IFERROR(__xludf.DUMMYFUNCTION("""COMPUTED_VALUE"""),"""")</f>
        <v>"</v>
      </c>
      <c r="B2611" s="9" t="s">
        <v>2620</v>
      </c>
      <c r="C2611" s="9" t="str">
        <f>IFERROR(__xludf.DUMMYFUNCTION("""COMPUTED_VALUE"""),""":""")</f>
        <v>":"</v>
      </c>
      <c r="D2611" s="24">
        <v>1.74392303986128E19</v>
      </c>
      <c r="E2611" s="9" t="str">
        <f>IFERROR(__xludf.DUMMYFUNCTION("""COMPUTED_VALUE"""),""",")</f>
        <v>",</v>
      </c>
    </row>
    <row r="2612">
      <c r="A2612" s="9" t="str">
        <f>IFERROR(__xludf.DUMMYFUNCTION("""COMPUTED_VALUE"""),"""")</f>
        <v>"</v>
      </c>
      <c r="B2612" s="9" t="s">
        <v>2621</v>
      </c>
      <c r="C2612" s="9" t="str">
        <f>IFERROR(__xludf.DUMMYFUNCTION("""COMPUTED_VALUE"""),""":""")</f>
        <v>":"</v>
      </c>
      <c r="D2612" s="24">
        <v>6.2005979458241782E18</v>
      </c>
      <c r="E2612" s="9" t="str">
        <f>IFERROR(__xludf.DUMMYFUNCTION("""COMPUTED_VALUE"""),""",")</f>
        <v>",</v>
      </c>
    </row>
    <row r="2613">
      <c r="A2613" s="9" t="str">
        <f>IFERROR(__xludf.DUMMYFUNCTION("""COMPUTED_VALUE"""),"""")</f>
        <v>"</v>
      </c>
      <c r="B2613" s="9" t="s">
        <v>2622</v>
      </c>
      <c r="C2613" s="9" t="str">
        <f>IFERROR(__xludf.DUMMYFUNCTION("""COMPUTED_VALUE"""),""":""")</f>
        <v>":"</v>
      </c>
      <c r="D2613" s="24">
        <v>2.1546082070336717E19</v>
      </c>
      <c r="E2613" s="9" t="str">
        <f>IFERROR(__xludf.DUMMYFUNCTION("""COMPUTED_VALUE"""),""",")</f>
        <v>",</v>
      </c>
    </row>
    <row r="2614">
      <c r="A2614" s="9" t="str">
        <f>IFERROR(__xludf.DUMMYFUNCTION("""COMPUTED_VALUE"""),"""")</f>
        <v>"</v>
      </c>
      <c r="B2614" s="9" t="s">
        <v>2623</v>
      </c>
      <c r="C2614" s="9" t="str">
        <f>IFERROR(__xludf.DUMMYFUNCTION("""COMPUTED_VALUE"""),""":""")</f>
        <v>":"</v>
      </c>
      <c r="D2614" s="24">
        <v>6.2005979458241782E18</v>
      </c>
      <c r="E2614" s="9" t="str">
        <f>IFERROR(__xludf.DUMMYFUNCTION("""COMPUTED_VALUE"""),""",")</f>
        <v>",</v>
      </c>
    </row>
    <row r="2615">
      <c r="A2615" s="9" t="str">
        <f>IFERROR(__xludf.DUMMYFUNCTION("""COMPUTED_VALUE"""),"""")</f>
        <v>"</v>
      </c>
      <c r="B2615" s="9" t="s">
        <v>2624</v>
      </c>
      <c r="C2615" s="9" t="str">
        <f>IFERROR(__xludf.DUMMYFUNCTION("""COMPUTED_VALUE"""),""":""")</f>
        <v>":"</v>
      </c>
      <c r="D2615" s="24">
        <v>6.2005979458241782E18</v>
      </c>
      <c r="E2615" s="9" t="str">
        <f>IFERROR(__xludf.DUMMYFUNCTION("""COMPUTED_VALUE"""),""",")</f>
        <v>",</v>
      </c>
    </row>
    <row r="2616">
      <c r="A2616" s="9" t="str">
        <f>IFERROR(__xludf.DUMMYFUNCTION("""COMPUTED_VALUE"""),"""")</f>
        <v>"</v>
      </c>
      <c r="B2616" s="9" t="s">
        <v>2625</v>
      </c>
      <c r="C2616" s="9" t="str">
        <f>IFERROR(__xludf.DUMMYFUNCTION("""COMPUTED_VALUE"""),""":""")</f>
        <v>":"</v>
      </c>
      <c r="D2616" s="24">
        <v>4.4790570820865116E18</v>
      </c>
      <c r="E2616" s="9" t="str">
        <f>IFERROR(__xludf.DUMMYFUNCTION("""COMPUTED_VALUE"""),""",")</f>
        <v>",</v>
      </c>
    </row>
    <row r="2617">
      <c r="A2617" s="9" t="str">
        <f>IFERROR(__xludf.DUMMYFUNCTION("""COMPUTED_VALUE"""),"""")</f>
        <v>"</v>
      </c>
      <c r="B2617" s="9" t="s">
        <v>2626</v>
      </c>
      <c r="C2617" s="9" t="str">
        <f>IFERROR(__xludf.DUMMYFUNCTION("""COMPUTED_VALUE"""),""":""")</f>
        <v>":"</v>
      </c>
      <c r="D2617" s="24">
        <v>2.0248888511809958E19</v>
      </c>
      <c r="E2617" s="9" t="str">
        <f>IFERROR(__xludf.DUMMYFUNCTION("""COMPUTED_VALUE"""),""",")</f>
        <v>",</v>
      </c>
    </row>
    <row r="2618">
      <c r="A2618" s="9" t="str">
        <f>IFERROR(__xludf.DUMMYFUNCTION("""COMPUTED_VALUE"""),"""")</f>
        <v>"</v>
      </c>
      <c r="B2618" s="9" t="s">
        <v>2627</v>
      </c>
      <c r="C2618" s="9" t="str">
        <f>IFERROR(__xludf.DUMMYFUNCTION("""COMPUTED_VALUE"""),""":""")</f>
        <v>":"</v>
      </c>
      <c r="D2618" s="24">
        <v>7.9083302994480466E18</v>
      </c>
      <c r="E2618" s="9" t="str">
        <f>IFERROR(__xludf.DUMMYFUNCTION("""COMPUTED_VALUE"""),""",")</f>
        <v>",</v>
      </c>
    </row>
    <row r="2619">
      <c r="A2619" s="9" t="str">
        <f>IFERROR(__xludf.DUMMYFUNCTION("""COMPUTED_VALUE"""),"""")</f>
        <v>"</v>
      </c>
      <c r="B2619" s="9" t="s">
        <v>2628</v>
      </c>
      <c r="C2619" s="9" t="str">
        <f>IFERROR(__xludf.DUMMYFUNCTION("""COMPUTED_VALUE"""),""":""")</f>
        <v>":"</v>
      </c>
      <c r="D2619" s="24">
        <v>5.8821295417499116E18</v>
      </c>
      <c r="E2619" s="9" t="str">
        <f>IFERROR(__xludf.DUMMYFUNCTION("""COMPUTED_VALUE"""),""",")</f>
        <v>",</v>
      </c>
    </row>
    <row r="2620">
      <c r="A2620" s="9" t="str">
        <f>IFERROR(__xludf.DUMMYFUNCTION("""COMPUTED_VALUE"""),"""")</f>
        <v>"</v>
      </c>
      <c r="B2620" s="9" t="s">
        <v>2629</v>
      </c>
      <c r="C2620" s="9" t="str">
        <f>IFERROR(__xludf.DUMMYFUNCTION("""COMPUTED_VALUE"""),""":""")</f>
        <v>":"</v>
      </c>
      <c r="D2620" s="24">
        <v>6.2005979458241782E18</v>
      </c>
      <c r="E2620" s="9" t="str">
        <f>IFERROR(__xludf.DUMMYFUNCTION("""COMPUTED_VALUE"""),""",")</f>
        <v>",</v>
      </c>
    </row>
    <row r="2621">
      <c r="A2621" s="9" t="str">
        <f>IFERROR(__xludf.DUMMYFUNCTION("""COMPUTED_VALUE"""),"""")</f>
        <v>"</v>
      </c>
      <c r="B2621" s="9" t="s">
        <v>2630</v>
      </c>
      <c r="C2621" s="9" t="str">
        <f>IFERROR(__xludf.DUMMYFUNCTION("""COMPUTED_VALUE"""),""":""")</f>
        <v>":"</v>
      </c>
      <c r="D2621" s="24">
        <v>2.7276923457168553E20</v>
      </c>
      <c r="E2621" s="9" t="str">
        <f>IFERROR(__xludf.DUMMYFUNCTION("""COMPUTED_VALUE"""),""",")</f>
        <v>",</v>
      </c>
    </row>
    <row r="2622">
      <c r="A2622" s="9" t="str">
        <f>IFERROR(__xludf.DUMMYFUNCTION("""COMPUTED_VALUE"""),"""")</f>
        <v>"</v>
      </c>
      <c r="B2622" s="9" t="s">
        <v>2631</v>
      </c>
      <c r="C2622" s="9" t="str">
        <f>IFERROR(__xludf.DUMMYFUNCTION("""COMPUTED_VALUE"""),""":""")</f>
        <v>":"</v>
      </c>
      <c r="D2622" s="24">
        <v>6.2005979458241782E18</v>
      </c>
      <c r="E2622" s="9" t="str">
        <f>IFERROR(__xludf.DUMMYFUNCTION("""COMPUTED_VALUE"""),""",")</f>
        <v>",</v>
      </c>
    </row>
    <row r="2623">
      <c r="A2623" s="9" t="str">
        <f>IFERROR(__xludf.DUMMYFUNCTION("""COMPUTED_VALUE"""),"""")</f>
        <v>"</v>
      </c>
      <c r="B2623" s="9" t="s">
        <v>2632</v>
      </c>
      <c r="C2623" s="9" t="str">
        <f>IFERROR(__xludf.DUMMYFUNCTION("""COMPUTED_VALUE"""),""":""")</f>
        <v>":"</v>
      </c>
      <c r="D2623" s="24">
        <v>6.2005979458241782E18</v>
      </c>
      <c r="E2623" s="9" t="str">
        <f>IFERROR(__xludf.DUMMYFUNCTION("""COMPUTED_VALUE"""),""",")</f>
        <v>",</v>
      </c>
    </row>
    <row r="2624">
      <c r="A2624" s="9" t="str">
        <f>IFERROR(__xludf.DUMMYFUNCTION("""COMPUTED_VALUE"""),"""")</f>
        <v>"</v>
      </c>
      <c r="B2624" s="9" t="s">
        <v>2633</v>
      </c>
      <c r="C2624" s="9" t="str">
        <f>IFERROR(__xludf.DUMMYFUNCTION("""COMPUTED_VALUE"""),""":""")</f>
        <v>":"</v>
      </c>
      <c r="D2624" s="24">
        <v>2.29920204902412E19</v>
      </c>
      <c r="E2624" s="9" t="str">
        <f>IFERROR(__xludf.DUMMYFUNCTION("""COMPUTED_VALUE"""),""",")</f>
        <v>",</v>
      </c>
    </row>
    <row r="2625">
      <c r="A2625" s="9" t="str">
        <f>IFERROR(__xludf.DUMMYFUNCTION("""COMPUTED_VALUE"""),"""")</f>
        <v>"</v>
      </c>
      <c r="B2625" s="9" t="s">
        <v>2634</v>
      </c>
      <c r="C2625" s="9" t="str">
        <f>IFERROR(__xludf.DUMMYFUNCTION("""COMPUTED_VALUE"""),""":""")</f>
        <v>":"</v>
      </c>
      <c r="D2625" s="24">
        <v>2.0248888511809958E19</v>
      </c>
      <c r="E2625" s="9" t="str">
        <f>IFERROR(__xludf.DUMMYFUNCTION("""COMPUTED_VALUE"""),""",")</f>
        <v>",</v>
      </c>
    </row>
    <row r="2626">
      <c r="A2626" s="9" t="str">
        <f>IFERROR(__xludf.DUMMYFUNCTION("""COMPUTED_VALUE"""),"""")</f>
        <v>"</v>
      </c>
      <c r="B2626" s="9" t="s">
        <v>2635</v>
      </c>
      <c r="C2626" s="9" t="str">
        <f>IFERROR(__xludf.DUMMYFUNCTION("""COMPUTED_VALUE"""),""":""")</f>
        <v>":"</v>
      </c>
      <c r="D2626" s="24">
        <v>1.86635653956621107E18</v>
      </c>
      <c r="E2626" s="9" t="str">
        <f>IFERROR(__xludf.DUMMYFUNCTION("""COMPUTED_VALUE"""),""",")</f>
        <v>",</v>
      </c>
    </row>
    <row r="2627">
      <c r="A2627" s="9" t="str">
        <f>IFERROR(__xludf.DUMMYFUNCTION("""COMPUTED_VALUE"""),"""")</f>
        <v>"</v>
      </c>
      <c r="B2627" s="9" t="s">
        <v>2636</v>
      </c>
      <c r="C2627" s="9" t="str">
        <f>IFERROR(__xludf.DUMMYFUNCTION("""COMPUTED_VALUE"""),""":""")</f>
        <v>":"</v>
      </c>
      <c r="D2627" s="24">
        <v>6.1564209922945782E18</v>
      </c>
      <c r="E2627" s="9" t="str">
        <f>IFERROR(__xludf.DUMMYFUNCTION("""COMPUTED_VALUE"""),""",")</f>
        <v>",</v>
      </c>
    </row>
    <row r="2628">
      <c r="A2628" s="9" t="str">
        <f>IFERROR(__xludf.DUMMYFUNCTION("""COMPUTED_VALUE"""),"""")</f>
        <v>"</v>
      </c>
      <c r="B2628" s="9" t="s">
        <v>2637</v>
      </c>
      <c r="C2628" s="9" t="str">
        <f>IFERROR(__xludf.DUMMYFUNCTION("""COMPUTED_VALUE"""),""":""")</f>
        <v>":"</v>
      </c>
      <c r="D2628" s="24">
        <v>2.2843275628863468E19</v>
      </c>
      <c r="E2628" s="9" t="str">
        <f>IFERROR(__xludf.DUMMYFUNCTION("""COMPUTED_VALUE"""),""",")</f>
        <v>",</v>
      </c>
    </row>
    <row r="2629">
      <c r="A2629" s="9" t="str">
        <f>IFERROR(__xludf.DUMMYFUNCTION("""COMPUTED_VALUE"""),"""")</f>
        <v>"</v>
      </c>
      <c r="B2629" s="9" t="s">
        <v>2638</v>
      </c>
      <c r="C2629" s="9" t="str">
        <f>IFERROR(__xludf.DUMMYFUNCTION("""COMPUTED_VALUE"""),""":""")</f>
        <v>":"</v>
      </c>
      <c r="D2629" s="24">
        <v>2.0248888511809958E19</v>
      </c>
      <c r="E2629" s="9" t="str">
        <f>IFERROR(__xludf.DUMMYFUNCTION("""COMPUTED_VALUE"""),""",")</f>
        <v>",</v>
      </c>
    </row>
    <row r="2630">
      <c r="A2630" s="9" t="str">
        <f>IFERROR(__xludf.DUMMYFUNCTION("""COMPUTED_VALUE"""),"""")</f>
        <v>"</v>
      </c>
      <c r="B2630" s="9" t="s">
        <v>2639</v>
      </c>
      <c r="C2630" s="9" t="str">
        <f>IFERROR(__xludf.DUMMYFUNCTION("""COMPUTED_VALUE"""),""":""")</f>
        <v>":"</v>
      </c>
      <c r="D2630" s="24">
        <v>5.6594070901960448E18</v>
      </c>
      <c r="E2630" s="9" t="str">
        <f>IFERROR(__xludf.DUMMYFUNCTION("""COMPUTED_VALUE"""),""",")</f>
        <v>",</v>
      </c>
    </row>
    <row r="2631">
      <c r="A2631" s="9" t="str">
        <f>IFERROR(__xludf.DUMMYFUNCTION("""COMPUTED_VALUE"""),"""")</f>
        <v>"</v>
      </c>
      <c r="B2631" s="9" t="s">
        <v>2640</v>
      </c>
      <c r="C2631" s="9" t="str">
        <f>IFERROR(__xludf.DUMMYFUNCTION("""COMPUTED_VALUE"""),""":""")</f>
        <v>":"</v>
      </c>
      <c r="D2631" s="24">
        <v>6.2005979458241782E18</v>
      </c>
      <c r="E2631" s="9" t="str">
        <f>IFERROR(__xludf.DUMMYFUNCTION("""COMPUTED_VALUE"""),""",")</f>
        <v>",</v>
      </c>
    </row>
    <row r="2632">
      <c r="A2632" s="9" t="str">
        <f>IFERROR(__xludf.DUMMYFUNCTION("""COMPUTED_VALUE"""),"""")</f>
        <v>"</v>
      </c>
      <c r="B2632" s="9" t="s">
        <v>2641</v>
      </c>
      <c r="C2632" s="9" t="str">
        <f>IFERROR(__xludf.DUMMYFUNCTION("""COMPUTED_VALUE"""),""":""")</f>
        <v>":"</v>
      </c>
      <c r="D2632" s="24">
        <v>1.4966731258999312E19</v>
      </c>
      <c r="E2632" s="9" t="str">
        <f>IFERROR(__xludf.DUMMYFUNCTION("""COMPUTED_VALUE"""),""",")</f>
        <v>",</v>
      </c>
    </row>
    <row r="2633">
      <c r="A2633" s="9" t="str">
        <f>IFERROR(__xludf.DUMMYFUNCTION("""COMPUTED_VALUE"""),"""")</f>
        <v>"</v>
      </c>
      <c r="B2633" s="9" t="s">
        <v>2642</v>
      </c>
      <c r="C2633" s="9" t="str">
        <f>IFERROR(__xludf.DUMMYFUNCTION("""COMPUTED_VALUE"""),""":""")</f>
        <v>":"</v>
      </c>
      <c r="D2633" s="24">
        <v>6.2005979458241782E18</v>
      </c>
      <c r="E2633" s="9" t="str">
        <f>IFERROR(__xludf.DUMMYFUNCTION("""COMPUTED_VALUE"""),""",")</f>
        <v>",</v>
      </c>
    </row>
    <row r="2634">
      <c r="A2634" s="9" t="str">
        <f>IFERROR(__xludf.DUMMYFUNCTION("""COMPUTED_VALUE"""),"""")</f>
        <v>"</v>
      </c>
      <c r="B2634" s="9" t="s">
        <v>2643</v>
      </c>
      <c r="C2634" s="9" t="str">
        <f>IFERROR(__xludf.DUMMYFUNCTION("""COMPUTED_VALUE"""),""":""")</f>
        <v>":"</v>
      </c>
      <c r="D2634" s="24">
        <v>6.2005979458241782E18</v>
      </c>
      <c r="E2634" s="9" t="str">
        <f>IFERROR(__xludf.DUMMYFUNCTION("""COMPUTED_VALUE"""),""",")</f>
        <v>",</v>
      </c>
    </row>
    <row r="2635">
      <c r="A2635" s="9" t="str">
        <f>IFERROR(__xludf.DUMMYFUNCTION("""COMPUTED_VALUE"""),"""")</f>
        <v>"</v>
      </c>
      <c r="B2635" s="9" t="s">
        <v>2644</v>
      </c>
      <c r="C2635" s="9" t="str">
        <f>IFERROR(__xludf.DUMMYFUNCTION("""COMPUTED_VALUE"""),""":""")</f>
        <v>":"</v>
      </c>
      <c r="D2635" s="24">
        <v>6.2005979458241782E18</v>
      </c>
      <c r="E2635" s="9" t="str">
        <f>IFERROR(__xludf.DUMMYFUNCTION("""COMPUTED_VALUE"""),""",")</f>
        <v>",</v>
      </c>
    </row>
    <row r="2636">
      <c r="A2636" s="9" t="str">
        <f>IFERROR(__xludf.DUMMYFUNCTION("""COMPUTED_VALUE"""),"""")</f>
        <v>"</v>
      </c>
      <c r="B2636" s="9" t="s">
        <v>2645</v>
      </c>
      <c r="C2636" s="9" t="str">
        <f>IFERROR(__xludf.DUMMYFUNCTION("""COMPUTED_VALUE"""),""":""")</f>
        <v>":"</v>
      </c>
      <c r="D2636" s="24">
        <v>1.66137904961117773E18</v>
      </c>
      <c r="E2636" s="9" t="str">
        <f>IFERROR(__xludf.DUMMYFUNCTION("""COMPUTED_VALUE"""),""",")</f>
        <v>",</v>
      </c>
    </row>
    <row r="2637">
      <c r="A2637" s="9" t="str">
        <f>IFERROR(__xludf.DUMMYFUNCTION("""COMPUTED_VALUE"""),"""")</f>
        <v>"</v>
      </c>
      <c r="B2637" s="9" t="s">
        <v>2646</v>
      </c>
      <c r="C2637" s="9" t="str">
        <f>IFERROR(__xludf.DUMMYFUNCTION("""COMPUTED_VALUE"""),""":""")</f>
        <v>":"</v>
      </c>
      <c r="D2637" s="24">
        <v>9.1481259203902669E18</v>
      </c>
      <c r="E2637" s="9" t="str">
        <f>IFERROR(__xludf.DUMMYFUNCTION("""COMPUTED_VALUE"""),""",")</f>
        <v>",</v>
      </c>
    </row>
    <row r="2638">
      <c r="A2638" s="9" t="str">
        <f>IFERROR(__xludf.DUMMYFUNCTION("""COMPUTED_VALUE"""),"""")</f>
        <v>"</v>
      </c>
      <c r="B2638" s="9" t="s">
        <v>2647</v>
      </c>
      <c r="C2638" s="9" t="str">
        <f>IFERROR(__xludf.DUMMYFUNCTION("""COMPUTED_VALUE"""),""":""")</f>
        <v>":"</v>
      </c>
      <c r="D2638" s="24">
        <v>6.2005979458241782E18</v>
      </c>
      <c r="E2638" s="9" t="str">
        <f>IFERROR(__xludf.DUMMYFUNCTION("""COMPUTED_VALUE"""),""",")</f>
        <v>",</v>
      </c>
    </row>
    <row r="2639">
      <c r="A2639" s="9" t="str">
        <f>IFERROR(__xludf.DUMMYFUNCTION("""COMPUTED_VALUE"""),"""")</f>
        <v>"</v>
      </c>
      <c r="B2639" s="9" t="s">
        <v>2648</v>
      </c>
      <c r="C2639" s="9" t="str">
        <f>IFERROR(__xludf.DUMMYFUNCTION("""COMPUTED_VALUE"""),""":""")</f>
        <v>":"</v>
      </c>
      <c r="D2639" s="24">
        <v>5.7476816830411551E18</v>
      </c>
      <c r="E2639" s="9" t="str">
        <f>IFERROR(__xludf.DUMMYFUNCTION("""COMPUTED_VALUE"""),""",")</f>
        <v>",</v>
      </c>
    </row>
    <row r="2640">
      <c r="A2640" s="9" t="str">
        <f>IFERROR(__xludf.DUMMYFUNCTION("""COMPUTED_VALUE"""),"""")</f>
        <v>"</v>
      </c>
      <c r="B2640" s="9" t="s">
        <v>2649</v>
      </c>
      <c r="C2640" s="9" t="str">
        <f>IFERROR(__xludf.DUMMYFUNCTION("""COMPUTED_VALUE"""),""":""")</f>
        <v>":"</v>
      </c>
      <c r="D2640" s="24">
        <v>2.0248888511809958E19</v>
      </c>
      <c r="E2640" s="9" t="str">
        <f>IFERROR(__xludf.DUMMYFUNCTION("""COMPUTED_VALUE"""),""",")</f>
        <v>",</v>
      </c>
    </row>
    <row r="2641">
      <c r="A2641" s="9" t="str">
        <f>IFERROR(__xludf.DUMMYFUNCTION("""COMPUTED_VALUE"""),"""")</f>
        <v>"</v>
      </c>
      <c r="B2641" s="9" t="s">
        <v>2650</v>
      </c>
      <c r="C2641" s="9" t="str">
        <f>IFERROR(__xludf.DUMMYFUNCTION("""COMPUTED_VALUE"""),""":""")</f>
        <v>":"</v>
      </c>
      <c r="D2641" s="24">
        <v>5.5468922867425567E18</v>
      </c>
      <c r="E2641" s="9" t="str">
        <f>IFERROR(__xludf.DUMMYFUNCTION("""COMPUTED_VALUE"""),""",")</f>
        <v>",</v>
      </c>
    </row>
    <row r="2642">
      <c r="A2642" s="9" t="str">
        <f>IFERROR(__xludf.DUMMYFUNCTION("""COMPUTED_VALUE"""),"""")</f>
        <v>"</v>
      </c>
      <c r="B2642" s="9" t="s">
        <v>2651</v>
      </c>
      <c r="C2642" s="9" t="str">
        <f>IFERROR(__xludf.DUMMYFUNCTION("""COMPUTED_VALUE"""),""":""")</f>
        <v>":"</v>
      </c>
      <c r="D2642" s="24">
        <v>5.4080464396772004E18</v>
      </c>
      <c r="E2642" s="9" t="str">
        <f>IFERROR(__xludf.DUMMYFUNCTION("""COMPUTED_VALUE"""),""",")</f>
        <v>",</v>
      </c>
    </row>
    <row r="2643">
      <c r="A2643" s="9" t="str">
        <f>IFERROR(__xludf.DUMMYFUNCTION("""COMPUTED_VALUE"""),"""")</f>
        <v>"</v>
      </c>
      <c r="B2643" s="9" t="s">
        <v>2652</v>
      </c>
      <c r="C2643" s="9" t="str">
        <f>IFERROR(__xludf.DUMMYFUNCTION("""COMPUTED_VALUE"""),""":""")</f>
        <v>":"</v>
      </c>
      <c r="D2643" s="24">
        <v>6.2005979458241782E18</v>
      </c>
      <c r="E2643" s="9" t="str">
        <f>IFERROR(__xludf.DUMMYFUNCTION("""COMPUTED_VALUE"""),""",")</f>
        <v>",</v>
      </c>
    </row>
    <row r="2644">
      <c r="A2644" s="9" t="str">
        <f>IFERROR(__xludf.DUMMYFUNCTION("""COMPUTED_VALUE"""),"""")</f>
        <v>"</v>
      </c>
      <c r="B2644" s="9" t="s">
        <v>2653</v>
      </c>
      <c r="C2644" s="9" t="str">
        <f>IFERROR(__xludf.DUMMYFUNCTION("""COMPUTED_VALUE"""),""":""")</f>
        <v>":"</v>
      </c>
      <c r="D2644" s="24">
        <v>2.0248888511809958E19</v>
      </c>
      <c r="E2644" s="9" t="str">
        <f>IFERROR(__xludf.DUMMYFUNCTION("""COMPUTED_VALUE"""),""",")</f>
        <v>",</v>
      </c>
    </row>
    <row r="2645">
      <c r="A2645" s="9" t="str">
        <f>IFERROR(__xludf.DUMMYFUNCTION("""COMPUTED_VALUE"""),"""")</f>
        <v>"</v>
      </c>
      <c r="B2645" s="9" t="s">
        <v>2654</v>
      </c>
      <c r="C2645" s="9" t="str">
        <f>IFERROR(__xludf.DUMMYFUNCTION("""COMPUTED_VALUE"""),""":""")</f>
        <v>":"</v>
      </c>
      <c r="D2645" s="24">
        <v>6.2005979458241782E18</v>
      </c>
      <c r="E2645" s="9" t="str">
        <f>IFERROR(__xludf.DUMMYFUNCTION("""COMPUTED_VALUE"""),""",")</f>
        <v>",</v>
      </c>
    </row>
    <row r="2646">
      <c r="A2646" s="9" t="str">
        <f>IFERROR(__xludf.DUMMYFUNCTION("""COMPUTED_VALUE"""),"""")</f>
        <v>"</v>
      </c>
      <c r="B2646" s="9" t="s">
        <v>2655</v>
      </c>
      <c r="C2646" s="9" t="str">
        <f>IFERROR(__xludf.DUMMYFUNCTION("""COMPUTED_VALUE"""),""":""")</f>
        <v>":"</v>
      </c>
      <c r="D2646" s="24">
        <v>5.2341662518189783E18</v>
      </c>
      <c r="E2646" s="9" t="str">
        <f>IFERROR(__xludf.DUMMYFUNCTION("""COMPUTED_VALUE"""),""",")</f>
        <v>",</v>
      </c>
    </row>
    <row r="2647">
      <c r="A2647" s="9" t="str">
        <f>IFERROR(__xludf.DUMMYFUNCTION("""COMPUTED_VALUE"""),"""")</f>
        <v>"</v>
      </c>
      <c r="B2647" s="9" t="s">
        <v>2656</v>
      </c>
      <c r="C2647" s="9" t="str">
        <f>IFERROR(__xludf.DUMMYFUNCTION("""COMPUTED_VALUE"""),""":""")</f>
        <v>":"</v>
      </c>
      <c r="D2647" s="24">
        <v>5.4221590483250893E18</v>
      </c>
      <c r="E2647" s="9" t="str">
        <f>IFERROR(__xludf.DUMMYFUNCTION("""COMPUTED_VALUE"""),""",")</f>
        <v>",</v>
      </c>
    </row>
    <row r="2648">
      <c r="A2648" s="9" t="str">
        <f>IFERROR(__xludf.DUMMYFUNCTION("""COMPUTED_VALUE"""),"""")</f>
        <v>"</v>
      </c>
      <c r="B2648" s="9" t="s">
        <v>2657</v>
      </c>
      <c r="C2648" s="9" t="str">
        <f>IFERROR(__xludf.DUMMYFUNCTION("""COMPUTED_VALUE"""),""":""")</f>
        <v>":"</v>
      </c>
      <c r="D2648" s="24">
        <v>9.1226423835492229E18</v>
      </c>
      <c r="E2648" s="9" t="str">
        <f>IFERROR(__xludf.DUMMYFUNCTION("""COMPUTED_VALUE"""),""",")</f>
        <v>",</v>
      </c>
    </row>
    <row r="2649">
      <c r="A2649" s="9" t="str">
        <f>IFERROR(__xludf.DUMMYFUNCTION("""COMPUTED_VALUE"""),"""")</f>
        <v>"</v>
      </c>
      <c r="B2649" s="9" t="s">
        <v>2658</v>
      </c>
      <c r="C2649" s="9" t="str">
        <f>IFERROR(__xludf.DUMMYFUNCTION("""COMPUTED_VALUE"""),""":""")</f>
        <v>":"</v>
      </c>
      <c r="D2649" s="24">
        <v>6.2005979458241782E18</v>
      </c>
      <c r="E2649" s="9" t="str">
        <f>IFERROR(__xludf.DUMMYFUNCTION("""COMPUTED_VALUE"""),""",")</f>
        <v>",</v>
      </c>
    </row>
    <row r="2650">
      <c r="A2650" s="9" t="str">
        <f>IFERROR(__xludf.DUMMYFUNCTION("""COMPUTED_VALUE"""),"""")</f>
        <v>"</v>
      </c>
      <c r="B2650" s="9" t="s">
        <v>2659</v>
      </c>
      <c r="C2650" s="9" t="str">
        <f>IFERROR(__xludf.DUMMYFUNCTION("""COMPUTED_VALUE"""),""":""")</f>
        <v>":"</v>
      </c>
      <c r="D2650" s="24">
        <v>3.299596082267156E18</v>
      </c>
      <c r="E2650" s="9" t="str">
        <f>IFERROR(__xludf.DUMMYFUNCTION("""COMPUTED_VALUE"""),""",")</f>
        <v>",</v>
      </c>
    </row>
    <row r="2651">
      <c r="A2651" s="9" t="str">
        <f>IFERROR(__xludf.DUMMYFUNCTION("""COMPUTED_VALUE"""),"""")</f>
        <v>"</v>
      </c>
      <c r="B2651" s="9" t="s">
        <v>2660</v>
      </c>
      <c r="C2651" s="9" t="str">
        <f>IFERROR(__xludf.DUMMYFUNCTION("""COMPUTED_VALUE"""),""":""")</f>
        <v>":"</v>
      </c>
      <c r="D2651" s="24">
        <v>6.2005979458241782E18</v>
      </c>
      <c r="E2651" s="9" t="str">
        <f>IFERROR(__xludf.DUMMYFUNCTION("""COMPUTED_VALUE"""),""",")</f>
        <v>",</v>
      </c>
    </row>
    <row r="2652">
      <c r="A2652" s="9" t="str">
        <f>IFERROR(__xludf.DUMMYFUNCTION("""COMPUTED_VALUE"""),"""")</f>
        <v>"</v>
      </c>
      <c r="B2652" s="9" t="s">
        <v>2661</v>
      </c>
      <c r="C2652" s="9" t="str">
        <f>IFERROR(__xludf.DUMMYFUNCTION("""COMPUTED_VALUE"""),""":""")</f>
        <v>":"</v>
      </c>
      <c r="D2652" s="24">
        <v>6.2005979458241782E18</v>
      </c>
      <c r="E2652" s="9" t="str">
        <f>IFERROR(__xludf.DUMMYFUNCTION("""COMPUTED_VALUE"""),""",")</f>
        <v>",</v>
      </c>
    </row>
    <row r="2653">
      <c r="A2653" s="9" t="str">
        <f>IFERROR(__xludf.DUMMYFUNCTION("""COMPUTED_VALUE"""),"""")</f>
        <v>"</v>
      </c>
      <c r="B2653" s="9" t="s">
        <v>2662</v>
      </c>
      <c r="C2653" s="9" t="str">
        <f>IFERROR(__xludf.DUMMYFUNCTION("""COMPUTED_VALUE"""),""":""")</f>
        <v>":"</v>
      </c>
      <c r="D2653" s="24">
        <v>4.6524674575993999E18</v>
      </c>
      <c r="E2653" s="9" t="str">
        <f>IFERROR(__xludf.DUMMYFUNCTION("""COMPUTED_VALUE"""),""",")</f>
        <v>",</v>
      </c>
    </row>
    <row r="2654">
      <c r="A2654" s="9" t="str">
        <f>IFERROR(__xludf.DUMMYFUNCTION("""COMPUTED_VALUE"""),"""")</f>
        <v>"</v>
      </c>
      <c r="B2654" s="9" t="s">
        <v>2663</v>
      </c>
      <c r="C2654" s="9" t="str">
        <f>IFERROR(__xludf.DUMMYFUNCTION("""COMPUTED_VALUE"""),""":""")</f>
        <v>":"</v>
      </c>
      <c r="D2654" s="24">
        <v>2.0248888511809958E19</v>
      </c>
      <c r="E2654" s="9" t="str">
        <f>IFERROR(__xludf.DUMMYFUNCTION("""COMPUTED_VALUE"""),""",")</f>
        <v>",</v>
      </c>
    </row>
    <row r="2655">
      <c r="A2655" s="9" t="str">
        <f>IFERROR(__xludf.DUMMYFUNCTION("""COMPUTED_VALUE"""),"""")</f>
        <v>"</v>
      </c>
      <c r="B2655" s="9" t="s">
        <v>2664</v>
      </c>
      <c r="C2655" s="9" t="str">
        <f>IFERROR(__xludf.DUMMYFUNCTION("""COMPUTED_VALUE"""),""":""")</f>
        <v>":"</v>
      </c>
      <c r="D2655" s="24">
        <v>2.0248888511809958E19</v>
      </c>
      <c r="E2655" s="9" t="str">
        <f>IFERROR(__xludf.DUMMYFUNCTION("""COMPUTED_VALUE"""),""",")</f>
        <v>",</v>
      </c>
    </row>
    <row r="2656">
      <c r="A2656" s="9" t="str">
        <f>IFERROR(__xludf.DUMMYFUNCTION("""COMPUTED_VALUE"""),"""")</f>
        <v>"</v>
      </c>
      <c r="B2656" s="9" t="s">
        <v>2665</v>
      </c>
      <c r="C2656" s="9" t="str">
        <f>IFERROR(__xludf.DUMMYFUNCTION("""COMPUTED_VALUE"""),""":""")</f>
        <v>":"</v>
      </c>
      <c r="D2656" s="24">
        <v>4.0885197698280673E18</v>
      </c>
      <c r="E2656" s="9" t="str">
        <f>IFERROR(__xludf.DUMMYFUNCTION("""COMPUTED_VALUE"""),""",")</f>
        <v>",</v>
      </c>
    </row>
    <row r="2657">
      <c r="A2657" s="9" t="str">
        <f>IFERROR(__xludf.DUMMYFUNCTION("""COMPUTED_VALUE"""),"""")</f>
        <v>"</v>
      </c>
      <c r="B2657" s="9" t="s">
        <v>2666</v>
      </c>
      <c r="C2657" s="9" t="str">
        <f>IFERROR(__xludf.DUMMYFUNCTION("""COMPUTED_VALUE"""),""":""")</f>
        <v>":"</v>
      </c>
      <c r="D2657" s="24">
        <v>6.2005979458241782E18</v>
      </c>
      <c r="E2657" s="9" t="str">
        <f>IFERROR(__xludf.DUMMYFUNCTION("""COMPUTED_VALUE"""),""",")</f>
        <v>",</v>
      </c>
    </row>
    <row r="2658">
      <c r="A2658" s="9" t="str">
        <f>IFERROR(__xludf.DUMMYFUNCTION("""COMPUTED_VALUE"""),"""")</f>
        <v>"</v>
      </c>
      <c r="B2658" s="9" t="s">
        <v>2667</v>
      </c>
      <c r="C2658" s="9" t="str">
        <f>IFERROR(__xludf.DUMMYFUNCTION("""COMPUTED_VALUE"""),""":""")</f>
        <v>":"</v>
      </c>
      <c r="D2658" s="24">
        <v>1.4629572285415645E19</v>
      </c>
      <c r="E2658" s="9" t="str">
        <f>IFERROR(__xludf.DUMMYFUNCTION("""COMPUTED_VALUE"""),""",")</f>
        <v>",</v>
      </c>
    </row>
    <row r="2659">
      <c r="A2659" s="9" t="str">
        <f>IFERROR(__xludf.DUMMYFUNCTION("""COMPUTED_VALUE"""),"""")</f>
        <v>"</v>
      </c>
      <c r="B2659" s="9" t="s">
        <v>2668</v>
      </c>
      <c r="C2659" s="9" t="str">
        <f>IFERROR(__xludf.DUMMYFUNCTION("""COMPUTED_VALUE"""),""":""")</f>
        <v>":"</v>
      </c>
      <c r="D2659" s="24">
        <v>1.0185363310123088E19</v>
      </c>
      <c r="E2659" s="9" t="str">
        <f>IFERROR(__xludf.DUMMYFUNCTION("""COMPUTED_VALUE"""),""",")</f>
        <v>",</v>
      </c>
    </row>
    <row r="2660">
      <c r="A2660" s="9" t="str">
        <f>IFERROR(__xludf.DUMMYFUNCTION("""COMPUTED_VALUE"""),"""")</f>
        <v>"</v>
      </c>
      <c r="B2660" s="9" t="s">
        <v>2669</v>
      </c>
      <c r="C2660" s="9" t="str">
        <f>IFERROR(__xludf.DUMMYFUNCTION("""COMPUTED_VALUE"""),""":""")</f>
        <v>":"</v>
      </c>
      <c r="D2660" s="24">
        <v>4.7223628113295995E18</v>
      </c>
      <c r="E2660" s="9" t="str">
        <f>IFERROR(__xludf.DUMMYFUNCTION("""COMPUTED_VALUE"""),""",")</f>
        <v>",</v>
      </c>
    </row>
    <row r="2661">
      <c r="A2661" s="9" t="str">
        <f>IFERROR(__xludf.DUMMYFUNCTION("""COMPUTED_VALUE"""),"""")</f>
        <v>"</v>
      </c>
      <c r="B2661" s="9" t="s">
        <v>2670</v>
      </c>
      <c r="C2661" s="9" t="str">
        <f>IFERROR(__xludf.DUMMYFUNCTION("""COMPUTED_VALUE"""),""":""")</f>
        <v>":"</v>
      </c>
      <c r="D2661" s="24">
        <v>5.019437676836222E18</v>
      </c>
      <c r="E2661" s="9" t="str">
        <f>IFERROR(__xludf.DUMMYFUNCTION("""COMPUTED_VALUE"""),""",")</f>
        <v>",</v>
      </c>
    </row>
    <row r="2662">
      <c r="A2662" s="9" t="str">
        <f>IFERROR(__xludf.DUMMYFUNCTION("""COMPUTED_VALUE"""),"""")</f>
        <v>"</v>
      </c>
      <c r="B2662" s="9" t="s">
        <v>2671</v>
      </c>
      <c r="C2662" s="9" t="str">
        <f>IFERROR(__xludf.DUMMYFUNCTION("""COMPUTED_VALUE"""),""":""")</f>
        <v>":"</v>
      </c>
      <c r="D2662" s="24">
        <v>6.2005979458241782E18</v>
      </c>
      <c r="E2662" s="9" t="str">
        <f>IFERROR(__xludf.DUMMYFUNCTION("""COMPUTED_VALUE"""),""",")</f>
        <v>",</v>
      </c>
    </row>
    <row r="2663">
      <c r="A2663" s="9" t="str">
        <f>IFERROR(__xludf.DUMMYFUNCTION("""COMPUTED_VALUE"""),"""")</f>
        <v>"</v>
      </c>
      <c r="B2663" s="9" t="s">
        <v>2672</v>
      </c>
      <c r="C2663" s="9" t="str">
        <f>IFERROR(__xludf.DUMMYFUNCTION("""COMPUTED_VALUE"""),""":""")</f>
        <v>":"</v>
      </c>
      <c r="D2663" s="24">
        <v>2.068128636465221E19</v>
      </c>
      <c r="E2663" s="9" t="str">
        <f>IFERROR(__xludf.DUMMYFUNCTION("""COMPUTED_VALUE"""),""",")</f>
        <v>",</v>
      </c>
    </row>
    <row r="2664">
      <c r="A2664" s="9" t="str">
        <f>IFERROR(__xludf.DUMMYFUNCTION("""COMPUTED_VALUE"""),"""")</f>
        <v>"</v>
      </c>
      <c r="B2664" s="9" t="s">
        <v>2673</v>
      </c>
      <c r="C2664" s="9" t="str">
        <f>IFERROR(__xludf.DUMMYFUNCTION("""COMPUTED_VALUE"""),""":""")</f>
        <v>":"</v>
      </c>
      <c r="D2664" s="24">
        <v>6.1863836841801329E18</v>
      </c>
      <c r="E2664" s="9" t="str">
        <f>IFERROR(__xludf.DUMMYFUNCTION("""COMPUTED_VALUE"""),""",")</f>
        <v>",</v>
      </c>
    </row>
    <row r="2665">
      <c r="A2665" s="9" t="str">
        <f>IFERROR(__xludf.DUMMYFUNCTION("""COMPUTED_VALUE"""),"""")</f>
        <v>"</v>
      </c>
      <c r="B2665" s="9" t="s">
        <v>2674</v>
      </c>
      <c r="C2665" s="9" t="str">
        <f>IFERROR(__xludf.DUMMYFUNCTION("""COMPUTED_VALUE"""),""":""")</f>
        <v>":"</v>
      </c>
      <c r="D2665" s="24">
        <v>6.80988997030395E19</v>
      </c>
      <c r="E2665" s="9" t="str">
        <f>IFERROR(__xludf.DUMMYFUNCTION("""COMPUTED_VALUE"""),""",")</f>
        <v>",</v>
      </c>
    </row>
    <row r="2666">
      <c r="A2666" s="9" t="str">
        <f>IFERROR(__xludf.DUMMYFUNCTION("""COMPUTED_VALUE"""),"""")</f>
        <v>"</v>
      </c>
      <c r="B2666" s="9" t="s">
        <v>2675</v>
      </c>
      <c r="C2666" s="9" t="str">
        <f>IFERROR(__xludf.DUMMYFUNCTION("""COMPUTED_VALUE"""),""":""")</f>
        <v>":"</v>
      </c>
      <c r="D2666" s="24">
        <v>6.2005979458241782E18</v>
      </c>
      <c r="E2666" s="9" t="str">
        <f>IFERROR(__xludf.DUMMYFUNCTION("""COMPUTED_VALUE"""),""",")</f>
        <v>",</v>
      </c>
    </row>
    <row r="2667">
      <c r="A2667" s="9" t="str">
        <f>IFERROR(__xludf.DUMMYFUNCTION("""COMPUTED_VALUE"""),"""")</f>
        <v>"</v>
      </c>
      <c r="B2667" s="9" t="s">
        <v>2676</v>
      </c>
      <c r="C2667" s="9" t="str">
        <f>IFERROR(__xludf.DUMMYFUNCTION("""COMPUTED_VALUE"""),""":""")</f>
        <v>":"</v>
      </c>
      <c r="D2667" s="24">
        <v>2.0248888511809958E19</v>
      </c>
      <c r="E2667" s="9" t="str">
        <f>IFERROR(__xludf.DUMMYFUNCTION("""COMPUTED_VALUE"""),""",")</f>
        <v>",</v>
      </c>
    </row>
    <row r="2668">
      <c r="A2668" s="9" t="str">
        <f>IFERROR(__xludf.DUMMYFUNCTION("""COMPUTED_VALUE"""),"""")</f>
        <v>"</v>
      </c>
      <c r="B2668" s="9" t="s">
        <v>2677</v>
      </c>
      <c r="C2668" s="9" t="str">
        <f>IFERROR(__xludf.DUMMYFUNCTION("""COMPUTED_VALUE"""),""":""")</f>
        <v>":"</v>
      </c>
      <c r="D2668" s="24">
        <v>2.0313447768053416E19</v>
      </c>
      <c r="E2668" s="9" t="str">
        <f>IFERROR(__xludf.DUMMYFUNCTION("""COMPUTED_VALUE"""),""",")</f>
        <v>",</v>
      </c>
    </row>
    <row r="2669">
      <c r="A2669" s="9" t="str">
        <f>IFERROR(__xludf.DUMMYFUNCTION("""COMPUTED_VALUE"""),"""")</f>
        <v>"</v>
      </c>
      <c r="B2669" s="9" t="s">
        <v>2678</v>
      </c>
      <c r="C2669" s="9" t="str">
        <f>IFERROR(__xludf.DUMMYFUNCTION("""COMPUTED_VALUE"""),""":""")</f>
        <v>":"</v>
      </c>
      <c r="D2669" s="24">
        <v>6.2005979458241782E18</v>
      </c>
      <c r="E2669" s="9" t="str">
        <f>IFERROR(__xludf.DUMMYFUNCTION("""COMPUTED_VALUE"""),""",")</f>
        <v>",</v>
      </c>
    </row>
    <row r="2670">
      <c r="A2670" s="9" t="str">
        <f>IFERROR(__xludf.DUMMYFUNCTION("""COMPUTED_VALUE"""),"""")</f>
        <v>"</v>
      </c>
      <c r="B2670" s="9" t="s">
        <v>2679</v>
      </c>
      <c r="C2670" s="9" t="str">
        <f>IFERROR(__xludf.DUMMYFUNCTION("""COMPUTED_VALUE"""),""":""")</f>
        <v>":"</v>
      </c>
      <c r="D2670" s="24">
        <v>6.2005979458241782E18</v>
      </c>
      <c r="E2670" s="9" t="str">
        <f>IFERROR(__xludf.DUMMYFUNCTION("""COMPUTED_VALUE"""),""",")</f>
        <v>",</v>
      </c>
    </row>
    <row r="2671">
      <c r="A2671" s="9" t="str">
        <f>IFERROR(__xludf.DUMMYFUNCTION("""COMPUTED_VALUE"""),"""")</f>
        <v>"</v>
      </c>
      <c r="B2671" s="9" t="s">
        <v>2680</v>
      </c>
      <c r="C2671" s="9" t="str">
        <f>IFERROR(__xludf.DUMMYFUNCTION("""COMPUTED_VALUE"""),""":""")</f>
        <v>":"</v>
      </c>
      <c r="D2671" s="24">
        <v>6.2005979458241782E18</v>
      </c>
      <c r="E2671" s="9" t="str">
        <f>IFERROR(__xludf.DUMMYFUNCTION("""COMPUTED_VALUE"""),""",")</f>
        <v>",</v>
      </c>
    </row>
    <row r="2672">
      <c r="A2672" s="9" t="str">
        <f>IFERROR(__xludf.DUMMYFUNCTION("""COMPUTED_VALUE"""),"""")</f>
        <v>"</v>
      </c>
      <c r="B2672" s="9" t="s">
        <v>2681</v>
      </c>
      <c r="C2672" s="9" t="str">
        <f>IFERROR(__xludf.DUMMYFUNCTION("""COMPUTED_VALUE"""),""":""")</f>
        <v>":"</v>
      </c>
      <c r="D2672" s="24">
        <v>6.2005979458241782E18</v>
      </c>
      <c r="E2672" s="9" t="str">
        <f>IFERROR(__xludf.DUMMYFUNCTION("""COMPUTED_VALUE"""),""",")</f>
        <v>",</v>
      </c>
    </row>
    <row r="2673">
      <c r="A2673" s="9" t="str">
        <f>IFERROR(__xludf.DUMMYFUNCTION("""COMPUTED_VALUE"""),"""")</f>
        <v>"</v>
      </c>
      <c r="B2673" s="9" t="s">
        <v>2682</v>
      </c>
      <c r="C2673" s="9" t="str">
        <f>IFERROR(__xludf.DUMMYFUNCTION("""COMPUTED_VALUE"""),""":""")</f>
        <v>":"</v>
      </c>
      <c r="D2673" s="24">
        <v>1.88427819258844672E18</v>
      </c>
      <c r="E2673" s="9" t="str">
        <f>IFERROR(__xludf.DUMMYFUNCTION("""COMPUTED_VALUE"""),""",")</f>
        <v>",</v>
      </c>
    </row>
    <row r="2674">
      <c r="A2674" s="9" t="str">
        <f>IFERROR(__xludf.DUMMYFUNCTION("""COMPUTED_VALUE"""),"""")</f>
        <v>"</v>
      </c>
      <c r="B2674" s="9" t="s">
        <v>2683</v>
      </c>
      <c r="C2674" s="9" t="str">
        <f>IFERROR(__xludf.DUMMYFUNCTION("""COMPUTED_VALUE"""),""":""")</f>
        <v>":"</v>
      </c>
      <c r="D2674" s="24">
        <v>2.2843275628863468E19</v>
      </c>
      <c r="E2674" s="9" t="str">
        <f>IFERROR(__xludf.DUMMYFUNCTION("""COMPUTED_VALUE"""),""",")</f>
        <v>",</v>
      </c>
    </row>
    <row r="2675">
      <c r="A2675" s="9" t="str">
        <f>IFERROR(__xludf.DUMMYFUNCTION("""COMPUTED_VALUE"""),"""")</f>
        <v>"</v>
      </c>
      <c r="B2675" s="9" t="s">
        <v>2684</v>
      </c>
      <c r="C2675" s="9" t="str">
        <f>IFERROR(__xludf.DUMMYFUNCTION("""COMPUTED_VALUE"""),""":""")</f>
        <v>":"</v>
      </c>
      <c r="D2675" s="24">
        <v>5.6624117916380662E18</v>
      </c>
      <c r="E2675" s="9" t="str">
        <f>IFERROR(__xludf.DUMMYFUNCTION("""COMPUTED_VALUE"""),""",")</f>
        <v>",</v>
      </c>
    </row>
    <row r="2676">
      <c r="A2676" s="9" t="str">
        <f>IFERROR(__xludf.DUMMYFUNCTION("""COMPUTED_VALUE"""),"""")</f>
        <v>"</v>
      </c>
      <c r="B2676" s="9" t="s">
        <v>2685</v>
      </c>
      <c r="C2676" s="9" t="str">
        <f>IFERROR(__xludf.DUMMYFUNCTION("""COMPUTED_VALUE"""),""":""")</f>
        <v>":"</v>
      </c>
      <c r="D2676" s="24">
        <v>2.7039047723880668E18</v>
      </c>
      <c r="E2676" s="9" t="str">
        <f>IFERROR(__xludf.DUMMYFUNCTION("""COMPUTED_VALUE"""),""",")</f>
        <v>",</v>
      </c>
    </row>
    <row r="2677">
      <c r="A2677" s="9" t="str">
        <f>IFERROR(__xludf.DUMMYFUNCTION("""COMPUTED_VALUE"""),"""")</f>
        <v>"</v>
      </c>
      <c r="B2677" s="9" t="s">
        <v>2686</v>
      </c>
      <c r="C2677" s="9" t="str">
        <f>IFERROR(__xludf.DUMMYFUNCTION("""COMPUTED_VALUE"""),""":""")</f>
        <v>":"</v>
      </c>
      <c r="D2677" s="24">
        <v>2.0248888511809958E19</v>
      </c>
      <c r="E2677" s="9" t="str">
        <f>IFERROR(__xludf.DUMMYFUNCTION("""COMPUTED_VALUE"""),""",")</f>
        <v>",</v>
      </c>
    </row>
    <row r="2678">
      <c r="A2678" s="9" t="str">
        <f>IFERROR(__xludf.DUMMYFUNCTION("""COMPUTED_VALUE"""),"""")</f>
        <v>"</v>
      </c>
      <c r="B2678" s="9" t="s">
        <v>2687</v>
      </c>
      <c r="C2678" s="9" t="str">
        <f>IFERROR(__xludf.DUMMYFUNCTION("""COMPUTED_VALUE"""),""":""")</f>
        <v>":"</v>
      </c>
      <c r="D2678" s="24">
        <v>8.5892693157673329E18</v>
      </c>
      <c r="E2678" s="9" t="str">
        <f>IFERROR(__xludf.DUMMYFUNCTION("""COMPUTED_VALUE"""),""",")</f>
        <v>",</v>
      </c>
    </row>
    <row r="2679">
      <c r="A2679" s="9" t="str">
        <f>IFERROR(__xludf.DUMMYFUNCTION("""COMPUTED_VALUE"""),"""")</f>
        <v>"</v>
      </c>
      <c r="B2679" s="9" t="s">
        <v>2688</v>
      </c>
      <c r="C2679" s="9" t="str">
        <f>IFERROR(__xludf.DUMMYFUNCTION("""COMPUTED_VALUE"""),""":""")</f>
        <v>":"</v>
      </c>
      <c r="D2679" s="24">
        <v>6.2005979458241782E18</v>
      </c>
      <c r="E2679" s="9" t="str">
        <f>IFERROR(__xludf.DUMMYFUNCTION("""COMPUTED_VALUE"""),""",")</f>
        <v>",</v>
      </c>
    </row>
    <row r="2680">
      <c r="A2680" s="9" t="str">
        <f>IFERROR(__xludf.DUMMYFUNCTION("""COMPUTED_VALUE"""),"""")</f>
        <v>"</v>
      </c>
      <c r="B2680" s="9" t="s">
        <v>2689</v>
      </c>
      <c r="C2680" s="9" t="str">
        <f>IFERROR(__xludf.DUMMYFUNCTION("""COMPUTED_VALUE"""),""":""")</f>
        <v>":"</v>
      </c>
      <c r="D2680" s="24">
        <v>6.1955607362652232E18</v>
      </c>
      <c r="E2680" s="9" t="str">
        <f>IFERROR(__xludf.DUMMYFUNCTION("""COMPUTED_VALUE"""),""",")</f>
        <v>",</v>
      </c>
    </row>
    <row r="2681">
      <c r="A2681" s="9" t="str">
        <f>IFERROR(__xludf.DUMMYFUNCTION("""COMPUTED_VALUE"""),"""")</f>
        <v>"</v>
      </c>
      <c r="B2681" s="9" t="s">
        <v>2690</v>
      </c>
      <c r="C2681" s="9" t="str">
        <f>IFERROR(__xludf.DUMMYFUNCTION("""COMPUTED_VALUE"""),""":""")</f>
        <v>":"</v>
      </c>
      <c r="D2681" s="24">
        <v>6.2005979458241782E18</v>
      </c>
      <c r="E2681" s="9" t="str">
        <f>IFERROR(__xludf.DUMMYFUNCTION("""COMPUTED_VALUE"""),""",")</f>
        <v>",</v>
      </c>
    </row>
    <row r="2682">
      <c r="A2682" s="9" t="str">
        <f>IFERROR(__xludf.DUMMYFUNCTION("""COMPUTED_VALUE"""),"""")</f>
        <v>"</v>
      </c>
      <c r="B2682" s="9" t="s">
        <v>2691</v>
      </c>
      <c r="C2682" s="9" t="str">
        <f>IFERROR(__xludf.DUMMYFUNCTION("""COMPUTED_VALUE"""),""":""")</f>
        <v>":"</v>
      </c>
      <c r="D2682" s="24">
        <v>1.8678400240235858E21</v>
      </c>
      <c r="E2682" s="9" t="str">
        <f>IFERROR(__xludf.DUMMYFUNCTION("""COMPUTED_VALUE"""),""",")</f>
        <v>",</v>
      </c>
    </row>
    <row r="2683">
      <c r="A2683" s="9" t="str">
        <f>IFERROR(__xludf.DUMMYFUNCTION("""COMPUTED_VALUE"""),"""")</f>
        <v>"</v>
      </c>
      <c r="B2683" s="9" t="s">
        <v>2692</v>
      </c>
      <c r="C2683" s="9" t="str">
        <f>IFERROR(__xludf.DUMMYFUNCTION("""COMPUTED_VALUE"""),""":""")</f>
        <v>":"</v>
      </c>
      <c r="D2683" s="24">
        <v>2.0248888511809958E19</v>
      </c>
      <c r="E2683" s="9" t="str">
        <f>IFERROR(__xludf.DUMMYFUNCTION("""COMPUTED_VALUE"""),""",")</f>
        <v>",</v>
      </c>
    </row>
    <row r="2684">
      <c r="A2684" s="9" t="str">
        <f>IFERROR(__xludf.DUMMYFUNCTION("""COMPUTED_VALUE"""),"""")</f>
        <v>"</v>
      </c>
      <c r="B2684" s="9" t="s">
        <v>2693</v>
      </c>
      <c r="C2684" s="9" t="str">
        <f>IFERROR(__xludf.DUMMYFUNCTION("""COMPUTED_VALUE"""),""":""")</f>
        <v>":"</v>
      </c>
      <c r="D2684" s="24">
        <v>6.2005979458241782E18</v>
      </c>
      <c r="E2684" s="9" t="str">
        <f>IFERROR(__xludf.DUMMYFUNCTION("""COMPUTED_VALUE"""),""",")</f>
        <v>",</v>
      </c>
    </row>
    <row r="2685">
      <c r="A2685" s="9" t="str">
        <f>IFERROR(__xludf.DUMMYFUNCTION("""COMPUTED_VALUE"""),"""")</f>
        <v>"</v>
      </c>
      <c r="B2685" s="9" t="s">
        <v>2694</v>
      </c>
      <c r="C2685" s="9" t="str">
        <f>IFERROR(__xludf.DUMMYFUNCTION("""COMPUTED_VALUE"""),""":""")</f>
        <v>":"</v>
      </c>
      <c r="D2685" s="24">
        <v>6.6329957986664315E18</v>
      </c>
      <c r="E2685" s="9" t="str">
        <f>IFERROR(__xludf.DUMMYFUNCTION("""COMPUTED_VALUE"""),""",")</f>
        <v>",</v>
      </c>
    </row>
    <row r="2686">
      <c r="A2686" s="9" t="str">
        <f>IFERROR(__xludf.DUMMYFUNCTION("""COMPUTED_VALUE"""),"""")</f>
        <v>"</v>
      </c>
      <c r="B2686" s="9" t="s">
        <v>2695</v>
      </c>
      <c r="C2686" s="9" t="str">
        <f>IFERROR(__xludf.DUMMYFUNCTION("""COMPUTED_VALUE"""),""":""")</f>
        <v>":"</v>
      </c>
      <c r="D2686" s="24">
        <v>1.0362638199148157E19</v>
      </c>
      <c r="E2686" s="9" t="str">
        <f>IFERROR(__xludf.DUMMYFUNCTION("""COMPUTED_VALUE"""),""",")</f>
        <v>",</v>
      </c>
    </row>
    <row r="2687">
      <c r="A2687" s="9" t="str">
        <f>IFERROR(__xludf.DUMMYFUNCTION("""COMPUTED_VALUE"""),"""")</f>
        <v>"</v>
      </c>
      <c r="B2687" s="9" t="s">
        <v>2696</v>
      </c>
      <c r="C2687" s="9" t="str">
        <f>IFERROR(__xludf.DUMMYFUNCTION("""COMPUTED_VALUE"""),""":""")</f>
        <v>":"</v>
      </c>
      <c r="D2687" s="24">
        <v>2.068128636465221E19</v>
      </c>
      <c r="E2687" s="9" t="str">
        <f>IFERROR(__xludf.DUMMYFUNCTION("""COMPUTED_VALUE"""),""",")</f>
        <v>",</v>
      </c>
    </row>
    <row r="2688">
      <c r="A2688" s="9" t="str">
        <f>IFERROR(__xludf.DUMMYFUNCTION("""COMPUTED_VALUE"""),"""")</f>
        <v>"</v>
      </c>
      <c r="B2688" s="9" t="s">
        <v>2697</v>
      </c>
      <c r="C2688" s="9" t="str">
        <f>IFERROR(__xludf.DUMMYFUNCTION("""COMPUTED_VALUE"""),""":""")</f>
        <v>":"</v>
      </c>
      <c r="D2688" s="24">
        <v>6.2005979458241782E18</v>
      </c>
      <c r="E2688" s="9" t="str">
        <f>IFERROR(__xludf.DUMMYFUNCTION("""COMPUTED_VALUE"""),""",")</f>
        <v>",</v>
      </c>
    </row>
    <row r="2689">
      <c r="A2689" s="9" t="str">
        <f>IFERROR(__xludf.DUMMYFUNCTION("""COMPUTED_VALUE"""),"""")</f>
        <v>"</v>
      </c>
      <c r="B2689" s="9" t="s">
        <v>2698</v>
      </c>
      <c r="C2689" s="9" t="str">
        <f>IFERROR(__xludf.DUMMYFUNCTION("""COMPUTED_VALUE"""),""":""")</f>
        <v>":"</v>
      </c>
      <c r="D2689" s="24">
        <v>6.2005979458241782E18</v>
      </c>
      <c r="E2689" s="9" t="str">
        <f>IFERROR(__xludf.DUMMYFUNCTION("""COMPUTED_VALUE"""),""",")</f>
        <v>",</v>
      </c>
    </row>
    <row r="2690">
      <c r="A2690" s="9" t="str">
        <f>IFERROR(__xludf.DUMMYFUNCTION("""COMPUTED_VALUE"""),"""")</f>
        <v>"</v>
      </c>
      <c r="B2690" s="9" t="s">
        <v>2699</v>
      </c>
      <c r="C2690" s="9" t="str">
        <f>IFERROR(__xludf.DUMMYFUNCTION("""COMPUTED_VALUE"""),""":""")</f>
        <v>":"</v>
      </c>
      <c r="D2690" s="24">
        <v>6.2005979458241782E18</v>
      </c>
      <c r="E2690" s="9" t="str">
        <f>IFERROR(__xludf.DUMMYFUNCTION("""COMPUTED_VALUE"""),""",")</f>
        <v>",</v>
      </c>
    </row>
    <row r="2691">
      <c r="A2691" s="9" t="str">
        <f>IFERROR(__xludf.DUMMYFUNCTION("""COMPUTED_VALUE"""),"""")</f>
        <v>"</v>
      </c>
      <c r="B2691" s="9" t="s">
        <v>2700</v>
      </c>
      <c r="C2691" s="9" t="str">
        <f>IFERROR(__xludf.DUMMYFUNCTION("""COMPUTED_VALUE"""),""":""")</f>
        <v>":"</v>
      </c>
      <c r="D2691" s="24">
        <v>6.2005979458241782E18</v>
      </c>
      <c r="E2691" s="9" t="str">
        <f>IFERROR(__xludf.DUMMYFUNCTION("""COMPUTED_VALUE"""),""",")</f>
        <v>",</v>
      </c>
    </row>
    <row r="2692">
      <c r="A2692" s="9" t="str">
        <f>IFERROR(__xludf.DUMMYFUNCTION("""COMPUTED_VALUE"""),"""")</f>
        <v>"</v>
      </c>
      <c r="B2692" s="9" t="s">
        <v>2701</v>
      </c>
      <c r="C2692" s="9" t="str">
        <f>IFERROR(__xludf.DUMMYFUNCTION("""COMPUTED_VALUE"""),""":""")</f>
        <v>":"</v>
      </c>
      <c r="D2692" s="24">
        <v>1.8307700355704734E19</v>
      </c>
      <c r="E2692" s="9" t="str">
        <f>IFERROR(__xludf.DUMMYFUNCTION("""COMPUTED_VALUE"""),""",")</f>
        <v>",</v>
      </c>
    </row>
    <row r="2693">
      <c r="A2693" s="9" t="str">
        <f>IFERROR(__xludf.DUMMYFUNCTION("""COMPUTED_VALUE"""),"""")</f>
        <v>"</v>
      </c>
      <c r="B2693" s="9" t="s">
        <v>2702</v>
      </c>
      <c r="C2693" s="9" t="str">
        <f>IFERROR(__xludf.DUMMYFUNCTION("""COMPUTED_VALUE"""),""":""")</f>
        <v>":"</v>
      </c>
      <c r="D2693" s="24">
        <v>6.2005979458241782E18</v>
      </c>
      <c r="E2693" s="9" t="str">
        <f>IFERROR(__xludf.DUMMYFUNCTION("""COMPUTED_VALUE"""),""",")</f>
        <v>",</v>
      </c>
    </row>
    <row r="2694">
      <c r="A2694" s="9" t="str">
        <f>IFERROR(__xludf.DUMMYFUNCTION("""COMPUTED_VALUE"""),"""")</f>
        <v>"</v>
      </c>
      <c r="B2694" s="9" t="s">
        <v>2703</v>
      </c>
      <c r="C2694" s="9" t="str">
        <f>IFERROR(__xludf.DUMMYFUNCTION("""COMPUTED_VALUE"""),""":""")</f>
        <v>":"</v>
      </c>
      <c r="D2694" s="24">
        <v>2.0329591244159242E19</v>
      </c>
      <c r="E2694" s="9" t="str">
        <f>IFERROR(__xludf.DUMMYFUNCTION("""COMPUTED_VALUE"""),""",")</f>
        <v>",</v>
      </c>
    </row>
    <row r="2695">
      <c r="A2695" s="9" t="str">
        <f>IFERROR(__xludf.DUMMYFUNCTION("""COMPUTED_VALUE"""),"""")</f>
        <v>"</v>
      </c>
      <c r="B2695" s="9" t="s">
        <v>2704</v>
      </c>
      <c r="C2695" s="9" t="str">
        <f>IFERROR(__xludf.DUMMYFUNCTION("""COMPUTED_VALUE"""),""":""")</f>
        <v>":"</v>
      </c>
      <c r="D2695" s="24">
        <v>6.2005979458241782E18</v>
      </c>
      <c r="E2695" s="9" t="str">
        <f>IFERROR(__xludf.DUMMYFUNCTION("""COMPUTED_VALUE"""),""",")</f>
        <v>",</v>
      </c>
    </row>
    <row r="2696">
      <c r="A2696" s="9" t="str">
        <f>IFERROR(__xludf.DUMMYFUNCTION("""COMPUTED_VALUE"""),"""")</f>
        <v>"</v>
      </c>
      <c r="B2696" s="9" t="s">
        <v>2705</v>
      </c>
      <c r="C2696" s="9" t="str">
        <f>IFERROR(__xludf.DUMMYFUNCTION("""COMPUTED_VALUE"""),""":""")</f>
        <v>":"</v>
      </c>
      <c r="D2696" s="24">
        <v>1.181991417221849E19</v>
      </c>
      <c r="E2696" s="9" t="str">
        <f>IFERROR(__xludf.DUMMYFUNCTION("""COMPUTED_VALUE"""),""",")</f>
        <v>",</v>
      </c>
    </row>
    <row r="2697">
      <c r="A2697" s="9" t="str">
        <f>IFERROR(__xludf.DUMMYFUNCTION("""COMPUTED_VALUE"""),"""")</f>
        <v>"</v>
      </c>
      <c r="B2697" s="9" t="s">
        <v>2706</v>
      </c>
      <c r="C2697" s="9" t="str">
        <f>IFERROR(__xludf.DUMMYFUNCTION("""COMPUTED_VALUE"""),""":""")</f>
        <v>":"</v>
      </c>
      <c r="D2697" s="24">
        <v>2.0248888511809958E19</v>
      </c>
      <c r="E2697" s="9" t="str">
        <f>IFERROR(__xludf.DUMMYFUNCTION("""COMPUTED_VALUE"""),""",")</f>
        <v>",</v>
      </c>
    </row>
    <row r="2698">
      <c r="A2698" s="9" t="str">
        <f>IFERROR(__xludf.DUMMYFUNCTION("""COMPUTED_VALUE"""),"""")</f>
        <v>"</v>
      </c>
      <c r="B2698" s="9" t="s">
        <v>2707</v>
      </c>
      <c r="C2698" s="9" t="str">
        <f>IFERROR(__xludf.DUMMYFUNCTION("""COMPUTED_VALUE"""),""":""")</f>
        <v>":"</v>
      </c>
      <c r="D2698" s="24">
        <v>4.753596756784762E19</v>
      </c>
      <c r="E2698" s="9" t="str">
        <f>IFERROR(__xludf.DUMMYFUNCTION("""COMPUTED_VALUE"""),""",")</f>
        <v>",</v>
      </c>
    </row>
    <row r="2699">
      <c r="A2699" s="9" t="str">
        <f>IFERROR(__xludf.DUMMYFUNCTION("""COMPUTED_VALUE"""),"""")</f>
        <v>"</v>
      </c>
      <c r="B2699" s="9" t="s">
        <v>2708</v>
      </c>
      <c r="C2699" s="9" t="str">
        <f>IFERROR(__xludf.DUMMYFUNCTION("""COMPUTED_VALUE"""),""":""")</f>
        <v>":"</v>
      </c>
      <c r="D2699" s="24">
        <v>2.204487848236269E19</v>
      </c>
      <c r="E2699" s="9" t="str">
        <f>IFERROR(__xludf.DUMMYFUNCTION("""COMPUTED_VALUE"""),""",")</f>
        <v>",</v>
      </c>
    </row>
    <row r="2700">
      <c r="A2700" s="9" t="str">
        <f>IFERROR(__xludf.DUMMYFUNCTION("""COMPUTED_VALUE"""),"""")</f>
        <v>"</v>
      </c>
      <c r="B2700" s="9" t="s">
        <v>2709</v>
      </c>
      <c r="C2700" s="9" t="str">
        <f>IFERROR(__xludf.DUMMYFUNCTION("""COMPUTED_VALUE"""),""":""")</f>
        <v>":"</v>
      </c>
      <c r="D2700" s="24">
        <v>5.861882133628289E18</v>
      </c>
      <c r="E2700" s="9" t="str">
        <f>IFERROR(__xludf.DUMMYFUNCTION("""COMPUTED_VALUE"""),""",")</f>
        <v>",</v>
      </c>
    </row>
    <row r="2701">
      <c r="A2701" s="9" t="str">
        <f>IFERROR(__xludf.DUMMYFUNCTION("""COMPUTED_VALUE"""),"""")</f>
        <v>"</v>
      </c>
      <c r="B2701" s="9" t="s">
        <v>2710</v>
      </c>
      <c r="C2701" s="9" t="str">
        <f>IFERROR(__xludf.DUMMYFUNCTION("""COMPUTED_VALUE"""),""":""")</f>
        <v>":"</v>
      </c>
      <c r="D2701" s="24">
        <v>1.8427075402912776E19</v>
      </c>
      <c r="E2701" s="9" t="str">
        <f>IFERROR(__xludf.DUMMYFUNCTION("""COMPUTED_VALUE"""),""",")</f>
        <v>",</v>
      </c>
    </row>
    <row r="2702">
      <c r="A2702" s="9" t="str">
        <f>IFERROR(__xludf.DUMMYFUNCTION("""COMPUTED_VALUE"""),"""")</f>
        <v>"</v>
      </c>
      <c r="B2702" s="9" t="s">
        <v>2711</v>
      </c>
      <c r="C2702" s="9" t="str">
        <f>IFERROR(__xludf.DUMMYFUNCTION("""COMPUTED_VALUE"""),""":""")</f>
        <v>":"</v>
      </c>
      <c r="D2702" s="24">
        <v>6.1886830534273341E18</v>
      </c>
      <c r="E2702" s="9" t="str">
        <f>IFERROR(__xludf.DUMMYFUNCTION("""COMPUTED_VALUE"""),""",")</f>
        <v>",</v>
      </c>
    </row>
    <row r="2703">
      <c r="A2703" s="9" t="str">
        <f>IFERROR(__xludf.DUMMYFUNCTION("""COMPUTED_VALUE"""),"""")</f>
        <v>"</v>
      </c>
      <c r="B2703" s="9" t="s">
        <v>2712</v>
      </c>
      <c r="C2703" s="9" t="str">
        <f>IFERROR(__xludf.DUMMYFUNCTION("""COMPUTED_VALUE"""),""":""")</f>
        <v>":"</v>
      </c>
      <c r="D2703" s="24">
        <v>6.2005979458241782E18</v>
      </c>
      <c r="E2703" s="9" t="str">
        <f>IFERROR(__xludf.DUMMYFUNCTION("""COMPUTED_VALUE"""),""",")</f>
        <v>",</v>
      </c>
    </row>
    <row r="2704">
      <c r="A2704" s="9" t="str">
        <f>IFERROR(__xludf.DUMMYFUNCTION("""COMPUTED_VALUE"""),"""")</f>
        <v>"</v>
      </c>
      <c r="B2704" s="9" t="s">
        <v>2713</v>
      </c>
      <c r="C2704" s="9" t="str">
        <f>IFERROR(__xludf.DUMMYFUNCTION("""COMPUTED_VALUE"""),""":""")</f>
        <v>":"</v>
      </c>
      <c r="D2704" s="24">
        <v>2.0248888511809958E19</v>
      </c>
      <c r="E2704" s="9" t="str">
        <f>IFERROR(__xludf.DUMMYFUNCTION("""COMPUTED_VALUE"""),""",")</f>
        <v>",</v>
      </c>
    </row>
    <row r="2705">
      <c r="A2705" s="9" t="str">
        <f>IFERROR(__xludf.DUMMYFUNCTION("""COMPUTED_VALUE"""),"""")</f>
        <v>"</v>
      </c>
      <c r="B2705" s="9" t="s">
        <v>2714</v>
      </c>
      <c r="C2705" s="9" t="str">
        <f>IFERROR(__xludf.DUMMYFUNCTION("""COMPUTED_VALUE"""),""":""")</f>
        <v>":"</v>
      </c>
      <c r="D2705" s="24">
        <v>2.1082033015802263E18</v>
      </c>
      <c r="E2705" s="9" t="str">
        <f>IFERROR(__xludf.DUMMYFUNCTION("""COMPUTED_VALUE"""),""",")</f>
        <v>",</v>
      </c>
    </row>
    <row r="2706">
      <c r="A2706" s="9" t="str">
        <f>IFERROR(__xludf.DUMMYFUNCTION("""COMPUTED_VALUE"""),"""")</f>
        <v>"</v>
      </c>
      <c r="B2706" s="9" t="s">
        <v>2715</v>
      </c>
      <c r="C2706" s="9" t="str">
        <f>IFERROR(__xludf.DUMMYFUNCTION("""COMPUTED_VALUE"""),""":""")</f>
        <v>":"</v>
      </c>
      <c r="D2706" s="24">
        <v>2.9465910647723463E19</v>
      </c>
      <c r="E2706" s="9" t="str">
        <f>IFERROR(__xludf.DUMMYFUNCTION("""COMPUTED_VALUE"""),""",")</f>
        <v>",</v>
      </c>
    </row>
    <row r="2707">
      <c r="A2707" s="9" t="str">
        <f>IFERROR(__xludf.DUMMYFUNCTION("""COMPUTED_VALUE"""),"""")</f>
        <v>"</v>
      </c>
      <c r="B2707" s="9" t="s">
        <v>2716</v>
      </c>
      <c r="C2707" s="9" t="str">
        <f>IFERROR(__xludf.DUMMYFUNCTION("""COMPUTED_VALUE"""),""":""")</f>
        <v>":"</v>
      </c>
      <c r="D2707" s="24">
        <v>2.0248888511809958E19</v>
      </c>
      <c r="E2707" s="9" t="str">
        <f>IFERROR(__xludf.DUMMYFUNCTION("""COMPUTED_VALUE"""),""",")</f>
        <v>",</v>
      </c>
    </row>
    <row r="2708">
      <c r="A2708" s="9" t="str">
        <f>IFERROR(__xludf.DUMMYFUNCTION("""COMPUTED_VALUE"""),"""")</f>
        <v>"</v>
      </c>
      <c r="B2708" s="9" t="s">
        <v>2717</v>
      </c>
      <c r="C2708" s="9" t="str">
        <f>IFERROR(__xludf.DUMMYFUNCTION("""COMPUTED_VALUE"""),""":""")</f>
        <v>":"</v>
      </c>
      <c r="D2708" s="24">
        <v>2.0248888511809958E19</v>
      </c>
      <c r="E2708" s="9" t="str">
        <f>IFERROR(__xludf.DUMMYFUNCTION("""COMPUTED_VALUE"""),""",")</f>
        <v>",</v>
      </c>
    </row>
    <row r="2709">
      <c r="A2709" s="9" t="str">
        <f>IFERROR(__xludf.DUMMYFUNCTION("""COMPUTED_VALUE"""),"""")</f>
        <v>"</v>
      </c>
      <c r="B2709" s="9" t="s">
        <v>2718</v>
      </c>
      <c r="C2709" s="9" t="str">
        <f>IFERROR(__xludf.DUMMYFUNCTION("""COMPUTED_VALUE"""),""":""")</f>
        <v>":"</v>
      </c>
      <c r="D2709" s="24">
        <v>5.875100606733356E18</v>
      </c>
      <c r="E2709" s="9" t="str">
        <f>IFERROR(__xludf.DUMMYFUNCTION("""COMPUTED_VALUE"""),""",")</f>
        <v>",</v>
      </c>
    </row>
    <row r="2710">
      <c r="A2710" s="9" t="str">
        <f>IFERROR(__xludf.DUMMYFUNCTION("""COMPUTED_VALUE"""),"""")</f>
        <v>"</v>
      </c>
      <c r="B2710" s="9" t="s">
        <v>2719</v>
      </c>
      <c r="C2710" s="9" t="str">
        <f>IFERROR(__xludf.DUMMYFUNCTION("""COMPUTED_VALUE"""),""":""")</f>
        <v>":"</v>
      </c>
      <c r="D2710" s="24">
        <v>2.0248888511809958E19</v>
      </c>
      <c r="E2710" s="9" t="str">
        <f>IFERROR(__xludf.DUMMYFUNCTION("""COMPUTED_VALUE"""),""",")</f>
        <v>",</v>
      </c>
    </row>
    <row r="2711">
      <c r="A2711" s="9" t="str">
        <f>IFERROR(__xludf.DUMMYFUNCTION("""COMPUTED_VALUE"""),"""")</f>
        <v>"</v>
      </c>
      <c r="B2711" s="9" t="s">
        <v>2720</v>
      </c>
      <c r="C2711" s="9" t="str">
        <f>IFERROR(__xludf.DUMMYFUNCTION("""COMPUTED_VALUE"""),""":""")</f>
        <v>":"</v>
      </c>
      <c r="D2711" s="24">
        <v>2.0248888511809958E19</v>
      </c>
      <c r="E2711" s="9" t="str">
        <f>IFERROR(__xludf.DUMMYFUNCTION("""COMPUTED_VALUE"""),""",")</f>
        <v>",</v>
      </c>
    </row>
    <row r="2712">
      <c r="A2712" s="9" t="str">
        <f>IFERROR(__xludf.DUMMYFUNCTION("""COMPUTED_VALUE"""),"""")</f>
        <v>"</v>
      </c>
      <c r="B2712" s="9" t="s">
        <v>2721</v>
      </c>
      <c r="C2712" s="9" t="str">
        <f>IFERROR(__xludf.DUMMYFUNCTION("""COMPUTED_VALUE"""),""":""")</f>
        <v>":"</v>
      </c>
      <c r="D2712" s="24">
        <v>6.2005979458241782E18</v>
      </c>
      <c r="E2712" s="9" t="str">
        <f>IFERROR(__xludf.DUMMYFUNCTION("""COMPUTED_VALUE"""),""",")</f>
        <v>",</v>
      </c>
    </row>
    <row r="2713">
      <c r="A2713" s="9" t="str">
        <f>IFERROR(__xludf.DUMMYFUNCTION("""COMPUTED_VALUE"""),"""")</f>
        <v>"</v>
      </c>
      <c r="B2713" s="9" t="s">
        <v>2722</v>
      </c>
      <c r="C2713" s="9" t="str">
        <f>IFERROR(__xludf.DUMMYFUNCTION("""COMPUTED_VALUE"""),""":""")</f>
        <v>":"</v>
      </c>
      <c r="D2713" s="24">
        <v>1.93496098851615104E18</v>
      </c>
      <c r="E2713" s="9" t="str">
        <f>IFERROR(__xludf.DUMMYFUNCTION("""COMPUTED_VALUE"""),""",")</f>
        <v>",</v>
      </c>
    </row>
    <row r="2714">
      <c r="A2714" s="9" t="str">
        <f>IFERROR(__xludf.DUMMYFUNCTION("""COMPUTED_VALUE"""),"""")</f>
        <v>"</v>
      </c>
      <c r="B2714" s="9" t="s">
        <v>2723</v>
      </c>
      <c r="C2714" s="9" t="str">
        <f>IFERROR(__xludf.DUMMYFUNCTION("""COMPUTED_VALUE"""),""":""")</f>
        <v>":"</v>
      </c>
      <c r="D2714" s="24">
        <v>9.477102225600444E18</v>
      </c>
      <c r="E2714" s="9" t="str">
        <f>IFERROR(__xludf.DUMMYFUNCTION("""COMPUTED_VALUE"""),""",")</f>
        <v>",</v>
      </c>
    </row>
    <row r="2715">
      <c r="A2715" s="9" t="str">
        <f>IFERROR(__xludf.DUMMYFUNCTION("""COMPUTED_VALUE"""),"""")</f>
        <v>"</v>
      </c>
      <c r="B2715" s="9" t="s">
        <v>2724</v>
      </c>
      <c r="C2715" s="9" t="str">
        <f>IFERROR(__xludf.DUMMYFUNCTION("""COMPUTED_VALUE"""),""":""")</f>
        <v>":"</v>
      </c>
      <c r="D2715" s="24">
        <v>4.3215592474402222E18</v>
      </c>
      <c r="E2715" s="9" t="str">
        <f>IFERROR(__xludf.DUMMYFUNCTION("""COMPUTED_VALUE"""),""",")</f>
        <v>",</v>
      </c>
    </row>
    <row r="2716">
      <c r="A2716" s="9" t="str">
        <f>IFERROR(__xludf.DUMMYFUNCTION("""COMPUTED_VALUE"""),"""")</f>
        <v>"</v>
      </c>
      <c r="B2716" s="9" t="s">
        <v>2725</v>
      </c>
      <c r="C2716" s="9" t="str">
        <f>IFERROR(__xludf.DUMMYFUNCTION("""COMPUTED_VALUE"""),""":""")</f>
        <v>":"</v>
      </c>
      <c r="D2716" s="24">
        <v>2.3672967851402842E19</v>
      </c>
      <c r="E2716" s="9" t="str">
        <f>IFERROR(__xludf.DUMMYFUNCTION("""COMPUTED_VALUE"""),""",")</f>
        <v>",</v>
      </c>
    </row>
    <row r="2717">
      <c r="A2717" s="9" t="str">
        <f>IFERROR(__xludf.DUMMYFUNCTION("""COMPUTED_VALUE"""),"""")</f>
        <v>"</v>
      </c>
      <c r="B2717" s="9" t="s">
        <v>2726</v>
      </c>
      <c r="C2717" s="9" t="str">
        <f>IFERROR(__xludf.DUMMYFUNCTION("""COMPUTED_VALUE"""),""":""")</f>
        <v>":"</v>
      </c>
      <c r="D2717" s="24">
        <v>6.2005979458241782E18</v>
      </c>
      <c r="E2717" s="9" t="str">
        <f>IFERROR(__xludf.DUMMYFUNCTION("""COMPUTED_VALUE"""),""",")</f>
        <v>",</v>
      </c>
    </row>
    <row r="2718">
      <c r="A2718" s="9" t="str">
        <f>IFERROR(__xludf.DUMMYFUNCTION("""COMPUTED_VALUE"""),"""")</f>
        <v>"</v>
      </c>
      <c r="B2718" s="9" t="s">
        <v>2727</v>
      </c>
      <c r="C2718" s="9" t="str">
        <f>IFERROR(__xludf.DUMMYFUNCTION("""COMPUTED_VALUE"""),""":""")</f>
        <v>":"</v>
      </c>
      <c r="D2718" s="24">
        <v>6.2005979458241782E18</v>
      </c>
      <c r="E2718" s="9" t="str">
        <f>IFERROR(__xludf.DUMMYFUNCTION("""COMPUTED_VALUE"""),""",")</f>
        <v>",</v>
      </c>
    </row>
    <row r="2719">
      <c r="A2719" s="9" t="str">
        <f>IFERROR(__xludf.DUMMYFUNCTION("""COMPUTED_VALUE"""),"""")</f>
        <v>"</v>
      </c>
      <c r="B2719" s="9" t="s">
        <v>2728</v>
      </c>
      <c r="C2719" s="9" t="str">
        <f>IFERROR(__xludf.DUMMYFUNCTION("""COMPUTED_VALUE"""),""":""")</f>
        <v>":"</v>
      </c>
      <c r="D2719" s="24">
        <v>3.1613409859576223E18</v>
      </c>
      <c r="E2719" s="9" t="str">
        <f>IFERROR(__xludf.DUMMYFUNCTION("""COMPUTED_VALUE"""),""",")</f>
        <v>",</v>
      </c>
    </row>
    <row r="2720">
      <c r="A2720" s="9" t="str">
        <f>IFERROR(__xludf.DUMMYFUNCTION("""COMPUTED_VALUE"""),"""")</f>
        <v>"</v>
      </c>
      <c r="B2720" s="9" t="s">
        <v>2729</v>
      </c>
      <c r="C2720" s="9" t="str">
        <f>IFERROR(__xludf.DUMMYFUNCTION("""COMPUTED_VALUE"""),""":""")</f>
        <v>":"</v>
      </c>
      <c r="D2720" s="24">
        <v>6.1161292885822444E18</v>
      </c>
      <c r="E2720" s="9" t="str">
        <f>IFERROR(__xludf.DUMMYFUNCTION("""COMPUTED_VALUE"""),""",")</f>
        <v>",</v>
      </c>
    </row>
    <row r="2721">
      <c r="A2721" s="9" t="str">
        <f>IFERROR(__xludf.DUMMYFUNCTION("""COMPUTED_VALUE"""),"""")</f>
        <v>"</v>
      </c>
      <c r="B2721" s="9" t="s">
        <v>2730</v>
      </c>
      <c r="C2721" s="9" t="str">
        <f>IFERROR(__xludf.DUMMYFUNCTION("""COMPUTED_VALUE"""),""":""")</f>
        <v>":"</v>
      </c>
      <c r="D2721" s="24">
        <v>6.2005979458241782E18</v>
      </c>
      <c r="E2721" s="9" t="str">
        <f>IFERROR(__xludf.DUMMYFUNCTION("""COMPUTED_VALUE"""),""",")</f>
        <v>",</v>
      </c>
    </row>
    <row r="2722">
      <c r="A2722" s="9" t="str">
        <f>IFERROR(__xludf.DUMMYFUNCTION("""COMPUTED_VALUE"""),"""")</f>
        <v>"</v>
      </c>
      <c r="B2722" s="9" t="s">
        <v>2731</v>
      </c>
      <c r="C2722" s="9" t="str">
        <f>IFERROR(__xludf.DUMMYFUNCTION("""COMPUTED_VALUE"""),""":""")</f>
        <v>":"</v>
      </c>
      <c r="D2722" s="24">
        <v>5.6933622762593567E18</v>
      </c>
      <c r="E2722" s="9" t="str">
        <f>IFERROR(__xludf.DUMMYFUNCTION("""COMPUTED_VALUE"""),""",")</f>
        <v>",</v>
      </c>
    </row>
    <row r="2723">
      <c r="A2723" s="9" t="str">
        <f>IFERROR(__xludf.DUMMYFUNCTION("""COMPUTED_VALUE"""),"""")</f>
        <v>"</v>
      </c>
      <c r="B2723" s="9" t="s">
        <v>2732</v>
      </c>
      <c r="C2723" s="9" t="str">
        <f>IFERROR(__xludf.DUMMYFUNCTION("""COMPUTED_VALUE"""),""":""")</f>
        <v>":"</v>
      </c>
      <c r="D2723" s="24">
        <v>2.0248888511809958E19</v>
      </c>
      <c r="E2723" s="9" t="str">
        <f>IFERROR(__xludf.DUMMYFUNCTION("""COMPUTED_VALUE"""),""",")</f>
        <v>",</v>
      </c>
    </row>
    <row r="2724">
      <c r="A2724" s="9" t="str">
        <f>IFERROR(__xludf.DUMMYFUNCTION("""COMPUTED_VALUE"""),"""")</f>
        <v>"</v>
      </c>
      <c r="B2724" s="9" t="s">
        <v>2733</v>
      </c>
      <c r="C2724" s="9" t="str">
        <f>IFERROR(__xludf.DUMMYFUNCTION("""COMPUTED_VALUE"""),""":""")</f>
        <v>":"</v>
      </c>
      <c r="D2724" s="24">
        <v>2.0248888511809958E19</v>
      </c>
      <c r="E2724" s="9" t="str">
        <f>IFERROR(__xludf.DUMMYFUNCTION("""COMPUTED_VALUE"""),""",")</f>
        <v>",</v>
      </c>
    </row>
    <row r="2725">
      <c r="A2725" s="9" t="str">
        <f>IFERROR(__xludf.DUMMYFUNCTION("""COMPUTED_VALUE"""),"""")</f>
        <v>"</v>
      </c>
      <c r="B2725" s="9" t="s">
        <v>2734</v>
      </c>
      <c r="C2725" s="9" t="str">
        <f>IFERROR(__xludf.DUMMYFUNCTION("""COMPUTED_VALUE"""),""":""")</f>
        <v>":"</v>
      </c>
      <c r="D2725" s="24">
        <v>6.2005979458241782E18</v>
      </c>
      <c r="E2725" s="9" t="str">
        <f>IFERROR(__xludf.DUMMYFUNCTION("""COMPUTED_VALUE"""),""",")</f>
        <v>",</v>
      </c>
    </row>
    <row r="2726">
      <c r="A2726" s="9" t="str">
        <f>IFERROR(__xludf.DUMMYFUNCTION("""COMPUTED_VALUE"""),"""")</f>
        <v>"</v>
      </c>
      <c r="B2726" s="9" t="s">
        <v>2735</v>
      </c>
      <c r="C2726" s="9" t="str">
        <f>IFERROR(__xludf.DUMMYFUNCTION("""COMPUTED_VALUE"""),""":""")</f>
        <v>":"</v>
      </c>
      <c r="D2726" s="24">
        <v>5.1582863225264896E18</v>
      </c>
      <c r="E2726" s="9" t="str">
        <f>IFERROR(__xludf.DUMMYFUNCTION("""COMPUTED_VALUE"""),""",")</f>
        <v>",</v>
      </c>
    </row>
    <row r="2727">
      <c r="A2727" s="9" t="str">
        <f>IFERROR(__xludf.DUMMYFUNCTION("""COMPUTED_VALUE"""),"""")</f>
        <v>"</v>
      </c>
      <c r="B2727" s="9" t="s">
        <v>2736</v>
      </c>
      <c r="C2727" s="9" t="str">
        <f>IFERROR(__xludf.DUMMYFUNCTION("""COMPUTED_VALUE"""),""":""")</f>
        <v>":"</v>
      </c>
      <c r="D2727" s="24">
        <v>6.2005979458241782E18</v>
      </c>
      <c r="E2727" s="9" t="str">
        <f>IFERROR(__xludf.DUMMYFUNCTION("""COMPUTED_VALUE"""),""",")</f>
        <v>",</v>
      </c>
    </row>
    <row r="2728">
      <c r="A2728" s="9" t="str">
        <f>IFERROR(__xludf.DUMMYFUNCTION("""COMPUTED_VALUE"""),"""")</f>
        <v>"</v>
      </c>
      <c r="B2728" s="9" t="s">
        <v>2737</v>
      </c>
      <c r="C2728" s="9" t="str">
        <f>IFERROR(__xludf.DUMMYFUNCTION("""COMPUTED_VALUE"""),""":""")</f>
        <v>":"</v>
      </c>
      <c r="D2728" s="24">
        <v>5.4325112721706885E18</v>
      </c>
      <c r="E2728" s="9" t="str">
        <f>IFERROR(__xludf.DUMMYFUNCTION("""COMPUTED_VALUE"""),""",")</f>
        <v>",</v>
      </c>
    </row>
    <row r="2729">
      <c r="A2729" s="9" t="str">
        <f>IFERROR(__xludf.DUMMYFUNCTION("""COMPUTED_VALUE"""),"""")</f>
        <v>"</v>
      </c>
      <c r="B2729" s="9" t="s">
        <v>2738</v>
      </c>
      <c r="C2729" s="9" t="str">
        <f>IFERROR(__xludf.DUMMYFUNCTION("""COMPUTED_VALUE"""),""":""")</f>
        <v>":"</v>
      </c>
      <c r="D2729" s="24">
        <v>6.2005979458241782E18</v>
      </c>
      <c r="E2729" s="9" t="str">
        <f>IFERROR(__xludf.DUMMYFUNCTION("""COMPUTED_VALUE"""),""",")</f>
        <v>",</v>
      </c>
    </row>
    <row r="2730">
      <c r="A2730" s="9" t="str">
        <f>IFERROR(__xludf.DUMMYFUNCTION("""COMPUTED_VALUE"""),"""")</f>
        <v>"</v>
      </c>
      <c r="B2730" s="9" t="s">
        <v>2739</v>
      </c>
      <c r="C2730" s="9" t="str">
        <f>IFERROR(__xludf.DUMMYFUNCTION("""COMPUTED_VALUE"""),""":""")</f>
        <v>":"</v>
      </c>
      <c r="D2730" s="24">
        <v>6.2005979458241782E18</v>
      </c>
      <c r="E2730" s="9" t="str">
        <f>IFERROR(__xludf.DUMMYFUNCTION("""COMPUTED_VALUE"""),""",")</f>
        <v>",</v>
      </c>
    </row>
    <row r="2731">
      <c r="A2731" s="9" t="str">
        <f>IFERROR(__xludf.DUMMYFUNCTION("""COMPUTED_VALUE"""),"""")</f>
        <v>"</v>
      </c>
      <c r="B2731" s="9" t="s">
        <v>2740</v>
      </c>
      <c r="C2731" s="9" t="str">
        <f>IFERROR(__xludf.DUMMYFUNCTION("""COMPUTED_VALUE"""),""":""")</f>
        <v>":"</v>
      </c>
      <c r="D2731" s="24">
        <v>2.0248888511809958E19</v>
      </c>
      <c r="E2731" s="9" t="str">
        <f>IFERROR(__xludf.DUMMYFUNCTION("""COMPUTED_VALUE"""),""",")</f>
        <v>",</v>
      </c>
    </row>
    <row r="2732">
      <c r="A2732" s="9" t="str">
        <f>IFERROR(__xludf.DUMMYFUNCTION("""COMPUTED_VALUE"""),"""")</f>
        <v>"</v>
      </c>
      <c r="B2732" s="9" t="s">
        <v>2741</v>
      </c>
      <c r="C2732" s="9" t="str">
        <f>IFERROR(__xludf.DUMMYFUNCTION("""COMPUTED_VALUE"""),""":""")</f>
        <v>":"</v>
      </c>
      <c r="D2732" s="24">
        <v>3.0626436980024046E19</v>
      </c>
      <c r="E2732" s="9" t="str">
        <f>IFERROR(__xludf.DUMMYFUNCTION("""COMPUTED_VALUE"""),""",")</f>
        <v>",</v>
      </c>
    </row>
    <row r="2733">
      <c r="A2733" s="9" t="str">
        <f>IFERROR(__xludf.DUMMYFUNCTION("""COMPUTED_VALUE"""),"""")</f>
        <v>"</v>
      </c>
      <c r="B2733" s="9" t="s">
        <v>2742</v>
      </c>
      <c r="C2733" s="9" t="str">
        <f>IFERROR(__xludf.DUMMYFUNCTION("""COMPUTED_VALUE"""),""":""")</f>
        <v>":"</v>
      </c>
      <c r="D2733" s="24">
        <v>6.2005979458241782E18</v>
      </c>
      <c r="E2733" s="9" t="str">
        <f>IFERROR(__xludf.DUMMYFUNCTION("""COMPUTED_VALUE"""),""",")</f>
        <v>",</v>
      </c>
    </row>
    <row r="2734">
      <c r="A2734" s="9" t="str">
        <f>IFERROR(__xludf.DUMMYFUNCTION("""COMPUTED_VALUE"""),"""")</f>
        <v>"</v>
      </c>
      <c r="B2734" s="9" t="s">
        <v>2743</v>
      </c>
      <c r="C2734" s="9" t="str">
        <f>IFERROR(__xludf.DUMMYFUNCTION("""COMPUTED_VALUE"""),""":""")</f>
        <v>":"</v>
      </c>
      <c r="D2734" s="24">
        <v>1.9851851284070867E19</v>
      </c>
      <c r="E2734" s="9" t="str">
        <f>IFERROR(__xludf.DUMMYFUNCTION("""COMPUTED_VALUE"""),""",")</f>
        <v>",</v>
      </c>
    </row>
    <row r="2735">
      <c r="A2735" s="9" t="str">
        <f>IFERROR(__xludf.DUMMYFUNCTION("""COMPUTED_VALUE"""),"""")</f>
        <v>"</v>
      </c>
      <c r="B2735" s="9" t="s">
        <v>2744</v>
      </c>
      <c r="C2735" s="9" t="str">
        <f>IFERROR(__xludf.DUMMYFUNCTION("""COMPUTED_VALUE"""),""":""")</f>
        <v>":"</v>
      </c>
      <c r="D2735" s="24">
        <v>2.0248888511809958E19</v>
      </c>
      <c r="E2735" s="9" t="str">
        <f>IFERROR(__xludf.DUMMYFUNCTION("""COMPUTED_VALUE"""),""",")</f>
        <v>",</v>
      </c>
    </row>
    <row r="2736">
      <c r="A2736" s="9" t="str">
        <f>IFERROR(__xludf.DUMMYFUNCTION("""COMPUTED_VALUE"""),"""")</f>
        <v>"</v>
      </c>
      <c r="B2736" s="9" t="s">
        <v>2745</v>
      </c>
      <c r="C2736" s="9" t="str">
        <f>IFERROR(__xludf.DUMMYFUNCTION("""COMPUTED_VALUE"""),""":""")</f>
        <v>":"</v>
      </c>
      <c r="D2736" s="24">
        <v>1.0814100440672688E19</v>
      </c>
      <c r="E2736" s="9" t="str">
        <f>IFERROR(__xludf.DUMMYFUNCTION("""COMPUTED_VALUE"""),""",")</f>
        <v>",</v>
      </c>
    </row>
    <row r="2737">
      <c r="A2737" s="9" t="str">
        <f>IFERROR(__xludf.DUMMYFUNCTION("""COMPUTED_VALUE"""),"""")</f>
        <v>"</v>
      </c>
      <c r="B2737" s="9" t="s">
        <v>2746</v>
      </c>
      <c r="C2737" s="9" t="str">
        <f>IFERROR(__xludf.DUMMYFUNCTION("""COMPUTED_VALUE"""),""":""")</f>
        <v>":"</v>
      </c>
      <c r="D2737" s="24">
        <v>5.9266557544676004E18</v>
      </c>
      <c r="E2737" s="9" t="str">
        <f>IFERROR(__xludf.DUMMYFUNCTION("""COMPUTED_VALUE"""),""",")</f>
        <v>",</v>
      </c>
    </row>
    <row r="2738">
      <c r="A2738" s="9" t="str">
        <f>IFERROR(__xludf.DUMMYFUNCTION("""COMPUTED_VALUE"""),"""")</f>
        <v>"</v>
      </c>
      <c r="B2738" s="9" t="s">
        <v>2747</v>
      </c>
      <c r="C2738" s="9" t="str">
        <f>IFERROR(__xludf.DUMMYFUNCTION("""COMPUTED_VALUE"""),""":""")</f>
        <v>":"</v>
      </c>
      <c r="D2738" s="24">
        <v>6.2005979458241782E18</v>
      </c>
      <c r="E2738" s="9" t="str">
        <f>IFERROR(__xludf.DUMMYFUNCTION("""COMPUTED_VALUE"""),""",")</f>
        <v>",</v>
      </c>
    </row>
    <row r="2739">
      <c r="A2739" s="9" t="str">
        <f>IFERROR(__xludf.DUMMYFUNCTION("""COMPUTED_VALUE"""),"""")</f>
        <v>"</v>
      </c>
      <c r="B2739" s="9" t="s">
        <v>2748</v>
      </c>
      <c r="C2739" s="9" t="str">
        <f>IFERROR(__xludf.DUMMYFUNCTION("""COMPUTED_VALUE"""),""":""")</f>
        <v>":"</v>
      </c>
      <c r="D2739" s="24">
        <v>2.0248888511809958E19</v>
      </c>
      <c r="E2739" s="9" t="str">
        <f>IFERROR(__xludf.DUMMYFUNCTION("""COMPUTED_VALUE"""),""",")</f>
        <v>",</v>
      </c>
    </row>
    <row r="2740">
      <c r="A2740" s="9" t="str">
        <f>IFERROR(__xludf.DUMMYFUNCTION("""COMPUTED_VALUE"""),"""")</f>
        <v>"</v>
      </c>
      <c r="B2740" s="9" t="s">
        <v>2749</v>
      </c>
      <c r="C2740" s="9" t="str">
        <f>IFERROR(__xludf.DUMMYFUNCTION("""COMPUTED_VALUE"""),""":""")</f>
        <v>":"</v>
      </c>
      <c r="D2740" s="24">
        <v>4.4250444256993772E18</v>
      </c>
      <c r="E2740" s="9" t="str">
        <f>IFERROR(__xludf.DUMMYFUNCTION("""COMPUTED_VALUE"""),""",")</f>
        <v>",</v>
      </c>
    </row>
    <row r="2741">
      <c r="A2741" s="9" t="str">
        <f>IFERROR(__xludf.DUMMYFUNCTION("""COMPUTED_VALUE"""),"""")</f>
        <v>"</v>
      </c>
      <c r="B2741" s="9" t="s">
        <v>2750</v>
      </c>
      <c r="C2741" s="9" t="str">
        <f>IFERROR(__xludf.DUMMYFUNCTION("""COMPUTED_VALUE"""),""":""")</f>
        <v>":"</v>
      </c>
      <c r="D2741" s="24">
        <v>1.68303654582546022E18</v>
      </c>
      <c r="E2741" s="9" t="str">
        <f>IFERROR(__xludf.DUMMYFUNCTION("""COMPUTED_VALUE"""),""",")</f>
        <v>",</v>
      </c>
    </row>
    <row r="2742">
      <c r="A2742" s="9" t="str">
        <f>IFERROR(__xludf.DUMMYFUNCTION("""COMPUTED_VALUE"""),"""")</f>
        <v>"</v>
      </c>
      <c r="B2742" s="9" t="s">
        <v>2751</v>
      </c>
      <c r="C2742" s="9" t="str">
        <f>IFERROR(__xludf.DUMMYFUNCTION("""COMPUTED_VALUE"""),""":""")</f>
        <v>":"</v>
      </c>
      <c r="D2742" s="24">
        <v>6.6329957986664315E18</v>
      </c>
      <c r="E2742" s="9" t="str">
        <f>IFERROR(__xludf.DUMMYFUNCTION("""COMPUTED_VALUE"""),""",")</f>
        <v>",</v>
      </c>
    </row>
    <row r="2743">
      <c r="A2743" s="9" t="str">
        <f>IFERROR(__xludf.DUMMYFUNCTION("""COMPUTED_VALUE"""),"""")</f>
        <v>"</v>
      </c>
      <c r="B2743" s="9" t="s">
        <v>2752</v>
      </c>
      <c r="C2743" s="9" t="str">
        <f>IFERROR(__xludf.DUMMYFUNCTION("""COMPUTED_VALUE"""),""":""")</f>
        <v>":"</v>
      </c>
      <c r="D2743" s="24">
        <v>4.6266622813074668E18</v>
      </c>
      <c r="E2743" s="9" t="str">
        <f>IFERROR(__xludf.DUMMYFUNCTION("""COMPUTED_VALUE"""),""",")</f>
        <v>",</v>
      </c>
    </row>
    <row r="2744">
      <c r="A2744" s="9" t="str">
        <f>IFERROR(__xludf.DUMMYFUNCTION("""COMPUTED_VALUE"""),"""")</f>
        <v>"</v>
      </c>
      <c r="B2744" s="9" t="s">
        <v>2753</v>
      </c>
      <c r="C2744" s="9" t="str">
        <f>IFERROR(__xludf.DUMMYFUNCTION("""COMPUTED_VALUE"""),""":""")</f>
        <v>":"</v>
      </c>
      <c r="D2744" s="24">
        <v>1.4662436537856377E19</v>
      </c>
      <c r="E2744" s="9" t="str">
        <f>IFERROR(__xludf.DUMMYFUNCTION("""COMPUTED_VALUE"""),""",")</f>
        <v>",</v>
      </c>
    </row>
    <row r="2745">
      <c r="A2745" s="9" t="str">
        <f>IFERROR(__xludf.DUMMYFUNCTION("""COMPUTED_VALUE"""),"""")</f>
        <v>"</v>
      </c>
      <c r="B2745" s="9" t="s">
        <v>2754</v>
      </c>
      <c r="C2745" s="9" t="str">
        <f>IFERROR(__xludf.DUMMYFUNCTION("""COMPUTED_VALUE"""),""":""")</f>
        <v>":"</v>
      </c>
      <c r="D2745" s="24">
        <v>6.6555909140750807E18</v>
      </c>
      <c r="E2745" s="9" t="str">
        <f>IFERROR(__xludf.DUMMYFUNCTION("""COMPUTED_VALUE"""),""",")</f>
        <v>",</v>
      </c>
    </row>
    <row r="2746">
      <c r="A2746" s="9" t="str">
        <f>IFERROR(__xludf.DUMMYFUNCTION("""COMPUTED_VALUE"""),"""")</f>
        <v>"</v>
      </c>
      <c r="B2746" s="9" t="s">
        <v>2755</v>
      </c>
      <c r="C2746" s="9" t="str">
        <f>IFERROR(__xludf.DUMMYFUNCTION("""COMPUTED_VALUE"""),""":""")</f>
        <v>":"</v>
      </c>
      <c r="D2746" s="24">
        <v>6.2005979458241782E18</v>
      </c>
      <c r="E2746" s="9" t="str">
        <f>IFERROR(__xludf.DUMMYFUNCTION("""COMPUTED_VALUE"""),""",")</f>
        <v>",</v>
      </c>
    </row>
    <row r="2747">
      <c r="A2747" s="9" t="str">
        <f>IFERROR(__xludf.DUMMYFUNCTION("""COMPUTED_VALUE"""),"""")</f>
        <v>"</v>
      </c>
      <c r="B2747" s="9" t="s">
        <v>2756</v>
      </c>
      <c r="C2747" s="9" t="str">
        <f>IFERROR(__xludf.DUMMYFUNCTION("""COMPUTED_VALUE"""),""":""")</f>
        <v>":"</v>
      </c>
      <c r="D2747" s="24">
        <v>4.7050367883308227E18</v>
      </c>
      <c r="E2747" s="9" t="str">
        <f>IFERROR(__xludf.DUMMYFUNCTION("""COMPUTED_VALUE"""),""",")</f>
        <v>",</v>
      </c>
    </row>
    <row r="2748">
      <c r="A2748" s="9" t="str">
        <f>IFERROR(__xludf.DUMMYFUNCTION("""COMPUTED_VALUE"""),"""")</f>
        <v>"</v>
      </c>
      <c r="B2748" s="9" t="s">
        <v>2757</v>
      </c>
      <c r="C2748" s="9" t="str">
        <f>IFERROR(__xludf.DUMMYFUNCTION("""COMPUTED_VALUE"""),""":""")</f>
        <v>":"</v>
      </c>
      <c r="D2748" s="24">
        <v>2.0248888511809958E19</v>
      </c>
      <c r="E2748" s="9" t="str">
        <f>IFERROR(__xludf.DUMMYFUNCTION("""COMPUTED_VALUE"""),""",")</f>
        <v>",</v>
      </c>
    </row>
    <row r="2749">
      <c r="A2749" s="9" t="str">
        <f>IFERROR(__xludf.DUMMYFUNCTION("""COMPUTED_VALUE"""),"""")</f>
        <v>"</v>
      </c>
      <c r="B2749" s="9" t="s">
        <v>2758</v>
      </c>
      <c r="C2749" s="9" t="str">
        <f>IFERROR(__xludf.DUMMYFUNCTION("""COMPUTED_VALUE"""),""":""")</f>
        <v>":"</v>
      </c>
      <c r="D2749" s="24">
        <v>1.5520816496146358E19</v>
      </c>
      <c r="E2749" s="9" t="str">
        <f>IFERROR(__xludf.DUMMYFUNCTION("""COMPUTED_VALUE"""),""",")</f>
        <v>",</v>
      </c>
    </row>
    <row r="2750">
      <c r="A2750" s="9" t="str">
        <f>IFERROR(__xludf.DUMMYFUNCTION("""COMPUTED_VALUE"""),"""")</f>
        <v>"</v>
      </c>
      <c r="B2750" s="9" t="s">
        <v>2759</v>
      </c>
      <c r="C2750" s="9" t="str">
        <f>IFERROR(__xludf.DUMMYFUNCTION("""COMPUTED_VALUE"""),""":""")</f>
        <v>":"</v>
      </c>
      <c r="D2750" s="24">
        <v>6.5285033075864625E19</v>
      </c>
      <c r="E2750" s="9" t="str">
        <f>IFERROR(__xludf.DUMMYFUNCTION("""COMPUTED_VALUE"""),""",")</f>
        <v>",</v>
      </c>
    </row>
    <row r="2751">
      <c r="A2751" s="9" t="str">
        <f>IFERROR(__xludf.DUMMYFUNCTION("""COMPUTED_VALUE"""),"""")</f>
        <v>"</v>
      </c>
      <c r="B2751" s="9" t="s">
        <v>2760</v>
      </c>
      <c r="C2751" s="9" t="str">
        <f>IFERROR(__xludf.DUMMYFUNCTION("""COMPUTED_VALUE"""),""":""")</f>
        <v>":"</v>
      </c>
      <c r="D2751" s="24">
        <v>2.0248888511809958E19</v>
      </c>
      <c r="E2751" s="9" t="str">
        <f>IFERROR(__xludf.DUMMYFUNCTION("""COMPUTED_VALUE"""),""",")</f>
        <v>",</v>
      </c>
    </row>
    <row r="2752">
      <c r="A2752" s="9" t="str">
        <f>IFERROR(__xludf.DUMMYFUNCTION("""COMPUTED_VALUE"""),"""")</f>
        <v>"</v>
      </c>
      <c r="B2752" s="9" t="s">
        <v>2761</v>
      </c>
      <c r="C2752" s="9" t="str">
        <f>IFERROR(__xludf.DUMMYFUNCTION("""COMPUTED_VALUE"""),""":""")</f>
        <v>":"</v>
      </c>
      <c r="D2752" s="24">
        <v>6.2005979458241782E18</v>
      </c>
      <c r="E2752" s="9" t="str">
        <f>IFERROR(__xludf.DUMMYFUNCTION("""COMPUTED_VALUE"""),""",")</f>
        <v>",</v>
      </c>
    </row>
    <row r="2753">
      <c r="A2753" s="9" t="str">
        <f>IFERROR(__xludf.DUMMYFUNCTION("""COMPUTED_VALUE"""),"""")</f>
        <v>"</v>
      </c>
      <c r="B2753" s="9" t="s">
        <v>2762</v>
      </c>
      <c r="C2753" s="9" t="str">
        <f>IFERROR(__xludf.DUMMYFUNCTION("""COMPUTED_VALUE"""),""":""")</f>
        <v>":"</v>
      </c>
      <c r="D2753" s="24">
        <v>6.2005979458241782E18</v>
      </c>
      <c r="E2753" s="9" t="str">
        <f>IFERROR(__xludf.DUMMYFUNCTION("""COMPUTED_VALUE"""),""",")</f>
        <v>",</v>
      </c>
    </row>
    <row r="2754">
      <c r="A2754" s="9" t="str">
        <f>IFERROR(__xludf.DUMMYFUNCTION("""COMPUTED_VALUE"""),"""")</f>
        <v>"</v>
      </c>
      <c r="B2754" s="9" t="s">
        <v>2763</v>
      </c>
      <c r="C2754" s="9" t="str">
        <f>IFERROR(__xludf.DUMMYFUNCTION("""COMPUTED_VALUE"""),""":""")</f>
        <v>":"</v>
      </c>
      <c r="D2754" s="24">
        <v>3.2866257857746936E19</v>
      </c>
      <c r="E2754" s="9" t="str">
        <f>IFERROR(__xludf.DUMMYFUNCTION("""COMPUTED_VALUE"""),""",")</f>
        <v>",</v>
      </c>
    </row>
    <row r="2755">
      <c r="A2755" s="9" t="str">
        <f>IFERROR(__xludf.DUMMYFUNCTION("""COMPUTED_VALUE"""),"""")</f>
        <v>"</v>
      </c>
      <c r="B2755" s="9" t="s">
        <v>2764</v>
      </c>
      <c r="C2755" s="9" t="str">
        <f>IFERROR(__xludf.DUMMYFUNCTION("""COMPUTED_VALUE"""),""":""")</f>
        <v>":"</v>
      </c>
      <c r="D2755" s="24">
        <v>1.509417866551044E20</v>
      </c>
      <c r="E2755" s="9" t="str">
        <f>IFERROR(__xludf.DUMMYFUNCTION("""COMPUTED_VALUE"""),""",")</f>
        <v>",</v>
      </c>
    </row>
    <row r="2756">
      <c r="A2756" s="9" t="str">
        <f>IFERROR(__xludf.DUMMYFUNCTION("""COMPUTED_VALUE"""),"""")</f>
        <v>"</v>
      </c>
      <c r="B2756" s="9" t="s">
        <v>2765</v>
      </c>
      <c r="C2756" s="9" t="str">
        <f>IFERROR(__xludf.DUMMYFUNCTION("""COMPUTED_VALUE"""),""":""")</f>
        <v>":"</v>
      </c>
      <c r="D2756" s="24">
        <v>9.70143195486782E18</v>
      </c>
      <c r="E2756" s="9" t="str">
        <f>IFERROR(__xludf.DUMMYFUNCTION("""COMPUTED_VALUE"""),""",")</f>
        <v>",</v>
      </c>
    </row>
    <row r="2757">
      <c r="A2757" s="9" t="str">
        <f>IFERROR(__xludf.DUMMYFUNCTION("""COMPUTED_VALUE"""),"""")</f>
        <v>"</v>
      </c>
      <c r="B2757" s="9" t="s">
        <v>2766</v>
      </c>
      <c r="C2757" s="9" t="str">
        <f>IFERROR(__xludf.DUMMYFUNCTION("""COMPUTED_VALUE"""),""":""")</f>
        <v>":"</v>
      </c>
      <c r="D2757" s="24">
        <v>6.2005979458241782E18</v>
      </c>
      <c r="E2757" s="9" t="str">
        <f>IFERROR(__xludf.DUMMYFUNCTION("""COMPUTED_VALUE"""),""",")</f>
        <v>",</v>
      </c>
    </row>
    <row r="2758">
      <c r="A2758" s="9" t="str">
        <f>IFERROR(__xludf.DUMMYFUNCTION("""COMPUTED_VALUE"""),"""")</f>
        <v>"</v>
      </c>
      <c r="B2758" s="9" t="s">
        <v>2767</v>
      </c>
      <c r="C2758" s="9" t="str">
        <f>IFERROR(__xludf.DUMMYFUNCTION("""COMPUTED_VALUE"""),""":""")</f>
        <v>":"</v>
      </c>
      <c r="D2758" s="24">
        <v>2.200076734157737E19</v>
      </c>
      <c r="E2758" s="9" t="str">
        <f>IFERROR(__xludf.DUMMYFUNCTION("""COMPUTED_VALUE"""),""",")</f>
        <v>",</v>
      </c>
    </row>
    <row r="2759">
      <c r="A2759" s="9" t="str">
        <f>IFERROR(__xludf.DUMMYFUNCTION("""COMPUTED_VALUE"""),"""")</f>
        <v>"</v>
      </c>
      <c r="B2759" s="9" t="s">
        <v>2768</v>
      </c>
      <c r="C2759" s="9" t="str">
        <f>IFERROR(__xludf.DUMMYFUNCTION("""COMPUTED_VALUE"""),""":""")</f>
        <v>":"</v>
      </c>
      <c r="D2759" s="24">
        <v>2.0248888511809958E19</v>
      </c>
      <c r="E2759" s="9" t="str">
        <f>IFERROR(__xludf.DUMMYFUNCTION("""COMPUTED_VALUE"""),""",")</f>
        <v>",</v>
      </c>
    </row>
    <row r="2760">
      <c r="A2760" s="9" t="str">
        <f>IFERROR(__xludf.DUMMYFUNCTION("""COMPUTED_VALUE"""),"""")</f>
        <v>"</v>
      </c>
      <c r="B2760" s="9" t="s">
        <v>2769</v>
      </c>
      <c r="C2760" s="9" t="str">
        <f>IFERROR(__xludf.DUMMYFUNCTION("""COMPUTED_VALUE"""),""":""")</f>
        <v>":"</v>
      </c>
      <c r="D2760" s="24">
        <v>5.6702067655241339E18</v>
      </c>
      <c r="E2760" s="9" t="str">
        <f>IFERROR(__xludf.DUMMYFUNCTION("""COMPUTED_VALUE"""),""",")</f>
        <v>",</v>
      </c>
    </row>
    <row r="2761">
      <c r="A2761" s="9" t="str">
        <f>IFERROR(__xludf.DUMMYFUNCTION("""COMPUTED_VALUE"""),"""")</f>
        <v>"</v>
      </c>
      <c r="B2761" s="9" t="s">
        <v>2770</v>
      </c>
      <c r="C2761" s="9" t="str">
        <f>IFERROR(__xludf.DUMMYFUNCTION("""COMPUTED_VALUE"""),""":""")</f>
        <v>":"</v>
      </c>
      <c r="D2761" s="24">
        <v>2.0248888511809958E19</v>
      </c>
      <c r="E2761" s="9" t="str">
        <f>IFERROR(__xludf.DUMMYFUNCTION("""COMPUTED_VALUE"""),""",")</f>
        <v>",</v>
      </c>
    </row>
    <row r="2762">
      <c r="A2762" s="9" t="str">
        <f>IFERROR(__xludf.DUMMYFUNCTION("""COMPUTED_VALUE"""),"""")</f>
        <v>"</v>
      </c>
      <c r="B2762" s="9" t="s">
        <v>2771</v>
      </c>
      <c r="C2762" s="9" t="str">
        <f>IFERROR(__xludf.DUMMYFUNCTION("""COMPUTED_VALUE"""),""":""")</f>
        <v>":"</v>
      </c>
      <c r="D2762" s="24">
        <v>2.0248888511809958E19</v>
      </c>
      <c r="E2762" s="9" t="str">
        <f>IFERROR(__xludf.DUMMYFUNCTION("""COMPUTED_VALUE"""),""",")</f>
        <v>",</v>
      </c>
    </row>
    <row r="2763">
      <c r="A2763" s="9" t="str">
        <f>IFERROR(__xludf.DUMMYFUNCTION("""COMPUTED_VALUE"""),"""")</f>
        <v>"</v>
      </c>
      <c r="B2763" s="9" t="s">
        <v>2772</v>
      </c>
      <c r="C2763" s="9" t="str">
        <f>IFERROR(__xludf.DUMMYFUNCTION("""COMPUTED_VALUE"""),""":""")</f>
        <v>":"</v>
      </c>
      <c r="D2763" s="24">
        <v>5.7946931802684006E18</v>
      </c>
      <c r="E2763" s="9" t="str">
        <f>IFERROR(__xludf.DUMMYFUNCTION("""COMPUTED_VALUE"""),""",")</f>
        <v>",</v>
      </c>
    </row>
    <row r="2764">
      <c r="A2764" s="9" t="str">
        <f>IFERROR(__xludf.DUMMYFUNCTION("""COMPUTED_VALUE"""),"""")</f>
        <v>"</v>
      </c>
      <c r="B2764" s="9" t="s">
        <v>2773</v>
      </c>
      <c r="C2764" s="9" t="str">
        <f>IFERROR(__xludf.DUMMYFUNCTION("""COMPUTED_VALUE"""),""":""")</f>
        <v>":"</v>
      </c>
      <c r="D2764" s="24">
        <v>6.2005979458241782E18</v>
      </c>
      <c r="E2764" s="9" t="str">
        <f>IFERROR(__xludf.DUMMYFUNCTION("""COMPUTED_VALUE"""),""",")</f>
        <v>",</v>
      </c>
    </row>
    <row r="2765">
      <c r="A2765" s="9" t="str">
        <f>IFERROR(__xludf.DUMMYFUNCTION("""COMPUTED_VALUE"""),"""")</f>
        <v>"</v>
      </c>
      <c r="B2765" s="9" t="s">
        <v>2774</v>
      </c>
      <c r="C2765" s="9" t="str">
        <f>IFERROR(__xludf.DUMMYFUNCTION("""COMPUTED_VALUE"""),""":""")</f>
        <v>":"</v>
      </c>
      <c r="D2765" s="24">
        <v>6.2005979458241782E18</v>
      </c>
      <c r="E2765" s="9" t="str">
        <f>IFERROR(__xludf.DUMMYFUNCTION("""COMPUTED_VALUE"""),""",")</f>
        <v>",</v>
      </c>
    </row>
    <row r="2766">
      <c r="A2766" s="9" t="str">
        <f>IFERROR(__xludf.DUMMYFUNCTION("""COMPUTED_VALUE"""),"""")</f>
        <v>"</v>
      </c>
      <c r="B2766" s="9" t="s">
        <v>2775</v>
      </c>
      <c r="C2766" s="9" t="str">
        <f>IFERROR(__xludf.DUMMYFUNCTION("""COMPUTED_VALUE"""),""":""")</f>
        <v>":"</v>
      </c>
      <c r="D2766" s="24">
        <v>8.8466719998259548E18</v>
      </c>
      <c r="E2766" s="9" t="str">
        <f>IFERROR(__xludf.DUMMYFUNCTION("""COMPUTED_VALUE"""),""",")</f>
        <v>",</v>
      </c>
    </row>
    <row r="2767">
      <c r="A2767" s="9" t="str">
        <f>IFERROR(__xludf.DUMMYFUNCTION("""COMPUTED_VALUE"""),"""")</f>
        <v>"</v>
      </c>
      <c r="B2767" s="9" t="s">
        <v>2776</v>
      </c>
      <c r="C2767" s="9" t="str">
        <f>IFERROR(__xludf.DUMMYFUNCTION("""COMPUTED_VALUE"""),""":""")</f>
        <v>":"</v>
      </c>
      <c r="D2767" s="24">
        <v>6.2005979458241782E18</v>
      </c>
      <c r="E2767" s="9" t="str">
        <f>IFERROR(__xludf.DUMMYFUNCTION("""COMPUTED_VALUE"""),""",")</f>
        <v>",</v>
      </c>
    </row>
    <row r="2768">
      <c r="A2768" s="9" t="str">
        <f>IFERROR(__xludf.DUMMYFUNCTION("""COMPUTED_VALUE"""),"""")</f>
        <v>"</v>
      </c>
      <c r="B2768" s="9" t="s">
        <v>2777</v>
      </c>
      <c r="C2768" s="9" t="str">
        <f>IFERROR(__xludf.DUMMYFUNCTION("""COMPUTED_VALUE"""),""":""")</f>
        <v>":"</v>
      </c>
      <c r="D2768" s="24">
        <v>6.2005979458241782E18</v>
      </c>
      <c r="E2768" s="9" t="str">
        <f>IFERROR(__xludf.DUMMYFUNCTION("""COMPUTED_VALUE"""),""",")</f>
        <v>",</v>
      </c>
    </row>
    <row r="2769">
      <c r="A2769" s="9" t="str">
        <f>IFERROR(__xludf.DUMMYFUNCTION("""COMPUTED_VALUE"""),"""")</f>
        <v>"</v>
      </c>
      <c r="B2769" s="9" t="s">
        <v>2778</v>
      </c>
      <c r="C2769" s="9" t="str">
        <f>IFERROR(__xludf.DUMMYFUNCTION("""COMPUTED_VALUE"""),""":""")</f>
        <v>":"</v>
      </c>
      <c r="D2769" s="24">
        <v>6.2005979458241782E18</v>
      </c>
      <c r="E2769" s="9" t="str">
        <f>IFERROR(__xludf.DUMMYFUNCTION("""COMPUTED_VALUE"""),""",")</f>
        <v>",</v>
      </c>
    </row>
    <row r="2770">
      <c r="A2770" s="9" t="str">
        <f>IFERROR(__xludf.DUMMYFUNCTION("""COMPUTED_VALUE"""),"""")</f>
        <v>"</v>
      </c>
      <c r="B2770" s="9" t="s">
        <v>2779</v>
      </c>
      <c r="C2770" s="9" t="str">
        <f>IFERROR(__xludf.DUMMYFUNCTION("""COMPUTED_VALUE"""),""":""")</f>
        <v>":"</v>
      </c>
      <c r="D2770" s="24">
        <v>1.01663803893210675E18</v>
      </c>
      <c r="E2770" s="9" t="str">
        <f>IFERROR(__xludf.DUMMYFUNCTION("""COMPUTED_VALUE"""),""",")</f>
        <v>",</v>
      </c>
    </row>
    <row r="2771">
      <c r="A2771" s="9" t="str">
        <f>IFERROR(__xludf.DUMMYFUNCTION("""COMPUTED_VALUE"""),"""")</f>
        <v>"</v>
      </c>
      <c r="B2771" s="9" t="s">
        <v>2780</v>
      </c>
      <c r="C2771" s="9" t="str">
        <f>IFERROR(__xludf.DUMMYFUNCTION("""COMPUTED_VALUE"""),""":""")</f>
        <v>":"</v>
      </c>
      <c r="D2771" s="24">
        <v>6.175908238466617E19</v>
      </c>
      <c r="E2771" s="9" t="str">
        <f>IFERROR(__xludf.DUMMYFUNCTION("""COMPUTED_VALUE"""),""",")</f>
        <v>",</v>
      </c>
    </row>
    <row r="2772">
      <c r="A2772" s="9" t="str">
        <f>IFERROR(__xludf.DUMMYFUNCTION("""COMPUTED_VALUE"""),"""")</f>
        <v>"</v>
      </c>
      <c r="B2772" s="9" t="s">
        <v>2781</v>
      </c>
      <c r="C2772" s="9" t="str">
        <f>IFERROR(__xludf.DUMMYFUNCTION("""COMPUTED_VALUE"""),""":""")</f>
        <v>":"</v>
      </c>
      <c r="D2772" s="24">
        <v>1.0104120867079356E19</v>
      </c>
      <c r="E2772" s="9" t="str">
        <f>IFERROR(__xludf.DUMMYFUNCTION("""COMPUTED_VALUE"""),""",")</f>
        <v>",</v>
      </c>
    </row>
    <row r="2773">
      <c r="A2773" s="9" t="str">
        <f>IFERROR(__xludf.DUMMYFUNCTION("""COMPUTED_VALUE"""),"""")</f>
        <v>"</v>
      </c>
      <c r="B2773" s="9" t="s">
        <v>2782</v>
      </c>
      <c r="C2773" s="9" t="str">
        <f>IFERROR(__xludf.DUMMYFUNCTION("""COMPUTED_VALUE"""),""":""")</f>
        <v>":"</v>
      </c>
      <c r="D2773" s="24">
        <v>5.6889295202090004E18</v>
      </c>
      <c r="E2773" s="9" t="str">
        <f>IFERROR(__xludf.DUMMYFUNCTION("""COMPUTED_VALUE"""),""",")</f>
        <v>",</v>
      </c>
    </row>
    <row r="2774">
      <c r="A2774" s="9" t="str">
        <f>IFERROR(__xludf.DUMMYFUNCTION("""COMPUTED_VALUE"""),"""")</f>
        <v>"</v>
      </c>
      <c r="B2774" s="9" t="s">
        <v>2783</v>
      </c>
      <c r="C2774" s="9" t="str">
        <f>IFERROR(__xludf.DUMMYFUNCTION("""COMPUTED_VALUE"""),""":""")</f>
        <v>":"</v>
      </c>
      <c r="D2774" s="24">
        <v>6.2005979458241782E18</v>
      </c>
      <c r="E2774" s="9" t="str">
        <f>IFERROR(__xludf.DUMMYFUNCTION("""COMPUTED_VALUE"""),""",")</f>
        <v>",</v>
      </c>
    </row>
    <row r="2775">
      <c r="A2775" s="9" t="str">
        <f>IFERROR(__xludf.DUMMYFUNCTION("""COMPUTED_VALUE"""),"""")</f>
        <v>"</v>
      </c>
      <c r="B2775" s="9" t="s">
        <v>2784</v>
      </c>
      <c r="C2775" s="9" t="str">
        <f>IFERROR(__xludf.DUMMYFUNCTION("""COMPUTED_VALUE"""),""":""")</f>
        <v>":"</v>
      </c>
      <c r="D2775" s="24">
        <v>6.2005979458241782E18</v>
      </c>
      <c r="E2775" s="9" t="str">
        <f>IFERROR(__xludf.DUMMYFUNCTION("""COMPUTED_VALUE"""),""",")</f>
        <v>",</v>
      </c>
    </row>
    <row r="2776">
      <c r="A2776" s="9" t="str">
        <f>IFERROR(__xludf.DUMMYFUNCTION("""COMPUTED_VALUE"""),"""")</f>
        <v>"</v>
      </c>
      <c r="B2776" s="9" t="s">
        <v>2785</v>
      </c>
      <c r="C2776" s="9" t="str">
        <f>IFERROR(__xludf.DUMMYFUNCTION("""COMPUTED_VALUE"""),""":""")</f>
        <v>":"</v>
      </c>
      <c r="D2776" s="24">
        <v>1.6194031875898176E18</v>
      </c>
      <c r="E2776" s="9" t="str">
        <f>IFERROR(__xludf.DUMMYFUNCTION("""COMPUTED_VALUE"""),""",")</f>
        <v>",</v>
      </c>
    </row>
    <row r="2777">
      <c r="A2777" s="9" t="str">
        <f>IFERROR(__xludf.DUMMYFUNCTION("""COMPUTED_VALUE"""),"""")</f>
        <v>"</v>
      </c>
      <c r="B2777" s="9" t="s">
        <v>2786</v>
      </c>
      <c r="C2777" s="9" t="str">
        <f>IFERROR(__xludf.DUMMYFUNCTION("""COMPUTED_VALUE"""),""":""")</f>
        <v>":"</v>
      </c>
      <c r="D2777" s="24">
        <v>6.1408965753436221E18</v>
      </c>
      <c r="E2777" s="9" t="str">
        <f>IFERROR(__xludf.DUMMYFUNCTION("""COMPUTED_VALUE"""),""",")</f>
        <v>",</v>
      </c>
    </row>
    <row r="2778">
      <c r="A2778" s="9" t="str">
        <f>IFERROR(__xludf.DUMMYFUNCTION("""COMPUTED_VALUE"""),"""")</f>
        <v>"</v>
      </c>
      <c r="B2778" s="9" t="s">
        <v>2787</v>
      </c>
      <c r="C2778" s="9" t="str">
        <f>IFERROR(__xludf.DUMMYFUNCTION("""COMPUTED_VALUE"""),""":""")</f>
        <v>":"</v>
      </c>
      <c r="D2778" s="24">
        <v>1.2108290925046755E19</v>
      </c>
      <c r="E2778" s="9" t="str">
        <f>IFERROR(__xludf.DUMMYFUNCTION("""COMPUTED_VALUE"""),""",")</f>
        <v>",</v>
      </c>
    </row>
    <row r="2779">
      <c r="A2779" s="9" t="str">
        <f>IFERROR(__xludf.DUMMYFUNCTION("""COMPUTED_VALUE"""),"""")</f>
        <v>"</v>
      </c>
      <c r="B2779" s="9" t="s">
        <v>2788</v>
      </c>
      <c r="C2779" s="9" t="str">
        <f>IFERROR(__xludf.DUMMYFUNCTION("""COMPUTED_VALUE"""),""":""")</f>
        <v>":"</v>
      </c>
      <c r="D2779" s="24">
        <v>6.2005979458241782E18</v>
      </c>
      <c r="E2779" s="9" t="str">
        <f>IFERROR(__xludf.DUMMYFUNCTION("""COMPUTED_VALUE"""),""",")</f>
        <v>",</v>
      </c>
    </row>
    <row r="2780">
      <c r="A2780" s="9" t="str">
        <f>IFERROR(__xludf.DUMMYFUNCTION("""COMPUTED_VALUE"""),"""")</f>
        <v>"</v>
      </c>
      <c r="B2780" s="9" t="s">
        <v>2789</v>
      </c>
      <c r="C2780" s="9" t="str">
        <f>IFERROR(__xludf.DUMMYFUNCTION("""COMPUTED_VALUE"""),""":""")</f>
        <v>":"</v>
      </c>
      <c r="D2780" s="24">
        <v>5.6540517223259341E18</v>
      </c>
      <c r="E2780" s="9" t="str">
        <f>IFERROR(__xludf.DUMMYFUNCTION("""COMPUTED_VALUE"""),""",")</f>
        <v>",</v>
      </c>
    </row>
    <row r="2781">
      <c r="A2781" s="9" t="str">
        <f>IFERROR(__xludf.DUMMYFUNCTION("""COMPUTED_VALUE"""),"""")</f>
        <v>"</v>
      </c>
      <c r="B2781" s="9" t="s">
        <v>2790</v>
      </c>
      <c r="C2781" s="9" t="str">
        <f>IFERROR(__xludf.DUMMYFUNCTION("""COMPUTED_VALUE"""),""":""")</f>
        <v>":"</v>
      </c>
      <c r="D2781" s="24">
        <v>2.0248888511809958E19</v>
      </c>
      <c r="E2781" s="9" t="str">
        <f>IFERROR(__xludf.DUMMYFUNCTION("""COMPUTED_VALUE"""),""",")</f>
        <v>",</v>
      </c>
    </row>
    <row r="2782">
      <c r="A2782" s="9" t="str">
        <f>IFERROR(__xludf.DUMMYFUNCTION("""COMPUTED_VALUE"""),"""")</f>
        <v>"</v>
      </c>
      <c r="B2782" s="9" t="s">
        <v>2791</v>
      </c>
      <c r="C2782" s="9" t="str">
        <f>IFERROR(__xludf.DUMMYFUNCTION("""COMPUTED_VALUE"""),""":""")</f>
        <v>":"</v>
      </c>
      <c r="D2782" s="24">
        <v>2.41085232243328928E17</v>
      </c>
      <c r="E2782" s="9" t="str">
        <f>IFERROR(__xludf.DUMMYFUNCTION("""COMPUTED_VALUE"""),""",")</f>
        <v>",</v>
      </c>
    </row>
    <row r="2783">
      <c r="A2783" s="9" t="str">
        <f>IFERROR(__xludf.DUMMYFUNCTION("""COMPUTED_VALUE"""),"""")</f>
        <v>"</v>
      </c>
      <c r="B2783" s="9" t="s">
        <v>2792</v>
      </c>
      <c r="C2783" s="9" t="str">
        <f>IFERROR(__xludf.DUMMYFUNCTION("""COMPUTED_VALUE"""),""":""")</f>
        <v>":"</v>
      </c>
      <c r="D2783" s="24">
        <v>2.0248888511809958E19</v>
      </c>
      <c r="E2783" s="9" t="str">
        <f>IFERROR(__xludf.DUMMYFUNCTION("""COMPUTED_VALUE"""),""",")</f>
        <v>",</v>
      </c>
    </row>
    <row r="2784">
      <c r="A2784" s="9" t="str">
        <f>IFERROR(__xludf.DUMMYFUNCTION("""COMPUTED_VALUE"""),"""")</f>
        <v>"</v>
      </c>
      <c r="B2784" s="9" t="s">
        <v>2793</v>
      </c>
      <c r="C2784" s="9" t="str">
        <f>IFERROR(__xludf.DUMMYFUNCTION("""COMPUTED_VALUE"""),""":""")</f>
        <v>":"</v>
      </c>
      <c r="D2784" s="24">
        <v>6.2005979458241782E18</v>
      </c>
      <c r="E2784" s="9" t="str">
        <f>IFERROR(__xludf.DUMMYFUNCTION("""COMPUTED_VALUE"""),""",")</f>
        <v>",</v>
      </c>
    </row>
    <row r="2785">
      <c r="A2785" s="9" t="str">
        <f>IFERROR(__xludf.DUMMYFUNCTION("""COMPUTED_VALUE"""),"""")</f>
        <v>"</v>
      </c>
      <c r="B2785" s="9" t="s">
        <v>2794</v>
      </c>
      <c r="C2785" s="9" t="str">
        <f>IFERROR(__xludf.DUMMYFUNCTION("""COMPUTED_VALUE"""),""":""")</f>
        <v>":"</v>
      </c>
      <c r="D2785" s="24">
        <v>9.0102560590213335E18</v>
      </c>
      <c r="E2785" s="9" t="str">
        <f>IFERROR(__xludf.DUMMYFUNCTION("""COMPUTED_VALUE"""),""",")</f>
        <v>",</v>
      </c>
    </row>
    <row r="2786">
      <c r="A2786" s="9" t="str">
        <f>IFERROR(__xludf.DUMMYFUNCTION("""COMPUTED_VALUE"""),"""")</f>
        <v>"</v>
      </c>
      <c r="B2786" s="9" t="s">
        <v>2795</v>
      </c>
      <c r="C2786" s="9" t="str">
        <f>IFERROR(__xludf.DUMMYFUNCTION("""COMPUTED_VALUE"""),""":""")</f>
        <v>":"</v>
      </c>
      <c r="D2786" s="24">
        <v>6.2005979458241782E18</v>
      </c>
      <c r="E2786" s="9" t="str">
        <f>IFERROR(__xludf.DUMMYFUNCTION("""COMPUTED_VALUE"""),""",")</f>
        <v>",</v>
      </c>
    </row>
    <row r="2787">
      <c r="A2787" s="9" t="str">
        <f>IFERROR(__xludf.DUMMYFUNCTION("""COMPUTED_VALUE"""),"""")</f>
        <v>"</v>
      </c>
      <c r="B2787" s="9" t="s">
        <v>2796</v>
      </c>
      <c r="C2787" s="9" t="str">
        <f>IFERROR(__xludf.DUMMYFUNCTION("""COMPUTED_VALUE"""),""":""")</f>
        <v>":"</v>
      </c>
      <c r="D2787" s="24">
        <v>3.523920535478089E17</v>
      </c>
      <c r="E2787" s="9" t="str">
        <f>IFERROR(__xludf.DUMMYFUNCTION("""COMPUTED_VALUE"""),""",")</f>
        <v>",</v>
      </c>
    </row>
    <row r="2788">
      <c r="A2788" s="9" t="str">
        <f>IFERROR(__xludf.DUMMYFUNCTION("""COMPUTED_VALUE"""),"""")</f>
        <v>"</v>
      </c>
      <c r="B2788" s="9" t="s">
        <v>2797</v>
      </c>
      <c r="C2788" s="9" t="str">
        <f>IFERROR(__xludf.DUMMYFUNCTION("""COMPUTED_VALUE"""),""":""")</f>
        <v>":"</v>
      </c>
      <c r="D2788" s="24">
        <v>6.1182351026205123E18</v>
      </c>
      <c r="E2788" s="9" t="str">
        <f>IFERROR(__xludf.DUMMYFUNCTION("""COMPUTED_VALUE"""),""",")</f>
        <v>",</v>
      </c>
    </row>
    <row r="2789">
      <c r="A2789" s="9" t="str">
        <f>IFERROR(__xludf.DUMMYFUNCTION("""COMPUTED_VALUE"""),"""")</f>
        <v>"</v>
      </c>
      <c r="B2789" s="9" t="s">
        <v>2798</v>
      </c>
      <c r="C2789" s="9" t="str">
        <f>IFERROR(__xludf.DUMMYFUNCTION("""COMPUTED_VALUE"""),""":""")</f>
        <v>":"</v>
      </c>
      <c r="D2789" s="24">
        <v>2.0248888511809958E19</v>
      </c>
      <c r="E2789" s="9" t="str">
        <f>IFERROR(__xludf.DUMMYFUNCTION("""COMPUTED_VALUE"""),""",")</f>
        <v>",</v>
      </c>
    </row>
    <row r="2790">
      <c r="A2790" s="9" t="str">
        <f>IFERROR(__xludf.DUMMYFUNCTION("""COMPUTED_VALUE"""),"""")</f>
        <v>"</v>
      </c>
      <c r="B2790" s="9" t="s">
        <v>2799</v>
      </c>
      <c r="C2790" s="9" t="str">
        <f>IFERROR(__xludf.DUMMYFUNCTION("""COMPUTED_VALUE"""),""":""")</f>
        <v>":"</v>
      </c>
      <c r="D2790" s="24">
        <v>6.2005979458241782E18</v>
      </c>
      <c r="E2790" s="9" t="str">
        <f>IFERROR(__xludf.DUMMYFUNCTION("""COMPUTED_VALUE"""),""",")</f>
        <v>",</v>
      </c>
    </row>
    <row r="2791">
      <c r="A2791" s="9" t="str">
        <f>IFERROR(__xludf.DUMMYFUNCTION("""COMPUTED_VALUE"""),"""")</f>
        <v>"</v>
      </c>
      <c r="B2791" s="9" t="s">
        <v>2800</v>
      </c>
      <c r="C2791" s="9" t="str">
        <f>IFERROR(__xludf.DUMMYFUNCTION("""COMPUTED_VALUE"""),""":""")</f>
        <v>":"</v>
      </c>
      <c r="D2791" s="24">
        <v>2.623687446065971E19</v>
      </c>
      <c r="E2791" s="9" t="str">
        <f>IFERROR(__xludf.DUMMYFUNCTION("""COMPUTED_VALUE"""),""",")</f>
        <v>",</v>
      </c>
    </row>
    <row r="2792">
      <c r="A2792" s="9" t="str">
        <f>IFERROR(__xludf.DUMMYFUNCTION("""COMPUTED_VALUE"""),"""")</f>
        <v>"</v>
      </c>
      <c r="B2792" s="9" t="s">
        <v>2801</v>
      </c>
      <c r="C2792" s="9" t="str">
        <f>IFERROR(__xludf.DUMMYFUNCTION("""COMPUTED_VALUE"""),""":""")</f>
        <v>":"</v>
      </c>
      <c r="D2792" s="24">
        <v>4.6191343483762883E18</v>
      </c>
      <c r="E2792" s="9" t="str">
        <f>IFERROR(__xludf.DUMMYFUNCTION("""COMPUTED_VALUE"""),""",")</f>
        <v>",</v>
      </c>
    </row>
    <row r="2793">
      <c r="A2793" s="9" t="str">
        <f>IFERROR(__xludf.DUMMYFUNCTION("""COMPUTED_VALUE"""),"""")</f>
        <v>"</v>
      </c>
      <c r="B2793" s="9" t="s">
        <v>2802</v>
      </c>
      <c r="C2793" s="9" t="str">
        <f>IFERROR(__xludf.DUMMYFUNCTION("""COMPUTED_VALUE"""),""":""")</f>
        <v>":"</v>
      </c>
      <c r="D2793" s="24">
        <v>2.359389911996078E19</v>
      </c>
      <c r="E2793" s="9" t="str">
        <f>IFERROR(__xludf.DUMMYFUNCTION("""COMPUTED_VALUE"""),""",")</f>
        <v>",</v>
      </c>
    </row>
    <row r="2794">
      <c r="A2794" s="9" t="str">
        <f>IFERROR(__xludf.DUMMYFUNCTION("""COMPUTED_VALUE"""),"""")</f>
        <v>"</v>
      </c>
      <c r="B2794" s="9" t="s">
        <v>2803</v>
      </c>
      <c r="C2794" s="9" t="str">
        <f>IFERROR(__xludf.DUMMYFUNCTION("""COMPUTED_VALUE"""),""":""")</f>
        <v>":"</v>
      </c>
      <c r="D2794" s="24">
        <v>6.1935557497720453E18</v>
      </c>
      <c r="E2794" s="9" t="str">
        <f>IFERROR(__xludf.DUMMYFUNCTION("""COMPUTED_VALUE"""),""",")</f>
        <v>",</v>
      </c>
    </row>
    <row r="2795">
      <c r="A2795" s="9" t="str">
        <f>IFERROR(__xludf.DUMMYFUNCTION("""COMPUTED_VALUE"""),"""")</f>
        <v>"</v>
      </c>
      <c r="B2795" s="9" t="s">
        <v>2804</v>
      </c>
      <c r="C2795" s="9" t="str">
        <f>IFERROR(__xludf.DUMMYFUNCTION("""COMPUTED_VALUE"""),""":""")</f>
        <v>":"</v>
      </c>
      <c r="D2795" s="24">
        <v>6.2005979458241782E18</v>
      </c>
      <c r="E2795" s="9" t="str">
        <f>IFERROR(__xludf.DUMMYFUNCTION("""COMPUTED_VALUE"""),""",")</f>
        <v>",</v>
      </c>
    </row>
    <row r="2796">
      <c r="A2796" s="9" t="str">
        <f>IFERROR(__xludf.DUMMYFUNCTION("""COMPUTED_VALUE"""),"""")</f>
        <v>"</v>
      </c>
      <c r="B2796" s="9" t="s">
        <v>2805</v>
      </c>
      <c r="C2796" s="9" t="str">
        <f>IFERROR(__xludf.DUMMYFUNCTION("""COMPUTED_VALUE"""),""":""")</f>
        <v>":"</v>
      </c>
      <c r="D2796" s="24">
        <v>3.1276117660694892E18</v>
      </c>
      <c r="E2796" s="9" t="str">
        <f>IFERROR(__xludf.DUMMYFUNCTION("""COMPUTED_VALUE"""),""",")</f>
        <v>",</v>
      </c>
    </row>
    <row r="2797">
      <c r="A2797" s="9" t="str">
        <f>IFERROR(__xludf.DUMMYFUNCTION("""COMPUTED_VALUE"""),"""")</f>
        <v>"</v>
      </c>
      <c r="B2797" s="9" t="s">
        <v>2806</v>
      </c>
      <c r="C2797" s="9" t="str">
        <f>IFERROR(__xludf.DUMMYFUNCTION("""COMPUTED_VALUE"""),""":""")</f>
        <v>":"</v>
      </c>
      <c r="D2797" s="24">
        <v>6.2005979458241782E18</v>
      </c>
      <c r="E2797" s="9" t="str">
        <f>IFERROR(__xludf.DUMMYFUNCTION("""COMPUTED_VALUE"""),""",")</f>
        <v>",</v>
      </c>
    </row>
    <row r="2798">
      <c r="A2798" s="9" t="str">
        <f>IFERROR(__xludf.DUMMYFUNCTION("""COMPUTED_VALUE"""),"""")</f>
        <v>"</v>
      </c>
      <c r="B2798" s="9" t="s">
        <v>2807</v>
      </c>
      <c r="C2798" s="9" t="str">
        <f>IFERROR(__xludf.DUMMYFUNCTION("""COMPUTED_VALUE"""),""":""")</f>
        <v>":"</v>
      </c>
      <c r="D2798" s="24">
        <v>6.2005979458241782E18</v>
      </c>
      <c r="E2798" s="9" t="str">
        <f>IFERROR(__xludf.DUMMYFUNCTION("""COMPUTED_VALUE"""),""",")</f>
        <v>",</v>
      </c>
    </row>
    <row r="2799">
      <c r="A2799" s="9" t="str">
        <f>IFERROR(__xludf.DUMMYFUNCTION("""COMPUTED_VALUE"""),"""")</f>
        <v>"</v>
      </c>
      <c r="B2799" s="9" t="s">
        <v>2808</v>
      </c>
      <c r="C2799" s="9" t="str">
        <f>IFERROR(__xludf.DUMMYFUNCTION("""COMPUTED_VALUE"""),""":""")</f>
        <v>":"</v>
      </c>
      <c r="D2799" s="24">
        <v>1.844968882296702E19</v>
      </c>
      <c r="E2799" s="9" t="str">
        <f>IFERROR(__xludf.DUMMYFUNCTION("""COMPUTED_VALUE"""),""",")</f>
        <v>",</v>
      </c>
    </row>
    <row r="2800">
      <c r="A2800" s="9" t="str">
        <f>IFERROR(__xludf.DUMMYFUNCTION("""COMPUTED_VALUE"""),"""")</f>
        <v>"</v>
      </c>
      <c r="B2800" s="9" t="s">
        <v>2809</v>
      </c>
      <c r="C2800" s="9" t="str">
        <f>IFERROR(__xludf.DUMMYFUNCTION("""COMPUTED_VALUE"""),""":""")</f>
        <v>":"</v>
      </c>
      <c r="D2800" s="24">
        <v>6.2005979458241782E18</v>
      </c>
      <c r="E2800" s="9" t="str">
        <f>IFERROR(__xludf.DUMMYFUNCTION("""COMPUTED_VALUE"""),""",")</f>
        <v>",</v>
      </c>
    </row>
    <row r="2801">
      <c r="A2801" s="9" t="str">
        <f>IFERROR(__xludf.DUMMYFUNCTION("""COMPUTED_VALUE"""),"""")</f>
        <v>"</v>
      </c>
      <c r="B2801" s="9" t="s">
        <v>2810</v>
      </c>
      <c r="C2801" s="9" t="str">
        <f>IFERROR(__xludf.DUMMYFUNCTION("""COMPUTED_VALUE"""),""":""")</f>
        <v>":"</v>
      </c>
      <c r="D2801" s="24">
        <v>6.2005979458241782E18</v>
      </c>
      <c r="E2801" s="9" t="str">
        <f>IFERROR(__xludf.DUMMYFUNCTION("""COMPUTED_VALUE"""),""",")</f>
        <v>",</v>
      </c>
    </row>
    <row r="2802">
      <c r="A2802" s="9" t="str">
        <f>IFERROR(__xludf.DUMMYFUNCTION("""COMPUTED_VALUE"""),"""")</f>
        <v>"</v>
      </c>
      <c r="B2802" s="9" t="s">
        <v>2811</v>
      </c>
      <c r="C2802" s="9" t="str">
        <f>IFERROR(__xludf.DUMMYFUNCTION("""COMPUTED_VALUE"""),""":""")</f>
        <v>":"</v>
      </c>
      <c r="D2802" s="24">
        <v>1.1029750433792473E19</v>
      </c>
      <c r="E2802" s="9" t="str">
        <f>IFERROR(__xludf.DUMMYFUNCTION("""COMPUTED_VALUE"""),""",")</f>
        <v>",</v>
      </c>
    </row>
    <row r="2803">
      <c r="A2803" s="9" t="str">
        <f>IFERROR(__xludf.DUMMYFUNCTION("""COMPUTED_VALUE"""),"""")</f>
        <v>"</v>
      </c>
      <c r="B2803" s="9" t="s">
        <v>2812</v>
      </c>
      <c r="C2803" s="9" t="str">
        <f>IFERROR(__xludf.DUMMYFUNCTION("""COMPUTED_VALUE"""),""":""")</f>
        <v>":"</v>
      </c>
      <c r="D2803" s="24">
        <v>3.415161653250598E19</v>
      </c>
      <c r="E2803" s="9" t="str">
        <f>IFERROR(__xludf.DUMMYFUNCTION("""COMPUTED_VALUE"""),""",")</f>
        <v>",</v>
      </c>
    </row>
    <row r="2804">
      <c r="A2804" s="9" t="str">
        <f>IFERROR(__xludf.DUMMYFUNCTION("""COMPUTED_VALUE"""),"""")</f>
        <v>"</v>
      </c>
      <c r="B2804" s="9" t="s">
        <v>2813</v>
      </c>
      <c r="C2804" s="9" t="str">
        <f>IFERROR(__xludf.DUMMYFUNCTION("""COMPUTED_VALUE"""),""":""")</f>
        <v>":"</v>
      </c>
      <c r="D2804" s="24">
        <v>4.1150341086749338E18</v>
      </c>
      <c r="E2804" s="9" t="str">
        <f>IFERROR(__xludf.DUMMYFUNCTION("""COMPUTED_VALUE"""),""",")</f>
        <v>",</v>
      </c>
    </row>
    <row r="2805">
      <c r="A2805" s="9" t="str">
        <f>IFERROR(__xludf.DUMMYFUNCTION("""COMPUTED_VALUE"""),"""")</f>
        <v>"</v>
      </c>
      <c r="B2805" s="9" t="s">
        <v>2814</v>
      </c>
      <c r="C2805" s="9" t="str">
        <f>IFERROR(__xludf.DUMMYFUNCTION("""COMPUTED_VALUE"""),""":""")</f>
        <v>":"</v>
      </c>
      <c r="D2805" s="24">
        <v>2.0248888511809958E19</v>
      </c>
      <c r="E2805" s="9" t="str">
        <f>IFERROR(__xludf.DUMMYFUNCTION("""COMPUTED_VALUE"""),""",")</f>
        <v>",</v>
      </c>
    </row>
    <row r="2806">
      <c r="A2806" s="9" t="str">
        <f>IFERROR(__xludf.DUMMYFUNCTION("""COMPUTED_VALUE"""),"""")</f>
        <v>"</v>
      </c>
      <c r="B2806" s="9" t="s">
        <v>2815</v>
      </c>
      <c r="C2806" s="9" t="str">
        <f>IFERROR(__xludf.DUMMYFUNCTION("""COMPUTED_VALUE"""),""":""")</f>
        <v>":"</v>
      </c>
      <c r="D2806" s="24">
        <v>2.0248888511809958E19</v>
      </c>
      <c r="E2806" s="9" t="str">
        <f>IFERROR(__xludf.DUMMYFUNCTION("""COMPUTED_VALUE"""),""",")</f>
        <v>",</v>
      </c>
    </row>
    <row r="2807">
      <c r="A2807" s="9" t="str">
        <f>IFERROR(__xludf.DUMMYFUNCTION("""COMPUTED_VALUE"""),"""")</f>
        <v>"</v>
      </c>
      <c r="B2807" s="9" t="s">
        <v>2816</v>
      </c>
      <c r="C2807" s="9" t="str">
        <f>IFERROR(__xludf.DUMMYFUNCTION("""COMPUTED_VALUE"""),""":""")</f>
        <v>":"</v>
      </c>
      <c r="D2807" s="24">
        <v>7.4572519568434913E18</v>
      </c>
      <c r="E2807" s="9" t="str">
        <f>IFERROR(__xludf.DUMMYFUNCTION("""COMPUTED_VALUE"""),""",")</f>
        <v>",</v>
      </c>
    </row>
    <row r="2808">
      <c r="A2808" s="9" t="str">
        <f>IFERROR(__xludf.DUMMYFUNCTION("""COMPUTED_VALUE"""),"""")</f>
        <v>"</v>
      </c>
      <c r="B2808" s="9" t="s">
        <v>2817</v>
      </c>
      <c r="C2808" s="9" t="str">
        <f>IFERROR(__xludf.DUMMYFUNCTION("""COMPUTED_VALUE"""),""":""")</f>
        <v>":"</v>
      </c>
      <c r="D2808" s="24">
        <v>4.7197679266018447E18</v>
      </c>
      <c r="E2808" s="9" t="str">
        <f>IFERROR(__xludf.DUMMYFUNCTION("""COMPUTED_VALUE"""),""",")</f>
        <v>",</v>
      </c>
    </row>
    <row r="2809">
      <c r="A2809" s="9" t="str">
        <f>IFERROR(__xludf.DUMMYFUNCTION("""COMPUTED_VALUE"""),"""")</f>
        <v>"</v>
      </c>
      <c r="B2809" s="9" t="s">
        <v>2818</v>
      </c>
      <c r="C2809" s="9" t="str">
        <f>IFERROR(__xludf.DUMMYFUNCTION("""COMPUTED_VALUE"""),""":""")</f>
        <v>":"</v>
      </c>
      <c r="D2809" s="24">
        <v>6.2005979458241782E18</v>
      </c>
      <c r="E2809" s="9" t="str">
        <f>IFERROR(__xludf.DUMMYFUNCTION("""COMPUTED_VALUE"""),""",")</f>
        <v>",</v>
      </c>
    </row>
    <row r="2810">
      <c r="A2810" s="9" t="str">
        <f>IFERROR(__xludf.DUMMYFUNCTION("""COMPUTED_VALUE"""),"""")</f>
        <v>"</v>
      </c>
      <c r="B2810" s="9" t="s">
        <v>2819</v>
      </c>
      <c r="C2810" s="9" t="str">
        <f>IFERROR(__xludf.DUMMYFUNCTION("""COMPUTED_VALUE"""),""":""")</f>
        <v>":"</v>
      </c>
      <c r="D2810" s="24">
        <v>2.0248888511809958E19</v>
      </c>
      <c r="E2810" s="9" t="str">
        <f>IFERROR(__xludf.DUMMYFUNCTION("""COMPUTED_VALUE"""),""",")</f>
        <v>",</v>
      </c>
    </row>
    <row r="2811">
      <c r="A2811" s="9" t="str">
        <f>IFERROR(__xludf.DUMMYFUNCTION("""COMPUTED_VALUE"""),"""")</f>
        <v>"</v>
      </c>
      <c r="B2811" s="9" t="s">
        <v>2820</v>
      </c>
      <c r="C2811" s="9" t="str">
        <f>IFERROR(__xludf.DUMMYFUNCTION("""COMPUTED_VALUE"""),""":""")</f>
        <v>":"</v>
      </c>
      <c r="D2811" s="24">
        <v>2.0248888511809958E19</v>
      </c>
      <c r="E2811" s="9" t="str">
        <f>IFERROR(__xludf.DUMMYFUNCTION("""COMPUTED_VALUE"""),""",")</f>
        <v>",</v>
      </c>
    </row>
    <row r="2812">
      <c r="A2812" s="9" t="str">
        <f>IFERROR(__xludf.DUMMYFUNCTION("""COMPUTED_VALUE"""),"""")</f>
        <v>"</v>
      </c>
      <c r="B2812" s="9" t="s">
        <v>2821</v>
      </c>
      <c r="C2812" s="9" t="str">
        <f>IFERROR(__xludf.DUMMYFUNCTION("""COMPUTED_VALUE"""),""":""")</f>
        <v>":"</v>
      </c>
      <c r="D2812" s="24">
        <v>4.9241151410786662E18</v>
      </c>
      <c r="E2812" s="9" t="str">
        <f>IFERROR(__xludf.DUMMYFUNCTION("""COMPUTED_VALUE"""),""",")</f>
        <v>",</v>
      </c>
    </row>
    <row r="2813">
      <c r="A2813" s="9" t="str">
        <f>IFERROR(__xludf.DUMMYFUNCTION("""COMPUTED_VALUE"""),"""")</f>
        <v>"</v>
      </c>
      <c r="B2813" s="9" t="s">
        <v>2822</v>
      </c>
      <c r="C2813" s="9" t="str">
        <f>IFERROR(__xludf.DUMMYFUNCTION("""COMPUTED_VALUE"""),""":""")</f>
        <v>":"</v>
      </c>
      <c r="D2813" s="24">
        <v>1.114585212399189E19</v>
      </c>
      <c r="E2813" s="9" t="str">
        <f>IFERROR(__xludf.DUMMYFUNCTION("""COMPUTED_VALUE"""),""",")</f>
        <v>",</v>
      </c>
    </row>
    <row r="2814">
      <c r="A2814" s="9" t="str">
        <f>IFERROR(__xludf.DUMMYFUNCTION("""COMPUTED_VALUE"""),"""")</f>
        <v>"</v>
      </c>
      <c r="B2814" s="9" t="s">
        <v>2823</v>
      </c>
      <c r="C2814" s="9" t="str">
        <f>IFERROR(__xludf.DUMMYFUNCTION("""COMPUTED_VALUE"""),""":""")</f>
        <v>":"</v>
      </c>
      <c r="D2814" s="24">
        <v>4.561107870203778E18</v>
      </c>
      <c r="E2814" s="9" t="str">
        <f>IFERROR(__xludf.DUMMYFUNCTION("""COMPUTED_VALUE"""),""",")</f>
        <v>",</v>
      </c>
    </row>
    <row r="2815">
      <c r="A2815" s="9" t="str">
        <f>IFERROR(__xludf.DUMMYFUNCTION("""COMPUTED_VALUE"""),"""")</f>
        <v>"</v>
      </c>
      <c r="B2815" s="9" t="s">
        <v>2824</v>
      </c>
      <c r="C2815" s="9" t="str">
        <f>IFERROR(__xludf.DUMMYFUNCTION("""COMPUTED_VALUE"""),""":""")</f>
        <v>":"</v>
      </c>
      <c r="D2815" s="24">
        <v>6.2005979458241782E18</v>
      </c>
      <c r="E2815" s="9" t="str">
        <f>IFERROR(__xludf.DUMMYFUNCTION("""COMPUTED_VALUE"""),""",")</f>
        <v>",</v>
      </c>
    </row>
    <row r="2816">
      <c r="A2816" s="9" t="str">
        <f>IFERROR(__xludf.DUMMYFUNCTION("""COMPUTED_VALUE"""),"""")</f>
        <v>"</v>
      </c>
      <c r="B2816" s="9" t="s">
        <v>2825</v>
      </c>
      <c r="C2816" s="9" t="str">
        <f>IFERROR(__xludf.DUMMYFUNCTION("""COMPUTED_VALUE"""),""":""")</f>
        <v>":"</v>
      </c>
      <c r="D2816" s="24">
        <v>8.3069170138813501E18</v>
      </c>
      <c r="E2816" s="9" t="str">
        <f>IFERROR(__xludf.DUMMYFUNCTION("""COMPUTED_VALUE"""),""",")</f>
        <v>",</v>
      </c>
    </row>
    <row r="2817">
      <c r="A2817" s="9" t="str">
        <f>IFERROR(__xludf.DUMMYFUNCTION("""COMPUTED_VALUE"""),"""")</f>
        <v>"</v>
      </c>
      <c r="B2817" s="9" t="s">
        <v>2826</v>
      </c>
      <c r="C2817" s="9" t="str">
        <f>IFERROR(__xludf.DUMMYFUNCTION("""COMPUTED_VALUE"""),""":""")</f>
        <v>":"</v>
      </c>
      <c r="D2817" s="24">
        <v>6.2005979458241782E18</v>
      </c>
      <c r="E2817" s="9" t="str">
        <f>IFERROR(__xludf.DUMMYFUNCTION("""COMPUTED_VALUE"""),""",")</f>
        <v>",</v>
      </c>
    </row>
    <row r="2818">
      <c r="A2818" s="9" t="str">
        <f>IFERROR(__xludf.DUMMYFUNCTION("""COMPUTED_VALUE"""),"""")</f>
        <v>"</v>
      </c>
      <c r="B2818" s="9" t="s">
        <v>2827</v>
      </c>
      <c r="C2818" s="9" t="str">
        <f>IFERROR(__xludf.DUMMYFUNCTION("""COMPUTED_VALUE"""),""":""")</f>
        <v>":"</v>
      </c>
      <c r="D2818" s="24">
        <v>6.2005979458241782E18</v>
      </c>
      <c r="E2818" s="9" t="str">
        <f>IFERROR(__xludf.DUMMYFUNCTION("""COMPUTED_VALUE"""),""",")</f>
        <v>",</v>
      </c>
    </row>
    <row r="2819">
      <c r="A2819" s="9" t="str">
        <f>IFERROR(__xludf.DUMMYFUNCTION("""COMPUTED_VALUE"""),"""")</f>
        <v>"</v>
      </c>
      <c r="B2819" s="9" t="s">
        <v>2828</v>
      </c>
      <c r="C2819" s="9" t="str">
        <f>IFERROR(__xludf.DUMMYFUNCTION("""COMPUTED_VALUE"""),""":""")</f>
        <v>":"</v>
      </c>
      <c r="D2819" s="24">
        <v>5.3740039272626442E18</v>
      </c>
      <c r="E2819" s="9" t="str">
        <f>IFERROR(__xludf.DUMMYFUNCTION("""COMPUTED_VALUE"""),""",")</f>
        <v>",</v>
      </c>
    </row>
    <row r="2820">
      <c r="A2820" s="9" t="str">
        <f>IFERROR(__xludf.DUMMYFUNCTION("""COMPUTED_VALUE"""),"""")</f>
        <v>"</v>
      </c>
      <c r="B2820" s="9" t="s">
        <v>2829</v>
      </c>
      <c r="C2820" s="9" t="str">
        <f>IFERROR(__xludf.DUMMYFUNCTION("""COMPUTED_VALUE"""),""":""")</f>
        <v>":"</v>
      </c>
      <c r="D2820" s="24">
        <v>2.1995298230929818E19</v>
      </c>
      <c r="E2820" s="9" t="str">
        <f>IFERROR(__xludf.DUMMYFUNCTION("""COMPUTED_VALUE"""),""",")</f>
        <v>",</v>
      </c>
    </row>
    <row r="2821">
      <c r="A2821" s="9" t="str">
        <f>IFERROR(__xludf.DUMMYFUNCTION("""COMPUTED_VALUE"""),"""")</f>
        <v>"</v>
      </c>
      <c r="B2821" s="9" t="s">
        <v>2830</v>
      </c>
      <c r="C2821" s="9" t="str">
        <f>IFERROR(__xludf.DUMMYFUNCTION("""COMPUTED_VALUE"""),""":""")</f>
        <v>":"</v>
      </c>
      <c r="D2821" s="24">
        <v>2.597168431240962E19</v>
      </c>
      <c r="E2821" s="9" t="str">
        <f>IFERROR(__xludf.DUMMYFUNCTION("""COMPUTED_VALUE"""),""",")</f>
        <v>",</v>
      </c>
    </row>
    <row r="2822">
      <c r="A2822" s="9" t="str">
        <f>IFERROR(__xludf.DUMMYFUNCTION("""COMPUTED_VALUE"""),"""")</f>
        <v>"</v>
      </c>
      <c r="B2822" s="9" t="s">
        <v>2831</v>
      </c>
      <c r="C2822" s="9" t="str">
        <f>IFERROR(__xludf.DUMMYFUNCTION("""COMPUTED_VALUE"""),""":""")</f>
        <v>":"</v>
      </c>
      <c r="D2822" s="24">
        <v>4.087906458889666E18</v>
      </c>
      <c r="E2822" s="9" t="str">
        <f>IFERROR(__xludf.DUMMYFUNCTION("""COMPUTED_VALUE"""),""",")</f>
        <v>",</v>
      </c>
    </row>
    <row r="2823">
      <c r="A2823" s="9" t="str">
        <f>IFERROR(__xludf.DUMMYFUNCTION("""COMPUTED_VALUE"""),"""")</f>
        <v>"</v>
      </c>
      <c r="B2823" s="9" t="s">
        <v>2832</v>
      </c>
      <c r="C2823" s="9" t="str">
        <f>IFERROR(__xludf.DUMMYFUNCTION("""COMPUTED_VALUE"""),""":""")</f>
        <v>":"</v>
      </c>
      <c r="D2823" s="24">
        <v>6.2005979458241782E18</v>
      </c>
      <c r="E2823" s="9" t="str">
        <f>IFERROR(__xludf.DUMMYFUNCTION("""COMPUTED_VALUE"""),""",")</f>
        <v>",</v>
      </c>
    </row>
    <row r="2824">
      <c r="A2824" s="9" t="str">
        <f>IFERROR(__xludf.DUMMYFUNCTION("""COMPUTED_VALUE"""),"""")</f>
        <v>"</v>
      </c>
      <c r="B2824" s="9" t="s">
        <v>2833</v>
      </c>
      <c r="C2824" s="9" t="str">
        <f>IFERROR(__xludf.DUMMYFUNCTION("""COMPUTED_VALUE"""),""":""")</f>
        <v>":"</v>
      </c>
      <c r="D2824" s="24">
        <v>6.2005979458241782E18</v>
      </c>
      <c r="E2824" s="9" t="str">
        <f>IFERROR(__xludf.DUMMYFUNCTION("""COMPUTED_VALUE"""),""",")</f>
        <v>",</v>
      </c>
    </row>
    <row r="2825">
      <c r="A2825" s="9" t="str">
        <f>IFERROR(__xludf.DUMMYFUNCTION("""COMPUTED_VALUE"""),"""")</f>
        <v>"</v>
      </c>
      <c r="B2825" s="9" t="s">
        <v>2834</v>
      </c>
      <c r="C2825" s="9" t="str">
        <f>IFERROR(__xludf.DUMMYFUNCTION("""COMPUTED_VALUE"""),""":""")</f>
        <v>":"</v>
      </c>
      <c r="D2825" s="24">
        <v>1.555840622569091E19</v>
      </c>
      <c r="E2825" s="9" t="str">
        <f>IFERROR(__xludf.DUMMYFUNCTION("""COMPUTED_VALUE"""),""",")</f>
        <v>",</v>
      </c>
    </row>
    <row r="2826">
      <c r="A2826" s="9" t="str">
        <f>IFERROR(__xludf.DUMMYFUNCTION("""COMPUTED_VALUE"""),"""")</f>
        <v>"</v>
      </c>
      <c r="B2826" s="9" t="s">
        <v>2835</v>
      </c>
      <c r="C2826" s="9" t="str">
        <f>IFERROR(__xludf.DUMMYFUNCTION("""COMPUTED_VALUE"""),""":""")</f>
        <v>":"</v>
      </c>
      <c r="D2826" s="24">
        <v>6.0102003020802007E18</v>
      </c>
      <c r="E2826" s="9" t="str">
        <f>IFERROR(__xludf.DUMMYFUNCTION("""COMPUTED_VALUE"""),""",")</f>
        <v>",</v>
      </c>
    </row>
    <row r="2827">
      <c r="A2827" s="9" t="str">
        <f>IFERROR(__xludf.DUMMYFUNCTION("""COMPUTED_VALUE"""),"""")</f>
        <v>"</v>
      </c>
      <c r="B2827" s="9" t="s">
        <v>2836</v>
      </c>
      <c r="C2827" s="9" t="str">
        <f>IFERROR(__xludf.DUMMYFUNCTION("""COMPUTED_VALUE"""),""":""")</f>
        <v>":"</v>
      </c>
      <c r="D2827" s="24">
        <v>2.0248888511809958E19</v>
      </c>
      <c r="E2827" s="9" t="str">
        <f>IFERROR(__xludf.DUMMYFUNCTION("""COMPUTED_VALUE"""),""",")</f>
        <v>",</v>
      </c>
    </row>
    <row r="2828">
      <c r="A2828" s="9" t="str">
        <f>IFERROR(__xludf.DUMMYFUNCTION("""COMPUTED_VALUE"""),"""")</f>
        <v>"</v>
      </c>
      <c r="B2828" s="9" t="s">
        <v>2837</v>
      </c>
      <c r="C2828" s="9" t="str">
        <f>IFERROR(__xludf.DUMMYFUNCTION("""COMPUTED_VALUE"""),""":""")</f>
        <v>":"</v>
      </c>
      <c r="D2828" s="24">
        <v>5.9057280735313121E18</v>
      </c>
      <c r="E2828" s="9" t="str">
        <f>IFERROR(__xludf.DUMMYFUNCTION("""COMPUTED_VALUE"""),""",")</f>
        <v>",</v>
      </c>
    </row>
    <row r="2829">
      <c r="A2829" s="9" t="str">
        <f>IFERROR(__xludf.DUMMYFUNCTION("""COMPUTED_VALUE"""),"""")</f>
        <v>"</v>
      </c>
      <c r="B2829" s="9" t="s">
        <v>2838</v>
      </c>
      <c r="C2829" s="9" t="str">
        <f>IFERROR(__xludf.DUMMYFUNCTION("""COMPUTED_VALUE"""),""":""")</f>
        <v>":"</v>
      </c>
      <c r="D2829" s="24">
        <v>1.942631588158868E19</v>
      </c>
      <c r="E2829" s="9" t="str">
        <f>IFERROR(__xludf.DUMMYFUNCTION("""COMPUTED_VALUE"""),""",")</f>
        <v>",</v>
      </c>
    </row>
    <row r="2830">
      <c r="A2830" s="9" t="str">
        <f>IFERROR(__xludf.DUMMYFUNCTION("""COMPUTED_VALUE"""),"""")</f>
        <v>"</v>
      </c>
      <c r="B2830" s="9" t="s">
        <v>2839</v>
      </c>
      <c r="C2830" s="9" t="str">
        <f>IFERROR(__xludf.DUMMYFUNCTION("""COMPUTED_VALUE"""),""":""")</f>
        <v>":"</v>
      </c>
      <c r="D2830" s="24">
        <v>5.6210702099340667E18</v>
      </c>
      <c r="E2830" s="9" t="str">
        <f>IFERROR(__xludf.DUMMYFUNCTION("""COMPUTED_VALUE"""),""",")</f>
        <v>",</v>
      </c>
    </row>
    <row r="2831">
      <c r="A2831" s="9" t="str">
        <f>IFERROR(__xludf.DUMMYFUNCTION("""COMPUTED_VALUE"""),"""")</f>
        <v>"</v>
      </c>
      <c r="B2831" s="9" t="s">
        <v>2840</v>
      </c>
      <c r="C2831" s="9" t="str">
        <f>IFERROR(__xludf.DUMMYFUNCTION("""COMPUTED_VALUE"""),""":""")</f>
        <v>":"</v>
      </c>
      <c r="D2831" s="24">
        <v>6.2005979458241782E18</v>
      </c>
      <c r="E2831" s="9" t="str">
        <f>IFERROR(__xludf.DUMMYFUNCTION("""COMPUTED_VALUE"""),""",")</f>
        <v>",</v>
      </c>
    </row>
    <row r="2832">
      <c r="A2832" s="9" t="str">
        <f>IFERROR(__xludf.DUMMYFUNCTION("""COMPUTED_VALUE"""),"""")</f>
        <v>"</v>
      </c>
      <c r="B2832" s="9" t="s">
        <v>2841</v>
      </c>
      <c r="C2832" s="9" t="str">
        <f>IFERROR(__xludf.DUMMYFUNCTION("""COMPUTED_VALUE"""),""":""")</f>
        <v>":"</v>
      </c>
      <c r="D2832" s="24">
        <v>2.0248888511809958E19</v>
      </c>
      <c r="E2832" s="9" t="str">
        <f>IFERROR(__xludf.DUMMYFUNCTION("""COMPUTED_VALUE"""),""",")</f>
        <v>",</v>
      </c>
    </row>
    <row r="2833">
      <c r="A2833" s="9" t="str">
        <f>IFERROR(__xludf.DUMMYFUNCTION("""COMPUTED_VALUE"""),"""")</f>
        <v>"</v>
      </c>
      <c r="B2833" s="9" t="s">
        <v>2842</v>
      </c>
      <c r="C2833" s="9" t="str">
        <f>IFERROR(__xludf.DUMMYFUNCTION("""COMPUTED_VALUE"""),""":""")</f>
        <v>":"</v>
      </c>
      <c r="D2833" s="24">
        <v>6.2005979458241782E18</v>
      </c>
      <c r="E2833" s="9" t="str">
        <f>IFERROR(__xludf.DUMMYFUNCTION("""COMPUTED_VALUE"""),""",")</f>
        <v>",</v>
      </c>
    </row>
    <row r="2834">
      <c r="A2834" s="9" t="str">
        <f>IFERROR(__xludf.DUMMYFUNCTION("""COMPUTED_VALUE"""),"""")</f>
        <v>"</v>
      </c>
      <c r="B2834" s="9" t="s">
        <v>2843</v>
      </c>
      <c r="C2834" s="9" t="str">
        <f>IFERROR(__xludf.DUMMYFUNCTION("""COMPUTED_VALUE"""),""":""")</f>
        <v>":"</v>
      </c>
      <c r="D2834" s="24">
        <v>6.2005979458241782E18</v>
      </c>
      <c r="E2834" s="9" t="str">
        <f>IFERROR(__xludf.DUMMYFUNCTION("""COMPUTED_VALUE"""),""",")</f>
        <v>",</v>
      </c>
    </row>
    <row r="2835">
      <c r="A2835" s="9" t="str">
        <f>IFERROR(__xludf.DUMMYFUNCTION("""COMPUTED_VALUE"""),"""")</f>
        <v>"</v>
      </c>
      <c r="B2835" s="9" t="s">
        <v>2844</v>
      </c>
      <c r="C2835" s="9" t="str">
        <f>IFERROR(__xludf.DUMMYFUNCTION("""COMPUTED_VALUE"""),""":""")</f>
        <v>":"</v>
      </c>
      <c r="D2835" s="24">
        <v>1.6306131703823045E19</v>
      </c>
      <c r="E2835" s="9" t="str">
        <f>IFERROR(__xludf.DUMMYFUNCTION("""COMPUTED_VALUE"""),""",")</f>
        <v>",</v>
      </c>
    </row>
    <row r="2836">
      <c r="A2836" s="9" t="str">
        <f>IFERROR(__xludf.DUMMYFUNCTION("""COMPUTED_VALUE"""),"""")</f>
        <v>"</v>
      </c>
      <c r="B2836" s="9" t="s">
        <v>2845</v>
      </c>
      <c r="C2836" s="9" t="str">
        <f>IFERROR(__xludf.DUMMYFUNCTION("""COMPUTED_VALUE"""),""":""")</f>
        <v>":"</v>
      </c>
      <c r="D2836" s="24">
        <v>2.0248888511809958E19</v>
      </c>
      <c r="E2836" s="9" t="str">
        <f>IFERROR(__xludf.DUMMYFUNCTION("""COMPUTED_VALUE"""),""",")</f>
        <v>",</v>
      </c>
    </row>
    <row r="2837">
      <c r="A2837" s="9" t="str">
        <f>IFERROR(__xludf.DUMMYFUNCTION("""COMPUTED_VALUE"""),"""")</f>
        <v>"</v>
      </c>
      <c r="B2837" s="9" t="s">
        <v>2846</v>
      </c>
      <c r="C2837" s="9" t="str">
        <f>IFERROR(__xludf.DUMMYFUNCTION("""COMPUTED_VALUE"""),""":""")</f>
        <v>":"</v>
      </c>
      <c r="D2837" s="24">
        <v>1.7460133136674865E19</v>
      </c>
      <c r="E2837" s="9" t="str">
        <f>IFERROR(__xludf.DUMMYFUNCTION("""COMPUTED_VALUE"""),""",")</f>
        <v>",</v>
      </c>
    </row>
    <row r="2838">
      <c r="A2838" s="9" t="str">
        <f>IFERROR(__xludf.DUMMYFUNCTION("""COMPUTED_VALUE"""),"""")</f>
        <v>"</v>
      </c>
      <c r="B2838" s="9" t="s">
        <v>2847</v>
      </c>
      <c r="C2838" s="9" t="str">
        <f>IFERROR(__xludf.DUMMYFUNCTION("""COMPUTED_VALUE"""),""":""")</f>
        <v>":"</v>
      </c>
      <c r="D2838" s="24">
        <v>6.2005979458241782E18</v>
      </c>
      <c r="E2838" s="9" t="str">
        <f>IFERROR(__xludf.DUMMYFUNCTION("""COMPUTED_VALUE"""),""",")</f>
        <v>",</v>
      </c>
    </row>
    <row r="2839">
      <c r="A2839" s="9" t="str">
        <f>IFERROR(__xludf.DUMMYFUNCTION("""COMPUTED_VALUE"""),"""")</f>
        <v>"</v>
      </c>
      <c r="B2839" s="9" t="s">
        <v>2848</v>
      </c>
      <c r="C2839" s="9" t="str">
        <f>IFERROR(__xludf.DUMMYFUNCTION("""COMPUTED_VALUE"""),""":""")</f>
        <v>":"</v>
      </c>
      <c r="D2839" s="24">
        <v>6.0099089558523776E17</v>
      </c>
      <c r="E2839" s="9" t="str">
        <f>IFERROR(__xludf.DUMMYFUNCTION("""COMPUTED_VALUE"""),""",")</f>
        <v>",</v>
      </c>
    </row>
    <row r="2840">
      <c r="A2840" s="9" t="str">
        <f>IFERROR(__xludf.DUMMYFUNCTION("""COMPUTED_VALUE"""),"""")</f>
        <v>"</v>
      </c>
      <c r="B2840" s="9" t="s">
        <v>2849</v>
      </c>
      <c r="C2840" s="9" t="str">
        <f>IFERROR(__xludf.DUMMYFUNCTION("""COMPUTED_VALUE"""),""":""")</f>
        <v>":"</v>
      </c>
      <c r="D2840" s="24">
        <v>2.0248888511809958E19</v>
      </c>
      <c r="E2840" s="9" t="str">
        <f>IFERROR(__xludf.DUMMYFUNCTION("""COMPUTED_VALUE"""),""",")</f>
        <v>",</v>
      </c>
    </row>
    <row r="2841">
      <c r="A2841" s="9" t="str">
        <f>IFERROR(__xludf.DUMMYFUNCTION("""COMPUTED_VALUE"""),"""")</f>
        <v>"</v>
      </c>
      <c r="B2841" s="9" t="s">
        <v>2850</v>
      </c>
      <c r="C2841" s="9" t="str">
        <f>IFERROR(__xludf.DUMMYFUNCTION("""COMPUTED_VALUE"""),""":""")</f>
        <v>":"</v>
      </c>
      <c r="D2841" s="24">
        <v>6.1837381802064896E18</v>
      </c>
      <c r="E2841" s="9" t="str">
        <f>IFERROR(__xludf.DUMMYFUNCTION("""COMPUTED_VALUE"""),""",")</f>
        <v>",</v>
      </c>
    </row>
    <row r="2842">
      <c r="A2842" s="9" t="str">
        <f>IFERROR(__xludf.DUMMYFUNCTION("""COMPUTED_VALUE"""),"""")</f>
        <v>"</v>
      </c>
      <c r="B2842" s="9" t="s">
        <v>2851</v>
      </c>
      <c r="C2842" s="9" t="str">
        <f>IFERROR(__xludf.DUMMYFUNCTION("""COMPUTED_VALUE"""),""":""")</f>
        <v>":"</v>
      </c>
      <c r="D2842" s="24">
        <v>6.1997877996376443E18</v>
      </c>
      <c r="E2842" s="9" t="str">
        <f>IFERROR(__xludf.DUMMYFUNCTION("""COMPUTED_VALUE"""),""",")</f>
        <v>",</v>
      </c>
    </row>
    <row r="2843">
      <c r="A2843" s="9" t="str">
        <f>IFERROR(__xludf.DUMMYFUNCTION("""COMPUTED_VALUE"""),"""")</f>
        <v>"</v>
      </c>
      <c r="B2843" s="9" t="s">
        <v>2852</v>
      </c>
      <c r="C2843" s="9" t="str">
        <f>IFERROR(__xludf.DUMMYFUNCTION("""COMPUTED_VALUE"""),""":""")</f>
        <v>":"</v>
      </c>
      <c r="D2843" s="24">
        <v>6.2005979458241782E18</v>
      </c>
      <c r="E2843" s="9" t="str">
        <f>IFERROR(__xludf.DUMMYFUNCTION("""COMPUTED_VALUE"""),""",")</f>
        <v>",</v>
      </c>
    </row>
    <row r="2844">
      <c r="A2844" s="9" t="str">
        <f>IFERROR(__xludf.DUMMYFUNCTION("""COMPUTED_VALUE"""),"""")</f>
        <v>"</v>
      </c>
      <c r="B2844" s="9" t="s">
        <v>2853</v>
      </c>
      <c r="C2844" s="9" t="str">
        <f>IFERROR(__xludf.DUMMYFUNCTION("""COMPUTED_VALUE"""),""":""")</f>
        <v>":"</v>
      </c>
      <c r="D2844" s="24">
        <v>6.2005979458241782E18</v>
      </c>
      <c r="E2844" s="9" t="str">
        <f>IFERROR(__xludf.DUMMYFUNCTION("""COMPUTED_VALUE"""),""",")</f>
        <v>",</v>
      </c>
    </row>
    <row r="2845">
      <c r="A2845" s="9" t="str">
        <f>IFERROR(__xludf.DUMMYFUNCTION("""COMPUTED_VALUE"""),"""")</f>
        <v>"</v>
      </c>
      <c r="B2845" s="9" t="s">
        <v>2854</v>
      </c>
      <c r="C2845" s="9" t="str">
        <f>IFERROR(__xludf.DUMMYFUNCTION("""COMPUTED_VALUE"""),""":""")</f>
        <v>":"</v>
      </c>
      <c r="D2845" s="24">
        <v>6.2005979458241782E18</v>
      </c>
      <c r="E2845" s="9" t="str">
        <f>IFERROR(__xludf.DUMMYFUNCTION("""COMPUTED_VALUE"""),""",")</f>
        <v>",</v>
      </c>
    </row>
    <row r="2846">
      <c r="A2846" s="9" t="str">
        <f>IFERROR(__xludf.DUMMYFUNCTION("""COMPUTED_VALUE"""),"""")</f>
        <v>"</v>
      </c>
      <c r="B2846" s="9" t="s">
        <v>2855</v>
      </c>
      <c r="C2846" s="9" t="str">
        <f>IFERROR(__xludf.DUMMYFUNCTION("""COMPUTED_VALUE"""),""":""")</f>
        <v>":"</v>
      </c>
      <c r="D2846" s="24">
        <v>5.6788303114850888E18</v>
      </c>
      <c r="E2846" s="9" t="str">
        <f>IFERROR(__xludf.DUMMYFUNCTION("""COMPUTED_VALUE"""),""",")</f>
        <v>",</v>
      </c>
    </row>
    <row r="2847">
      <c r="A2847" s="9" t="str">
        <f>IFERROR(__xludf.DUMMYFUNCTION("""COMPUTED_VALUE"""),"""")</f>
        <v>"</v>
      </c>
      <c r="B2847" s="9" t="s">
        <v>2856</v>
      </c>
      <c r="C2847" s="9" t="str">
        <f>IFERROR(__xludf.DUMMYFUNCTION("""COMPUTED_VALUE"""),""":""")</f>
        <v>":"</v>
      </c>
      <c r="D2847" s="24">
        <v>2.0248888511809958E19</v>
      </c>
      <c r="E2847" s="9" t="str">
        <f>IFERROR(__xludf.DUMMYFUNCTION("""COMPUTED_VALUE"""),""",")</f>
        <v>",</v>
      </c>
    </row>
    <row r="2848">
      <c r="A2848" s="9" t="str">
        <f>IFERROR(__xludf.DUMMYFUNCTION("""COMPUTED_VALUE"""),"""")</f>
        <v>"</v>
      </c>
      <c r="B2848" s="9" t="s">
        <v>2857</v>
      </c>
      <c r="C2848" s="9" t="str">
        <f>IFERROR(__xludf.DUMMYFUNCTION("""COMPUTED_VALUE"""),""":""")</f>
        <v>":"</v>
      </c>
      <c r="D2848" s="24">
        <v>3.927439403686913E19</v>
      </c>
      <c r="E2848" s="9" t="str">
        <f>IFERROR(__xludf.DUMMYFUNCTION("""COMPUTED_VALUE"""),""",")</f>
        <v>",</v>
      </c>
    </row>
    <row r="2849">
      <c r="A2849" s="9" t="str">
        <f>IFERROR(__xludf.DUMMYFUNCTION("""COMPUTED_VALUE"""),"""")</f>
        <v>"</v>
      </c>
      <c r="B2849" s="9" t="s">
        <v>2858</v>
      </c>
      <c r="C2849" s="9" t="str">
        <f>IFERROR(__xludf.DUMMYFUNCTION("""COMPUTED_VALUE"""),""":""")</f>
        <v>":"</v>
      </c>
      <c r="D2849" s="24">
        <v>6.1752327839806444E18</v>
      </c>
      <c r="E2849" s="9" t="str">
        <f>IFERROR(__xludf.DUMMYFUNCTION("""COMPUTED_VALUE"""),""",")</f>
        <v>",</v>
      </c>
    </row>
    <row r="2850">
      <c r="A2850" s="9" t="str">
        <f>IFERROR(__xludf.DUMMYFUNCTION("""COMPUTED_VALUE"""),"""")</f>
        <v>"</v>
      </c>
      <c r="B2850" s="9" t="s">
        <v>2859</v>
      </c>
      <c r="C2850" s="9" t="str">
        <f>IFERROR(__xludf.DUMMYFUNCTION("""COMPUTED_VALUE"""),""":""")</f>
        <v>":"</v>
      </c>
      <c r="D2850" s="24">
        <v>6.2005979458241782E18</v>
      </c>
      <c r="E2850" s="9" t="str">
        <f>IFERROR(__xludf.DUMMYFUNCTION("""COMPUTED_VALUE"""),""",")</f>
        <v>",</v>
      </c>
    </row>
    <row r="2851">
      <c r="A2851" s="9" t="str">
        <f>IFERROR(__xludf.DUMMYFUNCTION("""COMPUTED_VALUE"""),"""")</f>
        <v>"</v>
      </c>
      <c r="B2851" s="9" t="s">
        <v>2860</v>
      </c>
      <c r="C2851" s="9" t="str">
        <f>IFERROR(__xludf.DUMMYFUNCTION("""COMPUTED_VALUE"""),""":""")</f>
        <v>":"</v>
      </c>
      <c r="D2851" s="24">
        <v>6.2005979458241782E18</v>
      </c>
      <c r="E2851" s="9" t="str">
        <f>IFERROR(__xludf.DUMMYFUNCTION("""COMPUTED_VALUE"""),""",")</f>
        <v>",</v>
      </c>
    </row>
    <row r="2852">
      <c r="A2852" s="9" t="str">
        <f>IFERROR(__xludf.DUMMYFUNCTION("""COMPUTED_VALUE"""),"""")</f>
        <v>"</v>
      </c>
      <c r="B2852" s="9" t="s">
        <v>2861</v>
      </c>
      <c r="C2852" s="9" t="str">
        <f>IFERROR(__xludf.DUMMYFUNCTION("""COMPUTED_VALUE"""),""":""")</f>
        <v>":"</v>
      </c>
      <c r="D2852" s="24">
        <v>2.2067752783876784E19</v>
      </c>
      <c r="E2852" s="9" t="str">
        <f>IFERROR(__xludf.DUMMYFUNCTION("""COMPUTED_VALUE"""),""",")</f>
        <v>",</v>
      </c>
    </row>
    <row r="2853">
      <c r="A2853" s="9" t="str">
        <f>IFERROR(__xludf.DUMMYFUNCTION("""COMPUTED_VALUE"""),"""")</f>
        <v>"</v>
      </c>
      <c r="B2853" s="9" t="s">
        <v>2862</v>
      </c>
      <c r="C2853" s="9" t="str">
        <f>IFERROR(__xludf.DUMMYFUNCTION("""COMPUTED_VALUE"""),""":""")</f>
        <v>":"</v>
      </c>
      <c r="D2853" s="24">
        <v>6.2005979458241782E18</v>
      </c>
      <c r="E2853" s="9" t="str">
        <f>IFERROR(__xludf.DUMMYFUNCTION("""COMPUTED_VALUE"""),""",")</f>
        <v>",</v>
      </c>
    </row>
    <row r="2854">
      <c r="A2854" s="9" t="str">
        <f>IFERROR(__xludf.DUMMYFUNCTION("""COMPUTED_VALUE"""),"""")</f>
        <v>"</v>
      </c>
      <c r="B2854" s="9" t="s">
        <v>2863</v>
      </c>
      <c r="C2854" s="9" t="str">
        <f>IFERROR(__xludf.DUMMYFUNCTION("""COMPUTED_VALUE"""),""":""")</f>
        <v>":"</v>
      </c>
      <c r="D2854" s="24">
        <v>6.2005979458241782E18</v>
      </c>
      <c r="E2854" s="9" t="str">
        <f>IFERROR(__xludf.DUMMYFUNCTION("""COMPUTED_VALUE"""),""",")</f>
        <v>",</v>
      </c>
    </row>
    <row r="2855">
      <c r="A2855" s="9" t="str">
        <f>IFERROR(__xludf.DUMMYFUNCTION("""COMPUTED_VALUE"""),"""")</f>
        <v>"</v>
      </c>
      <c r="B2855" s="9" t="s">
        <v>2864</v>
      </c>
      <c r="C2855" s="9" t="str">
        <f>IFERROR(__xludf.DUMMYFUNCTION("""COMPUTED_VALUE"""),""":""")</f>
        <v>":"</v>
      </c>
      <c r="D2855" s="24">
        <v>6.2005979458241782E18</v>
      </c>
      <c r="E2855" s="9" t="str">
        <f>IFERROR(__xludf.DUMMYFUNCTION("""COMPUTED_VALUE"""),""",")</f>
        <v>",</v>
      </c>
    </row>
    <row r="2856">
      <c r="A2856" s="9" t="str">
        <f>IFERROR(__xludf.DUMMYFUNCTION("""COMPUTED_VALUE"""),"""")</f>
        <v>"</v>
      </c>
      <c r="B2856" s="9" t="s">
        <v>2865</v>
      </c>
      <c r="C2856" s="9" t="str">
        <f>IFERROR(__xludf.DUMMYFUNCTION("""COMPUTED_VALUE"""),""":""")</f>
        <v>":"</v>
      </c>
      <c r="D2856" s="24">
        <v>6.6358020595725517E18</v>
      </c>
      <c r="E2856" s="9" t="str">
        <f>IFERROR(__xludf.DUMMYFUNCTION("""COMPUTED_VALUE"""),""",")</f>
        <v>",</v>
      </c>
    </row>
    <row r="2857">
      <c r="A2857" s="9" t="str">
        <f>IFERROR(__xludf.DUMMYFUNCTION("""COMPUTED_VALUE"""),"""")</f>
        <v>"</v>
      </c>
      <c r="B2857" s="9" t="s">
        <v>2866</v>
      </c>
      <c r="C2857" s="9" t="str">
        <f>IFERROR(__xludf.DUMMYFUNCTION("""COMPUTED_VALUE"""),""":""")</f>
        <v>":"</v>
      </c>
      <c r="D2857" s="24">
        <v>6.2005979458241782E18</v>
      </c>
      <c r="E2857" s="9" t="str">
        <f>IFERROR(__xludf.DUMMYFUNCTION("""COMPUTED_VALUE"""),""",")</f>
        <v>",</v>
      </c>
    </row>
    <row r="2858">
      <c r="A2858" s="9" t="str">
        <f>IFERROR(__xludf.DUMMYFUNCTION("""COMPUTED_VALUE"""),"""")</f>
        <v>"</v>
      </c>
      <c r="B2858" s="9" t="s">
        <v>2867</v>
      </c>
      <c r="C2858" s="9" t="str">
        <f>IFERROR(__xludf.DUMMYFUNCTION("""COMPUTED_VALUE"""),""":""")</f>
        <v>":"</v>
      </c>
      <c r="D2858" s="24">
        <v>2.0248888511809958E19</v>
      </c>
      <c r="E2858" s="9" t="str">
        <f>IFERROR(__xludf.DUMMYFUNCTION("""COMPUTED_VALUE"""),""",")</f>
        <v>",</v>
      </c>
    </row>
    <row r="2859">
      <c r="A2859" s="9" t="str">
        <f>IFERROR(__xludf.DUMMYFUNCTION("""COMPUTED_VALUE"""),"""")</f>
        <v>"</v>
      </c>
      <c r="B2859" s="9" t="s">
        <v>2868</v>
      </c>
      <c r="C2859" s="9" t="str">
        <f>IFERROR(__xludf.DUMMYFUNCTION("""COMPUTED_VALUE"""),""":""")</f>
        <v>":"</v>
      </c>
      <c r="D2859" s="24">
        <v>6.2005979458241782E18</v>
      </c>
      <c r="E2859" s="9" t="str">
        <f>IFERROR(__xludf.DUMMYFUNCTION("""COMPUTED_VALUE"""),""",")</f>
        <v>",</v>
      </c>
    </row>
    <row r="2860">
      <c r="A2860" s="9" t="str">
        <f>IFERROR(__xludf.DUMMYFUNCTION("""COMPUTED_VALUE"""),"""")</f>
        <v>"</v>
      </c>
      <c r="B2860" s="9" t="s">
        <v>2869</v>
      </c>
      <c r="C2860" s="9" t="str">
        <f>IFERROR(__xludf.DUMMYFUNCTION("""COMPUTED_VALUE"""),""":""")</f>
        <v>":"</v>
      </c>
      <c r="D2860" s="24">
        <v>6.2005979458241782E18</v>
      </c>
      <c r="E2860" s="9" t="str">
        <f>IFERROR(__xludf.DUMMYFUNCTION("""COMPUTED_VALUE"""),""",")</f>
        <v>",</v>
      </c>
    </row>
    <row r="2861">
      <c r="A2861" s="9" t="str">
        <f>IFERROR(__xludf.DUMMYFUNCTION("""COMPUTED_VALUE"""),"""")</f>
        <v>"</v>
      </c>
      <c r="B2861" s="9" t="s">
        <v>2870</v>
      </c>
      <c r="C2861" s="9" t="str">
        <f>IFERROR(__xludf.DUMMYFUNCTION("""COMPUTED_VALUE"""),""":""")</f>
        <v>":"</v>
      </c>
      <c r="D2861" s="24">
        <v>6.2005979458241782E18</v>
      </c>
      <c r="E2861" s="9" t="str">
        <f>IFERROR(__xludf.DUMMYFUNCTION("""COMPUTED_VALUE"""),""",")</f>
        <v>",</v>
      </c>
    </row>
    <row r="2862">
      <c r="A2862" s="9" t="str">
        <f>IFERROR(__xludf.DUMMYFUNCTION("""COMPUTED_VALUE"""),"""")</f>
        <v>"</v>
      </c>
      <c r="B2862" s="9" t="s">
        <v>2871</v>
      </c>
      <c r="C2862" s="9" t="str">
        <f>IFERROR(__xludf.DUMMYFUNCTION("""COMPUTED_VALUE"""),""":""")</f>
        <v>":"</v>
      </c>
      <c r="D2862" s="24">
        <v>6.2005979458241782E18</v>
      </c>
      <c r="E2862" s="9" t="str">
        <f>IFERROR(__xludf.DUMMYFUNCTION("""COMPUTED_VALUE"""),""",")</f>
        <v>",</v>
      </c>
    </row>
    <row r="2863">
      <c r="A2863" s="9" t="str">
        <f>IFERROR(__xludf.DUMMYFUNCTION("""COMPUTED_VALUE"""),"""")</f>
        <v>"</v>
      </c>
      <c r="B2863" s="9" t="s">
        <v>2872</v>
      </c>
      <c r="C2863" s="9" t="str">
        <f>IFERROR(__xludf.DUMMYFUNCTION("""COMPUTED_VALUE"""),""":""")</f>
        <v>":"</v>
      </c>
      <c r="D2863" s="24">
        <v>6.2005979458241782E18</v>
      </c>
      <c r="E2863" s="9" t="str">
        <f>IFERROR(__xludf.DUMMYFUNCTION("""COMPUTED_VALUE"""),""",")</f>
        <v>",</v>
      </c>
    </row>
    <row r="2864">
      <c r="A2864" s="9" t="str">
        <f>IFERROR(__xludf.DUMMYFUNCTION("""COMPUTED_VALUE"""),"""")</f>
        <v>"</v>
      </c>
      <c r="B2864" s="9" t="s">
        <v>2873</v>
      </c>
      <c r="C2864" s="9" t="str">
        <f>IFERROR(__xludf.DUMMYFUNCTION("""COMPUTED_VALUE"""),""":""")</f>
        <v>":"</v>
      </c>
      <c r="D2864" s="24">
        <v>6.2005979458241782E18</v>
      </c>
      <c r="E2864" s="9" t="str">
        <f>IFERROR(__xludf.DUMMYFUNCTION("""COMPUTED_VALUE"""),""",")</f>
        <v>",</v>
      </c>
    </row>
    <row r="2865">
      <c r="A2865" s="9" t="str">
        <f>IFERROR(__xludf.DUMMYFUNCTION("""COMPUTED_VALUE"""),"""")</f>
        <v>"</v>
      </c>
      <c r="B2865" s="9" t="s">
        <v>2874</v>
      </c>
      <c r="C2865" s="9" t="str">
        <f>IFERROR(__xludf.DUMMYFUNCTION("""COMPUTED_VALUE"""),""":""")</f>
        <v>":"</v>
      </c>
      <c r="D2865" s="24">
        <v>2.568499609094276E19</v>
      </c>
      <c r="E2865" s="9" t="str">
        <f>IFERROR(__xludf.DUMMYFUNCTION("""COMPUTED_VALUE"""),""",")</f>
        <v>",</v>
      </c>
    </row>
    <row r="2866">
      <c r="A2866" s="9" t="str">
        <f>IFERROR(__xludf.DUMMYFUNCTION("""COMPUTED_VALUE"""),"""")</f>
        <v>"</v>
      </c>
      <c r="B2866" s="9" t="s">
        <v>2875</v>
      </c>
      <c r="C2866" s="9" t="str">
        <f>IFERROR(__xludf.DUMMYFUNCTION("""COMPUTED_VALUE"""),""":""")</f>
        <v>":"</v>
      </c>
      <c r="D2866" s="24">
        <v>2.0248888511809958E19</v>
      </c>
      <c r="E2866" s="9" t="str">
        <f>IFERROR(__xludf.DUMMYFUNCTION("""COMPUTED_VALUE"""),""",")</f>
        <v>",</v>
      </c>
    </row>
    <row r="2867">
      <c r="A2867" s="9" t="str">
        <f>IFERROR(__xludf.DUMMYFUNCTION("""COMPUTED_VALUE"""),"""")</f>
        <v>"</v>
      </c>
      <c r="B2867" s="9" t="s">
        <v>2876</v>
      </c>
      <c r="C2867" s="9" t="str">
        <f>IFERROR(__xludf.DUMMYFUNCTION("""COMPUTED_VALUE"""),""":""")</f>
        <v>":"</v>
      </c>
      <c r="D2867" s="24">
        <v>5.9706780560122634E18</v>
      </c>
      <c r="E2867" s="9" t="str">
        <f>IFERROR(__xludf.DUMMYFUNCTION("""COMPUTED_VALUE"""),""",")</f>
        <v>",</v>
      </c>
    </row>
    <row r="2868">
      <c r="A2868" s="9" t="str">
        <f>IFERROR(__xludf.DUMMYFUNCTION("""COMPUTED_VALUE"""),"""")</f>
        <v>"</v>
      </c>
      <c r="B2868" s="9" t="s">
        <v>2877</v>
      </c>
      <c r="C2868" s="9" t="str">
        <f>IFERROR(__xludf.DUMMYFUNCTION("""COMPUTED_VALUE"""),""":""")</f>
        <v>":"</v>
      </c>
      <c r="D2868" s="24">
        <v>4.8414620591826893E18</v>
      </c>
      <c r="E2868" s="9" t="str">
        <f>IFERROR(__xludf.DUMMYFUNCTION("""COMPUTED_VALUE"""),""",")</f>
        <v>",</v>
      </c>
    </row>
    <row r="2869">
      <c r="A2869" s="9" t="str">
        <f>IFERROR(__xludf.DUMMYFUNCTION("""COMPUTED_VALUE"""),"""")</f>
        <v>"</v>
      </c>
      <c r="B2869" s="9" t="s">
        <v>2878</v>
      </c>
      <c r="C2869" s="9" t="str">
        <f>IFERROR(__xludf.DUMMYFUNCTION("""COMPUTED_VALUE"""),""":""")</f>
        <v>":"</v>
      </c>
      <c r="D2869" s="24">
        <v>4.0604341683764669E18</v>
      </c>
      <c r="E2869" s="9" t="str">
        <f>IFERROR(__xludf.DUMMYFUNCTION("""COMPUTED_VALUE"""),""",")</f>
        <v>",</v>
      </c>
    </row>
    <row r="2870">
      <c r="A2870" s="9" t="str">
        <f>IFERROR(__xludf.DUMMYFUNCTION("""COMPUTED_VALUE"""),"""")</f>
        <v>"</v>
      </c>
      <c r="B2870" s="9" t="s">
        <v>2879</v>
      </c>
      <c r="C2870" s="9" t="str">
        <f>IFERROR(__xludf.DUMMYFUNCTION("""COMPUTED_VALUE"""),""":""")</f>
        <v>":"</v>
      </c>
      <c r="D2870" s="24">
        <v>6.2005979458241782E18</v>
      </c>
      <c r="E2870" s="9" t="str">
        <f>IFERROR(__xludf.DUMMYFUNCTION("""COMPUTED_VALUE"""),""",")</f>
        <v>",</v>
      </c>
    </row>
    <row r="2871">
      <c r="A2871" s="9" t="str">
        <f>IFERROR(__xludf.DUMMYFUNCTION("""COMPUTED_VALUE"""),"""")</f>
        <v>"</v>
      </c>
      <c r="B2871" s="9" t="s">
        <v>2880</v>
      </c>
      <c r="C2871" s="9" t="str">
        <f>IFERROR(__xludf.DUMMYFUNCTION("""COMPUTED_VALUE"""),""":""")</f>
        <v>":"</v>
      </c>
      <c r="D2871" s="24">
        <v>2.0248888511809958E19</v>
      </c>
      <c r="E2871" s="9" t="str">
        <f>IFERROR(__xludf.DUMMYFUNCTION("""COMPUTED_VALUE"""),""",")</f>
        <v>",</v>
      </c>
    </row>
    <row r="2872">
      <c r="A2872" s="9" t="str">
        <f>IFERROR(__xludf.DUMMYFUNCTION("""COMPUTED_VALUE"""),"""")</f>
        <v>"</v>
      </c>
      <c r="B2872" s="9" t="s">
        <v>2881</v>
      </c>
      <c r="C2872" s="9" t="str">
        <f>IFERROR(__xludf.DUMMYFUNCTION("""COMPUTED_VALUE"""),""":""")</f>
        <v>":"</v>
      </c>
      <c r="D2872" s="24">
        <v>6.2005979458241782E18</v>
      </c>
      <c r="E2872" s="9" t="str">
        <f>IFERROR(__xludf.DUMMYFUNCTION("""COMPUTED_VALUE"""),""",")</f>
        <v>",</v>
      </c>
    </row>
    <row r="2873">
      <c r="A2873" s="9" t="str">
        <f>IFERROR(__xludf.DUMMYFUNCTION("""COMPUTED_VALUE"""),"""")</f>
        <v>"</v>
      </c>
      <c r="B2873" s="9" t="s">
        <v>2882</v>
      </c>
      <c r="C2873" s="9" t="str">
        <f>IFERROR(__xludf.DUMMYFUNCTION("""COMPUTED_VALUE"""),""":""")</f>
        <v>":"</v>
      </c>
      <c r="D2873" s="24">
        <v>7.8122523760965243E18</v>
      </c>
      <c r="E2873" s="9" t="str">
        <f>IFERROR(__xludf.DUMMYFUNCTION("""COMPUTED_VALUE"""),""",")</f>
        <v>",</v>
      </c>
    </row>
    <row r="2874">
      <c r="A2874" s="9" t="str">
        <f>IFERROR(__xludf.DUMMYFUNCTION("""COMPUTED_VALUE"""),"""")</f>
        <v>"</v>
      </c>
      <c r="B2874" s="9" t="s">
        <v>2883</v>
      </c>
      <c r="C2874" s="9" t="str">
        <f>IFERROR(__xludf.DUMMYFUNCTION("""COMPUTED_VALUE"""),""":""")</f>
        <v>":"</v>
      </c>
      <c r="D2874" s="24">
        <v>5.5431219938289336E18</v>
      </c>
      <c r="E2874" s="9" t="str">
        <f>IFERROR(__xludf.DUMMYFUNCTION("""COMPUTED_VALUE"""),""",")</f>
        <v>",</v>
      </c>
    </row>
    <row r="2875">
      <c r="A2875" s="9" t="str">
        <f>IFERROR(__xludf.DUMMYFUNCTION("""COMPUTED_VALUE"""),"""")</f>
        <v>"</v>
      </c>
      <c r="B2875" s="9" t="s">
        <v>2884</v>
      </c>
      <c r="C2875" s="9" t="str">
        <f>IFERROR(__xludf.DUMMYFUNCTION("""COMPUTED_VALUE"""),""":""")</f>
        <v>":"</v>
      </c>
      <c r="D2875" s="24">
        <v>2.0248888511809958E19</v>
      </c>
      <c r="E2875" s="9" t="str">
        <f>IFERROR(__xludf.DUMMYFUNCTION("""COMPUTED_VALUE"""),""",")</f>
        <v>",</v>
      </c>
    </row>
    <row r="2876">
      <c r="A2876" s="9" t="str">
        <f>IFERROR(__xludf.DUMMYFUNCTION("""COMPUTED_VALUE"""),"""")</f>
        <v>"</v>
      </c>
      <c r="B2876" s="9" t="s">
        <v>2885</v>
      </c>
      <c r="C2876" s="9" t="str">
        <f>IFERROR(__xludf.DUMMYFUNCTION("""COMPUTED_VALUE"""),""":""")</f>
        <v>":"</v>
      </c>
      <c r="D2876" s="24">
        <v>1.3224743228817068E19</v>
      </c>
      <c r="E2876" s="9" t="str">
        <f>IFERROR(__xludf.DUMMYFUNCTION("""COMPUTED_VALUE"""),""",")</f>
        <v>",</v>
      </c>
    </row>
    <row r="2877">
      <c r="A2877" s="9" t="str">
        <f>IFERROR(__xludf.DUMMYFUNCTION("""COMPUTED_VALUE"""),"""")</f>
        <v>"</v>
      </c>
      <c r="B2877" s="9" t="s">
        <v>2886</v>
      </c>
      <c r="C2877" s="9" t="str">
        <f>IFERROR(__xludf.DUMMYFUNCTION("""COMPUTED_VALUE"""),""":""")</f>
        <v>":"</v>
      </c>
      <c r="D2877" s="24">
        <v>2.0248888511809958E19</v>
      </c>
      <c r="E2877" s="9" t="str">
        <f>IFERROR(__xludf.DUMMYFUNCTION("""COMPUTED_VALUE"""),""",")</f>
        <v>",</v>
      </c>
    </row>
    <row r="2878">
      <c r="A2878" s="9" t="str">
        <f>IFERROR(__xludf.DUMMYFUNCTION("""COMPUTED_VALUE"""),"""")</f>
        <v>"</v>
      </c>
      <c r="B2878" s="9" t="s">
        <v>2887</v>
      </c>
      <c r="C2878" s="9" t="str">
        <f>IFERROR(__xludf.DUMMYFUNCTION("""COMPUTED_VALUE"""),""":""")</f>
        <v>":"</v>
      </c>
      <c r="D2878" s="24">
        <v>6.2005979458241782E18</v>
      </c>
      <c r="E2878" s="9" t="str">
        <f>IFERROR(__xludf.DUMMYFUNCTION("""COMPUTED_VALUE"""),""",")</f>
        <v>",</v>
      </c>
    </row>
    <row r="2879">
      <c r="A2879" s="9" t="str">
        <f>IFERROR(__xludf.DUMMYFUNCTION("""COMPUTED_VALUE"""),"""")</f>
        <v>"</v>
      </c>
      <c r="B2879" s="9" t="s">
        <v>2888</v>
      </c>
      <c r="C2879" s="9" t="str">
        <f>IFERROR(__xludf.DUMMYFUNCTION("""COMPUTED_VALUE"""),""":""")</f>
        <v>":"</v>
      </c>
      <c r="D2879" s="24">
        <v>2.252904225885129E19</v>
      </c>
      <c r="E2879" s="9" t="str">
        <f>IFERROR(__xludf.DUMMYFUNCTION("""COMPUTED_VALUE"""),""",")</f>
        <v>",</v>
      </c>
    </row>
    <row r="2880">
      <c r="A2880" s="9" t="str">
        <f>IFERROR(__xludf.DUMMYFUNCTION("""COMPUTED_VALUE"""),"""")</f>
        <v>"</v>
      </c>
      <c r="B2880" s="9" t="s">
        <v>2889</v>
      </c>
      <c r="C2880" s="9" t="str">
        <f>IFERROR(__xludf.DUMMYFUNCTION("""COMPUTED_VALUE"""),""":""")</f>
        <v>":"</v>
      </c>
      <c r="D2880" s="24">
        <v>1.9597012587704734E19</v>
      </c>
      <c r="E2880" s="9" t="str">
        <f>IFERROR(__xludf.DUMMYFUNCTION("""COMPUTED_VALUE"""),""",")</f>
        <v>",</v>
      </c>
    </row>
    <row r="2881">
      <c r="A2881" s="9" t="str">
        <f>IFERROR(__xludf.DUMMYFUNCTION("""COMPUTED_VALUE"""),"""")</f>
        <v>"</v>
      </c>
      <c r="B2881" s="9" t="s">
        <v>2890</v>
      </c>
      <c r="C2881" s="9" t="str">
        <f>IFERROR(__xludf.DUMMYFUNCTION("""COMPUTED_VALUE"""),""":""")</f>
        <v>":"</v>
      </c>
      <c r="D2881" s="24">
        <v>4.6013654963096643E18</v>
      </c>
      <c r="E2881" s="9" t="str">
        <f>IFERROR(__xludf.DUMMYFUNCTION("""COMPUTED_VALUE"""),""",")</f>
        <v>",</v>
      </c>
    </row>
    <row r="2882">
      <c r="A2882" s="9" t="str">
        <f>IFERROR(__xludf.DUMMYFUNCTION("""COMPUTED_VALUE"""),"""")</f>
        <v>"</v>
      </c>
      <c r="B2882" s="9" t="s">
        <v>2891</v>
      </c>
      <c r="C2882" s="9" t="str">
        <f>IFERROR(__xludf.DUMMYFUNCTION("""COMPUTED_VALUE"""),""":""")</f>
        <v>":"</v>
      </c>
      <c r="D2882" s="24">
        <v>6.6329957986664315E18</v>
      </c>
      <c r="E2882" s="9" t="str">
        <f>IFERROR(__xludf.DUMMYFUNCTION("""COMPUTED_VALUE"""),""",")</f>
        <v>",</v>
      </c>
    </row>
    <row r="2883">
      <c r="A2883" s="9" t="str">
        <f>IFERROR(__xludf.DUMMYFUNCTION("""COMPUTED_VALUE"""),"""")</f>
        <v>"</v>
      </c>
      <c r="B2883" s="9" t="s">
        <v>2892</v>
      </c>
      <c r="C2883" s="9" t="str">
        <f>IFERROR(__xludf.DUMMYFUNCTION("""COMPUTED_VALUE"""),""":""")</f>
        <v>":"</v>
      </c>
      <c r="D2883" s="24">
        <v>2.0248888511809958E19</v>
      </c>
      <c r="E2883" s="9" t="str">
        <f>IFERROR(__xludf.DUMMYFUNCTION("""COMPUTED_VALUE"""),""",")</f>
        <v>",</v>
      </c>
    </row>
    <row r="2884">
      <c r="A2884" s="9" t="str">
        <f>IFERROR(__xludf.DUMMYFUNCTION("""COMPUTED_VALUE"""),"""")</f>
        <v>"</v>
      </c>
      <c r="B2884" s="9" t="s">
        <v>2893</v>
      </c>
      <c r="C2884" s="9" t="str">
        <f>IFERROR(__xludf.DUMMYFUNCTION("""COMPUTED_VALUE"""),""":""")</f>
        <v>":"</v>
      </c>
      <c r="D2884" s="24">
        <v>6.2005979458241782E18</v>
      </c>
      <c r="E2884" s="9" t="str">
        <f>IFERROR(__xludf.DUMMYFUNCTION("""COMPUTED_VALUE"""),""",")</f>
        <v>",</v>
      </c>
    </row>
    <row r="2885">
      <c r="A2885" s="9" t="str">
        <f>IFERROR(__xludf.DUMMYFUNCTION("""COMPUTED_VALUE"""),"""")</f>
        <v>"</v>
      </c>
      <c r="B2885" s="9" t="s">
        <v>2894</v>
      </c>
      <c r="C2885" s="9" t="str">
        <f>IFERROR(__xludf.DUMMYFUNCTION("""COMPUTED_VALUE"""),""":""")</f>
        <v>":"</v>
      </c>
      <c r="D2885" s="24">
        <v>6.1301380717153556E18</v>
      </c>
      <c r="E2885" s="9" t="str">
        <f>IFERROR(__xludf.DUMMYFUNCTION("""COMPUTED_VALUE"""),""",")</f>
        <v>",</v>
      </c>
    </row>
    <row r="2886">
      <c r="A2886" s="9" t="str">
        <f>IFERROR(__xludf.DUMMYFUNCTION("""COMPUTED_VALUE"""),"""")</f>
        <v>"</v>
      </c>
      <c r="B2886" s="9" t="s">
        <v>2895</v>
      </c>
      <c r="C2886" s="9" t="str">
        <f>IFERROR(__xludf.DUMMYFUNCTION("""COMPUTED_VALUE"""),""":""")</f>
        <v>":"</v>
      </c>
      <c r="D2886" s="24">
        <v>2.152670223225347E19</v>
      </c>
      <c r="E2886" s="9" t="str">
        <f>IFERROR(__xludf.DUMMYFUNCTION("""COMPUTED_VALUE"""),""",")</f>
        <v>",</v>
      </c>
    </row>
    <row r="2887">
      <c r="A2887" s="9" t="str">
        <f>IFERROR(__xludf.DUMMYFUNCTION("""COMPUTED_VALUE"""),"""")</f>
        <v>"</v>
      </c>
      <c r="B2887" s="9" t="s">
        <v>2896</v>
      </c>
      <c r="C2887" s="9" t="str">
        <f>IFERROR(__xludf.DUMMYFUNCTION("""COMPUTED_VALUE"""),""":""")</f>
        <v>":"</v>
      </c>
      <c r="D2887" s="24">
        <v>4.6442837871441551E18</v>
      </c>
      <c r="E2887" s="9" t="str">
        <f>IFERROR(__xludf.DUMMYFUNCTION("""COMPUTED_VALUE"""),""",")</f>
        <v>",</v>
      </c>
    </row>
    <row r="2888">
      <c r="A2888" s="9" t="str">
        <f>IFERROR(__xludf.DUMMYFUNCTION("""COMPUTED_VALUE"""),"""")</f>
        <v>"</v>
      </c>
      <c r="B2888" s="9" t="s">
        <v>2897</v>
      </c>
      <c r="C2888" s="9" t="str">
        <f>IFERROR(__xludf.DUMMYFUNCTION("""COMPUTED_VALUE"""),""":""")</f>
        <v>":"</v>
      </c>
      <c r="D2888" s="24">
        <v>6.2005979458241782E18</v>
      </c>
      <c r="E2888" s="9" t="str">
        <f>IFERROR(__xludf.DUMMYFUNCTION("""COMPUTED_VALUE"""),""",")</f>
        <v>",</v>
      </c>
    </row>
    <row r="2889">
      <c r="A2889" s="9" t="str">
        <f>IFERROR(__xludf.DUMMYFUNCTION("""COMPUTED_VALUE"""),"""")</f>
        <v>"</v>
      </c>
      <c r="B2889" s="9" t="s">
        <v>2898</v>
      </c>
      <c r="C2889" s="9" t="str">
        <f>IFERROR(__xludf.DUMMYFUNCTION("""COMPUTED_VALUE"""),""":""")</f>
        <v>":"</v>
      </c>
      <c r="D2889" s="24">
        <v>6.2005979458241782E18</v>
      </c>
      <c r="E2889" s="9" t="str">
        <f>IFERROR(__xludf.DUMMYFUNCTION("""COMPUTED_VALUE"""),""",")</f>
        <v>",</v>
      </c>
    </row>
    <row r="2890">
      <c r="A2890" s="9" t="str">
        <f>IFERROR(__xludf.DUMMYFUNCTION("""COMPUTED_VALUE"""),"""")</f>
        <v>"</v>
      </c>
      <c r="B2890" s="9" t="s">
        <v>2899</v>
      </c>
      <c r="C2890" s="9" t="str">
        <f>IFERROR(__xludf.DUMMYFUNCTION("""COMPUTED_VALUE"""),""":""")</f>
        <v>":"</v>
      </c>
      <c r="D2890" s="24">
        <v>5.8923130568483338E18</v>
      </c>
      <c r="E2890" s="9" t="str">
        <f>IFERROR(__xludf.DUMMYFUNCTION("""COMPUTED_VALUE"""),""",")</f>
        <v>",</v>
      </c>
    </row>
    <row r="2891">
      <c r="A2891" s="9" t="str">
        <f>IFERROR(__xludf.DUMMYFUNCTION("""COMPUTED_VALUE"""),"""")</f>
        <v>"</v>
      </c>
      <c r="B2891" s="9" t="s">
        <v>2900</v>
      </c>
      <c r="C2891" s="9" t="str">
        <f>IFERROR(__xludf.DUMMYFUNCTION("""COMPUTED_VALUE"""),""":""")</f>
        <v>":"</v>
      </c>
      <c r="D2891" s="24">
        <v>1.9229296083327934E19</v>
      </c>
      <c r="E2891" s="9" t="str">
        <f>IFERROR(__xludf.DUMMYFUNCTION("""COMPUTED_VALUE"""),""",")</f>
        <v>",</v>
      </c>
    </row>
    <row r="2892">
      <c r="A2892" s="9" t="str">
        <f>IFERROR(__xludf.DUMMYFUNCTION("""COMPUTED_VALUE"""),"""")</f>
        <v>"</v>
      </c>
      <c r="B2892" s="9" t="s">
        <v>2901</v>
      </c>
      <c r="C2892" s="9" t="str">
        <f>IFERROR(__xludf.DUMMYFUNCTION("""COMPUTED_VALUE"""),""":""")</f>
        <v>":"</v>
      </c>
      <c r="D2892" s="24">
        <v>2.73146334965674E19</v>
      </c>
      <c r="E2892" s="9" t="str">
        <f>IFERROR(__xludf.DUMMYFUNCTION("""COMPUTED_VALUE"""),""",")</f>
        <v>",</v>
      </c>
    </row>
    <row r="2893">
      <c r="A2893" s="9" t="str">
        <f>IFERROR(__xludf.DUMMYFUNCTION("""COMPUTED_VALUE"""),"""")</f>
        <v>"</v>
      </c>
      <c r="B2893" s="9" t="s">
        <v>2902</v>
      </c>
      <c r="C2893" s="9" t="str">
        <f>IFERROR(__xludf.DUMMYFUNCTION("""COMPUTED_VALUE"""),""":""")</f>
        <v>":"</v>
      </c>
      <c r="D2893" s="24">
        <v>5.7330274141704673E18</v>
      </c>
      <c r="E2893" s="9" t="str">
        <f>IFERROR(__xludf.DUMMYFUNCTION("""COMPUTED_VALUE"""),""",")</f>
        <v>",</v>
      </c>
    </row>
    <row r="2894">
      <c r="A2894" s="9" t="str">
        <f>IFERROR(__xludf.DUMMYFUNCTION("""COMPUTED_VALUE"""),"""")</f>
        <v>"</v>
      </c>
      <c r="B2894" s="9" t="s">
        <v>2903</v>
      </c>
      <c r="C2894" s="9" t="str">
        <f>IFERROR(__xludf.DUMMYFUNCTION("""COMPUTED_VALUE"""),""":""")</f>
        <v>":"</v>
      </c>
      <c r="D2894" s="24">
        <v>2.0248888511809958E19</v>
      </c>
      <c r="E2894" s="9" t="str">
        <f>IFERROR(__xludf.DUMMYFUNCTION("""COMPUTED_VALUE"""),""",")</f>
        <v>",</v>
      </c>
    </row>
    <row r="2895">
      <c r="A2895" s="9" t="str">
        <f>IFERROR(__xludf.DUMMYFUNCTION("""COMPUTED_VALUE"""),"""")</f>
        <v>"</v>
      </c>
      <c r="B2895" s="9" t="s">
        <v>2904</v>
      </c>
      <c r="C2895" s="9" t="str">
        <f>IFERROR(__xludf.DUMMYFUNCTION("""COMPUTED_VALUE"""),""":""")</f>
        <v>":"</v>
      </c>
      <c r="D2895" s="24">
        <v>6.1011740678211789E18</v>
      </c>
      <c r="E2895" s="9" t="str">
        <f>IFERROR(__xludf.DUMMYFUNCTION("""COMPUTED_VALUE"""),""",")</f>
        <v>",</v>
      </c>
    </row>
    <row r="2896">
      <c r="A2896" s="9" t="str">
        <f>IFERROR(__xludf.DUMMYFUNCTION("""COMPUTED_VALUE"""),"""")</f>
        <v>"</v>
      </c>
      <c r="B2896" s="9" t="s">
        <v>2905</v>
      </c>
      <c r="C2896" s="9" t="str">
        <f>IFERROR(__xludf.DUMMYFUNCTION("""COMPUTED_VALUE"""),""":""")</f>
        <v>":"</v>
      </c>
      <c r="D2896" s="24">
        <v>5.5653043979545344E18</v>
      </c>
      <c r="E2896" s="9" t="str">
        <f>IFERROR(__xludf.DUMMYFUNCTION("""COMPUTED_VALUE"""),""",")</f>
        <v>",</v>
      </c>
    </row>
    <row r="2897">
      <c r="A2897" s="9" t="str">
        <f>IFERROR(__xludf.DUMMYFUNCTION("""COMPUTED_VALUE"""),"""")</f>
        <v>"</v>
      </c>
      <c r="B2897" s="9" t="s">
        <v>2906</v>
      </c>
      <c r="C2897" s="9" t="str">
        <f>IFERROR(__xludf.DUMMYFUNCTION("""COMPUTED_VALUE"""),""":""")</f>
        <v>":"</v>
      </c>
      <c r="D2897" s="24">
        <v>6.2005979458241782E18</v>
      </c>
      <c r="E2897" s="9" t="str">
        <f>IFERROR(__xludf.DUMMYFUNCTION("""COMPUTED_VALUE"""),""",")</f>
        <v>",</v>
      </c>
    </row>
    <row r="2898">
      <c r="A2898" s="9" t="str">
        <f>IFERROR(__xludf.DUMMYFUNCTION("""COMPUTED_VALUE"""),"""")</f>
        <v>"</v>
      </c>
      <c r="B2898" s="9" t="s">
        <v>2907</v>
      </c>
      <c r="C2898" s="9" t="str">
        <f>IFERROR(__xludf.DUMMYFUNCTION("""COMPUTED_VALUE"""),""":""")</f>
        <v>":"</v>
      </c>
      <c r="D2898" s="24">
        <v>5.9694905575834665E18</v>
      </c>
      <c r="E2898" s="9" t="str">
        <f>IFERROR(__xludf.DUMMYFUNCTION("""COMPUTED_VALUE"""),""",")</f>
        <v>",</v>
      </c>
    </row>
    <row r="2899">
      <c r="A2899" s="9" t="str">
        <f>IFERROR(__xludf.DUMMYFUNCTION("""COMPUTED_VALUE"""),"""")</f>
        <v>"</v>
      </c>
      <c r="B2899" s="9" t="s">
        <v>2908</v>
      </c>
      <c r="C2899" s="9" t="str">
        <f>IFERROR(__xludf.DUMMYFUNCTION("""COMPUTED_VALUE"""),""":""")</f>
        <v>":"</v>
      </c>
      <c r="D2899" s="24">
        <v>5.0128796229843886E18</v>
      </c>
      <c r="E2899" s="9" t="str">
        <f>IFERROR(__xludf.DUMMYFUNCTION("""COMPUTED_VALUE"""),""",")</f>
        <v>",</v>
      </c>
    </row>
    <row r="2900">
      <c r="A2900" s="9" t="str">
        <f>IFERROR(__xludf.DUMMYFUNCTION("""COMPUTED_VALUE"""),"""")</f>
        <v>"</v>
      </c>
      <c r="B2900" s="9" t="s">
        <v>2909</v>
      </c>
      <c r="C2900" s="9" t="str">
        <f>IFERROR(__xludf.DUMMYFUNCTION("""COMPUTED_VALUE"""),""":""")</f>
        <v>":"</v>
      </c>
      <c r="D2900" s="24">
        <v>5.6995282648489329E18</v>
      </c>
      <c r="E2900" s="9" t="str">
        <f>IFERROR(__xludf.DUMMYFUNCTION("""COMPUTED_VALUE"""),""",")</f>
        <v>",</v>
      </c>
    </row>
    <row r="2901">
      <c r="A2901" s="9" t="str">
        <f>IFERROR(__xludf.DUMMYFUNCTION("""COMPUTED_VALUE"""),"""")</f>
        <v>"</v>
      </c>
      <c r="B2901" s="9" t="s">
        <v>2910</v>
      </c>
      <c r="C2901" s="9" t="str">
        <f>IFERROR(__xludf.DUMMYFUNCTION("""COMPUTED_VALUE"""),""":""")</f>
        <v>":"</v>
      </c>
      <c r="D2901" s="24">
        <v>3.1840458177920795E19</v>
      </c>
      <c r="E2901" s="9" t="str">
        <f>IFERROR(__xludf.DUMMYFUNCTION("""COMPUTED_VALUE"""),""",")</f>
        <v>",</v>
      </c>
    </row>
    <row r="2902">
      <c r="A2902" s="9" t="str">
        <f>IFERROR(__xludf.DUMMYFUNCTION("""COMPUTED_VALUE"""),"""")</f>
        <v>"</v>
      </c>
      <c r="B2902" s="9" t="s">
        <v>2911</v>
      </c>
      <c r="C2902" s="9" t="str">
        <f>IFERROR(__xludf.DUMMYFUNCTION("""COMPUTED_VALUE"""),""":""")</f>
        <v>":"</v>
      </c>
      <c r="D2902" s="24">
        <v>3.6847867009929779E18</v>
      </c>
      <c r="E2902" s="9" t="str">
        <f>IFERROR(__xludf.DUMMYFUNCTION("""COMPUTED_VALUE"""),""",")</f>
        <v>",</v>
      </c>
    </row>
    <row r="2903">
      <c r="A2903" s="9" t="str">
        <f>IFERROR(__xludf.DUMMYFUNCTION("""COMPUTED_VALUE"""),"""")</f>
        <v>"</v>
      </c>
      <c r="B2903" s="9" t="s">
        <v>2912</v>
      </c>
      <c r="C2903" s="9" t="str">
        <f>IFERROR(__xludf.DUMMYFUNCTION("""COMPUTED_VALUE"""),""":""")</f>
        <v>":"</v>
      </c>
      <c r="D2903" s="24">
        <v>2.197847992317897E19</v>
      </c>
      <c r="E2903" s="9" t="str">
        <f>IFERROR(__xludf.DUMMYFUNCTION("""COMPUTED_VALUE"""),""",")</f>
        <v>",</v>
      </c>
    </row>
    <row r="2904">
      <c r="A2904" s="9" t="str">
        <f>IFERROR(__xludf.DUMMYFUNCTION("""COMPUTED_VALUE"""),"""")</f>
        <v>"</v>
      </c>
      <c r="B2904" s="9" t="s">
        <v>2913</v>
      </c>
      <c r="C2904" s="9" t="str">
        <f>IFERROR(__xludf.DUMMYFUNCTION("""COMPUTED_VALUE"""),""":""")</f>
        <v>":"</v>
      </c>
      <c r="D2904" s="24">
        <v>3.752382631482178E18</v>
      </c>
      <c r="E2904" s="9" t="str">
        <f>IFERROR(__xludf.DUMMYFUNCTION("""COMPUTED_VALUE"""),""",")</f>
        <v>",</v>
      </c>
    </row>
    <row r="2905">
      <c r="A2905" s="9" t="str">
        <f>IFERROR(__xludf.DUMMYFUNCTION("""COMPUTED_VALUE"""),"""")</f>
        <v>"</v>
      </c>
      <c r="B2905" s="9" t="s">
        <v>2914</v>
      </c>
      <c r="C2905" s="9" t="str">
        <f>IFERROR(__xludf.DUMMYFUNCTION("""COMPUTED_VALUE"""),""":""")</f>
        <v>":"</v>
      </c>
      <c r="D2905" s="24">
        <v>6.0809583400368896E18</v>
      </c>
      <c r="E2905" s="9" t="str">
        <f>IFERROR(__xludf.DUMMYFUNCTION("""COMPUTED_VALUE"""),""",")</f>
        <v>",</v>
      </c>
    </row>
    <row r="2906">
      <c r="A2906" s="9" t="str">
        <f>IFERROR(__xludf.DUMMYFUNCTION("""COMPUTED_VALUE"""),"""")</f>
        <v>"</v>
      </c>
      <c r="B2906" s="9" t="s">
        <v>2915</v>
      </c>
      <c r="C2906" s="9" t="str">
        <f>IFERROR(__xludf.DUMMYFUNCTION("""COMPUTED_VALUE"""),""":""")</f>
        <v>":"</v>
      </c>
      <c r="D2906" s="24">
        <v>6.2005979458241782E18</v>
      </c>
      <c r="E2906" s="9" t="str">
        <f>IFERROR(__xludf.DUMMYFUNCTION("""COMPUTED_VALUE"""),""",")</f>
        <v>",</v>
      </c>
    </row>
    <row r="2907">
      <c r="A2907" s="9" t="str">
        <f>IFERROR(__xludf.DUMMYFUNCTION("""COMPUTED_VALUE"""),"""")</f>
        <v>"</v>
      </c>
      <c r="B2907" s="9" t="s">
        <v>2916</v>
      </c>
      <c r="C2907" s="9" t="str">
        <f>IFERROR(__xludf.DUMMYFUNCTION("""COMPUTED_VALUE"""),""":""")</f>
        <v>":"</v>
      </c>
      <c r="D2907" s="24">
        <v>3.019775774871624E19</v>
      </c>
      <c r="E2907" s="9" t="str">
        <f>IFERROR(__xludf.DUMMYFUNCTION("""COMPUTED_VALUE"""),""",")</f>
        <v>",</v>
      </c>
    </row>
    <row r="2908">
      <c r="A2908" s="9" t="str">
        <f>IFERROR(__xludf.DUMMYFUNCTION("""COMPUTED_VALUE"""),"""")</f>
        <v>"</v>
      </c>
      <c r="B2908" s="9" t="s">
        <v>2917</v>
      </c>
      <c r="C2908" s="9" t="str">
        <f>IFERROR(__xludf.DUMMYFUNCTION("""COMPUTED_VALUE"""),""":""")</f>
        <v>":"</v>
      </c>
      <c r="D2908" s="24">
        <v>7.333421315051411E20</v>
      </c>
      <c r="E2908" s="9" t="str">
        <f>IFERROR(__xludf.DUMMYFUNCTION("""COMPUTED_VALUE"""),""",")</f>
        <v>",</v>
      </c>
    </row>
    <row r="2909">
      <c r="A2909" s="9" t="str">
        <f>IFERROR(__xludf.DUMMYFUNCTION("""COMPUTED_VALUE"""),"""")</f>
        <v>"</v>
      </c>
      <c r="B2909" s="9" t="s">
        <v>2918</v>
      </c>
      <c r="C2909" s="9" t="str">
        <f>IFERROR(__xludf.DUMMYFUNCTION("""COMPUTED_VALUE"""),""":""")</f>
        <v>":"</v>
      </c>
      <c r="D2909" s="24">
        <v>1.07185435396267696E17</v>
      </c>
      <c r="E2909" s="9" t="str">
        <f>IFERROR(__xludf.DUMMYFUNCTION("""COMPUTED_VALUE"""),""",")</f>
        <v>",</v>
      </c>
    </row>
    <row r="2910">
      <c r="A2910" s="9" t="str">
        <f>IFERROR(__xludf.DUMMYFUNCTION("""COMPUTED_VALUE"""),"""")</f>
        <v>"</v>
      </c>
      <c r="B2910" s="9" t="s">
        <v>2919</v>
      </c>
      <c r="C2910" s="9" t="str">
        <f>IFERROR(__xludf.DUMMYFUNCTION("""COMPUTED_VALUE"""),""":""")</f>
        <v>":"</v>
      </c>
      <c r="D2910" s="24">
        <v>8.0125343234648013E17</v>
      </c>
      <c r="E2910" s="9" t="str">
        <f>IFERROR(__xludf.DUMMYFUNCTION("""COMPUTED_VALUE"""),""",")</f>
        <v>",</v>
      </c>
    </row>
    <row r="2911">
      <c r="A2911" s="9" t="str">
        <f>IFERROR(__xludf.DUMMYFUNCTION("""COMPUTED_VALUE"""),"""")</f>
        <v>"</v>
      </c>
      <c r="B2911" s="9" t="s">
        <v>2920</v>
      </c>
      <c r="C2911" s="9" t="str">
        <f>IFERROR(__xludf.DUMMYFUNCTION("""COMPUTED_VALUE"""),""":""")</f>
        <v>":"</v>
      </c>
      <c r="D2911" s="24">
        <v>6.2005979458241782E18</v>
      </c>
      <c r="E2911" s="9" t="str">
        <f>IFERROR(__xludf.DUMMYFUNCTION("""COMPUTED_VALUE"""),""",")</f>
        <v>",</v>
      </c>
    </row>
    <row r="2912">
      <c r="A2912" s="9" t="str">
        <f>IFERROR(__xludf.DUMMYFUNCTION("""COMPUTED_VALUE"""),"""")</f>
        <v>"</v>
      </c>
      <c r="B2912" s="9" t="s">
        <v>2921</v>
      </c>
      <c r="C2912" s="9" t="str">
        <f>IFERROR(__xludf.DUMMYFUNCTION("""COMPUTED_VALUE"""),""":""")</f>
        <v>":"</v>
      </c>
      <c r="D2912" s="24">
        <v>2.0248888511809958E19</v>
      </c>
      <c r="E2912" s="9" t="str">
        <f>IFERROR(__xludf.DUMMYFUNCTION("""COMPUTED_VALUE"""),""",")</f>
        <v>",</v>
      </c>
    </row>
    <row r="2913">
      <c r="A2913" s="9" t="str">
        <f>IFERROR(__xludf.DUMMYFUNCTION("""COMPUTED_VALUE"""),"""")</f>
        <v>"</v>
      </c>
      <c r="B2913" s="9" t="s">
        <v>2922</v>
      </c>
      <c r="C2913" s="9" t="str">
        <f>IFERROR(__xludf.DUMMYFUNCTION("""COMPUTED_VALUE"""),""":""")</f>
        <v>":"</v>
      </c>
      <c r="D2913" s="24">
        <v>5.9078430489011784E18</v>
      </c>
      <c r="E2913" s="9" t="str">
        <f>IFERROR(__xludf.DUMMYFUNCTION("""COMPUTED_VALUE"""),""",")</f>
        <v>",</v>
      </c>
    </row>
    <row r="2914">
      <c r="A2914" s="9" t="str">
        <f>IFERROR(__xludf.DUMMYFUNCTION("""COMPUTED_VALUE"""),"""")</f>
        <v>"</v>
      </c>
      <c r="B2914" s="9" t="s">
        <v>2923</v>
      </c>
      <c r="C2914" s="9" t="str">
        <f>IFERROR(__xludf.DUMMYFUNCTION("""COMPUTED_VALUE"""),""":""")</f>
        <v>":"</v>
      </c>
      <c r="D2914" s="24">
        <v>6.833570555779511E17</v>
      </c>
      <c r="E2914" s="9" t="str">
        <f>IFERROR(__xludf.DUMMYFUNCTION("""COMPUTED_VALUE"""),""",")</f>
        <v>",</v>
      </c>
    </row>
    <row r="2915">
      <c r="A2915" s="9" t="str">
        <f>IFERROR(__xludf.DUMMYFUNCTION("""COMPUTED_VALUE"""),"""")</f>
        <v>"</v>
      </c>
      <c r="B2915" s="9" t="s">
        <v>2924</v>
      </c>
      <c r="C2915" s="9" t="str">
        <f>IFERROR(__xludf.DUMMYFUNCTION("""COMPUTED_VALUE"""),""":""")</f>
        <v>":"</v>
      </c>
      <c r="D2915" s="24">
        <v>9.0249619979452877E18</v>
      </c>
      <c r="E2915" s="9" t="str">
        <f>IFERROR(__xludf.DUMMYFUNCTION("""COMPUTED_VALUE"""),""",")</f>
        <v>",</v>
      </c>
    </row>
    <row r="2916">
      <c r="A2916" s="9" t="str">
        <f>IFERROR(__xludf.DUMMYFUNCTION("""COMPUTED_VALUE"""),"""")</f>
        <v>"</v>
      </c>
      <c r="B2916" s="9" t="s">
        <v>2925</v>
      </c>
      <c r="C2916" s="9" t="str">
        <f>IFERROR(__xludf.DUMMYFUNCTION("""COMPUTED_VALUE"""),""":""")</f>
        <v>":"</v>
      </c>
      <c r="D2916" s="24">
        <v>2.7062814045657203E19</v>
      </c>
      <c r="E2916" s="9" t="str">
        <f>IFERROR(__xludf.DUMMYFUNCTION("""COMPUTED_VALUE"""),""",")</f>
        <v>",</v>
      </c>
    </row>
    <row r="2917">
      <c r="A2917" s="9" t="str">
        <f>IFERROR(__xludf.DUMMYFUNCTION("""COMPUTED_VALUE"""),"""")</f>
        <v>"</v>
      </c>
      <c r="B2917" s="9" t="s">
        <v>2926</v>
      </c>
      <c r="C2917" s="9" t="str">
        <f>IFERROR(__xludf.DUMMYFUNCTION("""COMPUTED_VALUE"""),""":""")</f>
        <v>":"</v>
      </c>
      <c r="D2917" s="24">
        <v>2.0248888511809958E19</v>
      </c>
      <c r="E2917" s="9" t="str">
        <f>IFERROR(__xludf.DUMMYFUNCTION("""COMPUTED_VALUE"""),""",")</f>
        <v>",</v>
      </c>
    </row>
    <row r="2918">
      <c r="A2918" s="9" t="str">
        <f>IFERROR(__xludf.DUMMYFUNCTION("""COMPUTED_VALUE"""),"""")</f>
        <v>"</v>
      </c>
      <c r="B2918" s="9" t="s">
        <v>2927</v>
      </c>
      <c r="C2918" s="9" t="str">
        <f>IFERROR(__xludf.DUMMYFUNCTION("""COMPUTED_VALUE"""),""":""")</f>
        <v>":"</v>
      </c>
      <c r="D2918" s="24">
        <v>2.0942765994222977E19</v>
      </c>
      <c r="E2918" s="9" t="str">
        <f>IFERROR(__xludf.DUMMYFUNCTION("""COMPUTED_VALUE"""),""",")</f>
        <v>",</v>
      </c>
    </row>
    <row r="2919">
      <c r="A2919" s="9" t="str">
        <f>IFERROR(__xludf.DUMMYFUNCTION("""COMPUTED_VALUE"""),"""")</f>
        <v>"</v>
      </c>
      <c r="B2919" s="9" t="s">
        <v>2928</v>
      </c>
      <c r="C2919" s="9" t="str">
        <f>IFERROR(__xludf.DUMMYFUNCTION("""COMPUTED_VALUE"""),""":""")</f>
        <v>":"</v>
      </c>
      <c r="D2919" s="24">
        <v>6.2005979458241782E18</v>
      </c>
      <c r="E2919" s="9" t="str">
        <f>IFERROR(__xludf.DUMMYFUNCTION("""COMPUTED_VALUE"""),""",")</f>
        <v>",</v>
      </c>
    </row>
    <row r="2920">
      <c r="A2920" s="9" t="str">
        <f>IFERROR(__xludf.DUMMYFUNCTION("""COMPUTED_VALUE"""),"""")</f>
        <v>"</v>
      </c>
      <c r="B2920" s="9" t="s">
        <v>2929</v>
      </c>
      <c r="C2920" s="9" t="str">
        <f>IFERROR(__xludf.DUMMYFUNCTION("""COMPUTED_VALUE"""),""":""")</f>
        <v>":"</v>
      </c>
      <c r="D2920" s="24">
        <v>4.6219673302915113E18</v>
      </c>
      <c r="E2920" s="9" t="str">
        <f>IFERROR(__xludf.DUMMYFUNCTION("""COMPUTED_VALUE"""),""",")</f>
        <v>",</v>
      </c>
    </row>
    <row r="2921">
      <c r="A2921" s="9" t="str">
        <f>IFERROR(__xludf.DUMMYFUNCTION("""COMPUTED_VALUE"""),"""")</f>
        <v>"</v>
      </c>
      <c r="B2921" s="9" t="s">
        <v>2930</v>
      </c>
      <c r="C2921" s="9" t="str">
        <f>IFERROR(__xludf.DUMMYFUNCTION("""COMPUTED_VALUE"""),""":""")</f>
        <v>":"</v>
      </c>
      <c r="D2921" s="24">
        <v>2.0248888511809958E19</v>
      </c>
      <c r="E2921" s="9" t="str">
        <f>IFERROR(__xludf.DUMMYFUNCTION("""COMPUTED_VALUE"""),""",")</f>
        <v>",</v>
      </c>
    </row>
    <row r="2922">
      <c r="A2922" s="9" t="str">
        <f>IFERROR(__xludf.DUMMYFUNCTION("""COMPUTED_VALUE"""),"""")</f>
        <v>"</v>
      </c>
      <c r="B2922" s="9" t="s">
        <v>2931</v>
      </c>
      <c r="C2922" s="9" t="str">
        <f>IFERROR(__xludf.DUMMYFUNCTION("""COMPUTED_VALUE"""),""":""")</f>
        <v>":"</v>
      </c>
      <c r="D2922" s="24">
        <v>2.0248888511809958E19</v>
      </c>
      <c r="E2922" s="9" t="str">
        <f>IFERROR(__xludf.DUMMYFUNCTION("""COMPUTED_VALUE"""),""",")</f>
        <v>",</v>
      </c>
    </row>
    <row r="2923">
      <c r="A2923" s="9" t="str">
        <f>IFERROR(__xludf.DUMMYFUNCTION("""COMPUTED_VALUE"""),"""")</f>
        <v>"</v>
      </c>
      <c r="B2923" s="9" t="s">
        <v>2932</v>
      </c>
      <c r="C2923" s="9" t="str">
        <f>IFERROR(__xludf.DUMMYFUNCTION("""COMPUTED_VALUE"""),""":""")</f>
        <v>":"</v>
      </c>
      <c r="D2923" s="24">
        <v>2.0248888511809958E19</v>
      </c>
      <c r="E2923" s="9" t="str">
        <f>IFERROR(__xludf.DUMMYFUNCTION("""COMPUTED_VALUE"""),""",")</f>
        <v>",</v>
      </c>
    </row>
    <row r="2924">
      <c r="A2924" s="9" t="str">
        <f>IFERROR(__xludf.DUMMYFUNCTION("""COMPUTED_VALUE"""),"""")</f>
        <v>"</v>
      </c>
      <c r="B2924" s="9" t="s">
        <v>2933</v>
      </c>
      <c r="C2924" s="9" t="str">
        <f>IFERROR(__xludf.DUMMYFUNCTION("""COMPUTED_VALUE"""),""":""")</f>
        <v>":"</v>
      </c>
      <c r="D2924" s="24">
        <v>2.0248888511809958E19</v>
      </c>
      <c r="E2924" s="9" t="str">
        <f>IFERROR(__xludf.DUMMYFUNCTION("""COMPUTED_VALUE"""),""",")</f>
        <v>",</v>
      </c>
    </row>
    <row r="2925">
      <c r="A2925" s="9" t="str">
        <f>IFERROR(__xludf.DUMMYFUNCTION("""COMPUTED_VALUE"""),"""")</f>
        <v>"</v>
      </c>
      <c r="B2925" s="9" t="s">
        <v>2934</v>
      </c>
      <c r="C2925" s="9" t="str">
        <f>IFERROR(__xludf.DUMMYFUNCTION("""COMPUTED_VALUE"""),""":""")</f>
        <v>":"</v>
      </c>
      <c r="D2925" s="24">
        <v>6.2005979458241782E18</v>
      </c>
      <c r="E2925" s="9" t="str">
        <f>IFERROR(__xludf.DUMMYFUNCTION("""COMPUTED_VALUE"""),""",")</f>
        <v>",</v>
      </c>
    </row>
    <row r="2926">
      <c r="A2926" s="9" t="str">
        <f>IFERROR(__xludf.DUMMYFUNCTION("""COMPUTED_VALUE"""),"""")</f>
        <v>"</v>
      </c>
      <c r="B2926" s="9" t="s">
        <v>2935</v>
      </c>
      <c r="C2926" s="9" t="str">
        <f>IFERROR(__xludf.DUMMYFUNCTION("""COMPUTED_VALUE"""),""":""")</f>
        <v>":"</v>
      </c>
      <c r="D2926" s="24">
        <v>2.0248888511809958E19</v>
      </c>
      <c r="E2926" s="9" t="str">
        <f>IFERROR(__xludf.DUMMYFUNCTION("""COMPUTED_VALUE"""),""",")</f>
        <v>",</v>
      </c>
    </row>
    <row r="2927">
      <c r="A2927" s="9" t="str">
        <f>IFERROR(__xludf.DUMMYFUNCTION("""COMPUTED_VALUE"""),"""")</f>
        <v>"</v>
      </c>
      <c r="B2927" s="9" t="s">
        <v>2936</v>
      </c>
      <c r="C2927" s="9" t="str">
        <f>IFERROR(__xludf.DUMMYFUNCTION("""COMPUTED_VALUE"""),""":""")</f>
        <v>":"</v>
      </c>
      <c r="D2927" s="24">
        <v>2.3213737780391576E19</v>
      </c>
      <c r="E2927" s="9" t="str">
        <f>IFERROR(__xludf.DUMMYFUNCTION("""COMPUTED_VALUE"""),""",")</f>
        <v>",</v>
      </c>
    </row>
    <row r="2928">
      <c r="A2928" s="9" t="str">
        <f>IFERROR(__xludf.DUMMYFUNCTION("""COMPUTED_VALUE"""),"""")</f>
        <v>"</v>
      </c>
      <c r="B2928" s="9" t="s">
        <v>2937</v>
      </c>
      <c r="C2928" s="9" t="str">
        <f>IFERROR(__xludf.DUMMYFUNCTION("""COMPUTED_VALUE"""),""":""")</f>
        <v>":"</v>
      </c>
      <c r="D2928" s="24">
        <v>6.6329957986664315E18</v>
      </c>
      <c r="E2928" s="9" t="str">
        <f>IFERROR(__xludf.DUMMYFUNCTION("""COMPUTED_VALUE"""),""",")</f>
        <v>",</v>
      </c>
    </row>
    <row r="2929">
      <c r="A2929" s="9" t="str">
        <f>IFERROR(__xludf.DUMMYFUNCTION("""COMPUTED_VALUE"""),"""")</f>
        <v>"</v>
      </c>
      <c r="B2929" s="9" t="s">
        <v>2938</v>
      </c>
      <c r="C2929" s="9" t="str">
        <f>IFERROR(__xludf.DUMMYFUNCTION("""COMPUTED_VALUE"""),""":""")</f>
        <v>":"</v>
      </c>
      <c r="D2929" s="24">
        <v>6.2005979458241782E18</v>
      </c>
      <c r="E2929" s="9" t="str">
        <f>IFERROR(__xludf.DUMMYFUNCTION("""COMPUTED_VALUE"""),""",")</f>
        <v>",</v>
      </c>
    </row>
    <row r="2930">
      <c r="A2930" s="9" t="str">
        <f>IFERROR(__xludf.DUMMYFUNCTION("""COMPUTED_VALUE"""),"""")</f>
        <v>"</v>
      </c>
      <c r="B2930" s="9" t="s">
        <v>2939</v>
      </c>
      <c r="C2930" s="9" t="str">
        <f>IFERROR(__xludf.DUMMYFUNCTION("""COMPUTED_VALUE"""),""":""")</f>
        <v>":"</v>
      </c>
      <c r="D2930" s="24">
        <v>6.2005669428344668E18</v>
      </c>
      <c r="E2930" s="9" t="str">
        <f>IFERROR(__xludf.DUMMYFUNCTION("""COMPUTED_VALUE"""),""",")</f>
        <v>",</v>
      </c>
    </row>
    <row r="2931">
      <c r="A2931" s="9" t="str">
        <f>IFERROR(__xludf.DUMMYFUNCTION("""COMPUTED_VALUE"""),"""")</f>
        <v>"</v>
      </c>
      <c r="B2931" s="9" t="s">
        <v>2940</v>
      </c>
      <c r="C2931" s="9" t="str">
        <f>IFERROR(__xludf.DUMMYFUNCTION("""COMPUTED_VALUE"""),""":""")</f>
        <v>":"</v>
      </c>
      <c r="D2931" s="24">
        <v>5.3040863955104659E17</v>
      </c>
      <c r="E2931" s="9" t="str">
        <f>IFERROR(__xludf.DUMMYFUNCTION("""COMPUTED_VALUE"""),""",")</f>
        <v>",</v>
      </c>
    </row>
    <row r="2932">
      <c r="A2932" s="9" t="str">
        <f>IFERROR(__xludf.DUMMYFUNCTION("""COMPUTED_VALUE"""),"""")</f>
        <v>"</v>
      </c>
      <c r="B2932" s="9" t="s">
        <v>2941</v>
      </c>
      <c r="C2932" s="9" t="str">
        <f>IFERROR(__xludf.DUMMYFUNCTION("""COMPUTED_VALUE"""),""":""")</f>
        <v>":"</v>
      </c>
      <c r="D2932" s="24">
        <v>1.0929223696754724E20</v>
      </c>
      <c r="E2932" s="9" t="str">
        <f>IFERROR(__xludf.DUMMYFUNCTION("""COMPUTED_VALUE"""),""",")</f>
        <v>",</v>
      </c>
    </row>
    <row r="2933">
      <c r="A2933" s="9" t="str">
        <f>IFERROR(__xludf.DUMMYFUNCTION("""COMPUTED_VALUE"""),"""")</f>
        <v>"</v>
      </c>
      <c r="B2933" s="9" t="s">
        <v>2942</v>
      </c>
      <c r="C2933" s="9" t="str">
        <f>IFERROR(__xludf.DUMMYFUNCTION("""COMPUTED_VALUE"""),""":""")</f>
        <v>":"</v>
      </c>
      <c r="D2933" s="24">
        <v>2.0248888511809958E19</v>
      </c>
      <c r="E2933" s="9" t="str">
        <f>IFERROR(__xludf.DUMMYFUNCTION("""COMPUTED_VALUE"""),""",")</f>
        <v>",</v>
      </c>
    </row>
    <row r="2934">
      <c r="A2934" s="9" t="str">
        <f>IFERROR(__xludf.DUMMYFUNCTION("""COMPUTED_VALUE"""),"""")</f>
        <v>"</v>
      </c>
      <c r="B2934" s="9" t="s">
        <v>2943</v>
      </c>
      <c r="C2934" s="9" t="str">
        <f>IFERROR(__xludf.DUMMYFUNCTION("""COMPUTED_VALUE"""),""":""")</f>
        <v>":"</v>
      </c>
      <c r="D2934" s="24">
        <v>2.12517698437981363E18</v>
      </c>
      <c r="E2934" s="9" t="str">
        <f>IFERROR(__xludf.DUMMYFUNCTION("""COMPUTED_VALUE"""),""",")</f>
        <v>",</v>
      </c>
    </row>
    <row r="2935">
      <c r="A2935" s="9" t="str">
        <f>IFERROR(__xludf.DUMMYFUNCTION("""COMPUTED_VALUE"""),"""")</f>
        <v>"</v>
      </c>
      <c r="B2935" s="9" t="s">
        <v>2944</v>
      </c>
      <c r="C2935" s="9" t="str">
        <f>IFERROR(__xludf.DUMMYFUNCTION("""COMPUTED_VALUE"""),""":""")</f>
        <v>":"</v>
      </c>
      <c r="D2935" s="24">
        <v>5.8288038585741998E18</v>
      </c>
      <c r="E2935" s="9" t="str">
        <f>IFERROR(__xludf.DUMMYFUNCTION("""COMPUTED_VALUE"""),""",")</f>
        <v>",</v>
      </c>
    </row>
    <row r="2936">
      <c r="A2936" s="9" t="str">
        <f>IFERROR(__xludf.DUMMYFUNCTION("""COMPUTED_VALUE"""),"""")</f>
        <v>"</v>
      </c>
      <c r="B2936" s="9" t="s">
        <v>2945</v>
      </c>
      <c r="C2936" s="9" t="str">
        <f>IFERROR(__xludf.DUMMYFUNCTION("""COMPUTED_VALUE"""),""":""")</f>
        <v>":"</v>
      </c>
      <c r="D2936" s="24">
        <v>6.1916545481294889E18</v>
      </c>
      <c r="E2936" s="9" t="str">
        <f>IFERROR(__xludf.DUMMYFUNCTION("""COMPUTED_VALUE"""),""",")</f>
        <v>",</v>
      </c>
    </row>
    <row r="2937">
      <c r="A2937" s="9" t="str">
        <f>IFERROR(__xludf.DUMMYFUNCTION("""COMPUTED_VALUE"""),"""")</f>
        <v>"</v>
      </c>
      <c r="B2937" s="9" t="s">
        <v>2946</v>
      </c>
      <c r="C2937" s="9" t="str">
        <f>IFERROR(__xludf.DUMMYFUNCTION("""COMPUTED_VALUE"""),""":""")</f>
        <v>":"</v>
      </c>
      <c r="D2937" s="24">
        <v>8.6135972350917104E16</v>
      </c>
      <c r="E2937" s="9" t="str">
        <f>IFERROR(__xludf.DUMMYFUNCTION("""COMPUTED_VALUE"""),""",")</f>
        <v>",</v>
      </c>
    </row>
    <row r="2938">
      <c r="A2938" s="9" t="str">
        <f>IFERROR(__xludf.DUMMYFUNCTION("""COMPUTED_VALUE"""),"""")</f>
        <v>"</v>
      </c>
      <c r="B2938" s="9" t="s">
        <v>2947</v>
      </c>
      <c r="C2938" s="9" t="str">
        <f>IFERROR(__xludf.DUMMYFUNCTION("""COMPUTED_VALUE"""),""":""")</f>
        <v>":"</v>
      </c>
      <c r="D2938" s="24">
        <v>4.4265401440760663E18</v>
      </c>
      <c r="E2938" s="9" t="str">
        <f>IFERROR(__xludf.DUMMYFUNCTION("""COMPUTED_VALUE"""),""",")</f>
        <v>",</v>
      </c>
    </row>
    <row r="2939">
      <c r="A2939" s="9" t="str">
        <f>IFERROR(__xludf.DUMMYFUNCTION("""COMPUTED_VALUE"""),"""")</f>
        <v>"</v>
      </c>
      <c r="B2939" s="9" t="s">
        <v>2948</v>
      </c>
      <c r="C2939" s="9" t="str">
        <f>IFERROR(__xludf.DUMMYFUNCTION("""COMPUTED_VALUE"""),""":""")</f>
        <v>":"</v>
      </c>
      <c r="D2939" s="24">
        <v>2.0248888511809958E19</v>
      </c>
      <c r="E2939" s="9" t="str">
        <f>IFERROR(__xludf.DUMMYFUNCTION("""COMPUTED_VALUE"""),""",")</f>
        <v>",</v>
      </c>
    </row>
    <row r="2940">
      <c r="A2940" s="9" t="str">
        <f>IFERROR(__xludf.DUMMYFUNCTION("""COMPUTED_VALUE"""),"""")</f>
        <v>"</v>
      </c>
      <c r="B2940" s="9" t="s">
        <v>2949</v>
      </c>
      <c r="C2940" s="9" t="str">
        <f>IFERROR(__xludf.DUMMYFUNCTION("""COMPUTED_VALUE"""),""":""")</f>
        <v>":"</v>
      </c>
      <c r="D2940" s="24">
        <v>2.0248888511809958E19</v>
      </c>
      <c r="E2940" s="9" t="str">
        <f>IFERROR(__xludf.DUMMYFUNCTION("""COMPUTED_VALUE"""),""",")</f>
        <v>",</v>
      </c>
    </row>
    <row r="2941">
      <c r="A2941" s="9" t="str">
        <f>IFERROR(__xludf.DUMMYFUNCTION("""COMPUTED_VALUE"""),"""")</f>
        <v>"</v>
      </c>
      <c r="B2941" s="9" t="s">
        <v>2950</v>
      </c>
      <c r="C2941" s="9" t="str">
        <f>IFERROR(__xludf.DUMMYFUNCTION("""COMPUTED_VALUE"""),""":""")</f>
        <v>":"</v>
      </c>
      <c r="D2941" s="24">
        <v>1.63596723936324E19</v>
      </c>
      <c r="E2941" s="9" t="str">
        <f>IFERROR(__xludf.DUMMYFUNCTION("""COMPUTED_VALUE"""),""",")</f>
        <v>",</v>
      </c>
    </row>
    <row r="2942">
      <c r="A2942" s="9" t="str">
        <f>IFERROR(__xludf.DUMMYFUNCTION("""COMPUTED_VALUE"""),"""")</f>
        <v>"</v>
      </c>
      <c r="B2942" s="9" t="s">
        <v>2951</v>
      </c>
      <c r="C2942" s="9" t="str">
        <f>IFERROR(__xludf.DUMMYFUNCTION("""COMPUTED_VALUE"""),""":""")</f>
        <v>":"</v>
      </c>
      <c r="D2942" s="24">
        <v>2.6302458451601514E19</v>
      </c>
      <c r="E2942" s="9" t="str">
        <f>IFERROR(__xludf.DUMMYFUNCTION("""COMPUTED_VALUE"""),""",")</f>
        <v>",</v>
      </c>
    </row>
    <row r="2943">
      <c r="A2943" s="9" t="str">
        <f>IFERROR(__xludf.DUMMYFUNCTION("""COMPUTED_VALUE"""),"""")</f>
        <v>"</v>
      </c>
      <c r="B2943" s="9" t="s">
        <v>2952</v>
      </c>
      <c r="C2943" s="9" t="str">
        <f>IFERROR(__xludf.DUMMYFUNCTION("""COMPUTED_VALUE"""),""":""")</f>
        <v>":"</v>
      </c>
      <c r="D2943" s="24">
        <v>2.0248888511809958E19</v>
      </c>
      <c r="E2943" s="9" t="str">
        <f>IFERROR(__xludf.DUMMYFUNCTION("""COMPUTED_VALUE"""),""",")</f>
        <v>",</v>
      </c>
    </row>
    <row r="2944">
      <c r="A2944" s="9" t="str">
        <f>IFERROR(__xludf.DUMMYFUNCTION("""COMPUTED_VALUE"""),"""")</f>
        <v>"</v>
      </c>
      <c r="B2944" s="9" t="s">
        <v>2953</v>
      </c>
      <c r="C2944" s="9" t="str">
        <f>IFERROR(__xludf.DUMMYFUNCTION("""COMPUTED_VALUE"""),""":""")</f>
        <v>":"</v>
      </c>
      <c r="D2944" s="24">
        <v>1.6756177061811442E19</v>
      </c>
      <c r="E2944" s="9" t="str">
        <f>IFERROR(__xludf.DUMMYFUNCTION("""COMPUTED_VALUE"""),""",")</f>
        <v>",</v>
      </c>
    </row>
    <row r="2945">
      <c r="A2945" s="9" t="str">
        <f>IFERROR(__xludf.DUMMYFUNCTION("""COMPUTED_VALUE"""),"""")</f>
        <v>"</v>
      </c>
      <c r="B2945" s="9" t="s">
        <v>2954</v>
      </c>
      <c r="C2945" s="9" t="str">
        <f>IFERROR(__xludf.DUMMYFUNCTION("""COMPUTED_VALUE"""),""":""")</f>
        <v>":"</v>
      </c>
      <c r="D2945" s="24">
        <v>9.0102560590213335E18</v>
      </c>
      <c r="E2945" s="9" t="str">
        <f>IFERROR(__xludf.DUMMYFUNCTION("""COMPUTED_VALUE"""),""",")</f>
        <v>",</v>
      </c>
    </row>
    <row r="2946">
      <c r="A2946" s="9" t="str">
        <f>IFERROR(__xludf.DUMMYFUNCTION("""COMPUTED_VALUE"""),"""")</f>
        <v>"</v>
      </c>
      <c r="B2946" s="9" t="s">
        <v>2955</v>
      </c>
      <c r="C2946" s="9" t="str">
        <f>IFERROR(__xludf.DUMMYFUNCTION("""COMPUTED_VALUE"""),""":""")</f>
        <v>":"</v>
      </c>
      <c r="D2946" s="24">
        <v>5.4257216407932436E18</v>
      </c>
      <c r="E2946" s="9" t="str">
        <f>IFERROR(__xludf.DUMMYFUNCTION("""COMPUTED_VALUE"""),""",")</f>
        <v>",</v>
      </c>
    </row>
    <row r="2947">
      <c r="A2947" s="9" t="str">
        <f>IFERROR(__xludf.DUMMYFUNCTION("""COMPUTED_VALUE"""),"""")</f>
        <v>"</v>
      </c>
      <c r="B2947" s="9" t="s">
        <v>2956</v>
      </c>
      <c r="C2947" s="9" t="str">
        <f>IFERROR(__xludf.DUMMYFUNCTION("""COMPUTED_VALUE"""),""":""")</f>
        <v>":"</v>
      </c>
      <c r="D2947" s="24">
        <v>2.4488554385634804E19</v>
      </c>
      <c r="E2947" s="9" t="str">
        <f>IFERROR(__xludf.DUMMYFUNCTION("""COMPUTED_VALUE"""),""",")</f>
        <v>",</v>
      </c>
    </row>
    <row r="2948">
      <c r="A2948" s="9" t="str">
        <f>IFERROR(__xludf.DUMMYFUNCTION("""COMPUTED_VALUE"""),"""")</f>
        <v>"</v>
      </c>
      <c r="B2948" s="9" t="s">
        <v>2957</v>
      </c>
      <c r="C2948" s="9" t="str">
        <f>IFERROR(__xludf.DUMMYFUNCTION("""COMPUTED_VALUE"""),""":""")</f>
        <v>":"</v>
      </c>
      <c r="D2948" s="24">
        <v>2.0248888511809958E19</v>
      </c>
      <c r="E2948" s="9" t="str">
        <f>IFERROR(__xludf.DUMMYFUNCTION("""COMPUTED_VALUE"""),""",")</f>
        <v>",</v>
      </c>
    </row>
    <row r="2949">
      <c r="A2949" s="9" t="str">
        <f>IFERROR(__xludf.DUMMYFUNCTION("""COMPUTED_VALUE"""),"""")</f>
        <v>"</v>
      </c>
      <c r="B2949" s="9" t="s">
        <v>2958</v>
      </c>
      <c r="C2949" s="9" t="str">
        <f>IFERROR(__xludf.DUMMYFUNCTION("""COMPUTED_VALUE"""),""":""")</f>
        <v>":"</v>
      </c>
      <c r="D2949" s="24">
        <v>2.0248888511809958E19</v>
      </c>
      <c r="E2949" s="9" t="str">
        <f>IFERROR(__xludf.DUMMYFUNCTION("""COMPUTED_VALUE"""),""",")</f>
        <v>",</v>
      </c>
    </row>
    <row r="2950">
      <c r="A2950" s="9" t="str">
        <f>IFERROR(__xludf.DUMMYFUNCTION("""COMPUTED_VALUE"""),"""")</f>
        <v>"</v>
      </c>
      <c r="B2950" s="9" t="s">
        <v>2959</v>
      </c>
      <c r="C2950" s="9" t="str">
        <f>IFERROR(__xludf.DUMMYFUNCTION("""COMPUTED_VALUE"""),""":""")</f>
        <v>":"</v>
      </c>
      <c r="D2950" s="24">
        <v>6.2005979458241782E18</v>
      </c>
      <c r="E2950" s="9" t="str">
        <f>IFERROR(__xludf.DUMMYFUNCTION("""COMPUTED_VALUE"""),""",")</f>
        <v>",</v>
      </c>
    </row>
    <row r="2951">
      <c r="A2951" s="9" t="str">
        <f>IFERROR(__xludf.DUMMYFUNCTION("""COMPUTED_VALUE"""),"""")</f>
        <v>"</v>
      </c>
      <c r="B2951" s="9" t="s">
        <v>2960</v>
      </c>
      <c r="C2951" s="9" t="str">
        <f>IFERROR(__xludf.DUMMYFUNCTION("""COMPUTED_VALUE"""),""":""")</f>
        <v>":"</v>
      </c>
      <c r="D2951" s="24">
        <v>2.0248888511809958E19</v>
      </c>
      <c r="E2951" s="9" t="str">
        <f>IFERROR(__xludf.DUMMYFUNCTION("""COMPUTED_VALUE"""),""",")</f>
        <v>",</v>
      </c>
    </row>
    <row r="2952">
      <c r="A2952" s="9" t="str">
        <f>IFERROR(__xludf.DUMMYFUNCTION("""COMPUTED_VALUE"""),"""")</f>
        <v>"</v>
      </c>
      <c r="B2952" s="9" t="s">
        <v>2961</v>
      </c>
      <c r="C2952" s="9" t="str">
        <f>IFERROR(__xludf.DUMMYFUNCTION("""COMPUTED_VALUE"""),""":""")</f>
        <v>":"</v>
      </c>
      <c r="D2952" s="24">
        <v>3.1191080064329999E18</v>
      </c>
      <c r="E2952" s="9" t="str">
        <f>IFERROR(__xludf.DUMMYFUNCTION("""COMPUTED_VALUE"""),""",")</f>
        <v>",</v>
      </c>
    </row>
    <row r="2953">
      <c r="A2953" s="9" t="str">
        <f>IFERROR(__xludf.DUMMYFUNCTION("""COMPUTED_VALUE"""),"""")</f>
        <v>"</v>
      </c>
      <c r="B2953" s="9" t="s">
        <v>2962</v>
      </c>
      <c r="C2953" s="9" t="str">
        <f>IFERROR(__xludf.DUMMYFUNCTION("""COMPUTED_VALUE"""),""":""")</f>
        <v>":"</v>
      </c>
      <c r="D2953" s="24">
        <v>4.2162031732425559E18</v>
      </c>
      <c r="E2953" s="9" t="str">
        <f>IFERROR(__xludf.DUMMYFUNCTION("""COMPUTED_VALUE"""),""",")</f>
        <v>",</v>
      </c>
    </row>
    <row r="2954">
      <c r="A2954" s="9" t="str">
        <f>IFERROR(__xludf.DUMMYFUNCTION("""COMPUTED_VALUE"""),"""")</f>
        <v>"</v>
      </c>
      <c r="B2954" s="9" t="s">
        <v>2963</v>
      </c>
      <c r="C2954" s="9" t="str">
        <f>IFERROR(__xludf.DUMMYFUNCTION("""COMPUTED_VALUE"""),""":""")</f>
        <v>":"</v>
      </c>
      <c r="D2954" s="24">
        <v>6.2005979458241782E18</v>
      </c>
      <c r="E2954" s="9" t="str">
        <f>IFERROR(__xludf.DUMMYFUNCTION("""COMPUTED_VALUE"""),""",")</f>
        <v>",</v>
      </c>
    </row>
    <row r="2955">
      <c r="A2955" s="9" t="str">
        <f>IFERROR(__xludf.DUMMYFUNCTION("""COMPUTED_VALUE"""),"""")</f>
        <v>"</v>
      </c>
      <c r="B2955" s="9" t="s">
        <v>2964</v>
      </c>
      <c r="C2955" s="9" t="str">
        <f>IFERROR(__xludf.DUMMYFUNCTION("""COMPUTED_VALUE"""),""":""")</f>
        <v>":"</v>
      </c>
      <c r="D2955" s="24">
        <v>6.2005979458241782E18</v>
      </c>
      <c r="E2955" s="9" t="str">
        <f>IFERROR(__xludf.DUMMYFUNCTION("""COMPUTED_VALUE"""),""",")</f>
        <v>",</v>
      </c>
    </row>
    <row r="2956">
      <c r="A2956" s="9" t="str">
        <f>IFERROR(__xludf.DUMMYFUNCTION("""COMPUTED_VALUE"""),"""")</f>
        <v>"</v>
      </c>
      <c r="B2956" s="9" t="s">
        <v>2965</v>
      </c>
      <c r="C2956" s="9" t="str">
        <f>IFERROR(__xludf.DUMMYFUNCTION("""COMPUTED_VALUE"""),""":""")</f>
        <v>":"</v>
      </c>
      <c r="D2956" s="24">
        <v>2.639797256617024E19</v>
      </c>
      <c r="E2956" s="9" t="str">
        <f>IFERROR(__xludf.DUMMYFUNCTION("""COMPUTED_VALUE"""),""",")</f>
        <v>",</v>
      </c>
    </row>
    <row r="2957">
      <c r="A2957" s="9" t="str">
        <f>IFERROR(__xludf.DUMMYFUNCTION("""COMPUTED_VALUE"""),"""")</f>
        <v>"</v>
      </c>
      <c r="B2957" s="9" t="s">
        <v>2966</v>
      </c>
      <c r="C2957" s="9" t="str">
        <f>IFERROR(__xludf.DUMMYFUNCTION("""COMPUTED_VALUE"""),""":""")</f>
        <v>":"</v>
      </c>
      <c r="D2957" s="24">
        <v>2.0248888511809958E19</v>
      </c>
      <c r="E2957" s="9" t="str">
        <f>IFERROR(__xludf.DUMMYFUNCTION("""COMPUTED_VALUE"""),""",")</f>
        <v>",</v>
      </c>
    </row>
    <row r="2958">
      <c r="A2958" s="9" t="str">
        <f>IFERROR(__xludf.DUMMYFUNCTION("""COMPUTED_VALUE"""),"""")</f>
        <v>"</v>
      </c>
      <c r="B2958" s="9" t="s">
        <v>2967</v>
      </c>
      <c r="C2958" s="9" t="str">
        <f>IFERROR(__xludf.DUMMYFUNCTION("""COMPUTED_VALUE"""),""":""")</f>
        <v>":"</v>
      </c>
      <c r="D2958" s="24">
        <v>6.2005979458241782E18</v>
      </c>
      <c r="E2958" s="9" t="str">
        <f>IFERROR(__xludf.DUMMYFUNCTION("""COMPUTED_VALUE"""),""",")</f>
        <v>",</v>
      </c>
    </row>
    <row r="2959">
      <c r="A2959" s="9" t="str">
        <f>IFERROR(__xludf.DUMMYFUNCTION("""COMPUTED_VALUE"""),"""")</f>
        <v>"</v>
      </c>
      <c r="B2959" s="9" t="s">
        <v>2968</v>
      </c>
      <c r="C2959" s="9" t="str">
        <f>IFERROR(__xludf.DUMMYFUNCTION("""COMPUTED_VALUE"""),""":""")</f>
        <v>":"</v>
      </c>
      <c r="D2959" s="24">
        <v>6.2005979458241782E18</v>
      </c>
      <c r="E2959" s="9" t="str">
        <f>IFERROR(__xludf.DUMMYFUNCTION("""COMPUTED_VALUE"""),""",")</f>
        <v>",</v>
      </c>
    </row>
    <row r="2960">
      <c r="A2960" s="9" t="str">
        <f>IFERROR(__xludf.DUMMYFUNCTION("""COMPUTED_VALUE"""),"""")</f>
        <v>"</v>
      </c>
      <c r="B2960" s="9" t="s">
        <v>2969</v>
      </c>
      <c r="C2960" s="9" t="str">
        <f>IFERROR(__xludf.DUMMYFUNCTION("""COMPUTED_VALUE"""),""":""")</f>
        <v>":"</v>
      </c>
      <c r="D2960" s="24">
        <v>5.9469340066594898E18</v>
      </c>
      <c r="E2960" s="9" t="str">
        <f>IFERROR(__xludf.DUMMYFUNCTION("""COMPUTED_VALUE"""),""",")</f>
        <v>",</v>
      </c>
    </row>
    <row r="2961">
      <c r="A2961" s="9" t="str">
        <f>IFERROR(__xludf.DUMMYFUNCTION("""COMPUTED_VALUE"""),"""")</f>
        <v>"</v>
      </c>
      <c r="B2961" s="9" t="s">
        <v>2970</v>
      </c>
      <c r="C2961" s="9" t="str">
        <f>IFERROR(__xludf.DUMMYFUNCTION("""COMPUTED_VALUE"""),""":""")</f>
        <v>":"</v>
      </c>
      <c r="D2961" s="24">
        <v>6.2005979458241782E18</v>
      </c>
      <c r="E2961" s="9" t="str">
        <f>IFERROR(__xludf.DUMMYFUNCTION("""COMPUTED_VALUE"""),""",")</f>
        <v>",</v>
      </c>
    </row>
    <row r="2962">
      <c r="A2962" s="9" t="str">
        <f>IFERROR(__xludf.DUMMYFUNCTION("""COMPUTED_VALUE"""),"""")</f>
        <v>"</v>
      </c>
      <c r="B2962" s="9" t="s">
        <v>2971</v>
      </c>
      <c r="C2962" s="9" t="str">
        <f>IFERROR(__xludf.DUMMYFUNCTION("""COMPUTED_VALUE"""),""":""")</f>
        <v>":"</v>
      </c>
      <c r="D2962" s="24">
        <v>2.46356810787856E19</v>
      </c>
      <c r="E2962" s="9" t="str">
        <f>IFERROR(__xludf.DUMMYFUNCTION("""COMPUTED_VALUE"""),""",")</f>
        <v>",</v>
      </c>
    </row>
    <row r="2963">
      <c r="A2963" s="9" t="str">
        <f>IFERROR(__xludf.DUMMYFUNCTION("""COMPUTED_VALUE"""),"""")</f>
        <v>"</v>
      </c>
      <c r="B2963" s="9" t="s">
        <v>2972</v>
      </c>
      <c r="C2963" s="9" t="str">
        <f>IFERROR(__xludf.DUMMYFUNCTION("""COMPUTED_VALUE"""),""":""")</f>
        <v>":"</v>
      </c>
      <c r="D2963" s="24">
        <v>6.5492243723557568E17</v>
      </c>
      <c r="E2963" s="9" t="str">
        <f>IFERROR(__xludf.DUMMYFUNCTION("""COMPUTED_VALUE"""),""",")</f>
        <v>",</v>
      </c>
    </row>
    <row r="2964">
      <c r="A2964" s="9" t="str">
        <f>IFERROR(__xludf.DUMMYFUNCTION("""COMPUTED_VALUE"""),"""")</f>
        <v>"</v>
      </c>
      <c r="B2964" s="9" t="s">
        <v>2973</v>
      </c>
      <c r="C2964" s="9" t="str">
        <f>IFERROR(__xludf.DUMMYFUNCTION("""COMPUTED_VALUE"""),""":""")</f>
        <v>":"</v>
      </c>
      <c r="D2964" s="24">
        <v>2.0764479711539057E19</v>
      </c>
      <c r="E2964" s="9" t="str">
        <f>IFERROR(__xludf.DUMMYFUNCTION("""COMPUTED_VALUE"""),""",")</f>
        <v>",</v>
      </c>
    </row>
    <row r="2965">
      <c r="A2965" s="9" t="str">
        <f>IFERROR(__xludf.DUMMYFUNCTION("""COMPUTED_VALUE"""),"""")</f>
        <v>"</v>
      </c>
      <c r="B2965" s="9" t="s">
        <v>2974</v>
      </c>
      <c r="C2965" s="9" t="str">
        <f>IFERROR(__xludf.DUMMYFUNCTION("""COMPUTED_VALUE"""),""":""")</f>
        <v>":"</v>
      </c>
      <c r="D2965" s="24">
        <v>6.1583745474908672E18</v>
      </c>
      <c r="E2965" s="9" t="str">
        <f>IFERROR(__xludf.DUMMYFUNCTION("""COMPUTED_VALUE"""),""",")</f>
        <v>",</v>
      </c>
    </row>
    <row r="2966">
      <c r="A2966" s="9" t="str">
        <f>IFERROR(__xludf.DUMMYFUNCTION("""COMPUTED_VALUE"""),"""")</f>
        <v>"</v>
      </c>
      <c r="B2966" s="9" t="s">
        <v>2975</v>
      </c>
      <c r="C2966" s="9" t="str">
        <f>IFERROR(__xludf.DUMMYFUNCTION("""COMPUTED_VALUE"""),""":""")</f>
        <v>":"</v>
      </c>
      <c r="D2966" s="24">
        <v>2.0248888511809958E19</v>
      </c>
      <c r="E2966" s="9" t="str">
        <f>IFERROR(__xludf.DUMMYFUNCTION("""COMPUTED_VALUE"""),""",")</f>
        <v>",</v>
      </c>
    </row>
    <row r="2967">
      <c r="A2967" s="9" t="str">
        <f>IFERROR(__xludf.DUMMYFUNCTION("""COMPUTED_VALUE"""),"""")</f>
        <v>"</v>
      </c>
      <c r="B2967" s="9" t="s">
        <v>2976</v>
      </c>
      <c r="C2967" s="9" t="str">
        <f>IFERROR(__xludf.DUMMYFUNCTION("""COMPUTED_VALUE"""),""":""")</f>
        <v>":"</v>
      </c>
      <c r="D2967" s="24">
        <v>1.8585293725478154E19</v>
      </c>
      <c r="E2967" s="9" t="str">
        <f>IFERROR(__xludf.DUMMYFUNCTION("""COMPUTED_VALUE"""),""",")</f>
        <v>",</v>
      </c>
    </row>
    <row r="2968">
      <c r="A2968" s="9" t="str">
        <f>IFERROR(__xludf.DUMMYFUNCTION("""COMPUTED_VALUE"""),"""")</f>
        <v>"</v>
      </c>
      <c r="B2968" s="9" t="s">
        <v>2977</v>
      </c>
      <c r="C2968" s="9" t="str">
        <f>IFERROR(__xludf.DUMMYFUNCTION("""COMPUTED_VALUE"""),""":""")</f>
        <v>":"</v>
      </c>
      <c r="D2968" s="24">
        <v>6.2005979458241782E18</v>
      </c>
      <c r="E2968" s="9" t="str">
        <f>IFERROR(__xludf.DUMMYFUNCTION("""COMPUTED_VALUE"""),""",")</f>
        <v>",</v>
      </c>
    </row>
    <row r="2969">
      <c r="A2969" s="9" t="str">
        <f>IFERROR(__xludf.DUMMYFUNCTION("""COMPUTED_VALUE"""),"""")</f>
        <v>"</v>
      </c>
      <c r="B2969" s="9" t="s">
        <v>2978</v>
      </c>
      <c r="C2969" s="9" t="str">
        <f>IFERROR(__xludf.DUMMYFUNCTION("""COMPUTED_VALUE"""),""":""")</f>
        <v>":"</v>
      </c>
      <c r="D2969" s="24">
        <v>6.2005979458241782E18</v>
      </c>
      <c r="E2969" s="9" t="str">
        <f>IFERROR(__xludf.DUMMYFUNCTION("""COMPUTED_VALUE"""),""",")</f>
        <v>",</v>
      </c>
    </row>
    <row r="2970">
      <c r="A2970" s="9" t="str">
        <f>IFERROR(__xludf.DUMMYFUNCTION("""COMPUTED_VALUE"""),"""")</f>
        <v>"</v>
      </c>
      <c r="B2970" s="9" t="s">
        <v>2979</v>
      </c>
      <c r="C2970" s="9" t="str">
        <f>IFERROR(__xludf.DUMMYFUNCTION("""COMPUTED_VALUE"""),""":""")</f>
        <v>":"</v>
      </c>
      <c r="D2970" s="24">
        <v>6.2005979458241782E18</v>
      </c>
      <c r="E2970" s="9" t="str">
        <f>IFERROR(__xludf.DUMMYFUNCTION("""COMPUTED_VALUE"""),""",")</f>
        <v>",</v>
      </c>
    </row>
    <row r="2971">
      <c r="A2971" s="9" t="str">
        <f>IFERROR(__xludf.DUMMYFUNCTION("""COMPUTED_VALUE"""),"""")</f>
        <v>"</v>
      </c>
      <c r="B2971" s="9" t="s">
        <v>2980</v>
      </c>
      <c r="C2971" s="9" t="str">
        <f>IFERROR(__xludf.DUMMYFUNCTION("""COMPUTED_VALUE"""),""":""")</f>
        <v>":"</v>
      </c>
      <c r="D2971" s="24">
        <v>6.2005979458241782E18</v>
      </c>
      <c r="E2971" s="9" t="str">
        <f>IFERROR(__xludf.DUMMYFUNCTION("""COMPUTED_VALUE"""),""",")</f>
        <v>",</v>
      </c>
    </row>
    <row r="2972">
      <c r="A2972" s="9" t="str">
        <f>IFERROR(__xludf.DUMMYFUNCTION("""COMPUTED_VALUE"""),"""")</f>
        <v>"</v>
      </c>
      <c r="B2972" s="9" t="s">
        <v>2981</v>
      </c>
      <c r="C2972" s="9" t="str">
        <f>IFERROR(__xludf.DUMMYFUNCTION("""COMPUTED_VALUE"""),""":""")</f>
        <v>":"</v>
      </c>
      <c r="D2972" s="24">
        <v>2.0045042124785005E19</v>
      </c>
      <c r="E2972" s="9" t="str">
        <f>IFERROR(__xludf.DUMMYFUNCTION("""COMPUTED_VALUE"""),""",")</f>
        <v>",</v>
      </c>
    </row>
    <row r="2973">
      <c r="A2973" s="9" t="str">
        <f>IFERROR(__xludf.DUMMYFUNCTION("""COMPUTED_VALUE"""),"""")</f>
        <v>"</v>
      </c>
      <c r="B2973" s="9" t="s">
        <v>2982</v>
      </c>
      <c r="C2973" s="9" t="str">
        <f>IFERROR(__xludf.DUMMYFUNCTION("""COMPUTED_VALUE"""),""":""")</f>
        <v>":"</v>
      </c>
      <c r="D2973" s="24">
        <v>6.2005979458241782E18</v>
      </c>
      <c r="E2973" s="9" t="str">
        <f>IFERROR(__xludf.DUMMYFUNCTION("""COMPUTED_VALUE"""),""",")</f>
        <v>",</v>
      </c>
    </row>
    <row r="2974">
      <c r="A2974" s="9" t="str">
        <f>IFERROR(__xludf.DUMMYFUNCTION("""COMPUTED_VALUE"""),"""")</f>
        <v>"</v>
      </c>
      <c r="B2974" s="9" t="s">
        <v>2983</v>
      </c>
      <c r="C2974" s="9" t="str">
        <f>IFERROR(__xludf.DUMMYFUNCTION("""COMPUTED_VALUE"""),""":""")</f>
        <v>":"</v>
      </c>
      <c r="D2974" s="24">
        <v>1.78694380173373978E18</v>
      </c>
      <c r="E2974" s="9" t="str">
        <f>IFERROR(__xludf.DUMMYFUNCTION("""COMPUTED_VALUE"""),""",")</f>
        <v>",</v>
      </c>
    </row>
    <row r="2975">
      <c r="A2975" s="9" t="str">
        <f>IFERROR(__xludf.DUMMYFUNCTION("""COMPUTED_VALUE"""),"""")</f>
        <v>"</v>
      </c>
      <c r="B2975" s="9" t="s">
        <v>2984</v>
      </c>
      <c r="C2975" s="9" t="str">
        <f>IFERROR(__xludf.DUMMYFUNCTION("""COMPUTED_VALUE"""),""":""")</f>
        <v>":"</v>
      </c>
      <c r="D2975" s="24">
        <v>2.07796332962062432E17</v>
      </c>
      <c r="E2975" s="9" t="str">
        <f>IFERROR(__xludf.DUMMYFUNCTION("""COMPUTED_VALUE"""),""",")</f>
        <v>",</v>
      </c>
    </row>
    <row r="2976">
      <c r="A2976" s="9" t="str">
        <f>IFERROR(__xludf.DUMMYFUNCTION("""COMPUTED_VALUE"""),"""")</f>
        <v>"</v>
      </c>
      <c r="B2976" s="9" t="s">
        <v>2985</v>
      </c>
      <c r="C2976" s="9" t="str">
        <f>IFERROR(__xludf.DUMMYFUNCTION("""COMPUTED_VALUE"""),""":""")</f>
        <v>":"</v>
      </c>
      <c r="D2976" s="24">
        <v>3.497636204605902E19</v>
      </c>
      <c r="E2976" s="9" t="str">
        <f>IFERROR(__xludf.DUMMYFUNCTION("""COMPUTED_VALUE"""),""",")</f>
        <v>",</v>
      </c>
    </row>
    <row r="2977">
      <c r="A2977" s="9" t="str">
        <f>IFERROR(__xludf.DUMMYFUNCTION("""COMPUTED_VALUE"""),"""")</f>
        <v>"</v>
      </c>
      <c r="B2977" s="9" t="s">
        <v>2986</v>
      </c>
      <c r="C2977" s="9" t="str">
        <f>IFERROR(__xludf.DUMMYFUNCTION("""COMPUTED_VALUE"""),""":""")</f>
        <v>":"</v>
      </c>
      <c r="D2977" s="24">
        <v>2.6648376733875315E19</v>
      </c>
      <c r="E2977" s="9" t="str">
        <f>IFERROR(__xludf.DUMMYFUNCTION("""COMPUTED_VALUE"""),""",")</f>
        <v>",</v>
      </c>
    </row>
    <row r="2978">
      <c r="A2978" s="9" t="str">
        <f>IFERROR(__xludf.DUMMYFUNCTION("""COMPUTED_VALUE"""),"""")</f>
        <v>"</v>
      </c>
      <c r="B2978" s="9" t="s">
        <v>2987</v>
      </c>
      <c r="C2978" s="9" t="str">
        <f>IFERROR(__xludf.DUMMYFUNCTION("""COMPUTED_VALUE"""),""":""")</f>
        <v>":"</v>
      </c>
      <c r="D2978" s="24">
        <v>6.2005979458241782E18</v>
      </c>
      <c r="E2978" s="9" t="str">
        <f>IFERROR(__xludf.DUMMYFUNCTION("""COMPUTED_VALUE"""),""",")</f>
        <v>",</v>
      </c>
    </row>
    <row r="2979">
      <c r="A2979" s="9" t="str">
        <f>IFERROR(__xludf.DUMMYFUNCTION("""COMPUTED_VALUE"""),"""")</f>
        <v>"</v>
      </c>
      <c r="B2979" s="9" t="s">
        <v>2988</v>
      </c>
      <c r="C2979" s="9" t="str">
        <f>IFERROR(__xludf.DUMMYFUNCTION("""COMPUTED_VALUE"""),""":""")</f>
        <v>":"</v>
      </c>
      <c r="D2979" s="24">
        <v>1.825717227823727E19</v>
      </c>
      <c r="E2979" s="9" t="str">
        <f>IFERROR(__xludf.DUMMYFUNCTION("""COMPUTED_VALUE"""),""",")</f>
        <v>",</v>
      </c>
    </row>
    <row r="2980">
      <c r="A2980" s="9" t="str">
        <f>IFERROR(__xludf.DUMMYFUNCTION("""COMPUTED_VALUE"""),"""")</f>
        <v>"</v>
      </c>
      <c r="B2980" s="9" t="s">
        <v>2989</v>
      </c>
      <c r="C2980" s="9" t="str">
        <f>IFERROR(__xludf.DUMMYFUNCTION("""COMPUTED_VALUE"""),""":""")</f>
        <v>":"</v>
      </c>
      <c r="D2980" s="24">
        <v>6.2005979458241782E18</v>
      </c>
      <c r="E2980" s="9" t="str">
        <f>IFERROR(__xludf.DUMMYFUNCTION("""COMPUTED_VALUE"""),""",")</f>
        <v>",</v>
      </c>
    </row>
    <row r="2981">
      <c r="A2981" s="9" t="str">
        <f>IFERROR(__xludf.DUMMYFUNCTION("""COMPUTED_VALUE"""),"""")</f>
        <v>"</v>
      </c>
      <c r="B2981" s="9" t="s">
        <v>2990</v>
      </c>
      <c r="C2981" s="9" t="str">
        <f>IFERROR(__xludf.DUMMYFUNCTION("""COMPUTED_VALUE"""),""":""")</f>
        <v>":"</v>
      </c>
      <c r="D2981" s="24">
        <v>4.0747507916235776E18</v>
      </c>
      <c r="E2981" s="9" t="str">
        <f>IFERROR(__xludf.DUMMYFUNCTION("""COMPUTED_VALUE"""),""",")</f>
        <v>",</v>
      </c>
    </row>
    <row r="2982">
      <c r="A2982" s="9" t="str">
        <f>IFERROR(__xludf.DUMMYFUNCTION("""COMPUTED_VALUE"""),"""")</f>
        <v>"</v>
      </c>
      <c r="B2982" s="9" t="s">
        <v>2991</v>
      </c>
      <c r="C2982" s="9" t="str">
        <f>IFERROR(__xludf.DUMMYFUNCTION("""COMPUTED_VALUE"""),""":""")</f>
        <v>":"</v>
      </c>
      <c r="D2982" s="24">
        <v>6.6329957986664315E18</v>
      </c>
      <c r="E2982" s="9" t="str">
        <f>IFERROR(__xludf.DUMMYFUNCTION("""COMPUTED_VALUE"""),""",")</f>
        <v>",</v>
      </c>
    </row>
    <row r="2983">
      <c r="A2983" s="9" t="str">
        <f>IFERROR(__xludf.DUMMYFUNCTION("""COMPUTED_VALUE"""),"""")</f>
        <v>"</v>
      </c>
      <c r="B2983" s="9" t="s">
        <v>2992</v>
      </c>
      <c r="C2983" s="9" t="str">
        <f>IFERROR(__xludf.DUMMYFUNCTION("""COMPUTED_VALUE"""),""":""")</f>
        <v>":"</v>
      </c>
      <c r="D2983" s="24">
        <v>2.8708205305048223E18</v>
      </c>
      <c r="E2983" s="9" t="str">
        <f>IFERROR(__xludf.DUMMYFUNCTION("""COMPUTED_VALUE"""),""",")</f>
        <v>",</v>
      </c>
    </row>
    <row r="2984">
      <c r="A2984" s="9" t="str">
        <f>IFERROR(__xludf.DUMMYFUNCTION("""COMPUTED_VALUE"""),"""")</f>
        <v>"</v>
      </c>
      <c r="B2984" s="9" t="s">
        <v>2993</v>
      </c>
      <c r="C2984" s="9" t="str">
        <f>IFERROR(__xludf.DUMMYFUNCTION("""COMPUTED_VALUE"""),""":""")</f>
        <v>":"</v>
      </c>
      <c r="D2984" s="24">
        <v>5.5691977670655775E18</v>
      </c>
      <c r="E2984" s="9" t="str">
        <f>IFERROR(__xludf.DUMMYFUNCTION("""COMPUTED_VALUE"""),""",")</f>
        <v>",</v>
      </c>
    </row>
    <row r="2985">
      <c r="A2985" s="9" t="str">
        <f>IFERROR(__xludf.DUMMYFUNCTION("""COMPUTED_VALUE"""),"""")</f>
        <v>"</v>
      </c>
      <c r="B2985" s="9" t="s">
        <v>2994</v>
      </c>
      <c r="C2985" s="9" t="str">
        <f>IFERROR(__xludf.DUMMYFUNCTION("""COMPUTED_VALUE"""),""":""")</f>
        <v>":"</v>
      </c>
      <c r="D2985" s="24">
        <v>5.8705733183097559E18</v>
      </c>
      <c r="E2985" s="9" t="str">
        <f>IFERROR(__xludf.DUMMYFUNCTION("""COMPUTED_VALUE"""),""",")</f>
        <v>",</v>
      </c>
    </row>
    <row r="2986">
      <c r="A2986" s="9" t="str">
        <f>IFERROR(__xludf.DUMMYFUNCTION("""COMPUTED_VALUE"""),"""")</f>
        <v>"</v>
      </c>
      <c r="B2986" s="9" t="s">
        <v>2995</v>
      </c>
      <c r="C2986" s="9" t="str">
        <f>IFERROR(__xludf.DUMMYFUNCTION("""COMPUTED_VALUE"""),""":""")</f>
        <v>":"</v>
      </c>
      <c r="D2986" s="24">
        <v>3.1256158044940063E19</v>
      </c>
      <c r="E2986" s="9" t="str">
        <f>IFERROR(__xludf.DUMMYFUNCTION("""COMPUTED_VALUE"""),""",")</f>
        <v>",</v>
      </c>
    </row>
    <row r="2987">
      <c r="A2987" s="9" t="str">
        <f>IFERROR(__xludf.DUMMYFUNCTION("""COMPUTED_VALUE"""),"""")</f>
        <v>"</v>
      </c>
      <c r="B2987" s="9" t="s">
        <v>2996</v>
      </c>
      <c r="C2987" s="9" t="str">
        <f>IFERROR(__xludf.DUMMYFUNCTION("""COMPUTED_VALUE"""),""":""")</f>
        <v>":"</v>
      </c>
      <c r="D2987" s="24">
        <v>4.0421960186282885E18</v>
      </c>
      <c r="E2987" s="9" t="str">
        <f>IFERROR(__xludf.DUMMYFUNCTION("""COMPUTED_VALUE"""),""",")</f>
        <v>",</v>
      </c>
    </row>
    <row r="2988">
      <c r="A2988" s="9" t="str">
        <f>IFERROR(__xludf.DUMMYFUNCTION("""COMPUTED_VALUE"""),"""")</f>
        <v>"</v>
      </c>
      <c r="B2988" s="9" t="s">
        <v>2997</v>
      </c>
      <c r="C2988" s="9" t="str">
        <f>IFERROR(__xludf.DUMMYFUNCTION("""COMPUTED_VALUE"""),""":""")</f>
        <v>":"</v>
      </c>
      <c r="D2988" s="24">
        <v>6.2005979458241782E18</v>
      </c>
      <c r="E2988" s="9" t="str">
        <f>IFERROR(__xludf.DUMMYFUNCTION("""COMPUTED_VALUE"""),""",")</f>
        <v>",</v>
      </c>
    </row>
    <row r="2989">
      <c r="A2989" s="9" t="str">
        <f>IFERROR(__xludf.DUMMYFUNCTION("""COMPUTED_VALUE"""),"""")</f>
        <v>"</v>
      </c>
      <c r="B2989" s="9" t="s">
        <v>2998</v>
      </c>
      <c r="C2989" s="9" t="str">
        <f>IFERROR(__xludf.DUMMYFUNCTION("""COMPUTED_VALUE"""),""":""")</f>
        <v>":"</v>
      </c>
      <c r="D2989" s="24">
        <v>5.742524394504534E18</v>
      </c>
      <c r="E2989" s="9" t="str">
        <f>IFERROR(__xludf.DUMMYFUNCTION("""COMPUTED_VALUE"""),""",")</f>
        <v>",</v>
      </c>
    </row>
    <row r="2990">
      <c r="A2990" s="9" t="str">
        <f>IFERROR(__xludf.DUMMYFUNCTION("""COMPUTED_VALUE"""),"""")</f>
        <v>"</v>
      </c>
      <c r="B2990" s="9" t="s">
        <v>2999</v>
      </c>
      <c r="C2990" s="9" t="str">
        <f>IFERROR(__xludf.DUMMYFUNCTION("""COMPUTED_VALUE"""),""":""")</f>
        <v>":"</v>
      </c>
      <c r="D2990" s="24">
        <v>8.006682231226707E19</v>
      </c>
      <c r="E2990" s="9" t="str">
        <f>IFERROR(__xludf.DUMMYFUNCTION("""COMPUTED_VALUE"""),""",")</f>
        <v>",</v>
      </c>
    </row>
    <row r="2991">
      <c r="A2991" s="9" t="str">
        <f>IFERROR(__xludf.DUMMYFUNCTION("""COMPUTED_VALUE"""),"""")</f>
        <v>"</v>
      </c>
      <c r="B2991" s="9" t="s">
        <v>3000</v>
      </c>
      <c r="C2991" s="9" t="str">
        <f>IFERROR(__xludf.DUMMYFUNCTION("""COMPUTED_VALUE"""),""":""")</f>
        <v>":"</v>
      </c>
      <c r="D2991" s="24">
        <v>2.0248888511809958E19</v>
      </c>
      <c r="E2991" s="9" t="str">
        <f>IFERROR(__xludf.DUMMYFUNCTION("""COMPUTED_VALUE"""),""",")</f>
        <v>",</v>
      </c>
    </row>
    <row r="2992">
      <c r="A2992" s="9" t="str">
        <f>IFERROR(__xludf.DUMMYFUNCTION("""COMPUTED_VALUE"""),"""")</f>
        <v>"</v>
      </c>
      <c r="B2992" s="9" t="s">
        <v>3001</v>
      </c>
      <c r="C2992" s="9" t="str">
        <f>IFERROR(__xludf.DUMMYFUNCTION("""COMPUTED_VALUE"""),""":""")</f>
        <v>":"</v>
      </c>
      <c r="D2992" s="24">
        <v>1.95298211797049984E17</v>
      </c>
      <c r="E2992" s="9" t="str">
        <f>IFERROR(__xludf.DUMMYFUNCTION("""COMPUTED_VALUE"""),""",")</f>
        <v>",</v>
      </c>
    </row>
    <row r="2993">
      <c r="A2993" s="9" t="str">
        <f>IFERROR(__xludf.DUMMYFUNCTION("""COMPUTED_VALUE"""),"""")</f>
        <v>"</v>
      </c>
      <c r="B2993" s="9" t="s">
        <v>3002</v>
      </c>
      <c r="C2993" s="9" t="str">
        <f>IFERROR(__xludf.DUMMYFUNCTION("""COMPUTED_VALUE"""),""":""")</f>
        <v>":"</v>
      </c>
      <c r="D2993" s="24">
        <v>2.1995775837292663E19</v>
      </c>
      <c r="E2993" s="9" t="str">
        <f>IFERROR(__xludf.DUMMYFUNCTION("""COMPUTED_VALUE"""),""",")</f>
        <v>",</v>
      </c>
    </row>
    <row r="2994">
      <c r="A2994" s="9" t="str">
        <f>IFERROR(__xludf.DUMMYFUNCTION("""COMPUTED_VALUE"""),"""")</f>
        <v>"</v>
      </c>
      <c r="B2994" s="9" t="s">
        <v>3003</v>
      </c>
      <c r="C2994" s="9" t="str">
        <f>IFERROR(__xludf.DUMMYFUNCTION("""COMPUTED_VALUE"""),""":""")</f>
        <v>":"</v>
      </c>
      <c r="D2994" s="24">
        <v>5.3868816152928891E18</v>
      </c>
      <c r="E2994" s="9" t="str">
        <f>IFERROR(__xludf.DUMMYFUNCTION("""COMPUTED_VALUE"""),""",")</f>
        <v>",</v>
      </c>
    </row>
    <row r="2995">
      <c r="A2995" s="9" t="str">
        <f>IFERROR(__xludf.DUMMYFUNCTION("""COMPUTED_VALUE"""),"""")</f>
        <v>"</v>
      </c>
      <c r="B2995" s="9" t="s">
        <v>3004</v>
      </c>
      <c r="C2995" s="9" t="str">
        <f>IFERROR(__xludf.DUMMYFUNCTION("""COMPUTED_VALUE"""),""":""")</f>
        <v>":"</v>
      </c>
      <c r="D2995" s="24">
        <v>2.197847992317897E19</v>
      </c>
      <c r="E2995" s="9" t="str">
        <f>IFERROR(__xludf.DUMMYFUNCTION("""COMPUTED_VALUE"""),""",")</f>
        <v>",</v>
      </c>
    </row>
    <row r="2996">
      <c r="A2996" s="9" t="str">
        <f>IFERROR(__xludf.DUMMYFUNCTION("""COMPUTED_VALUE"""),"""")</f>
        <v>"</v>
      </c>
      <c r="B2996" s="9" t="s">
        <v>3005</v>
      </c>
      <c r="C2996" s="9" t="str">
        <f>IFERROR(__xludf.DUMMYFUNCTION("""COMPUTED_VALUE"""),""":""")</f>
        <v>":"</v>
      </c>
      <c r="D2996" s="24">
        <v>2.6306214424726176E19</v>
      </c>
      <c r="E2996" s="9" t="str">
        <f>IFERROR(__xludf.DUMMYFUNCTION("""COMPUTED_VALUE"""),""",")</f>
        <v>",</v>
      </c>
    </row>
    <row r="2997">
      <c r="A2997" s="9" t="str">
        <f>IFERROR(__xludf.DUMMYFUNCTION("""COMPUTED_VALUE"""),"""")</f>
        <v>"</v>
      </c>
      <c r="B2997" s="9" t="s">
        <v>3006</v>
      </c>
      <c r="C2997" s="9" t="str">
        <f>IFERROR(__xludf.DUMMYFUNCTION("""COMPUTED_VALUE"""),""":""")</f>
        <v>":"</v>
      </c>
      <c r="D2997" s="24">
        <v>6.2314570343034696E18</v>
      </c>
      <c r="E2997" s="9" t="str">
        <f>IFERROR(__xludf.DUMMYFUNCTION("""COMPUTED_VALUE"""),""",")</f>
        <v>",</v>
      </c>
    </row>
    <row r="2998">
      <c r="A2998" s="9" t="str">
        <f>IFERROR(__xludf.DUMMYFUNCTION("""COMPUTED_VALUE"""),"""")</f>
        <v>"</v>
      </c>
      <c r="B2998" s="9" t="s">
        <v>3007</v>
      </c>
      <c r="C2998" s="9" t="str">
        <f>IFERROR(__xludf.DUMMYFUNCTION("""COMPUTED_VALUE"""),""":""")</f>
        <v>":"</v>
      </c>
      <c r="D2998" s="24">
        <v>5.830506478721307E19</v>
      </c>
      <c r="E2998" s="9" t="str">
        <f>IFERROR(__xludf.DUMMYFUNCTION("""COMPUTED_VALUE"""),""",")</f>
        <v>",</v>
      </c>
    </row>
    <row r="2999">
      <c r="A2999" s="9" t="str">
        <f>IFERROR(__xludf.DUMMYFUNCTION("""COMPUTED_VALUE"""),"""")</f>
        <v>"</v>
      </c>
      <c r="B2999" s="9" t="s">
        <v>3008</v>
      </c>
      <c r="C2999" s="9" t="str">
        <f>IFERROR(__xludf.DUMMYFUNCTION("""COMPUTED_VALUE"""),""":""")</f>
        <v>":"</v>
      </c>
      <c r="D2999" s="24">
        <v>6.089429689151863E19</v>
      </c>
      <c r="E2999" s="9" t="str">
        <f>IFERROR(__xludf.DUMMYFUNCTION("""COMPUTED_VALUE"""),""",")</f>
        <v>",</v>
      </c>
    </row>
    <row r="3000">
      <c r="A3000" s="9" t="str">
        <f>IFERROR(__xludf.DUMMYFUNCTION("""COMPUTED_VALUE"""),"""")</f>
        <v>"</v>
      </c>
      <c r="B3000" s="9" t="s">
        <v>3009</v>
      </c>
      <c r="C3000" s="9" t="str">
        <f>IFERROR(__xludf.DUMMYFUNCTION("""COMPUTED_VALUE"""),""":""")</f>
        <v>":"</v>
      </c>
      <c r="D3000" s="24">
        <v>3.8629096685689E20</v>
      </c>
      <c r="E3000" s="9" t="str">
        <f>IFERROR(__xludf.DUMMYFUNCTION("""COMPUTED_VALUE"""),""",")</f>
        <v>",</v>
      </c>
    </row>
    <row r="3001">
      <c r="A3001" s="9" t="str">
        <f>IFERROR(__xludf.DUMMYFUNCTION("""COMPUTED_VALUE"""),"""")</f>
        <v>"</v>
      </c>
      <c r="B3001" s="9" t="s">
        <v>3010</v>
      </c>
      <c r="C3001" s="9" t="str">
        <f>IFERROR(__xludf.DUMMYFUNCTION("""COMPUTED_VALUE"""),""":""")</f>
        <v>":"</v>
      </c>
      <c r="D3001" s="24">
        <v>8.2771666034494689E18</v>
      </c>
      <c r="E3001" s="9" t="str">
        <f>IFERROR(__xludf.DUMMYFUNCTION("""COMPUTED_VALUE"""),""",")</f>
        <v>",</v>
      </c>
    </row>
    <row r="3002">
      <c r="A3002" s="9" t="str">
        <f>IFERROR(__xludf.DUMMYFUNCTION("""COMPUTED_VALUE"""),"""")</f>
        <v>"</v>
      </c>
      <c r="B3002" s="9" t="s">
        <v>3011</v>
      </c>
      <c r="C3002" s="9" t="str">
        <f>IFERROR(__xludf.DUMMYFUNCTION("""COMPUTED_VALUE"""),""":""")</f>
        <v>":"</v>
      </c>
      <c r="D3002" s="24">
        <v>5.657030815055929E19</v>
      </c>
      <c r="E3002" s="9" t="str">
        <f>IFERROR(__xludf.DUMMYFUNCTION("""COMPUTED_VALUE"""),""",")</f>
        <v>",</v>
      </c>
    </row>
    <row r="3003">
      <c r="A3003" s="9" t="str">
        <f>IFERROR(__xludf.DUMMYFUNCTION("""COMPUTED_VALUE"""),"""")</f>
        <v>"</v>
      </c>
      <c r="B3003" s="9" t="s">
        <v>3012</v>
      </c>
      <c r="C3003" s="9" t="str">
        <f>IFERROR(__xludf.DUMMYFUNCTION("""COMPUTED_VALUE"""),""":""")</f>
        <v>":"</v>
      </c>
      <c r="D3003" s="24">
        <v>3.4800523066289734E19</v>
      </c>
      <c r="E3003" s="9" t="str">
        <f>IFERROR(__xludf.DUMMYFUNCTION("""COMPUTED_VALUE"""),""",")</f>
        <v>",</v>
      </c>
    </row>
    <row r="3004">
      <c r="A3004" s="9" t="str">
        <f>IFERROR(__xludf.DUMMYFUNCTION("""COMPUTED_VALUE"""),"""")</f>
        <v>"</v>
      </c>
      <c r="B3004" s="9" t="s">
        <v>3013</v>
      </c>
      <c r="C3004" s="9" t="str">
        <f>IFERROR(__xludf.DUMMYFUNCTION("""COMPUTED_VALUE"""),""":""")</f>
        <v>":"</v>
      </c>
      <c r="D3004" s="24">
        <v>2.370807133454798E19</v>
      </c>
      <c r="E3004" s="9" t="str">
        <f>IFERROR(__xludf.DUMMYFUNCTION("""COMPUTED_VALUE"""),""",")</f>
        <v>",</v>
      </c>
    </row>
    <row r="3005">
      <c r="A3005" s="9" t="str">
        <f>IFERROR(__xludf.DUMMYFUNCTION("""COMPUTED_VALUE"""),"""")</f>
        <v>"</v>
      </c>
      <c r="B3005" s="9" t="s">
        <v>3014</v>
      </c>
      <c r="C3005" s="9" t="str">
        <f>IFERROR(__xludf.DUMMYFUNCTION("""COMPUTED_VALUE"""),""":""")</f>
        <v>":"</v>
      </c>
      <c r="D3005" s="24">
        <v>6.2005979458241782E18</v>
      </c>
      <c r="E3005" s="9" t="str">
        <f>IFERROR(__xludf.DUMMYFUNCTION("""COMPUTED_VALUE"""),""",")</f>
        <v>",</v>
      </c>
    </row>
    <row r="3006">
      <c r="A3006" s="9" t="str">
        <f>IFERROR(__xludf.DUMMYFUNCTION("""COMPUTED_VALUE"""),"""")</f>
        <v>"</v>
      </c>
      <c r="B3006" s="9" t="s">
        <v>3015</v>
      </c>
      <c r="C3006" s="9" t="str">
        <f>IFERROR(__xludf.DUMMYFUNCTION("""COMPUTED_VALUE"""),""":""")</f>
        <v>":"</v>
      </c>
      <c r="D3006" s="24">
        <v>5.5666712685728891E18</v>
      </c>
      <c r="E3006" s="9" t="str">
        <f>IFERROR(__xludf.DUMMYFUNCTION("""COMPUTED_VALUE"""),""",")</f>
        <v>",</v>
      </c>
    </row>
    <row r="3007">
      <c r="A3007" s="9" t="str">
        <f>IFERROR(__xludf.DUMMYFUNCTION("""COMPUTED_VALUE"""),"""")</f>
        <v>"</v>
      </c>
      <c r="B3007" s="9" t="s">
        <v>3016</v>
      </c>
      <c r="C3007" s="9" t="str">
        <f>IFERROR(__xludf.DUMMYFUNCTION("""COMPUTED_VALUE"""),""":""")</f>
        <v>":"</v>
      </c>
      <c r="D3007" s="24">
        <v>6.0388842621737554E18</v>
      </c>
      <c r="E3007" s="9" t="str">
        <f>IFERROR(__xludf.DUMMYFUNCTION("""COMPUTED_VALUE"""),""",")</f>
        <v>",</v>
      </c>
    </row>
    <row r="3008">
      <c r="A3008" s="9" t="str">
        <f>IFERROR(__xludf.DUMMYFUNCTION("""COMPUTED_VALUE"""),"""")</f>
        <v>"</v>
      </c>
      <c r="B3008" s="9" t="s">
        <v>3017</v>
      </c>
      <c r="C3008" s="9" t="str">
        <f>IFERROR(__xludf.DUMMYFUNCTION("""COMPUTED_VALUE"""),""":""")</f>
        <v>":"</v>
      </c>
      <c r="D3008" s="24">
        <v>4.439092827506645E18</v>
      </c>
      <c r="E3008" s="9" t="str">
        <f>IFERROR(__xludf.DUMMYFUNCTION("""COMPUTED_VALUE"""),""",")</f>
        <v>",</v>
      </c>
    </row>
    <row r="3009">
      <c r="A3009" s="9" t="str">
        <f>IFERROR(__xludf.DUMMYFUNCTION("""COMPUTED_VALUE"""),"""")</f>
        <v>"</v>
      </c>
      <c r="B3009" s="9" t="s">
        <v>3018</v>
      </c>
      <c r="C3009" s="9" t="str">
        <f>IFERROR(__xludf.DUMMYFUNCTION("""COMPUTED_VALUE"""),""":""")</f>
        <v>":"</v>
      </c>
      <c r="D3009" s="24">
        <v>1.6427753477861818E19</v>
      </c>
      <c r="E3009" s="9" t="str">
        <f>IFERROR(__xludf.DUMMYFUNCTION("""COMPUTED_VALUE"""),""",")</f>
        <v>",</v>
      </c>
    </row>
    <row r="3010">
      <c r="A3010" s="9" t="str">
        <f>IFERROR(__xludf.DUMMYFUNCTION("""COMPUTED_VALUE"""),"""")</f>
        <v>"</v>
      </c>
      <c r="B3010" s="9" t="s">
        <v>3019</v>
      </c>
      <c r="C3010" s="9" t="str">
        <f>IFERROR(__xludf.DUMMYFUNCTION("""COMPUTED_VALUE"""),""":""")</f>
        <v>":"</v>
      </c>
      <c r="D3010" s="24">
        <v>5.9703656634520228E18</v>
      </c>
      <c r="E3010" s="9" t="str">
        <f>IFERROR(__xludf.DUMMYFUNCTION("""COMPUTED_VALUE"""),""",")</f>
        <v>",</v>
      </c>
    </row>
    <row r="3011">
      <c r="A3011" s="9" t="str">
        <f>IFERROR(__xludf.DUMMYFUNCTION("""COMPUTED_VALUE"""),"""")</f>
        <v>"</v>
      </c>
      <c r="B3011" s="9" t="s">
        <v>3020</v>
      </c>
      <c r="C3011" s="9" t="str">
        <f>IFERROR(__xludf.DUMMYFUNCTION("""COMPUTED_VALUE"""),""":""")</f>
        <v>":"</v>
      </c>
      <c r="D3011" s="24">
        <v>2.202424017905256E19</v>
      </c>
      <c r="E3011" s="9" t="str">
        <f>IFERROR(__xludf.DUMMYFUNCTION("""COMPUTED_VALUE"""),""",")</f>
        <v>",</v>
      </c>
    </row>
    <row r="3012">
      <c r="A3012" s="9" t="str">
        <f>IFERROR(__xludf.DUMMYFUNCTION("""COMPUTED_VALUE"""),"""")</f>
        <v>"</v>
      </c>
      <c r="B3012" s="9" t="s">
        <v>3021</v>
      </c>
      <c r="C3012" s="9" t="str">
        <f>IFERROR(__xludf.DUMMYFUNCTION("""COMPUTED_VALUE"""),""":""")</f>
        <v>":"</v>
      </c>
      <c r="D3012" s="24">
        <v>6.2005979458241782E18</v>
      </c>
      <c r="E3012" s="9" t="str">
        <f>IFERROR(__xludf.DUMMYFUNCTION("""COMPUTED_VALUE"""),""",")</f>
        <v>",</v>
      </c>
    </row>
    <row r="3013">
      <c r="A3013" s="9" t="str">
        <f>IFERROR(__xludf.DUMMYFUNCTION("""COMPUTED_VALUE"""),"""")</f>
        <v>"</v>
      </c>
      <c r="B3013" s="9" t="s">
        <v>3022</v>
      </c>
      <c r="C3013" s="9" t="str">
        <f>IFERROR(__xludf.DUMMYFUNCTION("""COMPUTED_VALUE"""),""":""")</f>
        <v>":"</v>
      </c>
      <c r="D3013" s="24">
        <v>6.2005979458241782E18</v>
      </c>
      <c r="E3013" s="9" t="str">
        <f>IFERROR(__xludf.DUMMYFUNCTION("""COMPUTED_VALUE"""),""",")</f>
        <v>",</v>
      </c>
    </row>
    <row r="3014">
      <c r="A3014" s="9" t="str">
        <f>IFERROR(__xludf.DUMMYFUNCTION("""COMPUTED_VALUE"""),"""")</f>
        <v>"</v>
      </c>
      <c r="B3014" s="9" t="s">
        <v>3023</v>
      </c>
      <c r="C3014" s="9" t="str">
        <f>IFERROR(__xludf.DUMMYFUNCTION("""COMPUTED_VALUE"""),""":""")</f>
        <v>":"</v>
      </c>
      <c r="D3014" s="24">
        <v>2.154360533428822E19</v>
      </c>
      <c r="E3014" s="9" t="str">
        <f>IFERROR(__xludf.DUMMYFUNCTION("""COMPUTED_VALUE"""),""",")</f>
        <v>",</v>
      </c>
    </row>
    <row r="3015">
      <c r="A3015" s="9" t="str">
        <f>IFERROR(__xludf.DUMMYFUNCTION("""COMPUTED_VALUE"""),"""")</f>
        <v>"</v>
      </c>
      <c r="B3015" s="9" t="s">
        <v>3024</v>
      </c>
      <c r="C3015" s="9" t="str">
        <f>IFERROR(__xludf.DUMMYFUNCTION("""COMPUTED_VALUE"""),""":""")</f>
        <v>":"</v>
      </c>
      <c r="D3015" s="24">
        <v>2.2843275628863468E19</v>
      </c>
      <c r="E3015" s="9" t="str">
        <f>IFERROR(__xludf.DUMMYFUNCTION("""COMPUTED_VALUE"""),""",")</f>
        <v>",</v>
      </c>
    </row>
    <row r="3016">
      <c r="A3016" s="9" t="str">
        <f>IFERROR(__xludf.DUMMYFUNCTION("""COMPUTED_VALUE"""),"""")</f>
        <v>"</v>
      </c>
      <c r="B3016" s="9" t="s">
        <v>3025</v>
      </c>
      <c r="C3016" s="9" t="str">
        <f>IFERROR(__xludf.DUMMYFUNCTION("""COMPUTED_VALUE"""),""":""")</f>
        <v>":"</v>
      </c>
      <c r="D3016" s="24">
        <v>6.2005979458241782E18</v>
      </c>
      <c r="E3016" s="9" t="str">
        <f>IFERROR(__xludf.DUMMYFUNCTION("""COMPUTED_VALUE"""),""",")</f>
        <v>",</v>
      </c>
    </row>
    <row r="3017">
      <c r="A3017" s="9" t="str">
        <f>IFERROR(__xludf.DUMMYFUNCTION("""COMPUTED_VALUE"""),"""")</f>
        <v>"</v>
      </c>
      <c r="B3017" s="9" t="s">
        <v>3026</v>
      </c>
      <c r="C3017" s="9" t="str">
        <f>IFERROR(__xludf.DUMMYFUNCTION("""COMPUTED_VALUE"""),""":""")</f>
        <v>":"</v>
      </c>
      <c r="D3017" s="24">
        <v>5.9687910934089114E18</v>
      </c>
      <c r="E3017" s="9" t="str">
        <f>IFERROR(__xludf.DUMMYFUNCTION("""COMPUTED_VALUE"""),""",")</f>
        <v>",</v>
      </c>
    </row>
    <row r="3018">
      <c r="A3018" s="9" t="str">
        <f>IFERROR(__xludf.DUMMYFUNCTION("""COMPUTED_VALUE"""),"""")</f>
        <v>"</v>
      </c>
      <c r="B3018" s="9" t="s">
        <v>3027</v>
      </c>
      <c r="C3018" s="9" t="str">
        <f>IFERROR(__xludf.DUMMYFUNCTION("""COMPUTED_VALUE"""),""":""")</f>
        <v>":"</v>
      </c>
      <c r="D3018" s="24">
        <v>6.2005979458241782E18</v>
      </c>
      <c r="E3018" s="9" t="str">
        <f>IFERROR(__xludf.DUMMYFUNCTION("""COMPUTED_VALUE"""),""",")</f>
        <v>",</v>
      </c>
    </row>
    <row r="3019">
      <c r="A3019" s="9" t="str">
        <f>IFERROR(__xludf.DUMMYFUNCTION("""COMPUTED_VALUE"""),"""")</f>
        <v>"</v>
      </c>
      <c r="B3019" s="9" t="s">
        <v>3028</v>
      </c>
      <c r="C3019" s="9" t="str">
        <f>IFERROR(__xludf.DUMMYFUNCTION("""COMPUTED_VALUE"""),""":""")</f>
        <v>":"</v>
      </c>
      <c r="D3019" s="24">
        <v>6.2005979458241782E18</v>
      </c>
      <c r="E3019" s="9" t="str">
        <f>IFERROR(__xludf.DUMMYFUNCTION("""COMPUTED_VALUE"""),""",")</f>
        <v>",</v>
      </c>
    </row>
    <row r="3020">
      <c r="A3020" s="9" t="str">
        <f>IFERROR(__xludf.DUMMYFUNCTION("""COMPUTED_VALUE"""),"""")</f>
        <v>"</v>
      </c>
      <c r="B3020" s="9" t="s">
        <v>3029</v>
      </c>
      <c r="C3020" s="9" t="str">
        <f>IFERROR(__xludf.DUMMYFUNCTION("""COMPUTED_VALUE"""),""":""")</f>
        <v>":"</v>
      </c>
      <c r="D3020" s="24">
        <v>6.5218265207404405E19</v>
      </c>
      <c r="E3020" s="9" t="str">
        <f>IFERROR(__xludf.DUMMYFUNCTION("""COMPUTED_VALUE"""),""",")</f>
        <v>",</v>
      </c>
    </row>
    <row r="3021">
      <c r="A3021" s="9" t="str">
        <f>IFERROR(__xludf.DUMMYFUNCTION("""COMPUTED_VALUE"""),"""")</f>
        <v>"</v>
      </c>
      <c r="B3021" s="9" t="s">
        <v>3030</v>
      </c>
      <c r="C3021" s="9" t="str">
        <f>IFERROR(__xludf.DUMMYFUNCTION("""COMPUTED_VALUE"""),""":""")</f>
        <v>":"</v>
      </c>
      <c r="D3021" s="24">
        <v>4.0347315634940887E18</v>
      </c>
      <c r="E3021" s="9" t="str">
        <f>IFERROR(__xludf.DUMMYFUNCTION("""COMPUTED_VALUE"""),""",")</f>
        <v>",</v>
      </c>
    </row>
    <row r="3022">
      <c r="A3022" s="9" t="str">
        <f>IFERROR(__xludf.DUMMYFUNCTION("""COMPUTED_VALUE"""),"""")</f>
        <v>"</v>
      </c>
      <c r="B3022" s="9" t="s">
        <v>3031</v>
      </c>
      <c r="C3022" s="9" t="str">
        <f>IFERROR(__xludf.DUMMYFUNCTION("""COMPUTED_VALUE"""),""":""")</f>
        <v>":"</v>
      </c>
      <c r="D3022" s="24">
        <v>4.0667902153730002E18</v>
      </c>
      <c r="E3022" s="9" t="str">
        <f>IFERROR(__xludf.DUMMYFUNCTION("""COMPUTED_VALUE"""),""",")</f>
        <v>",</v>
      </c>
    </row>
    <row r="3023">
      <c r="A3023" s="9" t="str">
        <f>IFERROR(__xludf.DUMMYFUNCTION("""COMPUTED_VALUE"""),"""")</f>
        <v>"</v>
      </c>
      <c r="B3023" s="9" t="s">
        <v>3032</v>
      </c>
      <c r="C3023" s="9" t="str">
        <f>IFERROR(__xludf.DUMMYFUNCTION("""COMPUTED_VALUE"""),""":""")</f>
        <v>":"</v>
      </c>
      <c r="D3023" s="24">
        <v>5.7903749556408003E18</v>
      </c>
      <c r="E3023" s="9" t="str">
        <f>IFERROR(__xludf.DUMMYFUNCTION("""COMPUTED_VALUE"""),""",")</f>
        <v>",</v>
      </c>
    </row>
    <row r="3024">
      <c r="A3024" s="9" t="str">
        <f>IFERROR(__xludf.DUMMYFUNCTION("""COMPUTED_VALUE"""),"""")</f>
        <v>"</v>
      </c>
      <c r="B3024" s="9" t="s">
        <v>3033</v>
      </c>
      <c r="C3024" s="9" t="str">
        <f>IFERROR(__xludf.DUMMYFUNCTION("""COMPUTED_VALUE"""),""":""")</f>
        <v>":"</v>
      </c>
      <c r="D3024" s="24">
        <v>6.2005979458241782E18</v>
      </c>
      <c r="E3024" s="9" t="str">
        <f>IFERROR(__xludf.DUMMYFUNCTION("""COMPUTED_VALUE"""),""",")</f>
        <v>",</v>
      </c>
    </row>
    <row r="3025">
      <c r="A3025" s="9" t="str">
        <f>IFERROR(__xludf.DUMMYFUNCTION("""COMPUTED_VALUE"""),"""")</f>
        <v>"</v>
      </c>
      <c r="B3025" s="9" t="s">
        <v>3034</v>
      </c>
      <c r="C3025" s="9" t="str">
        <f>IFERROR(__xludf.DUMMYFUNCTION("""COMPUTED_VALUE"""),""":""")</f>
        <v>":"</v>
      </c>
      <c r="D3025" s="24">
        <v>1.952774240498391E19</v>
      </c>
      <c r="E3025" s="9" t="str">
        <f>IFERROR(__xludf.DUMMYFUNCTION("""COMPUTED_VALUE"""),""",")</f>
        <v>",</v>
      </c>
    </row>
    <row r="3026">
      <c r="A3026" s="9" t="str">
        <f>IFERROR(__xludf.DUMMYFUNCTION("""COMPUTED_VALUE"""),"""")</f>
        <v>"</v>
      </c>
      <c r="B3026" s="9" t="s">
        <v>3035</v>
      </c>
      <c r="C3026" s="9" t="str">
        <f>IFERROR(__xludf.DUMMYFUNCTION("""COMPUTED_VALUE"""),""":""")</f>
        <v>":"</v>
      </c>
      <c r="D3026" s="24">
        <v>2.891029595356276E19</v>
      </c>
      <c r="E3026" s="9" t="str">
        <f>IFERROR(__xludf.DUMMYFUNCTION("""COMPUTED_VALUE"""),""",")</f>
        <v>",</v>
      </c>
    </row>
    <row r="3027">
      <c r="A3027" s="9" t="str">
        <f>IFERROR(__xludf.DUMMYFUNCTION("""COMPUTED_VALUE"""),"""")</f>
        <v>"</v>
      </c>
      <c r="B3027" s="9" t="s">
        <v>3036</v>
      </c>
      <c r="C3027" s="9" t="str">
        <f>IFERROR(__xludf.DUMMYFUNCTION("""COMPUTED_VALUE"""),""":""")</f>
        <v>":"</v>
      </c>
      <c r="D3027" s="24">
        <v>6.2005979458241782E18</v>
      </c>
      <c r="E3027" s="9" t="str">
        <f>IFERROR(__xludf.DUMMYFUNCTION("""COMPUTED_VALUE"""),""",")</f>
        <v>",</v>
      </c>
    </row>
    <row r="3028">
      <c r="A3028" s="9" t="str">
        <f>IFERROR(__xludf.DUMMYFUNCTION("""COMPUTED_VALUE"""),"""")</f>
        <v>"</v>
      </c>
      <c r="B3028" s="9" t="s">
        <v>3037</v>
      </c>
      <c r="C3028" s="9" t="str">
        <f>IFERROR(__xludf.DUMMYFUNCTION("""COMPUTED_VALUE"""),""":""")</f>
        <v>":"</v>
      </c>
      <c r="D3028" s="24">
        <v>5.8649252640586004E18</v>
      </c>
      <c r="E3028" s="9" t="str">
        <f>IFERROR(__xludf.DUMMYFUNCTION("""COMPUTED_VALUE"""),""",")</f>
        <v>",</v>
      </c>
    </row>
    <row r="3029">
      <c r="A3029" s="9" t="str">
        <f>IFERROR(__xludf.DUMMYFUNCTION("""COMPUTED_VALUE"""),"""")</f>
        <v>"</v>
      </c>
      <c r="B3029" s="9" t="s">
        <v>3038</v>
      </c>
      <c r="C3029" s="9" t="str">
        <f>IFERROR(__xludf.DUMMYFUNCTION("""COMPUTED_VALUE"""),""":""")</f>
        <v>":"</v>
      </c>
      <c r="D3029" s="24">
        <v>1.67915288362451776E17</v>
      </c>
      <c r="E3029" s="9" t="str">
        <f>IFERROR(__xludf.DUMMYFUNCTION("""COMPUTED_VALUE"""),""",")</f>
        <v>",</v>
      </c>
    </row>
    <row r="3030">
      <c r="A3030" s="9" t="str">
        <f>IFERROR(__xludf.DUMMYFUNCTION("""COMPUTED_VALUE"""),"""")</f>
        <v>"</v>
      </c>
      <c r="B3030" s="9" t="s">
        <v>3039</v>
      </c>
      <c r="C3030" s="9" t="str">
        <f>IFERROR(__xludf.DUMMYFUNCTION("""COMPUTED_VALUE"""),""":""")</f>
        <v>":"</v>
      </c>
      <c r="D3030" s="24">
        <v>6.2005979458241782E18</v>
      </c>
      <c r="E3030" s="9" t="str">
        <f>IFERROR(__xludf.DUMMYFUNCTION("""COMPUTED_VALUE"""),""",")</f>
        <v>",</v>
      </c>
    </row>
    <row r="3031">
      <c r="A3031" s="9" t="str">
        <f>IFERROR(__xludf.DUMMYFUNCTION("""COMPUTED_VALUE"""),"""")</f>
        <v>"</v>
      </c>
      <c r="B3031" s="9" t="s">
        <v>3040</v>
      </c>
      <c r="C3031" s="9" t="str">
        <f>IFERROR(__xludf.DUMMYFUNCTION("""COMPUTED_VALUE"""),""":""")</f>
        <v>":"</v>
      </c>
      <c r="D3031" s="24">
        <v>2.0248888511809958E19</v>
      </c>
      <c r="E3031" s="9" t="str">
        <f>IFERROR(__xludf.DUMMYFUNCTION("""COMPUTED_VALUE"""),""",")</f>
        <v>",</v>
      </c>
    </row>
    <row r="3032">
      <c r="A3032" s="9" t="str">
        <f>IFERROR(__xludf.DUMMYFUNCTION("""COMPUTED_VALUE"""),"""")</f>
        <v>"</v>
      </c>
      <c r="B3032" s="9" t="s">
        <v>3041</v>
      </c>
      <c r="C3032" s="9" t="str">
        <f>IFERROR(__xludf.DUMMYFUNCTION("""COMPUTED_VALUE"""),""":""")</f>
        <v>":"</v>
      </c>
      <c r="D3032" s="24">
        <v>2.0248888511809958E19</v>
      </c>
      <c r="E3032" s="9" t="str">
        <f>IFERROR(__xludf.DUMMYFUNCTION("""COMPUTED_VALUE"""),""",")</f>
        <v>",</v>
      </c>
    </row>
    <row r="3033">
      <c r="A3033" s="9" t="str">
        <f>IFERROR(__xludf.DUMMYFUNCTION("""COMPUTED_VALUE"""),"""")</f>
        <v>"</v>
      </c>
      <c r="B3033" s="9" t="s">
        <v>3042</v>
      </c>
      <c r="C3033" s="9" t="str">
        <f>IFERROR(__xludf.DUMMYFUNCTION("""COMPUTED_VALUE"""),""":""")</f>
        <v>":"</v>
      </c>
      <c r="D3033" s="24">
        <v>6.2005979458241782E18</v>
      </c>
      <c r="E3033" s="9" t="str">
        <f>IFERROR(__xludf.DUMMYFUNCTION("""COMPUTED_VALUE"""),""",")</f>
        <v>",</v>
      </c>
    </row>
    <row r="3034">
      <c r="A3034" s="9" t="str">
        <f>IFERROR(__xludf.DUMMYFUNCTION("""COMPUTED_VALUE"""),"""")</f>
        <v>"</v>
      </c>
      <c r="B3034" s="9" t="s">
        <v>3043</v>
      </c>
      <c r="C3034" s="9" t="str">
        <f>IFERROR(__xludf.DUMMYFUNCTION("""COMPUTED_VALUE"""),""":""")</f>
        <v>":"</v>
      </c>
      <c r="D3034" s="24">
        <v>3.800544552476618E19</v>
      </c>
      <c r="E3034" s="9" t="str">
        <f>IFERROR(__xludf.DUMMYFUNCTION("""COMPUTED_VALUE"""),""",")</f>
        <v>",</v>
      </c>
    </row>
    <row r="3035">
      <c r="A3035" s="9" t="str">
        <f>IFERROR(__xludf.DUMMYFUNCTION("""COMPUTED_VALUE"""),"""")</f>
        <v>"</v>
      </c>
      <c r="B3035" s="9" t="s">
        <v>3044</v>
      </c>
      <c r="C3035" s="9" t="str">
        <f>IFERROR(__xludf.DUMMYFUNCTION("""COMPUTED_VALUE"""),""":""")</f>
        <v>":"</v>
      </c>
      <c r="D3035" s="24">
        <v>4.6937058329733724E18</v>
      </c>
      <c r="E3035" s="9" t="str">
        <f>IFERROR(__xludf.DUMMYFUNCTION("""COMPUTED_VALUE"""),""",")</f>
        <v>",</v>
      </c>
    </row>
    <row r="3036">
      <c r="A3036" s="9" t="str">
        <f>IFERROR(__xludf.DUMMYFUNCTION("""COMPUTED_VALUE"""),"""")</f>
        <v>"</v>
      </c>
      <c r="B3036" s="9" t="s">
        <v>3045</v>
      </c>
      <c r="C3036" s="9" t="str">
        <f>IFERROR(__xludf.DUMMYFUNCTION("""COMPUTED_VALUE"""),""":""")</f>
        <v>":"</v>
      </c>
      <c r="D3036" s="24">
        <v>1.404829056598578E19</v>
      </c>
      <c r="E3036" s="9" t="str">
        <f>IFERROR(__xludf.DUMMYFUNCTION("""COMPUTED_VALUE"""),""",")</f>
        <v>",</v>
      </c>
    </row>
    <row r="3037">
      <c r="A3037" s="9" t="str">
        <f>IFERROR(__xludf.DUMMYFUNCTION("""COMPUTED_VALUE"""),"""")</f>
        <v>"</v>
      </c>
      <c r="B3037" s="9" t="s">
        <v>3046</v>
      </c>
      <c r="C3037" s="9" t="str">
        <f>IFERROR(__xludf.DUMMYFUNCTION("""COMPUTED_VALUE"""),""":""")</f>
        <v>":"</v>
      </c>
      <c r="D3037" s="24">
        <v>5.6193162263943117E18</v>
      </c>
      <c r="E3037" s="9" t="str">
        <f>IFERROR(__xludf.DUMMYFUNCTION("""COMPUTED_VALUE"""),""",")</f>
        <v>",</v>
      </c>
    </row>
    <row r="3038">
      <c r="A3038" s="9" t="str">
        <f>IFERROR(__xludf.DUMMYFUNCTION("""COMPUTED_VALUE"""),"""")</f>
        <v>"</v>
      </c>
      <c r="B3038" s="9" t="s">
        <v>3047</v>
      </c>
      <c r="C3038" s="9" t="str">
        <f>IFERROR(__xludf.DUMMYFUNCTION("""COMPUTED_VALUE"""),""":""")</f>
        <v>":"</v>
      </c>
      <c r="D3038" s="24">
        <v>1.3324111154888511E19</v>
      </c>
      <c r="E3038" s="9" t="str">
        <f>IFERROR(__xludf.DUMMYFUNCTION("""COMPUTED_VALUE"""),""",")</f>
        <v>",</v>
      </c>
    </row>
    <row r="3039">
      <c r="A3039" s="9" t="str">
        <f>IFERROR(__xludf.DUMMYFUNCTION("""COMPUTED_VALUE"""),"""")</f>
        <v>"</v>
      </c>
      <c r="B3039" s="9" t="s">
        <v>3048</v>
      </c>
      <c r="C3039" s="9" t="str">
        <f>IFERROR(__xludf.DUMMYFUNCTION("""COMPUTED_VALUE"""),""":""")</f>
        <v>":"</v>
      </c>
      <c r="D3039" s="24">
        <v>1.0015008335987579E19</v>
      </c>
      <c r="E3039" s="9" t="str">
        <f>IFERROR(__xludf.DUMMYFUNCTION("""COMPUTED_VALUE"""),""",")</f>
        <v>",</v>
      </c>
    </row>
    <row r="3040">
      <c r="A3040" s="9" t="str">
        <f>IFERROR(__xludf.DUMMYFUNCTION("""COMPUTED_VALUE"""),"""")</f>
        <v>"</v>
      </c>
      <c r="B3040" s="9" t="s">
        <v>3049</v>
      </c>
      <c r="C3040" s="9" t="str">
        <f>IFERROR(__xludf.DUMMYFUNCTION("""COMPUTED_VALUE"""),""":""")</f>
        <v>":"</v>
      </c>
      <c r="D3040" s="24">
        <v>2.17411831909623117E18</v>
      </c>
      <c r="E3040" s="9" t="str">
        <f>IFERROR(__xludf.DUMMYFUNCTION("""COMPUTED_VALUE"""),""",")</f>
        <v>",</v>
      </c>
    </row>
    <row r="3041">
      <c r="A3041" s="9" t="str">
        <f>IFERROR(__xludf.DUMMYFUNCTION("""COMPUTED_VALUE"""),"""")</f>
        <v>"</v>
      </c>
      <c r="B3041" s="9" t="s">
        <v>3050</v>
      </c>
      <c r="C3041" s="9" t="str">
        <f>IFERROR(__xludf.DUMMYFUNCTION("""COMPUTED_VALUE"""),""":""")</f>
        <v>":"</v>
      </c>
      <c r="D3041" s="24">
        <v>9.71832892628071E18</v>
      </c>
      <c r="E3041" s="9" t="str">
        <f>IFERROR(__xludf.DUMMYFUNCTION("""COMPUTED_VALUE"""),""",")</f>
        <v>",</v>
      </c>
    </row>
    <row r="3042">
      <c r="A3042" s="9" t="str">
        <f>IFERROR(__xludf.DUMMYFUNCTION("""COMPUTED_VALUE"""),"""")</f>
        <v>"</v>
      </c>
      <c r="B3042" s="9" t="s">
        <v>3051</v>
      </c>
      <c r="C3042" s="9" t="str">
        <f>IFERROR(__xludf.DUMMYFUNCTION("""COMPUTED_VALUE"""),""":""")</f>
        <v>":"</v>
      </c>
      <c r="D3042" s="24">
        <v>7.8674302693354004E18</v>
      </c>
      <c r="E3042" s="9" t="str">
        <f>IFERROR(__xludf.DUMMYFUNCTION("""COMPUTED_VALUE"""),""",")</f>
        <v>",</v>
      </c>
    </row>
    <row r="3043">
      <c r="A3043" s="9" t="str">
        <f>IFERROR(__xludf.DUMMYFUNCTION("""COMPUTED_VALUE"""),"""")</f>
        <v>"</v>
      </c>
      <c r="B3043" s="9" t="s">
        <v>3052</v>
      </c>
      <c r="C3043" s="9" t="str">
        <f>IFERROR(__xludf.DUMMYFUNCTION("""COMPUTED_VALUE"""),""":""")</f>
        <v>":"</v>
      </c>
      <c r="D3043" s="24">
        <v>3.1969336345170272E17</v>
      </c>
      <c r="E3043" s="9" t="str">
        <f>IFERROR(__xludf.DUMMYFUNCTION("""COMPUTED_VALUE"""),""",")</f>
        <v>",</v>
      </c>
    </row>
    <row r="3044">
      <c r="A3044" s="9" t="str">
        <f>IFERROR(__xludf.DUMMYFUNCTION("""COMPUTED_VALUE"""),"""")</f>
        <v>"</v>
      </c>
      <c r="B3044" s="9" t="s">
        <v>3053</v>
      </c>
      <c r="C3044" s="9" t="str">
        <f>IFERROR(__xludf.DUMMYFUNCTION("""COMPUTED_VALUE"""),""":""")</f>
        <v>":"</v>
      </c>
      <c r="D3044" s="24">
        <v>1.404829056598578E19</v>
      </c>
      <c r="E3044" s="9" t="str">
        <f>IFERROR(__xludf.DUMMYFUNCTION("""COMPUTED_VALUE"""),""",")</f>
        <v>",</v>
      </c>
    </row>
    <row r="3045">
      <c r="A3045" s="9" t="str">
        <f>IFERROR(__xludf.DUMMYFUNCTION("""COMPUTED_VALUE"""),"""")</f>
        <v>"</v>
      </c>
      <c r="B3045" s="9" t="s">
        <v>3054</v>
      </c>
      <c r="C3045" s="9" t="str">
        <f>IFERROR(__xludf.DUMMYFUNCTION("""COMPUTED_VALUE"""),""":""")</f>
        <v>":"</v>
      </c>
      <c r="D3045" s="24">
        <v>1.404829056598578E19</v>
      </c>
      <c r="E3045" s="9" t="str">
        <f>IFERROR(__xludf.DUMMYFUNCTION("""COMPUTED_VALUE"""),""",")</f>
        <v>",</v>
      </c>
    </row>
    <row r="3046">
      <c r="A3046" s="9" t="str">
        <f>IFERROR(__xludf.DUMMYFUNCTION("""COMPUTED_VALUE"""),"""")</f>
        <v>"</v>
      </c>
      <c r="B3046" s="9" t="s">
        <v>3055</v>
      </c>
      <c r="C3046" s="9" t="str">
        <f>IFERROR(__xludf.DUMMYFUNCTION("""COMPUTED_VALUE"""),""":""")</f>
        <v>":"</v>
      </c>
      <c r="D3046" s="24">
        <v>1.4489336375884876E19</v>
      </c>
      <c r="E3046" s="9" t="str">
        <f>IFERROR(__xludf.DUMMYFUNCTION("""COMPUTED_VALUE"""),""",")</f>
        <v>",</v>
      </c>
    </row>
    <row r="3047">
      <c r="A3047" s="9" t="str">
        <f>IFERROR(__xludf.DUMMYFUNCTION("""COMPUTED_VALUE"""),"""")</f>
        <v>"</v>
      </c>
      <c r="B3047" s="9" t="s">
        <v>3056</v>
      </c>
      <c r="C3047" s="9" t="str">
        <f>IFERROR(__xludf.DUMMYFUNCTION("""COMPUTED_VALUE"""),""":""")</f>
        <v>":"</v>
      </c>
      <c r="D3047" s="24">
        <v>3.4161177653418115E19</v>
      </c>
      <c r="E3047" s="9" t="str">
        <f>IFERROR(__xludf.DUMMYFUNCTION("""COMPUTED_VALUE"""),""",")</f>
        <v>",</v>
      </c>
    </row>
    <row r="3048">
      <c r="A3048" s="9" t="str">
        <f>IFERROR(__xludf.DUMMYFUNCTION("""COMPUTED_VALUE"""),"""")</f>
        <v>"</v>
      </c>
      <c r="B3048" s="9" t="s">
        <v>3057</v>
      </c>
      <c r="C3048" s="9" t="str">
        <f>IFERROR(__xludf.DUMMYFUNCTION("""COMPUTED_VALUE"""),""":""")</f>
        <v>":"</v>
      </c>
      <c r="D3048" s="24">
        <v>1.404829056598578E19</v>
      </c>
      <c r="E3048" s="9" t="str">
        <f>IFERROR(__xludf.DUMMYFUNCTION("""COMPUTED_VALUE"""),""",")</f>
        <v>",</v>
      </c>
    </row>
    <row r="3049">
      <c r="A3049" s="9" t="str">
        <f>IFERROR(__xludf.DUMMYFUNCTION("""COMPUTED_VALUE"""),"""")</f>
        <v>"</v>
      </c>
      <c r="B3049" s="9" t="s">
        <v>3058</v>
      </c>
      <c r="C3049" s="9" t="str">
        <f>IFERROR(__xludf.DUMMYFUNCTION("""COMPUTED_VALUE"""),""":""")</f>
        <v>":"</v>
      </c>
      <c r="D3049" s="24">
        <v>1.404829056598578E19</v>
      </c>
      <c r="E3049" s="9" t="str">
        <f>IFERROR(__xludf.DUMMYFUNCTION("""COMPUTED_VALUE"""),""",")</f>
        <v>",</v>
      </c>
    </row>
    <row r="3050">
      <c r="A3050" s="9" t="str">
        <f>IFERROR(__xludf.DUMMYFUNCTION("""COMPUTED_VALUE"""),"""")</f>
        <v>"</v>
      </c>
      <c r="B3050" s="9" t="s">
        <v>3059</v>
      </c>
      <c r="C3050" s="9" t="str">
        <f>IFERROR(__xludf.DUMMYFUNCTION("""COMPUTED_VALUE"""),""":""")</f>
        <v>":"</v>
      </c>
      <c r="D3050" s="24">
        <v>1.404829056598578E19</v>
      </c>
      <c r="E3050" s="9" t="str">
        <f>IFERROR(__xludf.DUMMYFUNCTION("""COMPUTED_VALUE"""),""",")</f>
        <v>",</v>
      </c>
    </row>
    <row r="3051">
      <c r="A3051" s="9" t="str">
        <f>IFERROR(__xludf.DUMMYFUNCTION("""COMPUTED_VALUE"""),"""")</f>
        <v>"</v>
      </c>
      <c r="B3051" s="9" t="s">
        <v>3060</v>
      </c>
      <c r="C3051" s="9" t="str">
        <f>IFERROR(__xludf.DUMMYFUNCTION("""COMPUTED_VALUE"""),""":""")</f>
        <v>":"</v>
      </c>
      <c r="D3051" s="24">
        <v>9.967718818100468E18</v>
      </c>
      <c r="E3051" s="9" t="str">
        <f>IFERROR(__xludf.DUMMYFUNCTION("""COMPUTED_VALUE"""),""",")</f>
        <v>",</v>
      </c>
    </row>
    <row r="3052">
      <c r="A3052" s="9" t="str">
        <f>IFERROR(__xludf.DUMMYFUNCTION("""COMPUTED_VALUE"""),"""")</f>
        <v>"</v>
      </c>
      <c r="B3052" s="9" t="s">
        <v>3061</v>
      </c>
      <c r="C3052" s="9" t="str">
        <f>IFERROR(__xludf.DUMMYFUNCTION("""COMPUTED_VALUE"""),""":""")</f>
        <v>":"</v>
      </c>
      <c r="D3052" s="24">
        <v>1.404829056598578E19</v>
      </c>
      <c r="E3052" s="9" t="str">
        <f>IFERROR(__xludf.DUMMYFUNCTION("""COMPUTED_VALUE"""),""",")</f>
        <v>",</v>
      </c>
    </row>
    <row r="3053">
      <c r="A3053" s="9" t="str">
        <f>IFERROR(__xludf.DUMMYFUNCTION("""COMPUTED_VALUE"""),"""")</f>
        <v>"</v>
      </c>
      <c r="B3053" s="9" t="s">
        <v>3062</v>
      </c>
      <c r="C3053" s="9" t="str">
        <f>IFERROR(__xludf.DUMMYFUNCTION("""COMPUTED_VALUE"""),""":""")</f>
        <v>":"</v>
      </c>
      <c r="D3053" s="24">
        <v>1.404829056598578E19</v>
      </c>
      <c r="E3053" s="9" t="str">
        <f>IFERROR(__xludf.DUMMYFUNCTION("""COMPUTED_VALUE"""),""",")</f>
        <v>",</v>
      </c>
    </row>
    <row r="3054">
      <c r="A3054" s="9" t="str">
        <f>IFERROR(__xludf.DUMMYFUNCTION("""COMPUTED_VALUE"""),"""")</f>
        <v>"</v>
      </c>
      <c r="B3054" s="9" t="s">
        <v>3063</v>
      </c>
      <c r="C3054" s="9" t="str">
        <f>IFERROR(__xludf.DUMMYFUNCTION("""COMPUTED_VALUE"""),""":""")</f>
        <v>":"</v>
      </c>
      <c r="D3054" s="24">
        <v>1.404829056598578E19</v>
      </c>
      <c r="E3054" s="9" t="str">
        <f>IFERROR(__xludf.DUMMYFUNCTION("""COMPUTED_VALUE"""),""",")</f>
        <v>",</v>
      </c>
    </row>
    <row r="3055">
      <c r="A3055" s="9" t="str">
        <f>IFERROR(__xludf.DUMMYFUNCTION("""COMPUTED_VALUE"""),"""")</f>
        <v>"</v>
      </c>
      <c r="B3055" s="9" t="s">
        <v>3064</v>
      </c>
      <c r="C3055" s="9" t="str">
        <f>IFERROR(__xludf.DUMMYFUNCTION("""COMPUTED_VALUE"""),""":""")</f>
        <v>":"</v>
      </c>
      <c r="D3055" s="24">
        <v>1.3806457231731802E19</v>
      </c>
      <c r="E3055" s="9" t="str">
        <f>IFERROR(__xludf.DUMMYFUNCTION("""COMPUTED_VALUE"""),""",")</f>
        <v>",</v>
      </c>
    </row>
    <row r="3056">
      <c r="A3056" s="9" t="str">
        <f>IFERROR(__xludf.DUMMYFUNCTION("""COMPUTED_VALUE"""),"""")</f>
        <v>"</v>
      </c>
      <c r="B3056" s="9" t="s">
        <v>3065</v>
      </c>
      <c r="C3056" s="9" t="str">
        <f>IFERROR(__xludf.DUMMYFUNCTION("""COMPUTED_VALUE"""),""":""")</f>
        <v>":"</v>
      </c>
      <c r="D3056" s="24">
        <v>1.296074027764242E19</v>
      </c>
      <c r="E3056" s="9" t="str">
        <f>IFERROR(__xludf.DUMMYFUNCTION("""COMPUTED_VALUE"""),""",")</f>
        <v>",</v>
      </c>
    </row>
    <row r="3057">
      <c r="A3057" s="9" t="str">
        <f>IFERROR(__xludf.DUMMYFUNCTION("""COMPUTED_VALUE"""),"""")</f>
        <v>"</v>
      </c>
      <c r="B3057" s="9" t="s">
        <v>3066</v>
      </c>
      <c r="C3057" s="9" t="str">
        <f>IFERROR(__xludf.DUMMYFUNCTION("""COMPUTED_VALUE"""),""":""")</f>
        <v>":"</v>
      </c>
      <c r="D3057" s="24">
        <v>1.0979734638464866E19</v>
      </c>
      <c r="E3057" s="9" t="str">
        <f>IFERROR(__xludf.DUMMYFUNCTION("""COMPUTED_VALUE"""),""",")</f>
        <v>",</v>
      </c>
    </row>
    <row r="3058">
      <c r="A3058" s="9" t="str">
        <f>IFERROR(__xludf.DUMMYFUNCTION("""COMPUTED_VALUE"""),"""")</f>
        <v>"</v>
      </c>
      <c r="B3058" s="9" t="s">
        <v>3067</v>
      </c>
      <c r="C3058" s="9" t="str">
        <f>IFERROR(__xludf.DUMMYFUNCTION("""COMPUTED_VALUE"""),""":""")</f>
        <v>":"</v>
      </c>
      <c r="D3058" s="24">
        <v>3.2630693989380669E18</v>
      </c>
      <c r="E3058" s="9" t="str">
        <f>IFERROR(__xludf.DUMMYFUNCTION("""COMPUTED_VALUE"""),""",")</f>
        <v>",</v>
      </c>
    </row>
    <row r="3059">
      <c r="A3059" s="9" t="str">
        <f>IFERROR(__xludf.DUMMYFUNCTION("""COMPUTED_VALUE"""),"""")</f>
        <v>"</v>
      </c>
      <c r="B3059" s="9" t="s">
        <v>3068</v>
      </c>
      <c r="C3059" s="9" t="str">
        <f>IFERROR(__xludf.DUMMYFUNCTION("""COMPUTED_VALUE"""),""":""")</f>
        <v>":"</v>
      </c>
      <c r="D3059" s="24">
        <v>1.404829056598578E19</v>
      </c>
      <c r="E3059" s="9" t="str">
        <f>IFERROR(__xludf.DUMMYFUNCTION("""COMPUTED_VALUE"""),""",")</f>
        <v>",</v>
      </c>
    </row>
    <row r="3060">
      <c r="A3060" s="9" t="str">
        <f>IFERROR(__xludf.DUMMYFUNCTION("""COMPUTED_VALUE"""),"""")</f>
        <v>"</v>
      </c>
      <c r="B3060" s="9" t="s">
        <v>3069</v>
      </c>
      <c r="C3060" s="9" t="str">
        <f>IFERROR(__xludf.DUMMYFUNCTION("""COMPUTED_VALUE"""),""":""")</f>
        <v>":"</v>
      </c>
      <c r="D3060" s="24">
        <v>1.2238570344715422E19</v>
      </c>
      <c r="E3060" s="9" t="str">
        <f>IFERROR(__xludf.DUMMYFUNCTION("""COMPUTED_VALUE"""),""",")</f>
        <v>",</v>
      </c>
    </row>
    <row r="3061">
      <c r="A3061" s="9" t="str">
        <f>IFERROR(__xludf.DUMMYFUNCTION("""COMPUTED_VALUE"""),"""")</f>
        <v>"</v>
      </c>
      <c r="B3061" s="9" t="s">
        <v>3070</v>
      </c>
      <c r="C3061" s="9" t="str">
        <f>IFERROR(__xludf.DUMMYFUNCTION("""COMPUTED_VALUE"""),""":""")</f>
        <v>":"</v>
      </c>
      <c r="D3061" s="24">
        <v>1.4480688418828034E19</v>
      </c>
      <c r="E3061" s="9" t="str">
        <f>IFERROR(__xludf.DUMMYFUNCTION("""COMPUTED_VALUE"""),""",")</f>
        <v>",</v>
      </c>
    </row>
    <row r="3062">
      <c r="A3062" s="9" t="str">
        <f>IFERROR(__xludf.DUMMYFUNCTION("""COMPUTED_VALUE"""),"""")</f>
        <v>"</v>
      </c>
      <c r="B3062" s="9" t="s">
        <v>3071</v>
      </c>
      <c r="C3062" s="9" t="str">
        <f>IFERROR(__xludf.DUMMYFUNCTION("""COMPUTED_VALUE"""),""":""")</f>
        <v>":"</v>
      </c>
      <c r="D3062" s="24">
        <v>5.4218938163986227E18</v>
      </c>
      <c r="E3062" s="9" t="str">
        <f>IFERROR(__xludf.DUMMYFUNCTION("""COMPUTED_VALUE"""),""",")</f>
        <v>",</v>
      </c>
    </row>
    <row r="3063">
      <c r="A3063" s="9" t="str">
        <f>IFERROR(__xludf.DUMMYFUNCTION("""COMPUTED_VALUE"""),"""")</f>
        <v>"</v>
      </c>
      <c r="B3063" s="9" t="s">
        <v>3072</v>
      </c>
      <c r="C3063" s="9" t="str">
        <f>IFERROR(__xludf.DUMMYFUNCTION("""COMPUTED_VALUE"""),""":""")</f>
        <v>":"</v>
      </c>
      <c r="D3063" s="24">
        <v>6.0104091425671782E18</v>
      </c>
      <c r="E3063" s="9" t="str">
        <f>IFERROR(__xludf.DUMMYFUNCTION("""COMPUTED_VALUE"""),""",")</f>
        <v>",</v>
      </c>
    </row>
    <row r="3064">
      <c r="A3064" s="9" t="str">
        <f>IFERROR(__xludf.DUMMYFUNCTION("""COMPUTED_VALUE"""),"""")</f>
        <v>"</v>
      </c>
      <c r="B3064" s="9" t="s">
        <v>3073</v>
      </c>
      <c r="C3064" s="9" t="str">
        <f>IFERROR(__xludf.DUMMYFUNCTION("""COMPUTED_VALUE"""),""":""")</f>
        <v>":"</v>
      </c>
      <c r="D3064" s="24">
        <v>4.3085201584898662E18</v>
      </c>
      <c r="E3064" s="9" t="str">
        <f>IFERROR(__xludf.DUMMYFUNCTION("""COMPUTED_VALUE"""),""",")</f>
        <v>",</v>
      </c>
    </row>
    <row r="3065">
      <c r="A3065" s="9" t="str">
        <f>IFERROR(__xludf.DUMMYFUNCTION("""COMPUTED_VALUE"""),"""")</f>
        <v>"</v>
      </c>
      <c r="B3065" s="9" t="s">
        <v>3074</v>
      </c>
      <c r="C3065" s="9" t="str">
        <f>IFERROR(__xludf.DUMMYFUNCTION("""COMPUTED_VALUE"""),""":""")</f>
        <v>":"</v>
      </c>
      <c r="D3065" s="24">
        <v>1.57049742203283558E18</v>
      </c>
      <c r="E3065" s="9" t="str">
        <f>IFERROR(__xludf.DUMMYFUNCTION("""COMPUTED_VALUE"""),""",")</f>
        <v>",</v>
      </c>
    </row>
    <row r="3066">
      <c r="A3066" s="9" t="str">
        <f>IFERROR(__xludf.DUMMYFUNCTION("""COMPUTED_VALUE"""),"""")</f>
        <v>"</v>
      </c>
      <c r="B3066" s="9" t="s">
        <v>3076</v>
      </c>
      <c r="C3066" s="9" t="str">
        <f>IFERROR(__xludf.DUMMYFUNCTION("""COMPUTED_VALUE"""),""":""")</f>
        <v>":"</v>
      </c>
      <c r="D3066" s="24">
        <v>1.404829056598578E19</v>
      </c>
      <c r="E3066" s="9" t="str">
        <f>IFERROR(__xludf.DUMMYFUNCTION("""COMPUTED_VALUE"""),""",")</f>
        <v>",</v>
      </c>
    </row>
    <row r="3067">
      <c r="A3067" s="9" t="str">
        <f>IFERROR(__xludf.DUMMYFUNCTION("""COMPUTED_VALUE"""),"""")</f>
        <v>"</v>
      </c>
      <c r="B3067" s="9" t="s">
        <v>3077</v>
      </c>
      <c r="C3067" s="9" t="str">
        <f>IFERROR(__xludf.DUMMYFUNCTION("""COMPUTED_VALUE"""),""":""")</f>
        <v>":"</v>
      </c>
      <c r="D3067" s="24">
        <v>1.2136407854230178E19</v>
      </c>
      <c r="E3067" s="9" t="str">
        <f>IFERROR(__xludf.DUMMYFUNCTION("""COMPUTED_VALUE"""),""",")</f>
        <v>",</v>
      </c>
    </row>
    <row r="3068">
      <c r="A3068" s="9" t="str">
        <f>IFERROR(__xludf.DUMMYFUNCTION("""COMPUTED_VALUE"""),"""")</f>
        <v>"</v>
      </c>
      <c r="B3068" s="9" t="s">
        <v>3078</v>
      </c>
      <c r="C3068" s="9" t="str">
        <f>IFERROR(__xludf.DUMMYFUNCTION("""COMPUTED_VALUE"""),""":""")</f>
        <v>":"</v>
      </c>
      <c r="D3068" s="24">
        <v>1.404829056598578E19</v>
      </c>
      <c r="E3068" s="9" t="str">
        <f>IFERROR(__xludf.DUMMYFUNCTION("""COMPUTED_VALUE"""),""",")</f>
        <v>",</v>
      </c>
    </row>
    <row r="3069">
      <c r="A3069" s="9" t="str">
        <f>IFERROR(__xludf.DUMMYFUNCTION("""COMPUTED_VALUE"""),"""")</f>
        <v>"</v>
      </c>
      <c r="B3069" s="9" t="s">
        <v>3079</v>
      </c>
      <c r="C3069" s="9" t="str">
        <f>IFERROR(__xludf.DUMMYFUNCTION("""COMPUTED_VALUE"""),""":""")</f>
        <v>":"</v>
      </c>
      <c r="D3069" s="24">
        <v>1.404829056598578E19</v>
      </c>
      <c r="E3069" s="9" t="str">
        <f>IFERROR(__xludf.DUMMYFUNCTION("""COMPUTED_VALUE"""),""",")</f>
        <v>",</v>
      </c>
    </row>
    <row r="3070">
      <c r="A3070" s="9" t="str">
        <f>IFERROR(__xludf.DUMMYFUNCTION("""COMPUTED_VALUE"""),"""")</f>
        <v>"</v>
      </c>
      <c r="B3070" s="9" t="s">
        <v>3080</v>
      </c>
      <c r="C3070" s="9" t="str">
        <f>IFERROR(__xludf.DUMMYFUNCTION("""COMPUTED_VALUE"""),""":""")</f>
        <v>":"</v>
      </c>
      <c r="D3070" s="24">
        <v>1.1174884849976046E19</v>
      </c>
      <c r="E3070" s="9" t="str">
        <f>IFERROR(__xludf.DUMMYFUNCTION("""COMPUTED_VALUE"""),""",")</f>
        <v>",</v>
      </c>
    </row>
    <row r="3071">
      <c r="A3071" s="9" t="str">
        <f>IFERROR(__xludf.DUMMYFUNCTION("""COMPUTED_VALUE"""),"""")</f>
        <v>"</v>
      </c>
      <c r="B3071" s="9" t="s">
        <v>3081</v>
      </c>
      <c r="C3071" s="9" t="str">
        <f>IFERROR(__xludf.DUMMYFUNCTION("""COMPUTED_VALUE"""),""":""")</f>
        <v>":"</v>
      </c>
      <c r="D3071" s="24">
        <v>2.5741211662563553E18</v>
      </c>
      <c r="E3071" s="9" t="str">
        <f>IFERROR(__xludf.DUMMYFUNCTION("""COMPUTED_VALUE"""),""",")</f>
        <v>",</v>
      </c>
    </row>
    <row r="3072">
      <c r="A3072" s="9" t="str">
        <f>IFERROR(__xludf.DUMMYFUNCTION("""COMPUTED_VALUE"""),"""")</f>
        <v>"</v>
      </c>
      <c r="B3072" s="9" t="s">
        <v>3082</v>
      </c>
      <c r="C3072" s="9" t="str">
        <f>IFERROR(__xludf.DUMMYFUNCTION("""COMPUTED_VALUE"""),""":""")</f>
        <v>":"</v>
      </c>
      <c r="D3072" s="24">
        <v>1.404829056598578E19</v>
      </c>
      <c r="E3072" s="9" t="str">
        <f>IFERROR(__xludf.DUMMYFUNCTION("""COMPUTED_VALUE"""),""",")</f>
        <v>",</v>
      </c>
    </row>
    <row r="3073">
      <c r="A3073" s="9" t="str">
        <f>IFERROR(__xludf.DUMMYFUNCTION("""COMPUTED_VALUE"""),"""")</f>
        <v>"</v>
      </c>
      <c r="B3073" s="9" t="s">
        <v>3083</v>
      </c>
      <c r="C3073" s="9" t="str">
        <f>IFERROR(__xludf.DUMMYFUNCTION("""COMPUTED_VALUE"""),""":""")</f>
        <v>":"</v>
      </c>
      <c r="D3073" s="24">
        <v>1.404829056598578E19</v>
      </c>
      <c r="E3073" s="9" t="str">
        <f>IFERROR(__xludf.DUMMYFUNCTION("""COMPUTED_VALUE"""),""",")</f>
        <v>",</v>
      </c>
    </row>
    <row r="3074">
      <c r="A3074" s="9" t="str">
        <f>IFERROR(__xludf.DUMMYFUNCTION("""COMPUTED_VALUE"""),"""")</f>
        <v>"</v>
      </c>
      <c r="B3074" s="9" t="s">
        <v>3084</v>
      </c>
      <c r="C3074" s="9" t="str">
        <f>IFERROR(__xludf.DUMMYFUNCTION("""COMPUTED_VALUE"""),""":""")</f>
        <v>":"</v>
      </c>
      <c r="D3074" s="24">
        <v>1.404829056598578E19</v>
      </c>
      <c r="E3074" s="9" t="str">
        <f>IFERROR(__xludf.DUMMYFUNCTION("""COMPUTED_VALUE"""),""",")</f>
        <v>",</v>
      </c>
    </row>
    <row r="3075">
      <c r="A3075" s="9" t="str">
        <f>IFERROR(__xludf.DUMMYFUNCTION("""COMPUTED_VALUE"""),"""")</f>
        <v>"</v>
      </c>
      <c r="B3075" s="9" t="s">
        <v>3085</v>
      </c>
      <c r="C3075" s="9" t="str">
        <f>IFERROR(__xludf.DUMMYFUNCTION("""COMPUTED_VALUE"""),""":""")</f>
        <v>":"</v>
      </c>
      <c r="D3075" s="24">
        <v>7.2147688875307991E18</v>
      </c>
      <c r="E3075" s="9" t="str">
        <f>IFERROR(__xludf.DUMMYFUNCTION("""COMPUTED_VALUE"""),""",")</f>
        <v>",</v>
      </c>
    </row>
    <row r="3076">
      <c r="A3076" s="9" t="str">
        <f>IFERROR(__xludf.DUMMYFUNCTION("""COMPUTED_VALUE"""),"""")</f>
        <v>"</v>
      </c>
      <c r="B3076" s="9" t="s">
        <v>3086</v>
      </c>
      <c r="C3076" s="9" t="str">
        <f>IFERROR(__xludf.DUMMYFUNCTION("""COMPUTED_VALUE"""),""":""")</f>
        <v>":"</v>
      </c>
      <c r="D3076" s="24">
        <v>1.404829056598578E19</v>
      </c>
      <c r="E3076" s="9" t="str">
        <f>IFERROR(__xludf.DUMMYFUNCTION("""COMPUTED_VALUE"""),""",")</f>
        <v>",</v>
      </c>
    </row>
    <row r="3077">
      <c r="A3077" s="9" t="str">
        <f>IFERROR(__xludf.DUMMYFUNCTION("""COMPUTED_VALUE"""),"""")</f>
        <v>"</v>
      </c>
      <c r="B3077" s="9" t="s">
        <v>3087</v>
      </c>
      <c r="C3077" s="9" t="str">
        <f>IFERROR(__xludf.DUMMYFUNCTION("""COMPUTED_VALUE"""),""":""")</f>
        <v>":"</v>
      </c>
      <c r="D3077" s="24">
        <v>1.404829056598578E19</v>
      </c>
      <c r="E3077" s="9" t="str">
        <f>IFERROR(__xludf.DUMMYFUNCTION("""COMPUTED_VALUE"""),""",")</f>
        <v>",</v>
      </c>
    </row>
    <row r="3078">
      <c r="A3078" s="9" t="str">
        <f>IFERROR(__xludf.DUMMYFUNCTION("""COMPUTED_VALUE"""),"""")</f>
        <v>"</v>
      </c>
      <c r="B3078" s="9" t="s">
        <v>3088</v>
      </c>
      <c r="C3078" s="9" t="str">
        <f>IFERROR(__xludf.DUMMYFUNCTION("""COMPUTED_VALUE"""),""":""")</f>
        <v>":"</v>
      </c>
      <c r="D3078" s="24">
        <v>9.289255637268644E18</v>
      </c>
      <c r="E3078" s="9" t="str">
        <f>IFERROR(__xludf.DUMMYFUNCTION("""COMPUTED_VALUE"""),""",")</f>
        <v>",</v>
      </c>
    </row>
    <row r="3079">
      <c r="A3079" s="9" t="str">
        <f>IFERROR(__xludf.DUMMYFUNCTION("""COMPUTED_VALUE"""),"""")</f>
        <v>"</v>
      </c>
      <c r="B3079" s="9" t="s">
        <v>3089</v>
      </c>
      <c r="C3079" s="9" t="str">
        <f>IFERROR(__xludf.DUMMYFUNCTION("""COMPUTED_VALUE"""),""":""")</f>
        <v>":"</v>
      </c>
      <c r="D3079" s="24">
        <v>1.3500846274104578E19</v>
      </c>
      <c r="E3079" s="9" t="str">
        <f>IFERROR(__xludf.DUMMYFUNCTION("""COMPUTED_VALUE"""),""",")</f>
        <v>",</v>
      </c>
    </row>
    <row r="3080">
      <c r="A3080" s="9" t="str">
        <f>IFERROR(__xludf.DUMMYFUNCTION("""COMPUTED_VALUE"""),"""")</f>
        <v>"</v>
      </c>
      <c r="B3080" s="9" t="s">
        <v>3090</v>
      </c>
      <c r="C3080" s="9" t="str">
        <f>IFERROR(__xludf.DUMMYFUNCTION("""COMPUTED_VALUE"""),""":""")</f>
        <v>":"</v>
      </c>
      <c r="D3080" s="24">
        <v>9.907025943376867E18</v>
      </c>
      <c r="E3080" s="9" t="str">
        <f>IFERROR(__xludf.DUMMYFUNCTION("""COMPUTED_VALUE"""),""",")</f>
        <v>",</v>
      </c>
    </row>
    <row r="3081">
      <c r="A3081" s="9" t="str">
        <f>IFERROR(__xludf.DUMMYFUNCTION("""COMPUTED_VALUE"""),"""")</f>
        <v>"</v>
      </c>
      <c r="B3081" s="9" t="s">
        <v>3091</v>
      </c>
      <c r="C3081" s="9" t="str">
        <f>IFERROR(__xludf.DUMMYFUNCTION("""COMPUTED_VALUE"""),""":""")</f>
        <v>":"</v>
      </c>
      <c r="D3081" s="24">
        <v>9.2199929433662659E18</v>
      </c>
      <c r="E3081" s="9" t="str">
        <f>IFERROR(__xludf.DUMMYFUNCTION("""COMPUTED_VALUE"""),""",")</f>
        <v>",</v>
      </c>
    </row>
    <row r="3082">
      <c r="A3082" s="9" t="str">
        <f>IFERROR(__xludf.DUMMYFUNCTION("""COMPUTED_VALUE"""),"""")</f>
        <v>"</v>
      </c>
      <c r="B3082" s="9" t="s">
        <v>3092</v>
      </c>
      <c r="C3082" s="9" t="str">
        <f>IFERROR(__xludf.DUMMYFUNCTION("""COMPUTED_VALUE"""),""":""")</f>
        <v>":"</v>
      </c>
      <c r="D3082" s="24">
        <v>1.404829056598578E19</v>
      </c>
      <c r="E3082" s="9" t="str">
        <f>IFERROR(__xludf.DUMMYFUNCTION("""COMPUTED_VALUE"""),""",")</f>
        <v>",</v>
      </c>
    </row>
    <row r="3083">
      <c r="A3083" s="9" t="str">
        <f>IFERROR(__xludf.DUMMYFUNCTION("""COMPUTED_VALUE"""),"""")</f>
        <v>"</v>
      </c>
      <c r="B3083" s="9" t="s">
        <v>3093</v>
      </c>
      <c r="C3083" s="9" t="str">
        <f>IFERROR(__xludf.DUMMYFUNCTION("""COMPUTED_VALUE"""),""":""")</f>
        <v>":"</v>
      </c>
      <c r="D3083" s="24">
        <v>1.4480688418828034E19</v>
      </c>
      <c r="E3083" s="9" t="str">
        <f>IFERROR(__xludf.DUMMYFUNCTION("""COMPUTED_VALUE"""),""",")</f>
        <v>",</v>
      </c>
    </row>
    <row r="3084">
      <c r="A3084" s="9" t="str">
        <f>IFERROR(__xludf.DUMMYFUNCTION("""COMPUTED_VALUE"""),"""")</f>
        <v>"</v>
      </c>
      <c r="B3084" s="9" t="s">
        <v>3094</v>
      </c>
      <c r="C3084" s="9" t="str">
        <f>IFERROR(__xludf.DUMMYFUNCTION("""COMPUTED_VALUE"""),""":""")</f>
        <v>":"</v>
      </c>
      <c r="D3084" s="24">
        <v>1.404829056598578E19</v>
      </c>
      <c r="E3084" s="9" t="str">
        <f>IFERROR(__xludf.DUMMYFUNCTION("""COMPUTED_VALUE"""),""",")</f>
        <v>",</v>
      </c>
    </row>
    <row r="3085">
      <c r="A3085" s="9" t="str">
        <f>IFERROR(__xludf.DUMMYFUNCTION("""COMPUTED_VALUE"""),"""")</f>
        <v>"</v>
      </c>
      <c r="B3085" s="9" t="s">
        <v>3095</v>
      </c>
      <c r="C3085" s="9" t="str">
        <f>IFERROR(__xludf.DUMMYFUNCTION("""COMPUTED_VALUE"""),""":""")</f>
        <v>":"</v>
      </c>
      <c r="D3085" s="24">
        <v>7.6873620133414902E18</v>
      </c>
      <c r="E3085" s="9" t="str">
        <f>IFERROR(__xludf.DUMMYFUNCTION("""COMPUTED_VALUE"""),""",")</f>
        <v>",</v>
      </c>
    </row>
    <row r="3086">
      <c r="A3086" s="9" t="str">
        <f>IFERROR(__xludf.DUMMYFUNCTION("""COMPUTED_VALUE"""),"""")</f>
        <v>"</v>
      </c>
      <c r="B3086" s="9" t="s">
        <v>3096</v>
      </c>
      <c r="C3086" s="9" t="str">
        <f>IFERROR(__xludf.DUMMYFUNCTION("""COMPUTED_VALUE"""),""":""")</f>
        <v>":"</v>
      </c>
      <c r="D3086" s="24">
        <v>5.476754573731244E18</v>
      </c>
      <c r="E3086" s="9" t="str">
        <f>IFERROR(__xludf.DUMMYFUNCTION("""COMPUTED_VALUE"""),""",")</f>
        <v>",</v>
      </c>
    </row>
    <row r="3087">
      <c r="A3087" s="9" t="str">
        <f>IFERROR(__xludf.DUMMYFUNCTION("""COMPUTED_VALUE"""),"""")</f>
        <v>"</v>
      </c>
      <c r="B3087" s="9" t="s">
        <v>3097</v>
      </c>
      <c r="C3087" s="9" t="str">
        <f>IFERROR(__xludf.DUMMYFUNCTION("""COMPUTED_VALUE"""),""":""")</f>
        <v>":"</v>
      </c>
      <c r="D3087" s="24">
        <v>1.377075637236869E19</v>
      </c>
      <c r="E3087" s="9" t="str">
        <f>IFERROR(__xludf.DUMMYFUNCTION("""COMPUTED_VALUE"""),""",")</f>
        <v>",</v>
      </c>
    </row>
    <row r="3088">
      <c r="A3088" s="9" t="str">
        <f>IFERROR(__xludf.DUMMYFUNCTION("""COMPUTED_VALUE"""),"""")</f>
        <v>"</v>
      </c>
      <c r="B3088" s="9" t="s">
        <v>3098</v>
      </c>
      <c r="C3088" s="9" t="str">
        <f>IFERROR(__xludf.DUMMYFUNCTION("""COMPUTED_VALUE"""),""":""")</f>
        <v>":"</v>
      </c>
      <c r="D3088" s="24">
        <v>9.31660017814329E18</v>
      </c>
      <c r="E3088" s="9" t="str">
        <f>IFERROR(__xludf.DUMMYFUNCTION("""COMPUTED_VALUE"""),""",")</f>
        <v>",</v>
      </c>
    </row>
    <row r="3089">
      <c r="A3089" s="9" t="str">
        <f>IFERROR(__xludf.DUMMYFUNCTION("""COMPUTED_VALUE"""),"""")</f>
        <v>"</v>
      </c>
      <c r="B3089" s="9" t="s">
        <v>3099</v>
      </c>
      <c r="C3089" s="9" t="str">
        <f>IFERROR(__xludf.DUMMYFUNCTION("""COMPUTED_VALUE"""),""":""")</f>
        <v>":"</v>
      </c>
      <c r="D3089" s="24">
        <v>1.337397261881847E19</v>
      </c>
      <c r="E3089" s="9" t="str">
        <f>IFERROR(__xludf.DUMMYFUNCTION("""COMPUTED_VALUE"""),""",")</f>
        <v>",</v>
      </c>
    </row>
    <row r="3090">
      <c r="A3090" s="9" t="str">
        <f>IFERROR(__xludf.DUMMYFUNCTION("""COMPUTED_VALUE"""),"""")</f>
        <v>"</v>
      </c>
      <c r="B3090" s="9" t="s">
        <v>3100</v>
      </c>
      <c r="C3090" s="9" t="str">
        <f>IFERROR(__xludf.DUMMYFUNCTION("""COMPUTED_VALUE"""),""":""")</f>
        <v>":"</v>
      </c>
      <c r="D3090" s="24">
        <v>8.7686495966678682E18</v>
      </c>
      <c r="E3090" s="9" t="str">
        <f>IFERROR(__xludf.DUMMYFUNCTION("""COMPUTED_VALUE"""),""",")</f>
        <v>",</v>
      </c>
    </row>
    <row r="3091">
      <c r="A3091" s="9" t="str">
        <f>IFERROR(__xludf.DUMMYFUNCTION("""COMPUTED_VALUE"""),"""")</f>
        <v>"</v>
      </c>
      <c r="B3091" s="9" t="s">
        <v>3101</v>
      </c>
      <c r="C3091" s="9" t="str">
        <f>IFERROR(__xludf.DUMMYFUNCTION("""COMPUTED_VALUE"""),""":""")</f>
        <v>":"</v>
      </c>
      <c r="D3091" s="24">
        <v>1.404829056598578E19</v>
      </c>
      <c r="E3091" s="9" t="str">
        <f>IFERROR(__xludf.DUMMYFUNCTION("""COMPUTED_VALUE"""),""",")</f>
        <v>",</v>
      </c>
    </row>
    <row r="3092">
      <c r="A3092" s="9" t="str">
        <f>IFERROR(__xludf.DUMMYFUNCTION("""COMPUTED_VALUE"""),"""")</f>
        <v>"</v>
      </c>
      <c r="B3092" s="9" t="s">
        <v>3102</v>
      </c>
      <c r="C3092" s="9" t="str">
        <f>IFERROR(__xludf.DUMMYFUNCTION("""COMPUTED_VALUE"""),""":""")</f>
        <v>":"</v>
      </c>
      <c r="D3092" s="24">
        <v>1.2267868248622356E19</v>
      </c>
      <c r="E3092" s="9" t="str">
        <f>IFERROR(__xludf.DUMMYFUNCTION("""COMPUTED_VALUE"""),""",")</f>
        <v>",</v>
      </c>
    </row>
    <row r="3093">
      <c r="A3093" s="9" t="str">
        <f>IFERROR(__xludf.DUMMYFUNCTION("""COMPUTED_VALUE"""),"""")</f>
        <v>"</v>
      </c>
      <c r="B3093" s="9" t="s">
        <v>3103</v>
      </c>
      <c r="C3093" s="9" t="str">
        <f>IFERROR(__xludf.DUMMYFUNCTION("""COMPUTED_VALUE"""),""":""")</f>
        <v>":"</v>
      </c>
      <c r="D3093" s="24">
        <v>1.3476629896805913E19</v>
      </c>
      <c r="E3093" s="9" t="str">
        <f>IFERROR(__xludf.DUMMYFUNCTION("""COMPUTED_VALUE"""),""",")</f>
        <v>",</v>
      </c>
    </row>
    <row r="3094">
      <c r="A3094" s="9" t="str">
        <f>IFERROR(__xludf.DUMMYFUNCTION("""COMPUTED_VALUE"""),"""")</f>
        <v>"</v>
      </c>
      <c r="B3094" s="9" t="s">
        <v>3104</v>
      </c>
      <c r="C3094" s="9" t="str">
        <f>IFERROR(__xludf.DUMMYFUNCTION("""COMPUTED_VALUE"""),""":""")</f>
        <v>":"</v>
      </c>
      <c r="D3094" s="24">
        <v>8.6547475394819103E18</v>
      </c>
      <c r="E3094" s="9" t="str">
        <f>IFERROR(__xludf.DUMMYFUNCTION("""COMPUTED_VALUE"""),""",")</f>
        <v>",</v>
      </c>
    </row>
    <row r="3095">
      <c r="A3095" s="9" t="str">
        <f>IFERROR(__xludf.DUMMYFUNCTION("""COMPUTED_VALUE"""),"""")</f>
        <v>"</v>
      </c>
      <c r="B3095" s="9" t="s">
        <v>3105</v>
      </c>
      <c r="C3095" s="9" t="str">
        <f>IFERROR(__xludf.DUMMYFUNCTION("""COMPUTED_VALUE"""),""":""")</f>
        <v>":"</v>
      </c>
      <c r="D3095" s="24">
        <v>1.404829056598578E19</v>
      </c>
      <c r="E3095" s="9" t="str">
        <f>IFERROR(__xludf.DUMMYFUNCTION("""COMPUTED_VALUE"""),""",")</f>
        <v>",</v>
      </c>
    </row>
    <row r="3096">
      <c r="A3096" s="9" t="str">
        <f>IFERROR(__xludf.DUMMYFUNCTION("""COMPUTED_VALUE"""),"""")</f>
        <v>"</v>
      </c>
      <c r="B3096" s="9" t="s">
        <v>3106</v>
      </c>
      <c r="C3096" s="9" t="str">
        <f>IFERROR(__xludf.DUMMYFUNCTION("""COMPUTED_VALUE"""),""":""")</f>
        <v>":"</v>
      </c>
      <c r="D3096" s="24">
        <v>1.404829056598578E19</v>
      </c>
      <c r="E3096" s="9" t="str">
        <f>IFERROR(__xludf.DUMMYFUNCTION("""COMPUTED_VALUE"""),""",")</f>
        <v>",</v>
      </c>
    </row>
    <row r="3097">
      <c r="A3097" s="9" t="str">
        <f>IFERROR(__xludf.DUMMYFUNCTION("""COMPUTED_VALUE"""),"""")</f>
        <v>"</v>
      </c>
      <c r="B3097" s="9" t="s">
        <v>3107</v>
      </c>
      <c r="C3097" s="9" t="str">
        <f>IFERROR(__xludf.DUMMYFUNCTION("""COMPUTED_VALUE"""),""":""")</f>
        <v>":"</v>
      </c>
      <c r="D3097" s="24">
        <v>1.4480688418828034E19</v>
      </c>
      <c r="E3097" s="9" t="str">
        <f>IFERROR(__xludf.DUMMYFUNCTION("""COMPUTED_VALUE"""),""",")</f>
        <v>",</v>
      </c>
    </row>
    <row r="3098">
      <c r="A3098" s="9" t="str">
        <f>IFERROR(__xludf.DUMMYFUNCTION("""COMPUTED_VALUE"""),"""")</f>
        <v>"</v>
      </c>
      <c r="B3098" s="9" t="s">
        <v>3108</v>
      </c>
      <c r="C3098" s="9" t="str">
        <f>IFERROR(__xludf.DUMMYFUNCTION("""COMPUTED_VALUE"""),""":""")</f>
        <v>":"</v>
      </c>
      <c r="D3098" s="24">
        <v>8.6403667385943245E18</v>
      </c>
      <c r="E3098" s="9" t="str">
        <f>IFERROR(__xludf.DUMMYFUNCTION("""COMPUTED_VALUE"""),""",")</f>
        <v>",</v>
      </c>
    </row>
    <row r="3099">
      <c r="A3099" s="9" t="str">
        <f>IFERROR(__xludf.DUMMYFUNCTION("""COMPUTED_VALUE"""),"""")</f>
        <v>"</v>
      </c>
      <c r="B3099" s="9" t="s">
        <v>3109</v>
      </c>
      <c r="C3099" s="9" t="str">
        <f>IFERROR(__xludf.DUMMYFUNCTION("""COMPUTED_VALUE"""),""":""")</f>
        <v>":"</v>
      </c>
      <c r="D3099" s="24">
        <v>1.404829056598578E19</v>
      </c>
      <c r="E3099" s="9" t="str">
        <f>IFERROR(__xludf.DUMMYFUNCTION("""COMPUTED_VALUE"""),""",")</f>
        <v>",</v>
      </c>
    </row>
    <row r="3100">
      <c r="A3100" s="9" t="str">
        <f>IFERROR(__xludf.DUMMYFUNCTION("""COMPUTED_VALUE"""),"""")</f>
        <v>"</v>
      </c>
      <c r="B3100" s="9" t="s">
        <v>3110</v>
      </c>
      <c r="C3100" s="9" t="str">
        <f>IFERROR(__xludf.DUMMYFUNCTION("""COMPUTED_VALUE"""),""":""")</f>
        <v>":"</v>
      </c>
      <c r="D3100" s="24">
        <v>1.1594335169919377E19</v>
      </c>
      <c r="E3100" s="9" t="str">
        <f>IFERROR(__xludf.DUMMYFUNCTION("""COMPUTED_VALUE"""),""",")</f>
        <v>",</v>
      </c>
    </row>
    <row r="3101">
      <c r="A3101" s="9" t="str">
        <f>IFERROR(__xludf.DUMMYFUNCTION("""COMPUTED_VALUE"""),"""")</f>
        <v>"</v>
      </c>
      <c r="B3101" s="9" t="s">
        <v>3111</v>
      </c>
      <c r="C3101" s="9" t="str">
        <f>IFERROR(__xludf.DUMMYFUNCTION("""COMPUTED_VALUE"""),""":""")</f>
        <v>":"</v>
      </c>
      <c r="D3101" s="24">
        <v>1.404829056598578E19</v>
      </c>
      <c r="E3101" s="9" t="str">
        <f>IFERROR(__xludf.DUMMYFUNCTION("""COMPUTED_VALUE"""),""",")</f>
        <v>",</v>
      </c>
    </row>
    <row r="3102">
      <c r="A3102" s="9" t="str">
        <f>IFERROR(__xludf.DUMMYFUNCTION("""COMPUTED_VALUE"""),"""")</f>
        <v>"</v>
      </c>
      <c r="B3102" s="9" t="s">
        <v>3112</v>
      </c>
      <c r="C3102" s="9" t="str">
        <f>IFERROR(__xludf.DUMMYFUNCTION("""COMPUTED_VALUE"""),""":""")</f>
        <v>":"</v>
      </c>
      <c r="D3102" s="24">
        <v>1.2561093739540156E19</v>
      </c>
      <c r="E3102" s="9" t="str">
        <f>IFERROR(__xludf.DUMMYFUNCTION("""COMPUTED_VALUE"""),""",")</f>
        <v>",</v>
      </c>
    </row>
    <row r="3103">
      <c r="A3103" s="9" t="str">
        <f>IFERROR(__xludf.DUMMYFUNCTION("""COMPUTED_VALUE"""),"""")</f>
        <v>"</v>
      </c>
      <c r="B3103" s="9" t="s">
        <v>3113</v>
      </c>
      <c r="C3103" s="9" t="str">
        <f>IFERROR(__xludf.DUMMYFUNCTION("""COMPUTED_VALUE"""),""":""")</f>
        <v>":"</v>
      </c>
      <c r="D3103" s="24">
        <v>1.3662696592094222E19</v>
      </c>
      <c r="E3103" s="9" t="str">
        <f>IFERROR(__xludf.DUMMYFUNCTION("""COMPUTED_VALUE"""),""",")</f>
        <v>",</v>
      </c>
    </row>
    <row r="3104">
      <c r="A3104" s="9" t="str">
        <f>IFERROR(__xludf.DUMMYFUNCTION("""COMPUTED_VALUE"""),"""")</f>
        <v>"</v>
      </c>
      <c r="B3104" s="9" t="s">
        <v>3114</v>
      </c>
      <c r="C3104" s="9" t="str">
        <f>IFERROR(__xludf.DUMMYFUNCTION("""COMPUTED_VALUE"""),""":""")</f>
        <v>":"</v>
      </c>
      <c r="D3104" s="24">
        <v>1.404829056598578E19</v>
      </c>
      <c r="E3104" s="9" t="str">
        <f>IFERROR(__xludf.DUMMYFUNCTION("""COMPUTED_VALUE"""),""",")</f>
        <v>",</v>
      </c>
    </row>
    <row r="3105">
      <c r="A3105" s="9" t="str">
        <f>IFERROR(__xludf.DUMMYFUNCTION("""COMPUTED_VALUE"""),"""")</f>
        <v>"</v>
      </c>
      <c r="B3105" s="9" t="s">
        <v>3115</v>
      </c>
      <c r="C3105" s="9" t="str">
        <f>IFERROR(__xludf.DUMMYFUNCTION("""COMPUTED_VALUE"""),""":""")</f>
        <v>":"</v>
      </c>
      <c r="D3105" s="24">
        <v>1.404829056598578E19</v>
      </c>
      <c r="E3105" s="9" t="str">
        <f>IFERROR(__xludf.DUMMYFUNCTION("""COMPUTED_VALUE"""),""",")</f>
        <v>",</v>
      </c>
    </row>
    <row r="3106">
      <c r="A3106" s="9" t="str">
        <f>IFERROR(__xludf.DUMMYFUNCTION("""COMPUTED_VALUE"""),"""")</f>
        <v>"</v>
      </c>
      <c r="B3106" s="9" t="s">
        <v>3116</v>
      </c>
      <c r="C3106" s="9" t="str">
        <f>IFERROR(__xludf.DUMMYFUNCTION("""COMPUTED_VALUE"""),""":""")</f>
        <v>":"</v>
      </c>
      <c r="D3106" s="24">
        <v>4.8710614813451336E18</v>
      </c>
      <c r="E3106" s="9" t="str">
        <f>IFERROR(__xludf.DUMMYFUNCTION("""COMPUTED_VALUE"""),""",")</f>
        <v>",</v>
      </c>
    </row>
    <row r="3107">
      <c r="A3107" s="9" t="str">
        <f>IFERROR(__xludf.DUMMYFUNCTION("""COMPUTED_VALUE"""),"""")</f>
        <v>"</v>
      </c>
      <c r="B3107" s="9" t="s">
        <v>3117</v>
      </c>
      <c r="C3107" s="9" t="str">
        <f>IFERROR(__xludf.DUMMYFUNCTION("""COMPUTED_VALUE"""),""":""")</f>
        <v>":"</v>
      </c>
      <c r="D3107" s="24">
        <v>1.404829056598578E19</v>
      </c>
      <c r="E3107" s="9" t="str">
        <f>IFERROR(__xludf.DUMMYFUNCTION("""COMPUTED_VALUE"""),""",")</f>
        <v>",</v>
      </c>
    </row>
    <row r="3108">
      <c r="A3108" s="9" t="str">
        <f>IFERROR(__xludf.DUMMYFUNCTION("""COMPUTED_VALUE"""),"""")</f>
        <v>"</v>
      </c>
      <c r="B3108" s="9" t="s">
        <v>3118</v>
      </c>
      <c r="C3108" s="9" t="str">
        <f>IFERROR(__xludf.DUMMYFUNCTION("""COMPUTED_VALUE"""),""":""")</f>
        <v>":"</v>
      </c>
      <c r="D3108" s="24">
        <v>1.0594931369298868E19</v>
      </c>
      <c r="E3108" s="9" t="str">
        <f>IFERROR(__xludf.DUMMYFUNCTION("""COMPUTED_VALUE"""),""",")</f>
        <v>",</v>
      </c>
    </row>
    <row r="3109">
      <c r="A3109" s="9" t="str">
        <f>IFERROR(__xludf.DUMMYFUNCTION("""COMPUTED_VALUE"""),"""")</f>
        <v>"</v>
      </c>
      <c r="B3109" s="9" t="s">
        <v>3119</v>
      </c>
      <c r="C3109" s="9" t="str">
        <f>IFERROR(__xludf.DUMMYFUNCTION("""COMPUTED_VALUE"""),""":""")</f>
        <v>":"</v>
      </c>
      <c r="D3109" s="24">
        <v>1.404829056598578E19</v>
      </c>
      <c r="E3109" s="9" t="str">
        <f>IFERROR(__xludf.DUMMYFUNCTION("""COMPUTED_VALUE"""),""",")</f>
        <v>",</v>
      </c>
    </row>
    <row r="3110">
      <c r="A3110" s="9" t="str">
        <f>IFERROR(__xludf.DUMMYFUNCTION("""COMPUTED_VALUE"""),"""")</f>
        <v>"</v>
      </c>
      <c r="B3110" s="9" t="s">
        <v>3120</v>
      </c>
      <c r="C3110" s="9" t="str">
        <f>IFERROR(__xludf.DUMMYFUNCTION("""COMPUTED_VALUE"""),""":""")</f>
        <v>":"</v>
      </c>
      <c r="D3110" s="24">
        <v>1.404829056598578E19</v>
      </c>
      <c r="E3110" s="9" t="str">
        <f>IFERROR(__xludf.DUMMYFUNCTION("""COMPUTED_VALUE"""),""",")</f>
        <v>",</v>
      </c>
    </row>
    <row r="3111">
      <c r="A3111" s="9" t="str">
        <f>IFERROR(__xludf.DUMMYFUNCTION("""COMPUTED_VALUE"""),"""")</f>
        <v>"</v>
      </c>
      <c r="B3111" s="9" t="s">
        <v>3121</v>
      </c>
      <c r="C3111" s="9" t="str">
        <f>IFERROR(__xludf.DUMMYFUNCTION("""COMPUTED_VALUE"""),""":""")</f>
        <v>":"</v>
      </c>
      <c r="D3111" s="24">
        <v>1.404829056598578E19</v>
      </c>
      <c r="E3111" s="9" t="str">
        <f>IFERROR(__xludf.DUMMYFUNCTION("""COMPUTED_VALUE"""),""",")</f>
        <v>",</v>
      </c>
    </row>
    <row r="3112">
      <c r="A3112" s="9" t="str">
        <f>IFERROR(__xludf.DUMMYFUNCTION("""COMPUTED_VALUE"""),"""")</f>
        <v>"</v>
      </c>
      <c r="B3112" s="9" t="s">
        <v>3122</v>
      </c>
      <c r="C3112" s="9" t="str">
        <f>IFERROR(__xludf.DUMMYFUNCTION("""COMPUTED_VALUE"""),""":""")</f>
        <v>":"</v>
      </c>
      <c r="D3112" s="24">
        <v>1.404829056598578E19</v>
      </c>
      <c r="E3112" s="9" t="str">
        <f>IFERROR(__xludf.DUMMYFUNCTION("""COMPUTED_VALUE"""),""",")</f>
        <v>",</v>
      </c>
    </row>
    <row r="3113">
      <c r="A3113" s="9" t="str">
        <f>IFERROR(__xludf.DUMMYFUNCTION("""COMPUTED_VALUE"""),"""")</f>
        <v>"</v>
      </c>
      <c r="B3113" s="9" t="s">
        <v>3123</v>
      </c>
      <c r="C3113" s="9" t="str">
        <f>IFERROR(__xludf.DUMMYFUNCTION("""COMPUTED_VALUE"""),""":""")</f>
        <v>":"</v>
      </c>
      <c r="D3113" s="24">
        <v>1.067670346504658E19</v>
      </c>
      <c r="E3113" s="9" t="str">
        <f>IFERROR(__xludf.DUMMYFUNCTION("""COMPUTED_VALUE"""),""",")</f>
        <v>",</v>
      </c>
    </row>
    <row r="3114">
      <c r="A3114" s="9" t="str">
        <f>IFERROR(__xludf.DUMMYFUNCTION("""COMPUTED_VALUE"""),"""")</f>
        <v>"</v>
      </c>
      <c r="B3114" s="9" t="s">
        <v>3124</v>
      </c>
      <c r="C3114" s="9" t="str">
        <f>IFERROR(__xludf.DUMMYFUNCTION("""COMPUTED_VALUE"""),""":""")</f>
        <v>":"</v>
      </c>
      <c r="D3114" s="24">
        <v>1.404829056598578E19</v>
      </c>
      <c r="E3114" s="9" t="str">
        <f>IFERROR(__xludf.DUMMYFUNCTION("""COMPUTED_VALUE"""),""",")</f>
        <v>",</v>
      </c>
    </row>
    <row r="3115">
      <c r="A3115" s="9" t="str">
        <f>IFERROR(__xludf.DUMMYFUNCTION("""COMPUTED_VALUE"""),"""")</f>
        <v>"</v>
      </c>
      <c r="B3115" s="9" t="s">
        <v>3125</v>
      </c>
      <c r="C3115" s="9" t="str">
        <f>IFERROR(__xludf.DUMMYFUNCTION("""COMPUTED_VALUE"""),""":""")</f>
        <v>":"</v>
      </c>
      <c r="D3115" s="24">
        <v>1.4913086271670286E19</v>
      </c>
      <c r="E3115" s="9" t="str">
        <f>IFERROR(__xludf.DUMMYFUNCTION("""COMPUTED_VALUE"""),""",")</f>
        <v>",</v>
      </c>
    </row>
    <row r="3116">
      <c r="A3116" s="9" t="str">
        <f>IFERROR(__xludf.DUMMYFUNCTION("""COMPUTED_VALUE"""),"""")</f>
        <v>"</v>
      </c>
      <c r="B3116" s="9" t="s">
        <v>3126</v>
      </c>
      <c r="C3116" s="9" t="str">
        <f>IFERROR(__xludf.DUMMYFUNCTION("""COMPUTED_VALUE"""),""":""")</f>
        <v>":"</v>
      </c>
      <c r="D3116" s="24">
        <v>1.404829056598578E19</v>
      </c>
      <c r="E3116" s="9" t="str">
        <f>IFERROR(__xludf.DUMMYFUNCTION("""COMPUTED_VALUE"""),""",")</f>
        <v>",</v>
      </c>
    </row>
    <row r="3117">
      <c r="A3117" s="9" t="str">
        <f>IFERROR(__xludf.DUMMYFUNCTION("""COMPUTED_VALUE"""),"""")</f>
        <v>"</v>
      </c>
      <c r="B3117" s="9" t="s">
        <v>3127</v>
      </c>
      <c r="C3117" s="9" t="str">
        <f>IFERROR(__xludf.DUMMYFUNCTION("""COMPUTED_VALUE"""),""":""")</f>
        <v>":"</v>
      </c>
      <c r="D3117" s="24">
        <v>1.0157423799176023E18</v>
      </c>
      <c r="E3117" s="9" t="str">
        <f>IFERROR(__xludf.DUMMYFUNCTION("""COMPUTED_VALUE"""),""",")</f>
        <v>",</v>
      </c>
    </row>
    <row r="3118">
      <c r="A3118" s="9" t="str">
        <f>IFERROR(__xludf.DUMMYFUNCTION("""COMPUTED_VALUE"""),"""")</f>
        <v>"</v>
      </c>
      <c r="B3118" s="9" t="s">
        <v>3128</v>
      </c>
      <c r="C3118" s="9" t="str">
        <f>IFERROR(__xludf.DUMMYFUNCTION("""COMPUTED_VALUE"""),""":""")</f>
        <v>":"</v>
      </c>
      <c r="D3118" s="24">
        <v>1.4480688418828034E19</v>
      </c>
      <c r="E3118" s="9" t="str">
        <f>IFERROR(__xludf.DUMMYFUNCTION("""COMPUTED_VALUE"""),""",")</f>
        <v>",</v>
      </c>
    </row>
    <row r="3119">
      <c r="A3119" s="9" t="str">
        <f>IFERROR(__xludf.DUMMYFUNCTION("""COMPUTED_VALUE"""),"""")</f>
        <v>"</v>
      </c>
      <c r="B3119" s="9" t="s">
        <v>3129</v>
      </c>
      <c r="C3119" s="9" t="str">
        <f>IFERROR(__xludf.DUMMYFUNCTION("""COMPUTED_VALUE"""),""":""")</f>
        <v>":"</v>
      </c>
      <c r="D3119" s="24">
        <v>1.1778639619016647E19</v>
      </c>
      <c r="E3119" s="9" t="str">
        <f>IFERROR(__xludf.DUMMYFUNCTION("""COMPUTED_VALUE"""),""",")</f>
        <v>",</v>
      </c>
    </row>
    <row r="3120">
      <c r="A3120" s="9" t="str">
        <f>IFERROR(__xludf.DUMMYFUNCTION("""COMPUTED_VALUE"""),"""")</f>
        <v>"</v>
      </c>
      <c r="B3120" s="9" t="s">
        <v>3130</v>
      </c>
      <c r="C3120" s="9" t="str">
        <f>IFERROR(__xludf.DUMMYFUNCTION("""COMPUTED_VALUE"""),""":""")</f>
        <v>":"</v>
      </c>
      <c r="D3120" s="24">
        <v>1.3817778695147866E19</v>
      </c>
      <c r="E3120" s="9" t="str">
        <f>IFERROR(__xludf.DUMMYFUNCTION("""COMPUTED_VALUE"""),""",")</f>
        <v>",</v>
      </c>
    </row>
    <row r="3121">
      <c r="A3121" s="9" t="str">
        <f>IFERROR(__xludf.DUMMYFUNCTION("""COMPUTED_VALUE"""),"""")</f>
        <v>"</v>
      </c>
      <c r="B3121" s="9" t="s">
        <v>3131</v>
      </c>
      <c r="C3121" s="9" t="str">
        <f>IFERROR(__xludf.DUMMYFUNCTION("""COMPUTED_VALUE"""),""":""")</f>
        <v>":"</v>
      </c>
      <c r="D3121" s="24">
        <v>1.404829056598578E19</v>
      </c>
      <c r="E3121" s="9" t="str">
        <f>IFERROR(__xludf.DUMMYFUNCTION("""COMPUTED_VALUE"""),""",")</f>
        <v>",</v>
      </c>
    </row>
    <row r="3122">
      <c r="A3122" s="9" t="str">
        <f>IFERROR(__xludf.DUMMYFUNCTION("""COMPUTED_VALUE"""),"""")</f>
        <v>"</v>
      </c>
      <c r="B3122" s="9" t="s">
        <v>3132</v>
      </c>
      <c r="C3122" s="9" t="str">
        <f>IFERROR(__xludf.DUMMYFUNCTION("""COMPUTED_VALUE"""),""":""")</f>
        <v>":"</v>
      </c>
      <c r="D3122" s="24">
        <v>1.404829056598578E19</v>
      </c>
      <c r="E3122" s="9" t="str">
        <f>IFERROR(__xludf.DUMMYFUNCTION("""COMPUTED_VALUE"""),""",")</f>
        <v>",</v>
      </c>
    </row>
    <row r="3123">
      <c r="A3123" s="9" t="str">
        <f>IFERROR(__xludf.DUMMYFUNCTION("""COMPUTED_VALUE"""),"""")</f>
        <v>"</v>
      </c>
      <c r="B3123" s="9" t="s">
        <v>3133</v>
      </c>
      <c r="C3123" s="9" t="str">
        <f>IFERROR(__xludf.DUMMYFUNCTION("""COMPUTED_VALUE"""),""":""")</f>
        <v>":"</v>
      </c>
      <c r="D3123" s="24">
        <v>1.1238632452788623E19</v>
      </c>
      <c r="E3123" s="9" t="str">
        <f>IFERROR(__xludf.DUMMYFUNCTION("""COMPUTED_VALUE"""),""",")</f>
        <v>",</v>
      </c>
    </row>
    <row r="3124">
      <c r="A3124" s="9" t="str">
        <f>IFERROR(__xludf.DUMMYFUNCTION("""COMPUTED_VALUE"""),"""")</f>
        <v>"</v>
      </c>
      <c r="B3124" s="9" t="s">
        <v>3134</v>
      </c>
      <c r="C3124" s="9" t="str">
        <f>IFERROR(__xludf.DUMMYFUNCTION("""COMPUTED_VALUE"""),""":""")</f>
        <v>":"</v>
      </c>
      <c r="D3124" s="24">
        <v>8.663050988861313E18</v>
      </c>
      <c r="E3124" s="9" t="str">
        <f>IFERROR(__xludf.DUMMYFUNCTION("""COMPUTED_VALUE"""),""",")</f>
        <v>",</v>
      </c>
    </row>
    <row r="3125">
      <c r="A3125" s="9" t="str">
        <f>IFERROR(__xludf.DUMMYFUNCTION("""COMPUTED_VALUE"""),"""")</f>
        <v>"</v>
      </c>
      <c r="B3125" s="9" t="s">
        <v>3135</v>
      </c>
      <c r="C3125" s="9" t="str">
        <f>IFERROR(__xludf.DUMMYFUNCTION("""COMPUTED_VALUE"""),""":""")</f>
        <v>":"</v>
      </c>
      <c r="D3125" s="24">
        <v>1.091745662460909E19</v>
      </c>
      <c r="E3125" s="9" t="str">
        <f>IFERROR(__xludf.DUMMYFUNCTION("""COMPUTED_VALUE"""),""",")</f>
        <v>",</v>
      </c>
    </row>
    <row r="3126">
      <c r="A3126" s="9" t="str">
        <f>IFERROR(__xludf.DUMMYFUNCTION("""COMPUTED_VALUE"""),"""")</f>
        <v>"</v>
      </c>
      <c r="B3126" s="9" t="s">
        <v>3136</v>
      </c>
      <c r="C3126" s="9" t="str">
        <f>IFERROR(__xludf.DUMMYFUNCTION("""COMPUTED_VALUE"""),""":""")</f>
        <v>":"</v>
      </c>
      <c r="D3126" s="24">
        <v>6.0064465020923331E18</v>
      </c>
      <c r="E3126" s="9" t="str">
        <f>IFERROR(__xludf.DUMMYFUNCTION("""COMPUTED_VALUE"""),""",")</f>
        <v>",</v>
      </c>
    </row>
    <row r="3127">
      <c r="A3127" s="9" t="str">
        <f>IFERROR(__xludf.DUMMYFUNCTION("""COMPUTED_VALUE"""),"""")</f>
        <v>"</v>
      </c>
      <c r="B3127" s="9" t="s">
        <v>3137</v>
      </c>
      <c r="C3127" s="9" t="str">
        <f>IFERROR(__xludf.DUMMYFUNCTION("""COMPUTED_VALUE"""),""":""")</f>
        <v>":"</v>
      </c>
      <c r="D3127" s="24">
        <v>1.4480688418828034E19</v>
      </c>
      <c r="E3127" s="9" t="str">
        <f>IFERROR(__xludf.DUMMYFUNCTION("""COMPUTED_VALUE"""),""",")</f>
        <v>",</v>
      </c>
    </row>
    <row r="3128">
      <c r="A3128" s="9" t="str">
        <f>IFERROR(__xludf.DUMMYFUNCTION("""COMPUTED_VALUE"""),"""")</f>
        <v>"</v>
      </c>
      <c r="B3128" s="9" t="s">
        <v>3138</v>
      </c>
      <c r="C3128" s="9" t="str">
        <f>IFERROR(__xludf.DUMMYFUNCTION("""COMPUTED_VALUE"""),""":""")</f>
        <v>":"</v>
      </c>
      <c r="D3128" s="24">
        <v>5.3467176101652378E18</v>
      </c>
      <c r="E3128" s="9" t="str">
        <f>IFERROR(__xludf.DUMMYFUNCTION("""COMPUTED_VALUE"""),""",")</f>
        <v>",</v>
      </c>
    </row>
    <row r="3129">
      <c r="A3129" s="9" t="str">
        <f>IFERROR(__xludf.DUMMYFUNCTION("""COMPUTED_VALUE"""),"""")</f>
        <v>"</v>
      </c>
      <c r="B3129" s="9" t="s">
        <v>3139</v>
      </c>
      <c r="C3129" s="9" t="str">
        <f>IFERROR(__xludf.DUMMYFUNCTION("""COMPUTED_VALUE"""),""":""")</f>
        <v>":"</v>
      </c>
      <c r="D3129" s="24">
        <v>1.404829056598578E19</v>
      </c>
      <c r="E3129" s="9" t="str">
        <f>IFERROR(__xludf.DUMMYFUNCTION("""COMPUTED_VALUE"""),""",")</f>
        <v>",</v>
      </c>
    </row>
    <row r="3130">
      <c r="A3130" s="9" t="str">
        <f>IFERROR(__xludf.DUMMYFUNCTION("""COMPUTED_VALUE"""),"""")</f>
        <v>"</v>
      </c>
      <c r="B3130" s="9" t="s">
        <v>3140</v>
      </c>
      <c r="C3130" s="9" t="str">
        <f>IFERROR(__xludf.DUMMYFUNCTION("""COMPUTED_VALUE"""),""":""")</f>
        <v>":"</v>
      </c>
      <c r="D3130" s="24">
        <v>1.404829056598578E19</v>
      </c>
      <c r="E3130" s="9" t="str">
        <f>IFERROR(__xludf.DUMMYFUNCTION("""COMPUTED_VALUE"""),""",")</f>
        <v>",</v>
      </c>
    </row>
    <row r="3131">
      <c r="A3131" s="9" t="str">
        <f>IFERROR(__xludf.DUMMYFUNCTION("""COMPUTED_VALUE"""),"""")</f>
        <v>"</v>
      </c>
      <c r="B3131" s="9" t="s">
        <v>3141</v>
      </c>
      <c r="C3131" s="9" t="str">
        <f>IFERROR(__xludf.DUMMYFUNCTION("""COMPUTED_VALUE"""),""":""")</f>
        <v>":"</v>
      </c>
      <c r="D3131" s="24">
        <v>1.404829056598578E19</v>
      </c>
      <c r="E3131" s="9" t="str">
        <f>IFERROR(__xludf.DUMMYFUNCTION("""COMPUTED_VALUE"""),""",")</f>
        <v>",</v>
      </c>
    </row>
    <row r="3132">
      <c r="A3132" s="9" t="str">
        <f>IFERROR(__xludf.DUMMYFUNCTION("""COMPUTED_VALUE"""),"""")</f>
        <v>"</v>
      </c>
      <c r="B3132" s="9" t="s">
        <v>3142</v>
      </c>
      <c r="C3132" s="9" t="str">
        <f>IFERROR(__xludf.DUMMYFUNCTION("""COMPUTED_VALUE"""),""":""")</f>
        <v>":"</v>
      </c>
      <c r="D3132" s="24">
        <v>1.404829056598578E19</v>
      </c>
      <c r="E3132" s="9" t="str">
        <f>IFERROR(__xludf.DUMMYFUNCTION("""COMPUTED_VALUE"""),""",")</f>
        <v>",</v>
      </c>
    </row>
    <row r="3133">
      <c r="A3133" s="9" t="str">
        <f>IFERROR(__xludf.DUMMYFUNCTION("""COMPUTED_VALUE"""),"""")</f>
        <v>"</v>
      </c>
      <c r="B3133" s="9" t="s">
        <v>3143</v>
      </c>
      <c r="C3133" s="9" t="str">
        <f>IFERROR(__xludf.DUMMYFUNCTION("""COMPUTED_VALUE"""),""":""")</f>
        <v>":"</v>
      </c>
      <c r="D3133" s="24">
        <v>1.1545788043918445E19</v>
      </c>
      <c r="E3133" s="9" t="str">
        <f>IFERROR(__xludf.DUMMYFUNCTION("""COMPUTED_VALUE"""),""",")</f>
        <v>",</v>
      </c>
    </row>
    <row r="3134">
      <c r="A3134" s="9" t="str">
        <f>IFERROR(__xludf.DUMMYFUNCTION("""COMPUTED_VALUE"""),"""")</f>
        <v>"</v>
      </c>
      <c r="B3134" s="9" t="s">
        <v>3144</v>
      </c>
      <c r="C3134" s="9" t="str">
        <f>IFERROR(__xludf.DUMMYFUNCTION("""COMPUTED_VALUE"""),""":""")</f>
        <v>":"</v>
      </c>
      <c r="D3134" s="24">
        <v>1.404829056598578E19</v>
      </c>
      <c r="E3134" s="9" t="str">
        <f>IFERROR(__xludf.DUMMYFUNCTION("""COMPUTED_VALUE"""),""",")</f>
        <v>",</v>
      </c>
    </row>
    <row r="3135">
      <c r="A3135" s="9" t="str">
        <f>IFERROR(__xludf.DUMMYFUNCTION("""COMPUTED_VALUE"""),"""")</f>
        <v>"</v>
      </c>
      <c r="B3135" s="9" t="s">
        <v>3145</v>
      </c>
      <c r="C3135" s="9" t="str">
        <f>IFERROR(__xludf.DUMMYFUNCTION("""COMPUTED_VALUE"""),""":""")</f>
        <v>":"</v>
      </c>
      <c r="D3135" s="24">
        <v>1.4480688418828034E19</v>
      </c>
      <c r="E3135" s="9" t="str">
        <f>IFERROR(__xludf.DUMMYFUNCTION("""COMPUTED_VALUE"""),""",")</f>
        <v>",</v>
      </c>
    </row>
    <row r="3136">
      <c r="A3136" s="9" t="str">
        <f>IFERROR(__xludf.DUMMYFUNCTION("""COMPUTED_VALUE"""),"""")</f>
        <v>"</v>
      </c>
      <c r="B3136" s="9" t="s">
        <v>3146</v>
      </c>
      <c r="C3136" s="9" t="str">
        <f>IFERROR(__xludf.DUMMYFUNCTION("""COMPUTED_VALUE"""),""":""")</f>
        <v>":"</v>
      </c>
      <c r="D3136" s="24">
        <v>5.1532544756021555E18</v>
      </c>
      <c r="E3136" s="9" t="str">
        <f>IFERROR(__xludf.DUMMYFUNCTION("""COMPUTED_VALUE"""),""",")</f>
        <v>",</v>
      </c>
    </row>
    <row r="3137">
      <c r="A3137" s="9" t="str">
        <f>IFERROR(__xludf.DUMMYFUNCTION("""COMPUTED_VALUE"""),"""")</f>
        <v>"</v>
      </c>
      <c r="B3137" s="9" t="s">
        <v>3147</v>
      </c>
      <c r="C3137" s="9" t="str">
        <f>IFERROR(__xludf.DUMMYFUNCTION("""COMPUTED_VALUE"""),""":""")</f>
        <v>":"</v>
      </c>
      <c r="D3137" s="24">
        <v>1.304401790837138E19</v>
      </c>
      <c r="E3137" s="9" t="str">
        <f>IFERROR(__xludf.DUMMYFUNCTION("""COMPUTED_VALUE"""),""",")</f>
        <v>",</v>
      </c>
    </row>
    <row r="3138">
      <c r="A3138" s="9" t="str">
        <f>IFERROR(__xludf.DUMMYFUNCTION("""COMPUTED_VALUE"""),"""")</f>
        <v>"</v>
      </c>
      <c r="B3138" s="9" t="s">
        <v>3148</v>
      </c>
      <c r="C3138" s="9" t="str">
        <f>IFERROR(__xludf.DUMMYFUNCTION("""COMPUTED_VALUE"""),""":""")</f>
        <v>":"</v>
      </c>
      <c r="D3138" s="24">
        <v>1.6079330266749682E19</v>
      </c>
      <c r="E3138" s="9" t="str">
        <f>IFERROR(__xludf.DUMMYFUNCTION("""COMPUTED_VALUE"""),""",")</f>
        <v>",</v>
      </c>
    </row>
    <row r="3139">
      <c r="A3139" s="9" t="str">
        <f>IFERROR(__xludf.DUMMYFUNCTION("""COMPUTED_VALUE"""),"""")</f>
        <v>"</v>
      </c>
      <c r="B3139" s="9" t="s">
        <v>3149</v>
      </c>
      <c r="C3139" s="9" t="str">
        <f>IFERROR(__xludf.DUMMYFUNCTION("""COMPUTED_VALUE"""),""":""")</f>
        <v>":"</v>
      </c>
      <c r="D3139" s="24">
        <v>3.7307650184886226E18</v>
      </c>
      <c r="E3139" s="9" t="str">
        <f>IFERROR(__xludf.DUMMYFUNCTION("""COMPUTED_VALUE"""),""",")</f>
        <v>",</v>
      </c>
    </row>
    <row r="3140">
      <c r="A3140" s="9" t="str">
        <f>IFERROR(__xludf.DUMMYFUNCTION("""COMPUTED_VALUE"""),"""")</f>
        <v>"</v>
      </c>
      <c r="B3140" s="9" t="s">
        <v>3150</v>
      </c>
      <c r="C3140" s="9" t="str">
        <f>IFERROR(__xludf.DUMMYFUNCTION("""COMPUTED_VALUE"""),""":""")</f>
        <v>":"</v>
      </c>
      <c r="D3140" s="24">
        <v>3.3715897358365778E18</v>
      </c>
      <c r="E3140" s="9" t="str">
        <f>IFERROR(__xludf.DUMMYFUNCTION("""COMPUTED_VALUE"""),""",")</f>
        <v>",</v>
      </c>
    </row>
    <row r="3141">
      <c r="A3141" s="9" t="str">
        <f>IFERROR(__xludf.DUMMYFUNCTION("""COMPUTED_VALUE"""),"""")</f>
        <v>"</v>
      </c>
      <c r="B3141" s="9" t="s">
        <v>3151</v>
      </c>
      <c r="C3141" s="9" t="str">
        <f>IFERROR(__xludf.DUMMYFUNCTION("""COMPUTED_VALUE"""),""":""")</f>
        <v>":"</v>
      </c>
      <c r="D3141" s="24">
        <v>9.0979736461515561E18</v>
      </c>
      <c r="E3141" s="9" t="str">
        <f>IFERROR(__xludf.DUMMYFUNCTION("""COMPUTED_VALUE"""),""",")</f>
        <v>",</v>
      </c>
    </row>
    <row r="3142">
      <c r="A3142" s="9" t="str">
        <f>IFERROR(__xludf.DUMMYFUNCTION("""COMPUTED_VALUE"""),"""")</f>
        <v>"</v>
      </c>
      <c r="B3142" s="9" t="s">
        <v>3152</v>
      </c>
      <c r="C3142" s="9" t="str">
        <f>IFERROR(__xludf.DUMMYFUNCTION("""COMPUTED_VALUE"""),""":""")</f>
        <v>":"</v>
      </c>
      <c r="D3142" s="24">
        <v>1.00241551736959782E18</v>
      </c>
      <c r="E3142" s="9" t="str">
        <f>IFERROR(__xludf.DUMMYFUNCTION("""COMPUTED_VALUE"""),""",")</f>
        <v>",</v>
      </c>
    </row>
    <row r="3143">
      <c r="A3143" s="9" t="str">
        <f>IFERROR(__xludf.DUMMYFUNCTION("""COMPUTED_VALUE"""),"""")</f>
        <v>"</v>
      </c>
      <c r="B3143" s="9" t="s">
        <v>3153</v>
      </c>
      <c r="C3143" s="9" t="str">
        <f>IFERROR(__xludf.DUMMYFUNCTION("""COMPUTED_VALUE"""),""":""")</f>
        <v>":"</v>
      </c>
      <c r="D3143" s="24">
        <v>1.404829056598578E19</v>
      </c>
      <c r="E3143" s="9" t="str">
        <f>IFERROR(__xludf.DUMMYFUNCTION("""COMPUTED_VALUE"""),""",")</f>
        <v>",</v>
      </c>
    </row>
    <row r="3144">
      <c r="A3144" s="9" t="str">
        <f>IFERROR(__xludf.DUMMYFUNCTION("""COMPUTED_VALUE"""),"""")</f>
        <v>"</v>
      </c>
      <c r="B3144" s="9" t="s">
        <v>3154</v>
      </c>
      <c r="C3144" s="9" t="str">
        <f>IFERROR(__xludf.DUMMYFUNCTION("""COMPUTED_VALUE"""),""":""")</f>
        <v>":"</v>
      </c>
      <c r="D3144" s="24">
        <v>1.3433889282803823E19</v>
      </c>
      <c r="E3144" s="9" t="str">
        <f>IFERROR(__xludf.DUMMYFUNCTION("""COMPUTED_VALUE"""),""",")</f>
        <v>",</v>
      </c>
    </row>
    <row r="3145">
      <c r="A3145" s="9" t="str">
        <f>IFERROR(__xludf.DUMMYFUNCTION("""COMPUTED_VALUE"""),"""")</f>
        <v>"</v>
      </c>
      <c r="B3145" s="9" t="s">
        <v>3155</v>
      </c>
      <c r="C3145" s="9" t="str">
        <f>IFERROR(__xludf.DUMMYFUNCTION("""COMPUTED_VALUE"""),""":""")</f>
        <v>":"</v>
      </c>
      <c r="D3145" s="24">
        <v>1.3453638348834558E19</v>
      </c>
      <c r="E3145" s="9" t="str">
        <f>IFERROR(__xludf.DUMMYFUNCTION("""COMPUTED_VALUE"""),""",")</f>
        <v>",</v>
      </c>
    </row>
    <row r="3146">
      <c r="A3146" s="9" t="str">
        <f>IFERROR(__xludf.DUMMYFUNCTION("""COMPUTED_VALUE"""),"""")</f>
        <v>"</v>
      </c>
      <c r="B3146" s="9" t="s">
        <v>3156</v>
      </c>
      <c r="C3146" s="9" t="str">
        <f>IFERROR(__xludf.DUMMYFUNCTION("""COMPUTED_VALUE"""),""":""")</f>
        <v>":"</v>
      </c>
      <c r="D3146" s="24">
        <v>1.3164276642704669E19</v>
      </c>
      <c r="E3146" s="9" t="str">
        <f>IFERROR(__xludf.DUMMYFUNCTION("""COMPUTED_VALUE"""),""",")</f>
        <v>",</v>
      </c>
    </row>
    <row r="3147">
      <c r="A3147" s="9" t="str">
        <f>IFERROR(__xludf.DUMMYFUNCTION("""COMPUTED_VALUE"""),"""")</f>
        <v>"</v>
      </c>
      <c r="B3147" s="9" t="s">
        <v>3157</v>
      </c>
      <c r="C3147" s="9" t="str">
        <f>IFERROR(__xludf.DUMMYFUNCTION("""COMPUTED_VALUE"""),""":""")</f>
        <v>":"</v>
      </c>
      <c r="D3147" s="24">
        <v>1.2609386559206668E19</v>
      </c>
      <c r="E3147" s="9" t="str">
        <f>IFERROR(__xludf.DUMMYFUNCTION("""COMPUTED_VALUE"""),""",")</f>
        <v>",</v>
      </c>
    </row>
    <row r="3148">
      <c r="A3148" s="9" t="str">
        <f>IFERROR(__xludf.DUMMYFUNCTION("""COMPUTED_VALUE"""),"""")</f>
        <v>"</v>
      </c>
      <c r="B3148" s="9" t="s">
        <v>3158</v>
      </c>
      <c r="C3148" s="9" t="str">
        <f>IFERROR(__xludf.DUMMYFUNCTION("""COMPUTED_VALUE"""),""":""")</f>
        <v>":"</v>
      </c>
      <c r="D3148" s="24">
        <v>6.4398355603642214E18</v>
      </c>
      <c r="E3148" s="9" t="str">
        <f>IFERROR(__xludf.DUMMYFUNCTION("""COMPUTED_VALUE"""),""",")</f>
        <v>",</v>
      </c>
    </row>
    <row r="3149">
      <c r="A3149" s="9" t="str">
        <f>IFERROR(__xludf.DUMMYFUNCTION("""COMPUTED_VALUE"""),"""")</f>
        <v>"</v>
      </c>
      <c r="B3149" s="9" t="s">
        <v>3159</v>
      </c>
      <c r="C3149" s="9" t="str">
        <f>IFERROR(__xludf.DUMMYFUNCTION("""COMPUTED_VALUE"""),""":""")</f>
        <v>":"</v>
      </c>
      <c r="D3149" s="24">
        <v>1.1722107716018758E19</v>
      </c>
      <c r="E3149" s="9" t="str">
        <f>IFERROR(__xludf.DUMMYFUNCTION("""COMPUTED_VALUE"""),""",")</f>
        <v>",</v>
      </c>
    </row>
    <row r="3150">
      <c r="A3150" s="9" t="str">
        <f>IFERROR(__xludf.DUMMYFUNCTION("""COMPUTED_VALUE"""),"""")</f>
        <v>"</v>
      </c>
      <c r="B3150" s="9" t="s">
        <v>3160</v>
      </c>
      <c r="C3150" s="9" t="str">
        <f>IFERROR(__xludf.DUMMYFUNCTION("""COMPUTED_VALUE"""),""":""")</f>
        <v>":"</v>
      </c>
      <c r="D3150" s="24">
        <v>7.9300012282881116E18</v>
      </c>
      <c r="E3150" s="9" t="str">
        <f>IFERROR(__xludf.DUMMYFUNCTION("""COMPUTED_VALUE"""),""",")</f>
        <v>",</v>
      </c>
    </row>
    <row r="3151">
      <c r="A3151" s="9" t="str">
        <f>IFERROR(__xludf.DUMMYFUNCTION("""COMPUTED_VALUE"""),"""")</f>
        <v>"</v>
      </c>
      <c r="B3151" s="9" t="s">
        <v>3161</v>
      </c>
      <c r="C3151" s="9" t="str">
        <f>IFERROR(__xludf.DUMMYFUNCTION("""COMPUTED_VALUE"""),""":""")</f>
        <v>":"</v>
      </c>
      <c r="D3151" s="24">
        <v>1.404829056598578E19</v>
      </c>
      <c r="E3151" s="9" t="str">
        <f>IFERROR(__xludf.DUMMYFUNCTION("""COMPUTED_VALUE"""),""",")</f>
        <v>",</v>
      </c>
    </row>
    <row r="3152">
      <c r="A3152" s="9" t="str">
        <f>IFERROR(__xludf.DUMMYFUNCTION("""COMPUTED_VALUE"""),"""")</f>
        <v>"</v>
      </c>
      <c r="B3152" s="9" t="s">
        <v>3162</v>
      </c>
      <c r="C3152" s="9" t="str">
        <f>IFERROR(__xludf.DUMMYFUNCTION("""COMPUTED_VALUE"""),""":""")</f>
        <v>":"</v>
      </c>
      <c r="D3152" s="24">
        <v>1.404829056598578E19</v>
      </c>
      <c r="E3152" s="9" t="str">
        <f>IFERROR(__xludf.DUMMYFUNCTION("""COMPUTED_VALUE"""),""",")</f>
        <v>",</v>
      </c>
    </row>
    <row r="3153">
      <c r="A3153" s="9" t="str">
        <f>IFERROR(__xludf.DUMMYFUNCTION("""COMPUTED_VALUE"""),"""")</f>
        <v>"</v>
      </c>
      <c r="B3153" s="9" t="s">
        <v>3163</v>
      </c>
      <c r="C3153" s="9" t="str">
        <f>IFERROR(__xludf.DUMMYFUNCTION("""COMPUTED_VALUE"""),""":""")</f>
        <v>":"</v>
      </c>
      <c r="D3153" s="24">
        <v>1.404829056598578E19</v>
      </c>
      <c r="E3153" s="9" t="str">
        <f>IFERROR(__xludf.DUMMYFUNCTION("""COMPUTED_VALUE"""),""",")</f>
        <v>",</v>
      </c>
    </row>
    <row r="3154">
      <c r="A3154" s="9" t="str">
        <f>IFERROR(__xludf.DUMMYFUNCTION("""COMPUTED_VALUE"""),"""")</f>
        <v>"</v>
      </c>
      <c r="B3154" s="9" t="s">
        <v>3164</v>
      </c>
      <c r="C3154" s="9" t="str">
        <f>IFERROR(__xludf.DUMMYFUNCTION("""COMPUTED_VALUE"""),""":""")</f>
        <v>":"</v>
      </c>
      <c r="D3154" s="24">
        <v>1.3528209987815956E19</v>
      </c>
      <c r="E3154" s="9" t="str">
        <f>IFERROR(__xludf.DUMMYFUNCTION("""COMPUTED_VALUE"""),""",")</f>
        <v>",</v>
      </c>
    </row>
    <row r="3155">
      <c r="A3155" s="9" t="str">
        <f>IFERROR(__xludf.DUMMYFUNCTION("""COMPUTED_VALUE"""),"""")</f>
        <v>"</v>
      </c>
      <c r="B3155" s="9" t="s">
        <v>3165</v>
      </c>
      <c r="C3155" s="9" t="str">
        <f>IFERROR(__xludf.DUMMYFUNCTION("""COMPUTED_VALUE"""),""":""")</f>
        <v>":"</v>
      </c>
      <c r="D3155" s="24">
        <v>1.404829056598578E19</v>
      </c>
      <c r="E3155" s="9" t="str">
        <f>IFERROR(__xludf.DUMMYFUNCTION("""COMPUTED_VALUE"""),""",")</f>
        <v>",</v>
      </c>
    </row>
    <row r="3156">
      <c r="A3156" s="9" t="str">
        <f>IFERROR(__xludf.DUMMYFUNCTION("""COMPUTED_VALUE"""),"""")</f>
        <v>"</v>
      </c>
      <c r="B3156" s="9" t="s">
        <v>3166</v>
      </c>
      <c r="C3156" s="9" t="str">
        <f>IFERROR(__xludf.DUMMYFUNCTION("""COMPUTED_VALUE"""),""":""")</f>
        <v>":"</v>
      </c>
      <c r="D3156" s="24">
        <v>1.404829056598578E19</v>
      </c>
      <c r="E3156" s="9" t="str">
        <f>IFERROR(__xludf.DUMMYFUNCTION("""COMPUTED_VALUE"""),""",")</f>
        <v>",</v>
      </c>
    </row>
    <row r="3157">
      <c r="A3157" s="9" t="str">
        <f>IFERROR(__xludf.DUMMYFUNCTION("""COMPUTED_VALUE"""),"""")</f>
        <v>"</v>
      </c>
      <c r="B3157" s="9" t="s">
        <v>3167</v>
      </c>
      <c r="C3157" s="9" t="str">
        <f>IFERROR(__xludf.DUMMYFUNCTION("""COMPUTED_VALUE"""),""":""")</f>
        <v>":"</v>
      </c>
      <c r="D3157" s="24">
        <v>1.0220093770567221E19</v>
      </c>
      <c r="E3157" s="9" t="str">
        <f>IFERROR(__xludf.DUMMYFUNCTION("""COMPUTED_VALUE"""),""",")</f>
        <v>",</v>
      </c>
    </row>
    <row r="3158">
      <c r="A3158" s="9" t="str">
        <f>IFERROR(__xludf.DUMMYFUNCTION("""COMPUTED_VALUE"""),"""")</f>
        <v>"</v>
      </c>
      <c r="B3158" s="9" t="s">
        <v>3168</v>
      </c>
      <c r="C3158" s="9" t="str">
        <f>IFERROR(__xludf.DUMMYFUNCTION("""COMPUTED_VALUE"""),""":""")</f>
        <v>":"</v>
      </c>
      <c r="D3158" s="24">
        <v>1.404829056598578E19</v>
      </c>
      <c r="E3158" s="9" t="str">
        <f>IFERROR(__xludf.DUMMYFUNCTION("""COMPUTED_VALUE"""),""",")</f>
        <v>",</v>
      </c>
    </row>
    <row r="3159">
      <c r="A3159" s="9" t="str">
        <f>IFERROR(__xludf.DUMMYFUNCTION("""COMPUTED_VALUE"""),"""")</f>
        <v>"</v>
      </c>
      <c r="B3159" s="9" t="s">
        <v>3169</v>
      </c>
      <c r="C3159" s="9" t="str">
        <f>IFERROR(__xludf.DUMMYFUNCTION("""COMPUTED_VALUE"""),""":""")</f>
        <v>":"</v>
      </c>
      <c r="D3159" s="24">
        <v>1.3194662147102112E19</v>
      </c>
      <c r="E3159" s="9" t="str">
        <f>IFERROR(__xludf.DUMMYFUNCTION("""COMPUTED_VALUE"""),""",")</f>
        <v>",</v>
      </c>
    </row>
    <row r="3160">
      <c r="A3160" s="9" t="str">
        <f>IFERROR(__xludf.DUMMYFUNCTION("""COMPUTED_VALUE"""),"""")</f>
        <v>"</v>
      </c>
      <c r="B3160" s="9" t="s">
        <v>3170</v>
      </c>
      <c r="C3160" s="9" t="str">
        <f>IFERROR(__xludf.DUMMYFUNCTION("""COMPUTED_VALUE"""),""":""")</f>
        <v>":"</v>
      </c>
      <c r="D3160" s="24">
        <v>1.404829056598578E19</v>
      </c>
      <c r="E3160" s="9" t="str">
        <f>IFERROR(__xludf.DUMMYFUNCTION("""COMPUTED_VALUE"""),""",")</f>
        <v>",</v>
      </c>
    </row>
    <row r="3161">
      <c r="A3161" s="9" t="str">
        <f>IFERROR(__xludf.DUMMYFUNCTION("""COMPUTED_VALUE"""),"""")</f>
        <v>"</v>
      </c>
      <c r="B3161" s="9" t="s">
        <v>3171</v>
      </c>
      <c r="C3161" s="9" t="str">
        <f>IFERROR(__xludf.DUMMYFUNCTION("""COMPUTED_VALUE"""),""":""")</f>
        <v>":"</v>
      </c>
      <c r="D3161" s="24">
        <v>1.0360778704368245E19</v>
      </c>
      <c r="E3161" s="9" t="str">
        <f>IFERROR(__xludf.DUMMYFUNCTION("""COMPUTED_VALUE"""),""",")</f>
        <v>",</v>
      </c>
    </row>
    <row r="3162">
      <c r="A3162" s="9" t="str">
        <f>IFERROR(__xludf.DUMMYFUNCTION("""COMPUTED_VALUE"""),"""")</f>
        <v>"</v>
      </c>
      <c r="B3162" s="9" t="s">
        <v>3172</v>
      </c>
      <c r="C3162" s="9" t="str">
        <f>IFERROR(__xludf.DUMMYFUNCTION("""COMPUTED_VALUE"""),""":""")</f>
        <v>":"</v>
      </c>
      <c r="D3162" s="24">
        <v>3.6436123909436506E19</v>
      </c>
      <c r="E3162" s="9" t="str">
        <f>IFERROR(__xludf.DUMMYFUNCTION("""COMPUTED_VALUE"""),""",")</f>
        <v>",</v>
      </c>
    </row>
    <row r="3163">
      <c r="A3163" s="9" t="str">
        <f>IFERROR(__xludf.DUMMYFUNCTION("""COMPUTED_VALUE"""),"""")</f>
        <v>"</v>
      </c>
      <c r="B3163" s="9" t="s">
        <v>3173</v>
      </c>
      <c r="C3163" s="9" t="str">
        <f>IFERROR(__xludf.DUMMYFUNCTION("""COMPUTED_VALUE"""),""":""")</f>
        <v>":"</v>
      </c>
      <c r="D3163" s="24">
        <v>1.404829056598578E19</v>
      </c>
      <c r="E3163" s="9" t="str">
        <f>IFERROR(__xludf.DUMMYFUNCTION("""COMPUTED_VALUE"""),""",")</f>
        <v>",</v>
      </c>
    </row>
    <row r="3164">
      <c r="A3164" s="9" t="str">
        <f>IFERROR(__xludf.DUMMYFUNCTION("""COMPUTED_VALUE"""),"""")</f>
        <v>"</v>
      </c>
      <c r="B3164" s="9" t="s">
        <v>3174</v>
      </c>
      <c r="C3164" s="9" t="str">
        <f>IFERROR(__xludf.DUMMYFUNCTION("""COMPUTED_VALUE"""),""":""")</f>
        <v>":"</v>
      </c>
      <c r="D3164" s="24">
        <v>1.433143988449312E19</v>
      </c>
      <c r="E3164" s="9" t="str">
        <f>IFERROR(__xludf.DUMMYFUNCTION("""COMPUTED_VALUE"""),""",")</f>
        <v>",</v>
      </c>
    </row>
    <row r="3165">
      <c r="A3165" s="9" t="str">
        <f>IFERROR(__xludf.DUMMYFUNCTION("""COMPUTED_VALUE"""),"""")</f>
        <v>"</v>
      </c>
      <c r="B3165" s="9" t="s">
        <v>3175</v>
      </c>
      <c r="C3165" s="9" t="str">
        <f>IFERROR(__xludf.DUMMYFUNCTION("""COMPUTED_VALUE"""),""":""")</f>
        <v>":"</v>
      </c>
      <c r="D3165" s="24">
        <v>1.404829056598578E19</v>
      </c>
      <c r="E3165" s="9" t="str">
        <f>IFERROR(__xludf.DUMMYFUNCTION("""COMPUTED_VALUE"""),""",")</f>
        <v>",</v>
      </c>
    </row>
    <row r="3166">
      <c r="A3166" s="9" t="str">
        <f>IFERROR(__xludf.DUMMYFUNCTION("""COMPUTED_VALUE"""),"""")</f>
        <v>"</v>
      </c>
      <c r="B3166" s="9" t="s">
        <v>3176</v>
      </c>
      <c r="C3166" s="9" t="str">
        <f>IFERROR(__xludf.DUMMYFUNCTION("""COMPUTED_VALUE"""),""":""")</f>
        <v>":"</v>
      </c>
      <c r="D3166" s="24">
        <v>1.48933797392940442E18</v>
      </c>
      <c r="E3166" s="9" t="str">
        <f>IFERROR(__xludf.DUMMYFUNCTION("""COMPUTED_VALUE"""),""",")</f>
        <v>",</v>
      </c>
    </row>
    <row r="3167">
      <c r="A3167" s="9" t="str">
        <f>IFERROR(__xludf.DUMMYFUNCTION("""COMPUTED_VALUE"""),"""")</f>
        <v>"</v>
      </c>
      <c r="B3167" s="9" t="s">
        <v>3177</v>
      </c>
      <c r="C3167" s="9" t="str">
        <f>IFERROR(__xludf.DUMMYFUNCTION("""COMPUTED_VALUE"""),""":""")</f>
        <v>":"</v>
      </c>
      <c r="D3167" s="24">
        <v>2.4312823599127777E18</v>
      </c>
      <c r="E3167" s="9" t="str">
        <f>IFERROR(__xludf.DUMMYFUNCTION("""COMPUTED_VALUE"""),""",")</f>
        <v>",</v>
      </c>
    </row>
    <row r="3168">
      <c r="A3168" s="9" t="str">
        <f>IFERROR(__xludf.DUMMYFUNCTION("""COMPUTED_VALUE"""),"""")</f>
        <v>"</v>
      </c>
      <c r="B3168" s="9" t="s">
        <v>3178</v>
      </c>
      <c r="C3168" s="9" t="str">
        <f>IFERROR(__xludf.DUMMYFUNCTION("""COMPUTED_VALUE"""),""":""")</f>
        <v>":"</v>
      </c>
      <c r="D3168" s="24">
        <v>1.382563054825911E19</v>
      </c>
      <c r="E3168" s="9" t="str">
        <f>IFERROR(__xludf.DUMMYFUNCTION("""COMPUTED_VALUE"""),""",")</f>
        <v>",</v>
      </c>
    </row>
    <row r="3169">
      <c r="A3169" s="9" t="str">
        <f>IFERROR(__xludf.DUMMYFUNCTION("""COMPUTED_VALUE"""),"""")</f>
        <v>"</v>
      </c>
      <c r="B3169" s="9" t="s">
        <v>3179</v>
      </c>
      <c r="C3169" s="9" t="str">
        <f>IFERROR(__xludf.DUMMYFUNCTION("""COMPUTED_VALUE"""),""":""")</f>
        <v>":"</v>
      </c>
      <c r="D3169" s="24">
        <v>1.404829056598578E19</v>
      </c>
      <c r="E3169" s="9" t="str">
        <f>IFERROR(__xludf.DUMMYFUNCTION("""COMPUTED_VALUE"""),""",")</f>
        <v>",</v>
      </c>
    </row>
    <row r="3170">
      <c r="A3170" s="9" t="str">
        <f>IFERROR(__xludf.DUMMYFUNCTION("""COMPUTED_VALUE"""),"""")</f>
        <v>"</v>
      </c>
      <c r="B3170" s="9" t="s">
        <v>3180</v>
      </c>
      <c r="C3170" s="9" t="str">
        <f>IFERROR(__xludf.DUMMYFUNCTION("""COMPUTED_VALUE"""),""":""")</f>
        <v>":"</v>
      </c>
      <c r="D3170" s="24">
        <v>6.0072906277814006E18</v>
      </c>
      <c r="E3170" s="9" t="str">
        <f>IFERROR(__xludf.DUMMYFUNCTION("""COMPUTED_VALUE"""),""",")</f>
        <v>",</v>
      </c>
    </row>
    <row r="3171">
      <c r="A3171" s="9" t="str">
        <f>IFERROR(__xludf.DUMMYFUNCTION("""COMPUTED_VALUE"""),"""")</f>
        <v>"</v>
      </c>
      <c r="B3171" s="9" t="s">
        <v>3181</v>
      </c>
      <c r="C3171" s="9" t="str">
        <f>IFERROR(__xludf.DUMMYFUNCTION("""COMPUTED_VALUE"""),""":""")</f>
        <v>":"</v>
      </c>
      <c r="D3171" s="24">
        <v>1.3134748712906357E19</v>
      </c>
      <c r="E3171" s="9" t="str">
        <f>IFERROR(__xludf.DUMMYFUNCTION("""COMPUTED_VALUE"""),""",")</f>
        <v>",</v>
      </c>
    </row>
    <row r="3172">
      <c r="A3172" s="9" t="str">
        <f>IFERROR(__xludf.DUMMYFUNCTION("""COMPUTED_VALUE"""),"""")</f>
        <v>"</v>
      </c>
      <c r="B3172" s="9" t="s">
        <v>3182</v>
      </c>
      <c r="C3172" s="9" t="str">
        <f>IFERROR(__xludf.DUMMYFUNCTION("""COMPUTED_VALUE"""),""":""")</f>
        <v>":"</v>
      </c>
      <c r="D3172" s="24">
        <v>1.12637774361502E19</v>
      </c>
      <c r="E3172" s="9" t="str">
        <f>IFERROR(__xludf.DUMMYFUNCTION("""COMPUTED_VALUE"""),""",")</f>
        <v>",</v>
      </c>
    </row>
    <row r="3173">
      <c r="A3173" s="9" t="str">
        <f>IFERROR(__xludf.DUMMYFUNCTION("""COMPUTED_VALUE"""),"""")</f>
        <v>"</v>
      </c>
      <c r="B3173" s="9" t="s">
        <v>3183</v>
      </c>
      <c r="C3173" s="9" t="str">
        <f>IFERROR(__xludf.DUMMYFUNCTION("""COMPUTED_VALUE"""),""":""")</f>
        <v>":"</v>
      </c>
      <c r="D3173" s="24">
        <v>6.7755774500288584E18</v>
      </c>
      <c r="E3173" s="9" t="str">
        <f>IFERROR(__xludf.DUMMYFUNCTION("""COMPUTED_VALUE"""),""",")</f>
        <v>",</v>
      </c>
    </row>
    <row r="3174">
      <c r="A3174" s="9" t="str">
        <f>IFERROR(__xludf.DUMMYFUNCTION("""COMPUTED_VALUE"""),"""")</f>
        <v>"</v>
      </c>
      <c r="B3174" s="9" t="s">
        <v>3184</v>
      </c>
      <c r="C3174" s="9" t="str">
        <f>IFERROR(__xludf.DUMMYFUNCTION("""COMPUTED_VALUE"""),""":""")</f>
        <v>":"</v>
      </c>
      <c r="D3174" s="24">
        <v>5.730970616501481E17</v>
      </c>
      <c r="E3174" s="9" t="str">
        <f>IFERROR(__xludf.DUMMYFUNCTION("""COMPUTED_VALUE"""),""",")</f>
        <v>",</v>
      </c>
    </row>
    <row r="3175">
      <c r="A3175" s="9" t="str">
        <f>IFERROR(__xludf.DUMMYFUNCTION("""COMPUTED_VALUE"""),"""")</f>
        <v>"</v>
      </c>
      <c r="B3175" s="9" t="s">
        <v>3185</v>
      </c>
      <c r="C3175" s="9" t="str">
        <f>IFERROR(__xludf.DUMMYFUNCTION("""COMPUTED_VALUE"""),""":""")</f>
        <v>":"</v>
      </c>
      <c r="D3175" s="24">
        <v>1.404829056598578E19</v>
      </c>
      <c r="E3175" s="9" t="str">
        <f>IFERROR(__xludf.DUMMYFUNCTION("""COMPUTED_VALUE"""),""",")</f>
        <v>",</v>
      </c>
    </row>
    <row r="3176">
      <c r="A3176" s="9" t="str">
        <f>IFERROR(__xludf.DUMMYFUNCTION("""COMPUTED_VALUE"""),"""")</f>
        <v>"</v>
      </c>
      <c r="B3176" s="9" t="s">
        <v>3186</v>
      </c>
      <c r="C3176" s="9" t="str">
        <f>IFERROR(__xludf.DUMMYFUNCTION("""COMPUTED_VALUE"""),""":""")</f>
        <v>":"</v>
      </c>
      <c r="D3176" s="24">
        <v>6.537456123887444E18</v>
      </c>
      <c r="E3176" s="9" t="str">
        <f>IFERROR(__xludf.DUMMYFUNCTION("""COMPUTED_VALUE"""),""",")</f>
        <v>",</v>
      </c>
    </row>
    <row r="3177">
      <c r="A3177" s="9" t="str">
        <f>IFERROR(__xludf.DUMMYFUNCTION("""COMPUTED_VALUE"""),"""")</f>
        <v>"</v>
      </c>
      <c r="B3177" s="9" t="s">
        <v>3187</v>
      </c>
      <c r="C3177" s="9" t="str">
        <f>IFERROR(__xludf.DUMMYFUNCTION("""COMPUTED_VALUE"""),""":""")</f>
        <v>":"</v>
      </c>
      <c r="D3177" s="24">
        <v>1.4480688418828034E19</v>
      </c>
      <c r="E3177" s="9" t="str">
        <f>IFERROR(__xludf.DUMMYFUNCTION("""COMPUTED_VALUE"""),""",")</f>
        <v>",</v>
      </c>
    </row>
    <row r="3178">
      <c r="A3178" s="9" t="str">
        <f>IFERROR(__xludf.DUMMYFUNCTION("""COMPUTED_VALUE"""),"""")</f>
        <v>"</v>
      </c>
      <c r="B3178" s="9" t="s">
        <v>3188</v>
      </c>
      <c r="C3178" s="9" t="str">
        <f>IFERROR(__xludf.DUMMYFUNCTION("""COMPUTED_VALUE"""),""":""")</f>
        <v>":"</v>
      </c>
      <c r="D3178" s="24">
        <v>1.404829056598578E19</v>
      </c>
      <c r="E3178" s="9" t="str">
        <f>IFERROR(__xludf.DUMMYFUNCTION("""COMPUTED_VALUE"""),""",")</f>
        <v>",</v>
      </c>
    </row>
    <row r="3179">
      <c r="A3179" s="9" t="str">
        <f>IFERROR(__xludf.DUMMYFUNCTION("""COMPUTED_VALUE"""),"""")</f>
        <v>"</v>
      </c>
      <c r="B3179" s="9" t="s">
        <v>3189</v>
      </c>
      <c r="C3179" s="9" t="str">
        <f>IFERROR(__xludf.DUMMYFUNCTION("""COMPUTED_VALUE"""),""":""")</f>
        <v>":"</v>
      </c>
      <c r="D3179" s="24">
        <v>9.426242600110668E18</v>
      </c>
      <c r="E3179" s="9" t="str">
        <f>IFERROR(__xludf.DUMMYFUNCTION("""COMPUTED_VALUE"""),""",")</f>
        <v>",</v>
      </c>
    </row>
    <row r="3180">
      <c r="A3180" s="9" t="str">
        <f>IFERROR(__xludf.DUMMYFUNCTION("""COMPUTED_VALUE"""),"""")</f>
        <v>"</v>
      </c>
      <c r="B3180" s="9" t="s">
        <v>3190</v>
      </c>
      <c r="C3180" s="9" t="str">
        <f>IFERROR(__xludf.DUMMYFUNCTION("""COMPUTED_VALUE"""),""":""")</f>
        <v>":"</v>
      </c>
      <c r="D3180" s="24">
        <v>1.340793045134151E19</v>
      </c>
      <c r="E3180" s="9" t="str">
        <f>IFERROR(__xludf.DUMMYFUNCTION("""COMPUTED_VALUE"""),""",")</f>
        <v>",</v>
      </c>
    </row>
    <row r="3181">
      <c r="A3181" s="9" t="str">
        <f>IFERROR(__xludf.DUMMYFUNCTION("""COMPUTED_VALUE"""),"""")</f>
        <v>"</v>
      </c>
      <c r="B3181" s="9" t="s">
        <v>3191</v>
      </c>
      <c r="C3181" s="9" t="str">
        <f>IFERROR(__xludf.DUMMYFUNCTION("""COMPUTED_VALUE"""),""":""")</f>
        <v>":"</v>
      </c>
      <c r="D3181" s="24">
        <v>3.3975153180827776E18</v>
      </c>
      <c r="E3181" s="9" t="str">
        <f>IFERROR(__xludf.DUMMYFUNCTION("""COMPUTED_VALUE"""),""",")</f>
        <v>",</v>
      </c>
    </row>
    <row r="3182">
      <c r="A3182" s="9" t="str">
        <f>IFERROR(__xludf.DUMMYFUNCTION("""COMPUTED_VALUE"""),"""")</f>
        <v>"</v>
      </c>
      <c r="B3182" s="9" t="s">
        <v>3192</v>
      </c>
      <c r="C3182" s="9" t="str">
        <f>IFERROR(__xludf.DUMMYFUNCTION("""COMPUTED_VALUE"""),""":""")</f>
        <v>":"</v>
      </c>
      <c r="D3182" s="24">
        <v>1.22348555679536E19</v>
      </c>
      <c r="E3182" s="9" t="str">
        <f>IFERROR(__xludf.DUMMYFUNCTION("""COMPUTED_VALUE"""),""",")</f>
        <v>",</v>
      </c>
    </row>
    <row r="3183">
      <c r="A3183" s="9" t="str">
        <f>IFERROR(__xludf.DUMMYFUNCTION("""COMPUTED_VALUE"""),"""")</f>
        <v>"</v>
      </c>
      <c r="B3183" s="9" t="s">
        <v>3193</v>
      </c>
      <c r="C3183" s="9" t="str">
        <f>IFERROR(__xludf.DUMMYFUNCTION("""COMPUTED_VALUE"""),""":""")</f>
        <v>":"</v>
      </c>
      <c r="D3183" s="24">
        <v>5.6204831300724449E18</v>
      </c>
      <c r="E3183" s="9" t="str">
        <f>IFERROR(__xludf.DUMMYFUNCTION("""COMPUTED_VALUE"""),""",")</f>
        <v>",</v>
      </c>
    </row>
    <row r="3184">
      <c r="A3184" s="9" t="str">
        <f>IFERROR(__xludf.DUMMYFUNCTION("""COMPUTED_VALUE"""),"""")</f>
        <v>"</v>
      </c>
      <c r="B3184" s="9" t="s">
        <v>3194</v>
      </c>
      <c r="C3184" s="9" t="str">
        <f>IFERROR(__xludf.DUMMYFUNCTION("""COMPUTED_VALUE"""),""":""")</f>
        <v>":"</v>
      </c>
      <c r="D3184" s="24">
        <v>7.2614868386752666E18</v>
      </c>
      <c r="E3184" s="9" t="str">
        <f>IFERROR(__xludf.DUMMYFUNCTION("""COMPUTED_VALUE"""),""",")</f>
        <v>",</v>
      </c>
    </row>
    <row r="3185">
      <c r="A3185" s="9" t="str">
        <f>IFERROR(__xludf.DUMMYFUNCTION("""COMPUTED_VALUE"""),"""")</f>
        <v>"</v>
      </c>
      <c r="B3185" s="9" t="s">
        <v>3195</v>
      </c>
      <c r="C3185" s="9" t="str">
        <f>IFERROR(__xludf.DUMMYFUNCTION("""COMPUTED_VALUE"""),""":""")</f>
        <v>":"</v>
      </c>
      <c r="D3185" s="24">
        <v>1.404829056598578E19</v>
      </c>
      <c r="E3185" s="9" t="str">
        <f>IFERROR(__xludf.DUMMYFUNCTION("""COMPUTED_VALUE"""),""",")</f>
        <v>",</v>
      </c>
    </row>
    <row r="3186">
      <c r="A3186" s="9" t="str">
        <f>IFERROR(__xludf.DUMMYFUNCTION("""COMPUTED_VALUE"""),"""")</f>
        <v>"</v>
      </c>
      <c r="B3186" s="9" t="s">
        <v>3196</v>
      </c>
      <c r="C3186" s="9" t="str">
        <f>IFERROR(__xludf.DUMMYFUNCTION("""COMPUTED_VALUE"""),""":""")</f>
        <v>":"</v>
      </c>
      <c r="D3186" s="24">
        <v>1.39533114745180672E18</v>
      </c>
      <c r="E3186" s="9" t="str">
        <f>IFERROR(__xludf.DUMMYFUNCTION("""COMPUTED_VALUE"""),""",")</f>
        <v>",</v>
      </c>
    </row>
    <row r="3187">
      <c r="A3187" s="9" t="str">
        <f>IFERROR(__xludf.DUMMYFUNCTION("""COMPUTED_VALUE"""),"""")</f>
        <v>"</v>
      </c>
      <c r="B3187" s="9" t="s">
        <v>3197</v>
      </c>
      <c r="C3187" s="9" t="str">
        <f>IFERROR(__xludf.DUMMYFUNCTION("""COMPUTED_VALUE"""),""":""")</f>
        <v>":"</v>
      </c>
      <c r="D3187" s="24">
        <v>4.3805361675742893E17</v>
      </c>
      <c r="E3187" s="9" t="str">
        <f>IFERROR(__xludf.DUMMYFUNCTION("""COMPUTED_VALUE"""),""",")</f>
        <v>",</v>
      </c>
    </row>
    <row r="3188">
      <c r="A3188" s="9" t="str">
        <f>IFERROR(__xludf.DUMMYFUNCTION("""COMPUTED_VALUE"""),"""")</f>
        <v>"</v>
      </c>
      <c r="B3188" s="9" t="s">
        <v>3198</v>
      </c>
      <c r="C3188" s="9" t="str">
        <f>IFERROR(__xludf.DUMMYFUNCTION("""COMPUTED_VALUE"""),""":""")</f>
        <v>":"</v>
      </c>
      <c r="D3188" s="24">
        <v>3.7171559345423552E16</v>
      </c>
      <c r="E3188" s="9" t="str">
        <f>IFERROR(__xludf.DUMMYFUNCTION("""COMPUTED_VALUE"""),""",")</f>
        <v>",</v>
      </c>
    </row>
    <row r="3189">
      <c r="A3189" s="9" t="str">
        <f>IFERROR(__xludf.DUMMYFUNCTION("""COMPUTED_VALUE"""),"""")</f>
        <v>"</v>
      </c>
      <c r="B3189" s="9" t="s">
        <v>3199</v>
      </c>
      <c r="C3189" s="9" t="str">
        <f>IFERROR(__xludf.DUMMYFUNCTION("""COMPUTED_VALUE"""),""":""")</f>
        <v>":"</v>
      </c>
      <c r="D3189" s="24">
        <v>4.3119415539154893E17</v>
      </c>
      <c r="E3189" s="9" t="str">
        <f>IFERROR(__xludf.DUMMYFUNCTION("""COMPUTED_VALUE"""),""",")</f>
        <v>",</v>
      </c>
    </row>
    <row r="3190">
      <c r="A3190" s="9" t="str">
        <f>IFERROR(__xludf.DUMMYFUNCTION("""COMPUTED_VALUE"""),"""")</f>
        <v>"</v>
      </c>
      <c r="B3190" s="9" t="s">
        <v>3200</v>
      </c>
      <c r="C3190" s="9" t="str">
        <f>IFERROR(__xludf.DUMMYFUNCTION("""COMPUTED_VALUE"""),""":""")</f>
        <v>":"</v>
      </c>
      <c r="D3190" s="24">
        <v>8.7718296637965107E18</v>
      </c>
      <c r="E3190" s="9" t="str">
        <f>IFERROR(__xludf.DUMMYFUNCTION("""COMPUTED_VALUE"""),""",")</f>
        <v>",</v>
      </c>
    </row>
    <row r="3191">
      <c r="A3191" s="9" t="str">
        <f>IFERROR(__xludf.DUMMYFUNCTION("""COMPUTED_VALUE"""),"""")</f>
        <v>"</v>
      </c>
      <c r="B3191" s="9" t="s">
        <v>3201</v>
      </c>
      <c r="C3191" s="9" t="str">
        <f>IFERROR(__xludf.DUMMYFUNCTION("""COMPUTED_VALUE"""),""":""")</f>
        <v>":"</v>
      </c>
      <c r="D3191" s="24">
        <v>3.9365195840949114E17</v>
      </c>
      <c r="E3191" s="9" t="str">
        <f>IFERROR(__xludf.DUMMYFUNCTION("""COMPUTED_VALUE"""),""",")</f>
        <v>",</v>
      </c>
    </row>
    <row r="3192">
      <c r="A3192" s="9" t="str">
        <f>IFERROR(__xludf.DUMMYFUNCTION("""COMPUTED_VALUE"""),"""")</f>
        <v>"</v>
      </c>
      <c r="B3192" s="9" t="s">
        <v>3202</v>
      </c>
      <c r="C3192" s="9" t="str">
        <f>IFERROR(__xludf.DUMMYFUNCTION("""COMPUTED_VALUE"""),""":""")</f>
        <v>":"</v>
      </c>
      <c r="D3192" s="24">
        <v>1.440749645670391E19</v>
      </c>
      <c r="E3192" s="9" t="str">
        <f>IFERROR(__xludf.DUMMYFUNCTION("""COMPUTED_VALUE"""),""",")</f>
        <v>",</v>
      </c>
    </row>
    <row r="3193">
      <c r="A3193" s="9" t="str">
        <f>IFERROR(__xludf.DUMMYFUNCTION("""COMPUTED_VALUE"""),"""")</f>
        <v>"</v>
      </c>
      <c r="B3193" s="9" t="s">
        <v>3203</v>
      </c>
      <c r="C3193" s="9" t="str">
        <f>IFERROR(__xludf.DUMMYFUNCTION("""COMPUTED_VALUE"""),""":""")</f>
        <v>":"</v>
      </c>
      <c r="D3193" s="24">
        <v>4.5659961881754665E18</v>
      </c>
      <c r="E3193" s="9" t="str">
        <f>IFERROR(__xludf.DUMMYFUNCTION("""COMPUTED_VALUE"""),""",")</f>
        <v>",</v>
      </c>
    </row>
    <row r="3194">
      <c r="A3194" s="9" t="str">
        <f>IFERROR(__xludf.DUMMYFUNCTION("""COMPUTED_VALUE"""),"""")</f>
        <v>"</v>
      </c>
      <c r="B3194" s="9" t="s">
        <v>3204</v>
      </c>
      <c r="C3194" s="9" t="str">
        <f>IFERROR(__xludf.DUMMYFUNCTION("""COMPUTED_VALUE"""),""":""")</f>
        <v>":"</v>
      </c>
      <c r="D3194" s="24">
        <v>3.203651350652423E17</v>
      </c>
      <c r="E3194" s="9" t="str">
        <f>IFERROR(__xludf.DUMMYFUNCTION("""COMPUTED_VALUE"""),""",")</f>
        <v>",</v>
      </c>
    </row>
    <row r="3195">
      <c r="A3195" s="9" t="str">
        <f>IFERROR(__xludf.DUMMYFUNCTION("""COMPUTED_VALUE"""),"""")</f>
        <v>"</v>
      </c>
      <c r="B3195" s="9" t="s">
        <v>3205</v>
      </c>
      <c r="C3195" s="9" t="str">
        <f>IFERROR(__xludf.DUMMYFUNCTION("""COMPUTED_VALUE"""),""":""")</f>
        <v>":"</v>
      </c>
      <c r="D3195" s="24">
        <v>4.3528758119437997E17</v>
      </c>
      <c r="E3195" s="9" t="str">
        <f>IFERROR(__xludf.DUMMYFUNCTION("""COMPUTED_VALUE"""),""",")</f>
        <v>",</v>
      </c>
    </row>
    <row r="3196">
      <c r="A3196" s="9" t="str">
        <f>IFERROR(__xludf.DUMMYFUNCTION("""COMPUTED_VALUE"""),"""")</f>
        <v>"</v>
      </c>
      <c r="B3196" s="9" t="s">
        <v>3206</v>
      </c>
      <c r="C3196" s="9" t="str">
        <f>IFERROR(__xludf.DUMMYFUNCTION("""COMPUTED_VALUE"""),""":""")</f>
        <v>":"</v>
      </c>
      <c r="D3196" s="24">
        <v>4.3906725373191782E17</v>
      </c>
      <c r="E3196" s="9" t="str">
        <f>IFERROR(__xludf.DUMMYFUNCTION("""COMPUTED_VALUE"""),""",")</f>
        <v>",</v>
      </c>
    </row>
    <row r="3197">
      <c r="A3197" s="9" t="str">
        <f>IFERROR(__xludf.DUMMYFUNCTION("""COMPUTED_VALUE"""),"""")</f>
        <v>"</v>
      </c>
      <c r="B3197" s="9" t="s">
        <v>3207</v>
      </c>
      <c r="C3197" s="9" t="str">
        <f>IFERROR(__xludf.DUMMYFUNCTION("""COMPUTED_VALUE"""),""":""")</f>
        <v>":"</v>
      </c>
      <c r="D3197" s="24">
        <v>4.2553350052048216E16</v>
      </c>
      <c r="E3197" s="9" t="str">
        <f>IFERROR(__xludf.DUMMYFUNCTION("""COMPUTED_VALUE"""),""",")</f>
        <v>",</v>
      </c>
    </row>
    <row r="3198">
      <c r="A3198" s="9" t="str">
        <f>IFERROR(__xludf.DUMMYFUNCTION("""COMPUTED_VALUE"""),"""")</f>
        <v>"</v>
      </c>
      <c r="B3198" s="9" t="s">
        <v>3208</v>
      </c>
      <c r="C3198" s="9" t="str">
        <f>IFERROR(__xludf.DUMMYFUNCTION("""COMPUTED_VALUE"""),""":""")</f>
        <v>":"</v>
      </c>
      <c r="D3198" s="24">
        <v>3.369648793737089E18</v>
      </c>
      <c r="E3198" s="9" t="str">
        <f>IFERROR(__xludf.DUMMYFUNCTION("""COMPUTED_VALUE"""),""",")</f>
        <v>",</v>
      </c>
    </row>
    <row r="3199">
      <c r="A3199" s="9" t="str">
        <f>IFERROR(__xludf.DUMMYFUNCTION("""COMPUTED_VALUE"""),"""")</f>
        <v>"</v>
      </c>
      <c r="B3199" s="9" t="s">
        <v>3209</v>
      </c>
      <c r="C3199" s="9" t="str">
        <f>IFERROR(__xludf.DUMMYFUNCTION("""COMPUTED_VALUE"""),""":""")</f>
        <v>":"</v>
      </c>
      <c r="D3199" s="24">
        <v>4.3239785284225338E17</v>
      </c>
      <c r="E3199" s="9" t="str">
        <f>IFERROR(__xludf.DUMMYFUNCTION("""COMPUTED_VALUE"""),""",")</f>
        <v>",</v>
      </c>
    </row>
    <row r="3200">
      <c r="A3200" s="9" t="str">
        <f>IFERROR(__xludf.DUMMYFUNCTION("""COMPUTED_VALUE"""),"""")</f>
        <v>"</v>
      </c>
      <c r="B3200" s="9" t="s">
        <v>3210</v>
      </c>
      <c r="C3200" s="9" t="str">
        <f>IFERROR(__xludf.DUMMYFUNCTION("""COMPUTED_VALUE"""),""":""")</f>
        <v>":"</v>
      </c>
      <c r="D3200" s="24">
        <v>8.6241166399887565E18</v>
      </c>
      <c r="E3200" s="9" t="str">
        <f>IFERROR(__xludf.DUMMYFUNCTION("""COMPUTED_VALUE"""),""",")</f>
        <v>",</v>
      </c>
    </row>
    <row r="3201">
      <c r="A3201" s="9" t="str">
        <f>IFERROR(__xludf.DUMMYFUNCTION("""COMPUTED_VALUE"""),"""")</f>
        <v>"</v>
      </c>
      <c r="B3201" s="9" t="s">
        <v>3211</v>
      </c>
      <c r="C3201" s="9" t="str">
        <f>IFERROR(__xludf.DUMMYFUNCTION("""COMPUTED_VALUE"""),""":""")</f>
        <v>":"</v>
      </c>
      <c r="D3201" s="24">
        <v>2.16198926421127142E18</v>
      </c>
      <c r="E3201" s="9" t="str">
        <f>IFERROR(__xludf.DUMMYFUNCTION("""COMPUTED_VALUE"""),""",")</f>
        <v>",</v>
      </c>
    </row>
    <row r="3202">
      <c r="A3202" s="9" t="str">
        <f>IFERROR(__xludf.DUMMYFUNCTION("""COMPUTED_VALUE"""),"""")</f>
        <v>"</v>
      </c>
      <c r="B3202" s="9" t="s">
        <v>3212</v>
      </c>
      <c r="C3202" s="9" t="str">
        <f>IFERROR(__xludf.DUMMYFUNCTION("""COMPUTED_VALUE"""),""":""")</f>
        <v>":"</v>
      </c>
      <c r="D3202" s="24">
        <v>4.3239785284225338E17</v>
      </c>
      <c r="E3202" s="9" t="str">
        <f>IFERROR(__xludf.DUMMYFUNCTION("""COMPUTED_VALUE"""),""",")</f>
        <v>",</v>
      </c>
    </row>
    <row r="3203">
      <c r="A3203" s="9" t="str">
        <f>IFERROR(__xludf.DUMMYFUNCTION("""COMPUTED_VALUE"""),"""")</f>
        <v>"</v>
      </c>
      <c r="B3203" s="9" t="s">
        <v>3213</v>
      </c>
      <c r="C3203" s="9" t="str">
        <f>IFERROR(__xludf.DUMMYFUNCTION("""COMPUTED_VALUE"""),""":""")</f>
        <v>":"</v>
      </c>
      <c r="D3203" s="24">
        <v>3.1394235267992E17</v>
      </c>
      <c r="E3203" s="9" t="str">
        <f>IFERROR(__xludf.DUMMYFUNCTION("""COMPUTED_VALUE"""),""",")</f>
        <v>",</v>
      </c>
    </row>
    <row r="3204">
      <c r="A3204" s="9" t="str">
        <f>IFERROR(__xludf.DUMMYFUNCTION("""COMPUTED_VALUE"""),"""")</f>
        <v>"</v>
      </c>
      <c r="B3204" s="9" t="s">
        <v>3214</v>
      </c>
      <c r="C3204" s="9" t="str">
        <f>IFERROR(__xludf.DUMMYFUNCTION("""COMPUTED_VALUE"""),""":""")</f>
        <v>":"</v>
      </c>
      <c r="D3204" s="24">
        <v>1.4195621508811201E20</v>
      </c>
      <c r="E3204" s="9" t="str">
        <f>IFERROR(__xludf.DUMMYFUNCTION("""COMPUTED_VALUE"""),""",")</f>
        <v>",</v>
      </c>
    </row>
    <row r="3205">
      <c r="A3205" s="9" t="str">
        <f>IFERROR(__xludf.DUMMYFUNCTION("""COMPUTED_VALUE"""),"""")</f>
        <v>"</v>
      </c>
      <c r="B3205" s="9" t="s">
        <v>3215</v>
      </c>
      <c r="C3205" s="9" t="str">
        <f>IFERROR(__xludf.DUMMYFUNCTION("""COMPUTED_VALUE"""),""":""")</f>
        <v>":"</v>
      </c>
      <c r="D3205" s="24">
        <v>1.95728191610915763E18</v>
      </c>
      <c r="E3205" s="9" t="str">
        <f>IFERROR(__xludf.DUMMYFUNCTION("""COMPUTED_VALUE"""),""",")</f>
        <v>",</v>
      </c>
    </row>
    <row r="3206">
      <c r="A3206" s="9" t="str">
        <f>IFERROR(__xludf.DUMMYFUNCTION("""COMPUTED_VALUE"""),"""")</f>
        <v>"</v>
      </c>
      <c r="B3206" s="9" t="s">
        <v>3216</v>
      </c>
      <c r="C3206" s="9" t="str">
        <f>IFERROR(__xludf.DUMMYFUNCTION("""COMPUTED_VALUE"""),""":""")</f>
        <v>":"</v>
      </c>
      <c r="D3206" s="24">
        <v>2.0389307255441314E19</v>
      </c>
      <c r="E3206" s="9" t="str">
        <f>IFERROR(__xludf.DUMMYFUNCTION("""COMPUTED_VALUE"""),""",")</f>
        <v>",</v>
      </c>
    </row>
    <row r="3207">
      <c r="A3207" s="9" t="str">
        <f>IFERROR(__xludf.DUMMYFUNCTION("""COMPUTED_VALUE"""),"""")</f>
        <v>"</v>
      </c>
      <c r="B3207" s="9" t="s">
        <v>3217</v>
      </c>
      <c r="C3207" s="9" t="str">
        <f>IFERROR(__xludf.DUMMYFUNCTION("""COMPUTED_VALUE"""),""":""")</f>
        <v>":"</v>
      </c>
      <c r="D3207" s="24">
        <v>8.231533820825068E19</v>
      </c>
      <c r="E3207" s="9" t="str">
        <f>IFERROR(__xludf.DUMMYFUNCTION("""COMPUTED_VALUE"""),""",")</f>
        <v>",</v>
      </c>
    </row>
    <row r="3208">
      <c r="A3208" s="9" t="str">
        <f>IFERROR(__xludf.DUMMYFUNCTION("""COMPUTED_VALUE"""),"""")</f>
        <v>"</v>
      </c>
      <c r="B3208" s="9" t="s">
        <v>3218</v>
      </c>
      <c r="C3208" s="9" t="str">
        <f>IFERROR(__xludf.DUMMYFUNCTION("""COMPUTED_VALUE"""),""":""")</f>
        <v>":"</v>
      </c>
      <c r="D3208" s="24">
        <v>4.6266101405129331E17</v>
      </c>
      <c r="E3208" s="9" t="str">
        <f>IFERROR(__xludf.DUMMYFUNCTION("""COMPUTED_VALUE"""),""",")</f>
        <v>",</v>
      </c>
    </row>
    <row r="3209">
      <c r="A3209" s="9" t="str">
        <f>IFERROR(__xludf.DUMMYFUNCTION("""COMPUTED_VALUE"""),"""")</f>
        <v>"</v>
      </c>
      <c r="B3209" s="9" t="s">
        <v>3219</v>
      </c>
      <c r="C3209" s="9" t="str">
        <f>IFERROR(__xludf.DUMMYFUNCTION("""COMPUTED_VALUE"""),""":""")</f>
        <v>":"</v>
      </c>
      <c r="D3209" s="24">
        <v>1.01092389827628224E18</v>
      </c>
      <c r="E3209" s="9" t="str">
        <f>IFERROR(__xludf.DUMMYFUNCTION("""COMPUTED_VALUE"""),""",")</f>
        <v>",</v>
      </c>
    </row>
    <row r="3210">
      <c r="A3210" s="9" t="str">
        <f>IFERROR(__xludf.DUMMYFUNCTION("""COMPUTED_VALUE"""),"""")</f>
        <v>"</v>
      </c>
      <c r="B3210" s="9" t="s">
        <v>3220</v>
      </c>
      <c r="C3210" s="9" t="str">
        <f>IFERROR(__xludf.DUMMYFUNCTION("""COMPUTED_VALUE"""),""":""")</f>
        <v>":"</v>
      </c>
      <c r="D3210" s="24">
        <v>3.1368626205038662E17</v>
      </c>
      <c r="E3210" s="9" t="str">
        <f>IFERROR(__xludf.DUMMYFUNCTION("""COMPUTED_VALUE"""),""",")</f>
        <v>",</v>
      </c>
    </row>
    <row r="3211">
      <c r="A3211" s="9" t="str">
        <f>IFERROR(__xludf.DUMMYFUNCTION("""COMPUTED_VALUE"""),"""")</f>
        <v>"</v>
      </c>
      <c r="B3211" s="9" t="s">
        <v>3221</v>
      </c>
      <c r="C3211" s="9" t="str">
        <f>IFERROR(__xludf.DUMMYFUNCTION("""COMPUTED_VALUE"""),""":""")</f>
        <v>":"</v>
      </c>
      <c r="D3211" s="24">
        <v>2.5943871170535112E18</v>
      </c>
      <c r="E3211" s="9" t="str">
        <f>IFERROR(__xludf.DUMMYFUNCTION("""COMPUTED_VALUE"""),""",")</f>
        <v>",</v>
      </c>
    </row>
    <row r="3212">
      <c r="A3212" s="9" t="str">
        <f>IFERROR(__xludf.DUMMYFUNCTION("""COMPUTED_VALUE"""),"""")</f>
        <v>"</v>
      </c>
      <c r="B3212" s="9" t="s">
        <v>3222</v>
      </c>
      <c r="C3212" s="9" t="str">
        <f>IFERROR(__xludf.DUMMYFUNCTION("""COMPUTED_VALUE"""),""":""")</f>
        <v>":"</v>
      </c>
      <c r="D3212" s="24">
        <v>6.942673994252912E16</v>
      </c>
      <c r="E3212" s="9" t="str">
        <f>IFERROR(__xludf.DUMMYFUNCTION("""COMPUTED_VALUE"""),""",")</f>
        <v>",</v>
      </c>
    </row>
    <row r="3213">
      <c r="A3213" s="9" t="str">
        <f>IFERROR(__xludf.DUMMYFUNCTION("""COMPUTED_VALUE"""),"""")</f>
        <v>"</v>
      </c>
      <c r="B3213" s="9" t="s">
        <v>3223</v>
      </c>
      <c r="C3213" s="9" t="str">
        <f>IFERROR(__xludf.DUMMYFUNCTION("""COMPUTED_VALUE"""),""":""")</f>
        <v>":"</v>
      </c>
      <c r="D3213" s="24">
        <v>8.6911968421293117E18</v>
      </c>
      <c r="E3213" s="9" t="str">
        <f>IFERROR(__xludf.DUMMYFUNCTION("""COMPUTED_VALUE"""),""",")</f>
        <v>",</v>
      </c>
    </row>
    <row r="3214">
      <c r="A3214" s="9" t="str">
        <f>IFERROR(__xludf.DUMMYFUNCTION("""COMPUTED_VALUE"""),"""")</f>
        <v>"</v>
      </c>
      <c r="B3214" s="9" t="s">
        <v>3224</v>
      </c>
      <c r="C3214" s="9" t="str">
        <f>IFERROR(__xludf.DUMMYFUNCTION("""COMPUTED_VALUE"""),""":""")</f>
        <v>":"</v>
      </c>
      <c r="D3214" s="24">
        <v>7.281832009456643E19</v>
      </c>
      <c r="E3214" s="9" t="str">
        <f>IFERROR(__xludf.DUMMYFUNCTION("""COMPUTED_VALUE"""),""",")</f>
        <v>",</v>
      </c>
    </row>
    <row r="3215">
      <c r="A3215" s="9" t="str">
        <f>IFERROR(__xludf.DUMMYFUNCTION("""COMPUTED_VALUE"""),"""")</f>
        <v>"</v>
      </c>
      <c r="B3215" s="9" t="s">
        <v>3225</v>
      </c>
      <c r="C3215" s="9" t="str">
        <f>IFERROR(__xludf.DUMMYFUNCTION("""COMPUTED_VALUE"""),""":""")</f>
        <v>":"</v>
      </c>
      <c r="D3215" s="24">
        <v>1.9028250799032064E17</v>
      </c>
      <c r="E3215" s="9" t="str">
        <f>IFERROR(__xludf.DUMMYFUNCTION("""COMPUTED_VALUE"""),""",")</f>
        <v>",</v>
      </c>
    </row>
    <row r="3216">
      <c r="A3216" s="9" t="str">
        <f>IFERROR(__xludf.DUMMYFUNCTION("""COMPUTED_VALUE"""),"""")</f>
        <v>"</v>
      </c>
      <c r="B3216" s="9" t="s">
        <v>3226</v>
      </c>
      <c r="C3216" s="9" t="str">
        <f>IFERROR(__xludf.DUMMYFUNCTION("""COMPUTED_VALUE"""),""":""")</f>
        <v>":"</v>
      </c>
      <c r="D3216" s="24">
        <v>4.3239785284225338E17</v>
      </c>
      <c r="E3216" s="9" t="str">
        <f>IFERROR(__xludf.DUMMYFUNCTION("""COMPUTED_VALUE"""),""",")</f>
        <v>",</v>
      </c>
    </row>
    <row r="3217">
      <c r="A3217" s="9" t="str">
        <f>IFERROR(__xludf.DUMMYFUNCTION("""COMPUTED_VALUE"""),"""")</f>
        <v>"</v>
      </c>
      <c r="B3217" s="9" t="s">
        <v>3227</v>
      </c>
      <c r="C3217" s="9" t="str">
        <f>IFERROR(__xludf.DUMMYFUNCTION("""COMPUTED_VALUE"""),""":""")</f>
        <v>":"</v>
      </c>
      <c r="D3217" s="24">
        <v>6.2055574373312448E17</v>
      </c>
      <c r="E3217" s="9" t="str">
        <f>IFERROR(__xludf.DUMMYFUNCTION("""COMPUTED_VALUE"""),""",")</f>
        <v>",</v>
      </c>
    </row>
    <row r="3218">
      <c r="A3218" s="9" t="str">
        <f>IFERROR(__xludf.DUMMYFUNCTION("""COMPUTED_VALUE"""),"""")</f>
        <v>"</v>
      </c>
      <c r="B3218" s="9" t="s">
        <v>3228</v>
      </c>
      <c r="C3218" s="9" t="str">
        <f>IFERROR(__xludf.DUMMYFUNCTION("""COMPUTED_VALUE"""),""":""")</f>
        <v>":"</v>
      </c>
      <c r="D3218" s="24">
        <v>3.8954999466669338E17</v>
      </c>
      <c r="E3218" s="9" t="str">
        <f>IFERROR(__xludf.DUMMYFUNCTION("""COMPUTED_VALUE"""),""",")</f>
        <v>",</v>
      </c>
    </row>
    <row r="3219">
      <c r="A3219" s="9" t="str">
        <f>IFERROR(__xludf.DUMMYFUNCTION("""COMPUTED_VALUE"""),"""")</f>
        <v>"</v>
      </c>
      <c r="B3219" s="9" t="s">
        <v>3229</v>
      </c>
      <c r="C3219" s="9" t="str">
        <f>IFERROR(__xludf.DUMMYFUNCTION("""COMPUTED_VALUE"""),""":""")</f>
        <v>":"</v>
      </c>
      <c r="D3219" s="24">
        <v>3.9714402006292448E17</v>
      </c>
      <c r="E3219" s="9" t="str">
        <f>IFERROR(__xludf.DUMMYFUNCTION("""COMPUTED_VALUE"""),""",")</f>
        <v>",</v>
      </c>
    </row>
    <row r="3220">
      <c r="A3220" s="9" t="str">
        <f>IFERROR(__xludf.DUMMYFUNCTION("""COMPUTED_VALUE"""),"""")</f>
        <v>"</v>
      </c>
      <c r="B3220" s="9" t="s">
        <v>3230</v>
      </c>
      <c r="C3220" s="9" t="str">
        <f>IFERROR(__xludf.DUMMYFUNCTION("""COMPUTED_VALUE"""),""":""")</f>
        <v>":"</v>
      </c>
      <c r="D3220" s="24">
        <v>9.1766982819310234E17</v>
      </c>
      <c r="E3220" s="9" t="str">
        <f>IFERROR(__xludf.DUMMYFUNCTION("""COMPUTED_VALUE"""),""",")</f>
        <v>",</v>
      </c>
    </row>
    <row r="3221">
      <c r="A3221" s="9" t="str">
        <f>IFERROR(__xludf.DUMMYFUNCTION("""COMPUTED_VALUE"""),"""")</f>
        <v>"</v>
      </c>
      <c r="B3221" s="9" t="s">
        <v>3231</v>
      </c>
      <c r="C3221" s="9" t="str">
        <f>IFERROR(__xludf.DUMMYFUNCTION("""COMPUTED_VALUE"""),""":""")</f>
        <v>":"</v>
      </c>
      <c r="D3221" s="24">
        <v>5.2035945786286674E18</v>
      </c>
      <c r="E3221" s="9" t="str">
        <f>IFERROR(__xludf.DUMMYFUNCTION("""COMPUTED_VALUE"""),""",")</f>
        <v>",</v>
      </c>
    </row>
    <row r="3222">
      <c r="A3222" s="9" t="str">
        <f>IFERROR(__xludf.DUMMYFUNCTION("""COMPUTED_VALUE"""),"""")</f>
        <v>"</v>
      </c>
      <c r="B3222" s="9" t="s">
        <v>3232</v>
      </c>
      <c r="C3222" s="9" t="str">
        <f>IFERROR(__xludf.DUMMYFUNCTION("""COMPUTED_VALUE"""),""":""")</f>
        <v>":"</v>
      </c>
      <c r="D3222" s="24">
        <v>4.3239785284225338E17</v>
      </c>
      <c r="E3222" s="9" t="str">
        <f>IFERROR(__xludf.DUMMYFUNCTION("""COMPUTED_VALUE"""),""",")</f>
        <v>",</v>
      </c>
    </row>
    <row r="3223">
      <c r="A3223" s="9" t="str">
        <f>IFERROR(__xludf.DUMMYFUNCTION("""COMPUTED_VALUE"""),"""")</f>
        <v>"</v>
      </c>
      <c r="B3223" s="9" t="s">
        <v>3233</v>
      </c>
      <c r="C3223" s="9" t="str">
        <f>IFERROR(__xludf.DUMMYFUNCTION("""COMPUTED_VALUE"""),""":""")</f>
        <v>":"</v>
      </c>
      <c r="D3223" s="24">
        <v>5.632143766289645E20</v>
      </c>
      <c r="E3223" s="9" t="str">
        <f>IFERROR(__xludf.DUMMYFUNCTION("""COMPUTED_VALUE"""),""",")</f>
        <v>",</v>
      </c>
    </row>
    <row r="3224">
      <c r="A3224" s="9" t="str">
        <f>IFERROR(__xludf.DUMMYFUNCTION("""COMPUTED_VALUE"""),"""")</f>
        <v>"</v>
      </c>
      <c r="B3224" s="9" t="s">
        <v>3234</v>
      </c>
      <c r="C3224" s="9" t="str">
        <f>IFERROR(__xludf.DUMMYFUNCTION("""COMPUTED_VALUE"""),""":""")</f>
        <v>":"</v>
      </c>
      <c r="D3224" s="24">
        <v>2.41601943149735584E17</v>
      </c>
      <c r="E3224" s="9" t="str">
        <f>IFERROR(__xludf.DUMMYFUNCTION("""COMPUTED_VALUE"""),""",")</f>
        <v>",</v>
      </c>
    </row>
    <row r="3225">
      <c r="A3225" s="9" t="str">
        <f>IFERROR(__xludf.DUMMYFUNCTION("""COMPUTED_VALUE"""),"""")</f>
        <v>"</v>
      </c>
      <c r="B3225" s="9" t="s">
        <v>3235</v>
      </c>
      <c r="C3225" s="9" t="str">
        <f>IFERROR(__xludf.DUMMYFUNCTION("""COMPUTED_VALUE"""),""":""")</f>
        <v>":"</v>
      </c>
      <c r="D3225" s="24">
        <v>4.3239785284225331E18</v>
      </c>
      <c r="E3225" s="9" t="str">
        <f>IFERROR(__xludf.DUMMYFUNCTION("""COMPUTED_VALUE"""),""",")</f>
        <v>",</v>
      </c>
    </row>
    <row r="3226">
      <c r="A3226" s="9" t="str">
        <f>IFERROR(__xludf.DUMMYFUNCTION("""COMPUTED_VALUE"""),"""")</f>
        <v>"</v>
      </c>
      <c r="B3226" s="9" t="s">
        <v>3236</v>
      </c>
      <c r="C3226" s="9" t="str">
        <f>IFERROR(__xludf.DUMMYFUNCTION("""COMPUTED_VALUE"""),""":""")</f>
        <v>":"</v>
      </c>
      <c r="D3226" s="24">
        <v>8.8098948267527117E17</v>
      </c>
      <c r="E3226" s="9" t="str">
        <f>IFERROR(__xludf.DUMMYFUNCTION("""COMPUTED_VALUE"""),""",")</f>
        <v>",</v>
      </c>
    </row>
    <row r="3227">
      <c r="A3227" s="9" t="str">
        <f>IFERROR(__xludf.DUMMYFUNCTION("""COMPUTED_VALUE"""),"""")</f>
        <v>"</v>
      </c>
      <c r="B3227" s="9" t="s">
        <v>3237</v>
      </c>
      <c r="C3227" s="9" t="str">
        <f>IFERROR(__xludf.DUMMYFUNCTION("""COMPUTED_VALUE"""),""":""")</f>
        <v>":"</v>
      </c>
      <c r="D3227" s="24">
        <v>4.3239785284225338E17</v>
      </c>
      <c r="E3227" s="9" t="str">
        <f>IFERROR(__xludf.DUMMYFUNCTION("""COMPUTED_VALUE"""),""",")</f>
        <v>",</v>
      </c>
    </row>
    <row r="3228">
      <c r="A3228" s="9" t="str">
        <f>IFERROR(__xludf.DUMMYFUNCTION("""COMPUTED_VALUE"""),"""")</f>
        <v>"</v>
      </c>
      <c r="B3228" s="9" t="s">
        <v>3238</v>
      </c>
      <c r="C3228" s="9" t="str">
        <f>IFERROR(__xludf.DUMMYFUNCTION("""COMPUTED_VALUE"""),""":""")</f>
        <v>":"</v>
      </c>
      <c r="D3228" s="24">
        <v>4.3244520545754675E17</v>
      </c>
      <c r="E3228" s="9" t="str">
        <f>IFERROR(__xludf.DUMMYFUNCTION("""COMPUTED_VALUE"""),""",")</f>
        <v>",</v>
      </c>
    </row>
    <row r="3229">
      <c r="A3229" s="9" t="str">
        <f>IFERROR(__xludf.DUMMYFUNCTION("""COMPUTED_VALUE"""),"""")</f>
        <v>"</v>
      </c>
      <c r="B3229" s="9" t="s">
        <v>3239</v>
      </c>
      <c r="C3229" s="9" t="str">
        <f>IFERROR(__xludf.DUMMYFUNCTION("""COMPUTED_VALUE"""),""":""")</f>
        <v>":"</v>
      </c>
      <c r="D3229" s="24">
        <v>3.902162386271778E19</v>
      </c>
      <c r="E3229" s="9" t="str">
        <f>IFERROR(__xludf.DUMMYFUNCTION("""COMPUTED_VALUE"""),""",")</f>
        <v>",</v>
      </c>
    </row>
    <row r="3230">
      <c r="A3230" s="9" t="str">
        <f>IFERROR(__xludf.DUMMYFUNCTION("""COMPUTED_VALUE"""),"""")</f>
        <v>"</v>
      </c>
      <c r="B3230" s="9" t="s">
        <v>3240</v>
      </c>
      <c r="C3230" s="9" t="str">
        <f>IFERROR(__xludf.DUMMYFUNCTION("""COMPUTED_VALUE"""),""":""")</f>
        <v>":"</v>
      </c>
      <c r="D3230" s="24">
        <v>2.5943871170535112E18</v>
      </c>
      <c r="E3230" s="9" t="str">
        <f>IFERROR(__xludf.DUMMYFUNCTION("""COMPUTED_VALUE"""),""",")</f>
        <v>",</v>
      </c>
    </row>
    <row r="3231">
      <c r="A3231" s="9" t="str">
        <f>IFERROR(__xludf.DUMMYFUNCTION("""COMPUTED_VALUE"""),"""")</f>
        <v>"</v>
      </c>
      <c r="B3231" s="9" t="s">
        <v>3241</v>
      </c>
      <c r="C3231" s="9" t="str">
        <f>IFERROR(__xludf.DUMMYFUNCTION("""COMPUTED_VALUE"""),""":""")</f>
        <v>":"</v>
      </c>
      <c r="D3231" s="24">
        <v>3.9399951297401545E19</v>
      </c>
      <c r="E3231" s="9" t="str">
        <f>IFERROR(__xludf.DUMMYFUNCTION("""COMPUTED_VALUE"""),""",")</f>
        <v>",</v>
      </c>
    </row>
    <row r="3232">
      <c r="A3232" s="9" t="str">
        <f>IFERROR(__xludf.DUMMYFUNCTION("""COMPUTED_VALUE"""),"""")</f>
        <v>"</v>
      </c>
      <c r="B3232" s="9" t="s">
        <v>3242</v>
      </c>
      <c r="C3232" s="9" t="str">
        <f>IFERROR(__xludf.DUMMYFUNCTION("""COMPUTED_VALUE"""),""":""")</f>
        <v>":"</v>
      </c>
      <c r="D3232" s="24">
        <v>4.0028899980820448E17</v>
      </c>
      <c r="E3232" s="9" t="str">
        <f>IFERROR(__xludf.DUMMYFUNCTION("""COMPUTED_VALUE"""),""",")</f>
        <v>",</v>
      </c>
    </row>
    <row r="3233">
      <c r="A3233" s="9" t="str">
        <f>IFERROR(__xludf.DUMMYFUNCTION("""COMPUTED_VALUE"""),"""")</f>
        <v>"</v>
      </c>
      <c r="B3233" s="9" t="s">
        <v>3243</v>
      </c>
      <c r="C3233" s="9" t="str">
        <f>IFERROR(__xludf.DUMMYFUNCTION("""COMPUTED_VALUE"""),""":""")</f>
        <v>":"</v>
      </c>
      <c r="D3233" s="24">
        <v>1.1776265916689023E19</v>
      </c>
      <c r="E3233" s="9" t="str">
        <f>IFERROR(__xludf.DUMMYFUNCTION("""COMPUTED_VALUE"""),""",")</f>
        <v>",</v>
      </c>
    </row>
    <row r="3234">
      <c r="A3234" s="9" t="str">
        <f>IFERROR(__xludf.DUMMYFUNCTION("""COMPUTED_VALUE"""),"""")</f>
        <v>"</v>
      </c>
      <c r="B3234" s="9" t="s">
        <v>3244</v>
      </c>
      <c r="C3234" s="9" t="str">
        <f>IFERROR(__xludf.DUMMYFUNCTION("""COMPUTED_VALUE"""),""":""")</f>
        <v>":"</v>
      </c>
      <c r="D3234" s="24">
        <v>2.21769520576663136E17</v>
      </c>
      <c r="E3234" s="9" t="str">
        <f>IFERROR(__xludf.DUMMYFUNCTION("""COMPUTED_VALUE"""),""",")</f>
        <v>",</v>
      </c>
    </row>
    <row r="3235">
      <c r="A3235" s="9" t="str">
        <f>IFERROR(__xludf.DUMMYFUNCTION("""COMPUTED_VALUE"""),"""")</f>
        <v>"</v>
      </c>
      <c r="B3235" s="9" t="s">
        <v>3245</v>
      </c>
      <c r="C3235" s="9" t="str">
        <f>IFERROR(__xludf.DUMMYFUNCTION("""COMPUTED_VALUE"""),""":""")</f>
        <v>":"</v>
      </c>
      <c r="D3235" s="24">
        <v>6.5963592549628902E17</v>
      </c>
      <c r="E3235" s="9" t="str">
        <f>IFERROR(__xludf.DUMMYFUNCTION("""COMPUTED_VALUE"""),""",")</f>
        <v>",</v>
      </c>
    </row>
    <row r="3236">
      <c r="A3236" s="9" t="str">
        <f>IFERROR(__xludf.DUMMYFUNCTION("""COMPUTED_VALUE"""),"""")</f>
        <v>"</v>
      </c>
      <c r="B3236" s="9" t="s">
        <v>3246</v>
      </c>
      <c r="C3236" s="9" t="str">
        <f>IFERROR(__xludf.DUMMYFUNCTION("""COMPUTED_VALUE"""),""":""")</f>
        <v>":"</v>
      </c>
      <c r="D3236" s="24">
        <v>3.7851014485421114E17</v>
      </c>
      <c r="E3236" s="9" t="str">
        <f>IFERROR(__xludf.DUMMYFUNCTION("""COMPUTED_VALUE"""),""",")</f>
        <v>",</v>
      </c>
    </row>
    <row r="3237">
      <c r="A3237" s="9" t="str">
        <f>IFERROR(__xludf.DUMMYFUNCTION("""COMPUTED_VALUE"""),"""")</f>
        <v>"</v>
      </c>
      <c r="B3237" s="9" t="s">
        <v>3247</v>
      </c>
      <c r="C3237" s="9" t="str">
        <f>IFERROR(__xludf.DUMMYFUNCTION("""COMPUTED_VALUE"""),""":""")</f>
        <v>":"</v>
      </c>
      <c r="D3237" s="24">
        <v>4.4104580989909779E17</v>
      </c>
      <c r="E3237" s="9" t="str">
        <f>IFERROR(__xludf.DUMMYFUNCTION("""COMPUTED_VALUE"""),""",")</f>
        <v>",</v>
      </c>
    </row>
    <row r="3238">
      <c r="A3238" s="9" t="str">
        <f>IFERROR(__xludf.DUMMYFUNCTION("""COMPUTED_VALUE"""),"""")</f>
        <v>"</v>
      </c>
      <c r="B3238" s="9" t="s">
        <v>3248</v>
      </c>
      <c r="C3238" s="9" t="str">
        <f>IFERROR(__xludf.DUMMYFUNCTION("""COMPUTED_VALUE"""),""":""")</f>
        <v>":"</v>
      </c>
      <c r="D3238" s="24">
        <v>2.4646451816664888E18</v>
      </c>
      <c r="E3238" s="9" t="str">
        <f>IFERROR(__xludf.DUMMYFUNCTION("""COMPUTED_VALUE"""),""",")</f>
        <v>",</v>
      </c>
    </row>
    <row r="3239">
      <c r="A3239" s="9" t="str">
        <f>IFERROR(__xludf.DUMMYFUNCTION("""COMPUTED_VALUE"""),"""")</f>
        <v>"</v>
      </c>
      <c r="B3239" s="9" t="s">
        <v>3249</v>
      </c>
      <c r="C3239" s="9" t="str">
        <f>IFERROR(__xludf.DUMMYFUNCTION("""COMPUTED_VALUE"""),""":""")</f>
        <v>":"</v>
      </c>
      <c r="D3239" s="24">
        <v>4.3239785284225338E17</v>
      </c>
      <c r="E3239" s="9" t="str">
        <f>IFERROR(__xludf.DUMMYFUNCTION("""COMPUTED_VALUE"""),""",")</f>
        <v>",</v>
      </c>
    </row>
    <row r="3240">
      <c r="A3240" s="9" t="str">
        <f>IFERROR(__xludf.DUMMYFUNCTION("""COMPUTED_VALUE"""),"""")</f>
        <v>"</v>
      </c>
      <c r="B3240" s="9" t="s">
        <v>3250</v>
      </c>
      <c r="C3240" s="9" t="str">
        <f>IFERROR(__xludf.DUMMYFUNCTION("""COMPUTED_VALUE"""),""":""")</f>
        <v>":"</v>
      </c>
      <c r="D3240" s="24">
        <v>3.8123629656955334E17</v>
      </c>
      <c r="E3240" s="9" t="str">
        <f>IFERROR(__xludf.DUMMYFUNCTION("""COMPUTED_VALUE"""),""",")</f>
        <v>",</v>
      </c>
    </row>
    <row r="3241">
      <c r="A3241" s="9" t="str">
        <f>IFERROR(__xludf.DUMMYFUNCTION("""COMPUTED_VALUE"""),"""")</f>
        <v>"</v>
      </c>
      <c r="B3241" s="9" t="s">
        <v>3251</v>
      </c>
      <c r="C3241" s="9" t="str">
        <f>IFERROR(__xludf.DUMMYFUNCTION("""COMPUTED_VALUE"""),""":""")</f>
        <v>":"</v>
      </c>
      <c r="D3241" s="24">
        <v>6.2779253916393552E16</v>
      </c>
      <c r="E3241" s="9" t="str">
        <f>IFERROR(__xludf.DUMMYFUNCTION("""COMPUTED_VALUE"""),""",")</f>
        <v>",</v>
      </c>
    </row>
    <row r="3242">
      <c r="A3242" s="9" t="str">
        <f>IFERROR(__xludf.DUMMYFUNCTION("""COMPUTED_VALUE"""),"""")</f>
        <v>"</v>
      </c>
      <c r="B3242" s="9" t="s">
        <v>3252</v>
      </c>
      <c r="C3242" s="9" t="str">
        <f>IFERROR(__xludf.DUMMYFUNCTION("""COMPUTED_VALUE"""),""":""")</f>
        <v>":"</v>
      </c>
      <c r="D3242" s="24">
        <v>2.956009512310311E17</v>
      </c>
      <c r="E3242" s="9" t="str">
        <f>IFERROR(__xludf.DUMMYFUNCTION("""COMPUTED_VALUE"""),""",")</f>
        <v>",</v>
      </c>
    </row>
    <row r="3243">
      <c r="A3243" s="9" t="str">
        <f>IFERROR(__xludf.DUMMYFUNCTION("""COMPUTED_VALUE"""),"""")</f>
        <v>"</v>
      </c>
      <c r="B3243" s="9" t="s">
        <v>3253</v>
      </c>
      <c r="C3243" s="9" t="str">
        <f>IFERROR(__xludf.DUMMYFUNCTION("""COMPUTED_VALUE"""),""":""")</f>
        <v>":"</v>
      </c>
      <c r="D3243" s="24">
        <v>2.9385471611457779E17</v>
      </c>
      <c r="E3243" s="9" t="str">
        <f>IFERROR(__xludf.DUMMYFUNCTION("""COMPUTED_VALUE"""),""",")</f>
        <v>",</v>
      </c>
    </row>
    <row r="3244">
      <c r="A3244" s="9" t="str">
        <f>IFERROR(__xludf.DUMMYFUNCTION("""COMPUTED_VALUE"""),"""")</f>
        <v>"</v>
      </c>
      <c r="B3244" s="9" t="s">
        <v>3254</v>
      </c>
      <c r="C3244" s="9" t="str">
        <f>IFERROR(__xludf.DUMMYFUNCTION("""COMPUTED_VALUE"""),""":""")</f>
        <v>":"</v>
      </c>
      <c r="D3244" s="24">
        <v>4.3738206924276448E17</v>
      </c>
      <c r="E3244" s="9" t="str">
        <f>IFERROR(__xludf.DUMMYFUNCTION("""COMPUTED_VALUE"""),""",")</f>
        <v>",</v>
      </c>
    </row>
    <row r="3245">
      <c r="A3245" s="9" t="str">
        <f>IFERROR(__xludf.DUMMYFUNCTION("""COMPUTED_VALUE"""),"""")</f>
        <v>"</v>
      </c>
      <c r="B3245" s="9" t="s">
        <v>3255</v>
      </c>
      <c r="C3245" s="9" t="str">
        <f>IFERROR(__xludf.DUMMYFUNCTION("""COMPUTED_VALUE"""),""":""")</f>
        <v>":"</v>
      </c>
      <c r="D3245" s="24">
        <v>4.132255294731689E17</v>
      </c>
      <c r="E3245" s="9" t="str">
        <f>IFERROR(__xludf.DUMMYFUNCTION("""COMPUTED_VALUE"""),""",")</f>
        <v>",</v>
      </c>
    </row>
    <row r="3246">
      <c r="A3246" s="9" t="str">
        <f>IFERROR(__xludf.DUMMYFUNCTION("""COMPUTED_VALUE"""),"""")</f>
        <v>"</v>
      </c>
      <c r="B3246" s="9" t="s">
        <v>3256</v>
      </c>
      <c r="C3246" s="9" t="str">
        <f>IFERROR(__xludf.DUMMYFUNCTION("""COMPUTED_VALUE"""),""":""")</f>
        <v>":"</v>
      </c>
      <c r="D3246" s="24">
        <v>2.4257247369978665E18</v>
      </c>
      <c r="E3246" s="9" t="str">
        <f>IFERROR(__xludf.DUMMYFUNCTION("""COMPUTED_VALUE"""),""",")</f>
        <v>",</v>
      </c>
    </row>
    <row r="3247">
      <c r="A3247" s="9" t="str">
        <f>IFERROR(__xludf.DUMMYFUNCTION("""COMPUTED_VALUE"""),"""")</f>
        <v>"</v>
      </c>
      <c r="B3247" s="9" t="s">
        <v>3257</v>
      </c>
      <c r="C3247" s="9" t="str">
        <f>IFERROR(__xludf.DUMMYFUNCTION("""COMPUTED_VALUE"""),""":""")</f>
        <v>":"</v>
      </c>
      <c r="D3247" s="24">
        <v>2.5943871170535112E18</v>
      </c>
      <c r="E3247" s="9" t="str">
        <f>IFERROR(__xludf.DUMMYFUNCTION("""COMPUTED_VALUE"""),""",")</f>
        <v>",</v>
      </c>
    </row>
    <row r="3248">
      <c r="A3248" s="9" t="str">
        <f>IFERROR(__xludf.DUMMYFUNCTION("""COMPUTED_VALUE"""),"""")</f>
        <v>"</v>
      </c>
      <c r="B3248" s="9" t="s">
        <v>3258</v>
      </c>
      <c r="C3248" s="9" t="str">
        <f>IFERROR(__xludf.DUMMYFUNCTION("""COMPUTED_VALUE"""),""":""")</f>
        <v>":"</v>
      </c>
      <c r="D3248" s="24">
        <v>1.503821803842578E19</v>
      </c>
      <c r="E3248" s="9" t="str">
        <f>IFERROR(__xludf.DUMMYFUNCTION("""COMPUTED_VALUE"""),""",")</f>
        <v>",</v>
      </c>
    </row>
    <row r="3249">
      <c r="A3249" s="9" t="str">
        <f>IFERROR(__xludf.DUMMYFUNCTION("""COMPUTED_VALUE"""),"""")</f>
        <v>"</v>
      </c>
      <c r="B3249" s="9" t="s">
        <v>3259</v>
      </c>
      <c r="C3249" s="9" t="str">
        <f>IFERROR(__xludf.DUMMYFUNCTION("""COMPUTED_VALUE"""),""":""")</f>
        <v>":"</v>
      </c>
      <c r="D3249" s="24">
        <v>2.26465585714328883E18</v>
      </c>
      <c r="E3249" s="9" t="str">
        <f>IFERROR(__xludf.DUMMYFUNCTION("""COMPUTED_VALUE"""),""",")</f>
        <v>",</v>
      </c>
    </row>
    <row r="3250">
      <c r="A3250" s="9" t="str">
        <f>IFERROR(__xludf.DUMMYFUNCTION("""COMPUTED_VALUE"""),"""")</f>
        <v>"</v>
      </c>
      <c r="B3250" s="9" t="s">
        <v>3260</v>
      </c>
      <c r="C3250" s="9" t="str">
        <f>IFERROR(__xludf.DUMMYFUNCTION("""COMPUTED_VALUE"""),""":""")</f>
        <v>":"</v>
      </c>
      <c r="D3250" s="24">
        <v>4.334016614394889E17</v>
      </c>
      <c r="E3250" s="9" t="str">
        <f>IFERROR(__xludf.DUMMYFUNCTION("""COMPUTED_VALUE"""),""",")</f>
        <v>",</v>
      </c>
    </row>
    <row r="3251">
      <c r="A3251" s="9" t="str">
        <f>IFERROR(__xludf.DUMMYFUNCTION("""COMPUTED_VALUE"""),"""")</f>
        <v>"</v>
      </c>
      <c r="B3251" s="9" t="s">
        <v>3261</v>
      </c>
      <c r="C3251" s="9" t="str">
        <f>IFERROR(__xludf.DUMMYFUNCTION("""COMPUTED_VALUE"""),""":""")</f>
        <v>":"</v>
      </c>
      <c r="D3251" s="24">
        <v>4.3239785284225338E17</v>
      </c>
      <c r="E3251" s="9" t="str">
        <f>IFERROR(__xludf.DUMMYFUNCTION("""COMPUTED_VALUE"""),""",")</f>
        <v>",</v>
      </c>
    </row>
    <row r="3252">
      <c r="A3252" s="9" t="str">
        <f>IFERROR(__xludf.DUMMYFUNCTION("""COMPUTED_VALUE"""),"""")</f>
        <v>"</v>
      </c>
      <c r="B3252" s="9" t="s">
        <v>3262</v>
      </c>
      <c r="C3252" s="9" t="str">
        <f>IFERROR(__xludf.DUMMYFUNCTION("""COMPUTED_VALUE"""),""":""")</f>
        <v>":"</v>
      </c>
      <c r="D3252" s="24">
        <v>2.3191047941858E20</v>
      </c>
      <c r="E3252" s="9" t="str">
        <f>IFERROR(__xludf.DUMMYFUNCTION("""COMPUTED_VALUE"""),""",")</f>
        <v>",</v>
      </c>
    </row>
    <row r="3253">
      <c r="A3253" s="9" t="str">
        <f>IFERROR(__xludf.DUMMYFUNCTION("""COMPUTED_VALUE"""),"""")</f>
        <v>"</v>
      </c>
      <c r="B3253" s="9" t="s">
        <v>3263</v>
      </c>
      <c r="C3253" s="9" t="str">
        <f>IFERROR(__xludf.DUMMYFUNCTION("""COMPUTED_VALUE"""),""":""")</f>
        <v>":"</v>
      </c>
      <c r="D3253" s="24">
        <v>3.5765027556326004E16</v>
      </c>
      <c r="E3253" s="9" t="str">
        <f>IFERROR(__xludf.DUMMYFUNCTION("""COMPUTED_VALUE"""),""",")</f>
        <v>",</v>
      </c>
    </row>
    <row r="3254">
      <c r="A3254" s="9" t="str">
        <f>IFERROR(__xludf.DUMMYFUNCTION("""COMPUTED_VALUE"""),"""")</f>
        <v>"</v>
      </c>
      <c r="B3254" s="9" t="s">
        <v>3264</v>
      </c>
      <c r="C3254" s="9" t="str">
        <f>IFERROR(__xludf.DUMMYFUNCTION("""COMPUTED_VALUE"""),""":""")</f>
        <v>":"</v>
      </c>
      <c r="D3254" s="24">
        <v>1.25888310876493776E17</v>
      </c>
      <c r="E3254" s="9" t="str">
        <f>IFERROR(__xludf.DUMMYFUNCTION("""COMPUTED_VALUE"""),""",")</f>
        <v>",</v>
      </c>
    </row>
    <row r="3255">
      <c r="A3255" s="9" t="str">
        <f>IFERROR(__xludf.DUMMYFUNCTION("""COMPUTED_VALUE"""),"""")</f>
        <v>"</v>
      </c>
      <c r="B3255" s="9" t="s">
        <v>3265</v>
      </c>
      <c r="C3255" s="9" t="str">
        <f>IFERROR(__xludf.DUMMYFUNCTION("""COMPUTED_VALUE"""),""":""")</f>
        <v>":"</v>
      </c>
      <c r="D3255" s="24">
        <v>2.04863586390859546E18</v>
      </c>
      <c r="E3255" s="9" t="str">
        <f>IFERROR(__xludf.DUMMYFUNCTION("""COMPUTED_VALUE"""),""",")</f>
        <v>",</v>
      </c>
    </row>
    <row r="3256">
      <c r="A3256" s="9" t="str">
        <f>IFERROR(__xludf.DUMMYFUNCTION("""COMPUTED_VALUE"""),"""")</f>
        <v>"</v>
      </c>
      <c r="B3256" s="9" t="s">
        <v>3266</v>
      </c>
      <c r="C3256" s="9" t="str">
        <f>IFERROR(__xludf.DUMMYFUNCTION("""COMPUTED_VALUE"""),""":""")</f>
        <v>":"</v>
      </c>
      <c r="D3256" s="24">
        <v>1.9328003054034601E18</v>
      </c>
      <c r="E3256" s="9" t="str">
        <f>IFERROR(__xludf.DUMMYFUNCTION("""COMPUTED_VALUE"""),""",")</f>
        <v>",</v>
      </c>
    </row>
    <row r="3257">
      <c r="A3257" s="9" t="str">
        <f>IFERROR(__xludf.DUMMYFUNCTION("""COMPUTED_VALUE"""),"""")</f>
        <v>"</v>
      </c>
      <c r="B3257" s="9" t="s">
        <v>3267</v>
      </c>
      <c r="C3257" s="9" t="str">
        <f>IFERROR(__xludf.DUMMYFUNCTION("""COMPUTED_VALUE"""),""":""")</f>
        <v>":"</v>
      </c>
      <c r="D3257" s="24">
        <v>5.216793614971223E18</v>
      </c>
      <c r="E3257" s="9" t="str">
        <f>IFERROR(__xludf.DUMMYFUNCTION("""COMPUTED_VALUE"""),""",")</f>
        <v>",</v>
      </c>
    </row>
    <row r="3258">
      <c r="A3258" s="9" t="str">
        <f>IFERROR(__xludf.DUMMYFUNCTION("""COMPUTED_VALUE"""),"""")</f>
        <v>"</v>
      </c>
      <c r="B3258" s="9" t="s">
        <v>3268</v>
      </c>
      <c r="C3258" s="9" t="str">
        <f>IFERROR(__xludf.DUMMYFUNCTION("""COMPUTED_VALUE"""),""":""")</f>
        <v>":"</v>
      </c>
      <c r="D3258" s="24">
        <v>1.33285711843049344E17</v>
      </c>
      <c r="E3258" s="9" t="str">
        <f>IFERROR(__xludf.DUMMYFUNCTION("""COMPUTED_VALUE"""),""",")</f>
        <v>",</v>
      </c>
    </row>
    <row r="3259">
      <c r="A3259" s="9" t="str">
        <f>IFERROR(__xludf.DUMMYFUNCTION("""COMPUTED_VALUE"""),"""")</f>
        <v>"</v>
      </c>
      <c r="B3259" s="9" t="s">
        <v>3269</v>
      </c>
      <c r="C3259" s="9" t="str">
        <f>IFERROR(__xludf.DUMMYFUNCTION("""COMPUTED_VALUE"""),""":""")</f>
        <v>":"</v>
      </c>
      <c r="D3259" s="24">
        <v>4.8679931708760218E17</v>
      </c>
      <c r="E3259" s="9" t="str">
        <f>IFERROR(__xludf.DUMMYFUNCTION("""COMPUTED_VALUE"""),""",")</f>
        <v>",</v>
      </c>
    </row>
    <row r="3260">
      <c r="A3260" s="9" t="str">
        <f>IFERROR(__xludf.DUMMYFUNCTION("""COMPUTED_VALUE"""),"""")</f>
        <v>"</v>
      </c>
      <c r="B3260" s="9" t="s">
        <v>3270</v>
      </c>
      <c r="C3260" s="9" t="str">
        <f>IFERROR(__xludf.DUMMYFUNCTION("""COMPUTED_VALUE"""),""":""")</f>
        <v>":"</v>
      </c>
      <c r="D3260" s="24">
        <v>4.3239785284225338E17</v>
      </c>
      <c r="E3260" s="9" t="str">
        <f>IFERROR(__xludf.DUMMYFUNCTION("""COMPUTED_VALUE"""),""",")</f>
        <v>",</v>
      </c>
    </row>
    <row r="3261">
      <c r="A3261" s="9" t="str">
        <f>IFERROR(__xludf.DUMMYFUNCTION("""COMPUTED_VALUE"""),"""")</f>
        <v>"</v>
      </c>
      <c r="B3261" s="9" t="s">
        <v>3271</v>
      </c>
      <c r="C3261" s="9" t="str">
        <f>IFERROR(__xludf.DUMMYFUNCTION("""COMPUTED_VALUE"""),""":""")</f>
        <v>":"</v>
      </c>
      <c r="D3261" s="24">
        <v>3.2268659151490886E17</v>
      </c>
      <c r="E3261" s="9" t="str">
        <f>IFERROR(__xludf.DUMMYFUNCTION("""COMPUTED_VALUE"""),""",")</f>
        <v>",</v>
      </c>
    </row>
    <row r="3262">
      <c r="A3262" s="9" t="str">
        <f>IFERROR(__xludf.DUMMYFUNCTION("""COMPUTED_VALUE"""),"""")</f>
        <v>"</v>
      </c>
      <c r="B3262" s="9" t="s">
        <v>3272</v>
      </c>
      <c r="C3262" s="9" t="str">
        <f>IFERROR(__xludf.DUMMYFUNCTION("""COMPUTED_VALUE"""),""":""")</f>
        <v>":"</v>
      </c>
      <c r="D3262" s="24">
        <v>8.6566050139019121E18</v>
      </c>
      <c r="E3262" s="9" t="str">
        <f>IFERROR(__xludf.DUMMYFUNCTION("""COMPUTED_VALUE"""),""",")</f>
        <v>",</v>
      </c>
    </row>
    <row r="3263">
      <c r="A3263" s="9" t="str">
        <f>IFERROR(__xludf.DUMMYFUNCTION("""COMPUTED_VALUE"""),"""")</f>
        <v>"</v>
      </c>
      <c r="B3263" s="9" t="s">
        <v>3273</v>
      </c>
      <c r="C3263" s="9" t="str">
        <f>IFERROR(__xludf.DUMMYFUNCTION("""COMPUTED_VALUE"""),""":""")</f>
        <v>":"</v>
      </c>
      <c r="D3263" s="24">
        <v>3.0546175311257776E16</v>
      </c>
      <c r="E3263" s="9" t="str">
        <f>IFERROR(__xludf.DUMMYFUNCTION("""COMPUTED_VALUE"""),""",")</f>
        <v>",</v>
      </c>
    </row>
    <row r="3264">
      <c r="A3264" s="9" t="str">
        <f>IFERROR(__xludf.DUMMYFUNCTION("""COMPUTED_VALUE"""),"""")</f>
        <v>"</v>
      </c>
      <c r="B3264" s="9" t="s">
        <v>3274</v>
      </c>
      <c r="C3264" s="9" t="str">
        <f>IFERROR(__xludf.DUMMYFUNCTION("""COMPUTED_VALUE"""),""":""")</f>
        <v>":"</v>
      </c>
      <c r="D3264" s="24">
        <v>4.8139553441449568E17</v>
      </c>
      <c r="E3264" s="9" t="str">
        <f>IFERROR(__xludf.DUMMYFUNCTION("""COMPUTED_VALUE"""),""",")</f>
        <v>",</v>
      </c>
    </row>
    <row r="3265">
      <c r="A3265" s="9" t="str">
        <f>IFERROR(__xludf.DUMMYFUNCTION("""COMPUTED_VALUE"""),"""")</f>
        <v>"</v>
      </c>
      <c r="B3265" s="9" t="s">
        <v>3275</v>
      </c>
      <c r="C3265" s="9" t="str">
        <f>IFERROR(__xludf.DUMMYFUNCTION("""COMPUTED_VALUE"""),""":""")</f>
        <v>":"</v>
      </c>
      <c r="D3265" s="24">
        <v>2.17170514272334016E17</v>
      </c>
      <c r="E3265" s="9" t="str">
        <f>IFERROR(__xludf.DUMMYFUNCTION("""COMPUTED_VALUE"""),""",")</f>
        <v>",</v>
      </c>
    </row>
    <row r="3266">
      <c r="A3266" s="9" t="str">
        <f>IFERROR(__xludf.DUMMYFUNCTION("""COMPUTED_VALUE"""),"""")</f>
        <v>"</v>
      </c>
      <c r="B3266" s="9" t="s">
        <v>3276</v>
      </c>
      <c r="C3266" s="9" t="str">
        <f>IFERROR(__xludf.DUMMYFUNCTION("""COMPUTED_VALUE"""),""":""")</f>
        <v>":"</v>
      </c>
      <c r="D3266" s="24">
        <v>9.1029006471600671E18</v>
      </c>
      <c r="E3266" s="9" t="str">
        <f>IFERROR(__xludf.DUMMYFUNCTION("""COMPUTED_VALUE"""),""",")</f>
        <v>",</v>
      </c>
    </row>
    <row r="3267">
      <c r="A3267" s="9" t="str">
        <f>IFERROR(__xludf.DUMMYFUNCTION("""COMPUTED_VALUE"""),"""")</f>
        <v>"</v>
      </c>
      <c r="B3267" s="9" t="s">
        <v>3277</v>
      </c>
      <c r="C3267" s="9" t="str">
        <f>IFERROR(__xludf.DUMMYFUNCTION("""COMPUTED_VALUE"""),""":""")</f>
        <v>":"</v>
      </c>
      <c r="D3267" s="24">
        <v>4.3992380689331323E18</v>
      </c>
      <c r="E3267" s="9" t="str">
        <f>IFERROR(__xludf.DUMMYFUNCTION("""COMPUTED_VALUE"""),""",")</f>
        <v>",</v>
      </c>
    </row>
    <row r="3268">
      <c r="A3268" s="9" t="str">
        <f>IFERROR(__xludf.DUMMYFUNCTION("""COMPUTED_VALUE"""),"""")</f>
        <v>"</v>
      </c>
      <c r="B3268" s="9" t="s">
        <v>3278</v>
      </c>
      <c r="C3268" s="9" t="str">
        <f>IFERROR(__xludf.DUMMYFUNCTION("""COMPUTED_VALUE"""),""":""")</f>
        <v>":"</v>
      </c>
      <c r="D3268" s="24">
        <v>1.2355790601730288E16</v>
      </c>
      <c r="E3268" s="9" t="str">
        <f>IFERROR(__xludf.DUMMYFUNCTION("""COMPUTED_VALUE"""),""",")</f>
        <v>",</v>
      </c>
    </row>
    <row r="3269">
      <c r="A3269" s="9" t="str">
        <f>IFERROR(__xludf.DUMMYFUNCTION("""COMPUTED_VALUE"""),"""")</f>
        <v>"</v>
      </c>
      <c r="B3269" s="9" t="s">
        <v>3279</v>
      </c>
      <c r="C3269" s="9" t="str">
        <f>IFERROR(__xludf.DUMMYFUNCTION("""COMPUTED_VALUE"""),""":""")</f>
        <v>":"</v>
      </c>
      <c r="D3269" s="24">
        <v>2.2480136539445335E18</v>
      </c>
      <c r="E3269" s="9" t="str">
        <f>IFERROR(__xludf.DUMMYFUNCTION("""COMPUTED_VALUE"""),""",")</f>
        <v>",</v>
      </c>
    </row>
    <row r="3270">
      <c r="A3270" s="9" t="str">
        <f>IFERROR(__xludf.DUMMYFUNCTION("""COMPUTED_VALUE"""),"""")</f>
        <v>"</v>
      </c>
      <c r="B3270" s="9" t="s">
        <v>3280</v>
      </c>
      <c r="C3270" s="9" t="str">
        <f>IFERROR(__xludf.DUMMYFUNCTION("""COMPUTED_VALUE"""),""":""")</f>
        <v>":"</v>
      </c>
      <c r="D3270" s="24">
        <v>1.16747420267408666E18</v>
      </c>
      <c r="E3270" s="9" t="str">
        <f>IFERROR(__xludf.DUMMYFUNCTION("""COMPUTED_VALUE"""),""",")</f>
        <v>",</v>
      </c>
    </row>
    <row r="3271">
      <c r="A3271" s="9" t="str">
        <f>IFERROR(__xludf.DUMMYFUNCTION("""COMPUTED_VALUE"""),"""")</f>
        <v>"</v>
      </c>
      <c r="B3271" s="9" t="s">
        <v>3281</v>
      </c>
      <c r="C3271" s="9" t="str">
        <f>IFERROR(__xludf.DUMMYFUNCTION("""COMPUTED_VALUE"""),""":""")</f>
        <v>":"</v>
      </c>
      <c r="D3271" s="24">
        <v>4.3239785284225338E17</v>
      </c>
      <c r="E3271" s="9" t="str">
        <f>IFERROR(__xludf.DUMMYFUNCTION("""COMPUTED_VALUE"""),""",")</f>
        <v>",</v>
      </c>
    </row>
    <row r="3272">
      <c r="A3272" s="9" t="str">
        <f>IFERROR(__xludf.DUMMYFUNCTION("""COMPUTED_VALUE"""),"""")</f>
        <v>"</v>
      </c>
      <c r="B3272" s="9" t="s">
        <v>3282</v>
      </c>
      <c r="C3272" s="9" t="str">
        <f>IFERROR(__xludf.DUMMYFUNCTION("""COMPUTED_VALUE"""),""":""")</f>
        <v>":"</v>
      </c>
      <c r="D3272" s="24">
        <v>9.5000755474100224E17</v>
      </c>
      <c r="E3272" s="9" t="str">
        <f>IFERROR(__xludf.DUMMYFUNCTION("""COMPUTED_VALUE"""),""",")</f>
        <v>",</v>
      </c>
    </row>
    <row r="3273">
      <c r="A3273" s="9" t="str">
        <f>IFERROR(__xludf.DUMMYFUNCTION("""COMPUTED_VALUE"""),"""")</f>
        <v>"</v>
      </c>
      <c r="B3273" s="9" t="s">
        <v>3283</v>
      </c>
      <c r="C3273" s="9" t="str">
        <f>IFERROR(__xludf.DUMMYFUNCTION("""COMPUTED_VALUE"""),""":""")</f>
        <v>":"</v>
      </c>
      <c r="D3273" s="24">
        <v>3.771459347812889E17</v>
      </c>
      <c r="E3273" s="9" t="str">
        <f>IFERROR(__xludf.DUMMYFUNCTION("""COMPUTED_VALUE"""),""",")</f>
        <v>",</v>
      </c>
    </row>
    <row r="3274">
      <c r="A3274" s="9" t="str">
        <f>IFERROR(__xludf.DUMMYFUNCTION("""COMPUTED_VALUE"""),"""")</f>
        <v>"</v>
      </c>
      <c r="B3274" s="9" t="s">
        <v>3284</v>
      </c>
      <c r="C3274" s="9" t="str">
        <f>IFERROR(__xludf.DUMMYFUNCTION("""COMPUTED_VALUE"""),""":""")</f>
        <v>":"</v>
      </c>
      <c r="D3274" s="24">
        <v>4.4104580989909779E17</v>
      </c>
      <c r="E3274" s="9" t="str">
        <f>IFERROR(__xludf.DUMMYFUNCTION("""COMPUTED_VALUE"""),""",")</f>
        <v>",</v>
      </c>
    </row>
    <row r="3275">
      <c r="A3275" s="9" t="str">
        <f>IFERROR(__xludf.DUMMYFUNCTION("""COMPUTED_VALUE"""),"""")</f>
        <v>"</v>
      </c>
      <c r="B3275" s="9" t="s">
        <v>3285</v>
      </c>
      <c r="C3275" s="9" t="str">
        <f>IFERROR(__xludf.DUMMYFUNCTION("""COMPUTED_VALUE"""),""":""")</f>
        <v>":"</v>
      </c>
      <c r="D3275" s="24">
        <v>2.4797371161921777E18</v>
      </c>
      <c r="E3275" s="9" t="str">
        <f>IFERROR(__xludf.DUMMYFUNCTION("""COMPUTED_VALUE"""),""",")</f>
        <v>",</v>
      </c>
    </row>
    <row r="3276">
      <c r="A3276" s="9" t="str">
        <f>IFERROR(__xludf.DUMMYFUNCTION("""COMPUTED_VALUE"""),"""")</f>
        <v>"</v>
      </c>
      <c r="B3276" s="9" t="s">
        <v>3286</v>
      </c>
      <c r="C3276" s="9" t="str">
        <f>IFERROR(__xludf.DUMMYFUNCTION("""COMPUTED_VALUE"""),""":""")</f>
        <v>":"</v>
      </c>
      <c r="D3276" s="24">
        <v>8.4142889568374003E17</v>
      </c>
      <c r="E3276" s="9" t="str">
        <f>IFERROR(__xludf.DUMMYFUNCTION("""COMPUTED_VALUE"""),""",")</f>
        <v>",</v>
      </c>
    </row>
    <row r="3277">
      <c r="A3277" s="9" t="str">
        <f>IFERROR(__xludf.DUMMYFUNCTION("""COMPUTED_VALUE"""),"""")</f>
        <v>"</v>
      </c>
      <c r="B3277" s="9" t="s">
        <v>3287</v>
      </c>
      <c r="C3277" s="9" t="str">
        <f>IFERROR(__xludf.DUMMYFUNCTION("""COMPUTED_VALUE"""),""":""")</f>
        <v>":"</v>
      </c>
      <c r="D3277" s="24">
        <v>1.17060855448120256E17</v>
      </c>
      <c r="E3277" s="9" t="str">
        <f>IFERROR(__xludf.DUMMYFUNCTION("""COMPUTED_VALUE"""),""",")</f>
        <v>",</v>
      </c>
    </row>
    <row r="3278">
      <c r="A3278" s="9" t="str">
        <f>IFERROR(__xludf.DUMMYFUNCTION("""COMPUTED_VALUE"""),"""")</f>
        <v>"</v>
      </c>
      <c r="B3278" s="9" t="s">
        <v>3288</v>
      </c>
      <c r="C3278" s="9" t="str">
        <f>IFERROR(__xludf.DUMMYFUNCTION("""COMPUTED_VALUE"""),""":""")</f>
        <v>":"</v>
      </c>
      <c r="D3278" s="24">
        <v>8.6106618424214E19</v>
      </c>
      <c r="E3278" s="9" t="str">
        <f>IFERROR(__xludf.DUMMYFUNCTION("""COMPUTED_VALUE"""),""",")</f>
        <v>",</v>
      </c>
    </row>
    <row r="3279">
      <c r="A3279" s="9" t="str">
        <f>IFERROR(__xludf.DUMMYFUNCTION("""COMPUTED_VALUE"""),"""")</f>
        <v>"</v>
      </c>
      <c r="B3279" s="9" t="s">
        <v>3289</v>
      </c>
      <c r="C3279" s="9" t="str">
        <f>IFERROR(__xludf.DUMMYFUNCTION("""COMPUTED_VALUE"""),""":""")</f>
        <v>":"</v>
      </c>
      <c r="D3279" s="24">
        <v>5.2384380713656883E18</v>
      </c>
      <c r="E3279" s="9" t="str">
        <f>IFERROR(__xludf.DUMMYFUNCTION("""COMPUTED_VALUE"""),""",")</f>
        <v>",</v>
      </c>
    </row>
    <row r="3280">
      <c r="A3280" s="9" t="str">
        <f>IFERROR(__xludf.DUMMYFUNCTION("""COMPUTED_VALUE"""),"""")</f>
        <v>"</v>
      </c>
      <c r="B3280" s="9" t="s">
        <v>3290</v>
      </c>
      <c r="C3280" s="9" t="str">
        <f>IFERROR(__xludf.DUMMYFUNCTION("""COMPUTED_VALUE"""),""":""")</f>
        <v>":"</v>
      </c>
      <c r="D3280" s="24">
        <v>4.3264777880119562E18</v>
      </c>
      <c r="E3280" s="9" t="str">
        <f>IFERROR(__xludf.DUMMYFUNCTION("""COMPUTED_VALUE"""),""",")</f>
        <v>",</v>
      </c>
    </row>
    <row r="3281">
      <c r="A3281" s="9" t="str">
        <f>IFERROR(__xludf.DUMMYFUNCTION("""COMPUTED_VALUE"""),"""")</f>
        <v>"</v>
      </c>
      <c r="B3281" s="9" t="s">
        <v>3291</v>
      </c>
      <c r="C3281" s="9" t="str">
        <f>IFERROR(__xludf.DUMMYFUNCTION("""COMPUTED_VALUE"""),""":""")</f>
        <v>":"</v>
      </c>
      <c r="D3281" s="24">
        <v>4.2999128816201779E17</v>
      </c>
      <c r="E3281" s="9" t="str">
        <f>IFERROR(__xludf.DUMMYFUNCTION("""COMPUTED_VALUE"""),""",")</f>
        <v>",</v>
      </c>
    </row>
    <row r="3282">
      <c r="A3282" s="9" t="str">
        <f>IFERROR(__xludf.DUMMYFUNCTION("""COMPUTED_VALUE"""),"""")</f>
        <v>"</v>
      </c>
      <c r="B3282" s="9" t="s">
        <v>3292</v>
      </c>
      <c r="C3282" s="9" t="str">
        <f>IFERROR(__xludf.DUMMYFUNCTION("""COMPUTED_VALUE"""),""":""")</f>
        <v>":"</v>
      </c>
      <c r="D3282" s="24">
        <v>2.16198926421127136E17</v>
      </c>
      <c r="E3282" s="9" t="str">
        <f>IFERROR(__xludf.DUMMYFUNCTION("""COMPUTED_VALUE"""),""",")</f>
        <v>",</v>
      </c>
    </row>
    <row r="3283">
      <c r="A3283" s="9" t="str">
        <f>IFERROR(__xludf.DUMMYFUNCTION("""COMPUTED_VALUE"""),"""")</f>
        <v>"</v>
      </c>
      <c r="B3283" s="9" t="s">
        <v>3293</v>
      </c>
      <c r="C3283" s="9" t="str">
        <f>IFERROR(__xludf.DUMMYFUNCTION("""COMPUTED_VALUE"""),""":""")</f>
        <v>":"</v>
      </c>
      <c r="D3283" s="24">
        <v>5.2375573995328891E18</v>
      </c>
      <c r="E3283" s="9" t="str">
        <f>IFERROR(__xludf.DUMMYFUNCTION("""COMPUTED_VALUE"""),""",")</f>
        <v>",</v>
      </c>
    </row>
    <row r="3284">
      <c r="A3284" s="9" t="str">
        <f>IFERROR(__xludf.DUMMYFUNCTION("""COMPUTED_VALUE"""),"""")</f>
        <v>"</v>
      </c>
      <c r="B3284" s="9" t="s">
        <v>3294</v>
      </c>
      <c r="C3284" s="9" t="str">
        <f>IFERROR(__xludf.DUMMYFUNCTION("""COMPUTED_VALUE"""),""":""")</f>
        <v>":"</v>
      </c>
      <c r="D3284" s="24">
        <v>4.3239785284225338E17</v>
      </c>
      <c r="E3284" s="9" t="str">
        <f>IFERROR(__xludf.DUMMYFUNCTION("""COMPUTED_VALUE"""),""",")</f>
        <v>",</v>
      </c>
    </row>
    <row r="3285">
      <c r="A3285" s="9" t="str">
        <f>IFERROR(__xludf.DUMMYFUNCTION("""COMPUTED_VALUE"""),"""")</f>
        <v>"</v>
      </c>
      <c r="B3285" s="9" t="s">
        <v>3295</v>
      </c>
      <c r="C3285" s="9" t="str">
        <f>IFERROR(__xludf.DUMMYFUNCTION("""COMPUTED_VALUE"""),""":""")</f>
        <v>":"</v>
      </c>
      <c r="D3285" s="24">
        <v>2.34901829141348864E17</v>
      </c>
      <c r="E3285" s="9" t="str">
        <f>IFERROR(__xludf.DUMMYFUNCTION("""COMPUTED_VALUE"""),""",")</f>
        <v>",</v>
      </c>
    </row>
    <row r="3286">
      <c r="A3286" s="9" t="str">
        <f>IFERROR(__xludf.DUMMYFUNCTION("""COMPUTED_VALUE"""),"""")</f>
        <v>"</v>
      </c>
      <c r="B3286" s="9" t="s">
        <v>3296</v>
      </c>
      <c r="C3286" s="9" t="str">
        <f>IFERROR(__xludf.DUMMYFUNCTION("""COMPUTED_VALUE"""),""":""")</f>
        <v>":"</v>
      </c>
      <c r="D3286" s="24">
        <v>4.1277352962436219E18</v>
      </c>
      <c r="E3286" s="9" t="str">
        <f>IFERROR(__xludf.DUMMYFUNCTION("""COMPUTED_VALUE"""),""",")</f>
        <v>",</v>
      </c>
    </row>
    <row r="3287">
      <c r="A3287" s="9" t="str">
        <f>IFERROR(__xludf.DUMMYFUNCTION("""COMPUTED_VALUE"""),"""")</f>
        <v>"</v>
      </c>
      <c r="B3287" s="9" t="s">
        <v>3297</v>
      </c>
      <c r="C3287" s="9" t="str">
        <f>IFERROR(__xludf.DUMMYFUNCTION("""COMPUTED_VALUE"""),""":""")</f>
        <v>":"</v>
      </c>
      <c r="D3287" s="24">
        <v>4.3071033862086221E17</v>
      </c>
      <c r="E3287" s="9" t="str">
        <f>IFERROR(__xludf.DUMMYFUNCTION("""COMPUTED_VALUE"""),""",")</f>
        <v>",</v>
      </c>
    </row>
    <row r="3288">
      <c r="A3288" s="9" t="str">
        <f>IFERROR(__xludf.DUMMYFUNCTION("""COMPUTED_VALUE"""),"""")</f>
        <v>"</v>
      </c>
      <c r="B3288" s="9" t="s">
        <v>3298</v>
      </c>
      <c r="C3288" s="9" t="str">
        <f>IFERROR(__xludf.DUMMYFUNCTION("""COMPUTED_VALUE"""),""":""")</f>
        <v>":"</v>
      </c>
      <c r="D3288" s="24">
        <v>2.28971165421251149E18</v>
      </c>
      <c r="E3288" s="9" t="str">
        <f>IFERROR(__xludf.DUMMYFUNCTION("""COMPUTED_VALUE"""),""",")</f>
        <v>",</v>
      </c>
    </row>
    <row r="3289">
      <c r="A3289" s="9" t="str">
        <f>IFERROR(__xludf.DUMMYFUNCTION("""COMPUTED_VALUE"""),"""")</f>
        <v>"</v>
      </c>
      <c r="B3289" s="9" t="s">
        <v>3299</v>
      </c>
      <c r="C3289" s="9" t="str">
        <f>IFERROR(__xludf.DUMMYFUNCTION("""COMPUTED_VALUE"""),""":""")</f>
        <v>":"</v>
      </c>
      <c r="D3289" s="24">
        <v>4.7820443174305556E18</v>
      </c>
      <c r="E3289" s="9" t="str">
        <f>IFERROR(__xludf.DUMMYFUNCTION("""COMPUTED_VALUE"""),""",")</f>
        <v>",</v>
      </c>
    </row>
    <row r="3290">
      <c r="A3290" s="9" t="str">
        <f>IFERROR(__xludf.DUMMYFUNCTION("""COMPUTED_VALUE"""),"""")</f>
        <v>"</v>
      </c>
      <c r="B3290" s="9" t="s">
        <v>3300</v>
      </c>
      <c r="C3290" s="9" t="str">
        <f>IFERROR(__xludf.DUMMYFUNCTION("""COMPUTED_VALUE"""),""":""")</f>
        <v>":"</v>
      </c>
      <c r="D3290" s="24">
        <v>1.05133688185382672E17</v>
      </c>
      <c r="E3290" s="9" t="str">
        <f>IFERROR(__xludf.DUMMYFUNCTION("""COMPUTED_VALUE"""),""",")</f>
        <v>",</v>
      </c>
    </row>
    <row r="3291">
      <c r="A3291" s="9" t="str">
        <f>IFERROR(__xludf.DUMMYFUNCTION("""COMPUTED_VALUE"""),"""")</f>
        <v>"</v>
      </c>
      <c r="B3291" s="9" t="s">
        <v>3301</v>
      </c>
      <c r="C3291" s="9" t="str">
        <f>IFERROR(__xludf.DUMMYFUNCTION("""COMPUTED_VALUE"""),""":""")</f>
        <v>":"</v>
      </c>
      <c r="D3291" s="24">
        <v>5.7070802898142454E18</v>
      </c>
      <c r="E3291" s="9" t="str">
        <f>IFERROR(__xludf.DUMMYFUNCTION("""COMPUTED_VALUE"""),""",")</f>
        <v>",</v>
      </c>
    </row>
    <row r="3292">
      <c r="A3292" s="9" t="str">
        <f>IFERROR(__xludf.DUMMYFUNCTION("""COMPUTED_VALUE"""),"""")</f>
        <v>"</v>
      </c>
      <c r="B3292" s="9" t="s">
        <v>3302</v>
      </c>
      <c r="C3292" s="9" t="str">
        <f>IFERROR(__xludf.DUMMYFUNCTION("""COMPUTED_VALUE"""),""":""")</f>
        <v>":"</v>
      </c>
      <c r="D3292" s="24">
        <v>3.5532176208031552E17</v>
      </c>
      <c r="E3292" s="9" t="str">
        <f>IFERROR(__xludf.DUMMYFUNCTION("""COMPUTED_VALUE"""),""",")</f>
        <v>",</v>
      </c>
    </row>
    <row r="3293">
      <c r="A3293" s="9" t="str">
        <f>IFERROR(__xludf.DUMMYFUNCTION("""COMPUTED_VALUE"""),"""")</f>
        <v>"</v>
      </c>
      <c r="B3293" s="9" t="s">
        <v>3303</v>
      </c>
      <c r="C3293" s="9" t="str">
        <f>IFERROR(__xludf.DUMMYFUNCTION("""COMPUTED_VALUE"""),""":""")</f>
        <v>":"</v>
      </c>
      <c r="D3293" s="24">
        <v>2.6030350741103555E18</v>
      </c>
      <c r="E3293" s="9" t="str">
        <f>IFERROR(__xludf.DUMMYFUNCTION("""COMPUTED_VALUE"""),""",")</f>
        <v>",</v>
      </c>
    </row>
    <row r="3294">
      <c r="A3294" s="9" t="str">
        <f>IFERROR(__xludf.DUMMYFUNCTION("""COMPUTED_VALUE"""),"""")</f>
        <v>"</v>
      </c>
      <c r="B3294" s="9" t="s">
        <v>3304</v>
      </c>
      <c r="C3294" s="9" t="str">
        <f>IFERROR(__xludf.DUMMYFUNCTION("""COMPUTED_VALUE"""),""":""")</f>
        <v>":"</v>
      </c>
      <c r="D3294" s="24">
        <v>3.3294634668853555E18</v>
      </c>
      <c r="E3294" s="9" t="str">
        <f>IFERROR(__xludf.DUMMYFUNCTION("""COMPUTED_VALUE"""),""",")</f>
        <v>",</v>
      </c>
    </row>
    <row r="3295">
      <c r="A3295" s="9" t="str">
        <f>IFERROR(__xludf.DUMMYFUNCTION("""COMPUTED_VALUE"""),"""")</f>
        <v>"</v>
      </c>
      <c r="B3295" s="9" t="s">
        <v>3305</v>
      </c>
      <c r="C3295" s="9" t="str">
        <f>IFERROR(__xludf.DUMMYFUNCTION("""COMPUTED_VALUE"""),""":""")</f>
        <v>":"</v>
      </c>
      <c r="D3295" s="24">
        <v>2.24352234517833318E18</v>
      </c>
      <c r="E3295" s="9" t="str">
        <f>IFERROR(__xludf.DUMMYFUNCTION("""COMPUTED_VALUE"""),""",")</f>
        <v>",</v>
      </c>
    </row>
    <row r="3296">
      <c r="A3296" s="9" t="str">
        <f>IFERROR(__xludf.DUMMYFUNCTION("""COMPUTED_VALUE"""),"""")</f>
        <v>"</v>
      </c>
      <c r="B3296" s="9" t="s">
        <v>3306</v>
      </c>
      <c r="C3296" s="9" t="str">
        <f>IFERROR(__xludf.DUMMYFUNCTION("""COMPUTED_VALUE"""),""":""")</f>
        <v>":"</v>
      </c>
      <c r="D3296" s="24">
        <v>2.3911708816311777E18</v>
      </c>
      <c r="E3296" s="9" t="str">
        <f>IFERROR(__xludf.DUMMYFUNCTION("""COMPUTED_VALUE"""),""",")</f>
        <v>",</v>
      </c>
    </row>
    <row r="3297">
      <c r="A3297" s="9" t="str">
        <f>IFERROR(__xludf.DUMMYFUNCTION("""COMPUTED_VALUE"""),"""")</f>
        <v>"</v>
      </c>
      <c r="B3297" s="9" t="s">
        <v>3307</v>
      </c>
      <c r="C3297" s="9" t="str">
        <f>IFERROR(__xludf.DUMMYFUNCTION("""COMPUTED_VALUE"""),""":""")</f>
        <v>":"</v>
      </c>
      <c r="D3297" s="24">
        <v>3.910173783252489E19</v>
      </c>
      <c r="E3297" s="9" t="str">
        <f>IFERROR(__xludf.DUMMYFUNCTION("""COMPUTED_VALUE"""),""",")</f>
        <v>",</v>
      </c>
    </row>
    <row r="3298">
      <c r="A3298" s="9" t="str">
        <f>IFERROR(__xludf.DUMMYFUNCTION("""COMPUTED_VALUE"""),"""")</f>
        <v>"</v>
      </c>
      <c r="B3298" s="9" t="s">
        <v>3308</v>
      </c>
      <c r="C3298" s="9" t="str">
        <f>IFERROR(__xludf.DUMMYFUNCTION("""COMPUTED_VALUE"""),""":""")</f>
        <v>":"</v>
      </c>
      <c r="D3298" s="24">
        <v>3.9040709013912448E17</v>
      </c>
      <c r="E3298" s="9" t="str">
        <f>IFERROR(__xludf.DUMMYFUNCTION("""COMPUTED_VALUE"""),""",")</f>
        <v>",</v>
      </c>
    </row>
    <row r="3299">
      <c r="A3299" s="9" t="str">
        <f>IFERROR(__xludf.DUMMYFUNCTION("""COMPUTED_VALUE"""),"""")</f>
        <v>"</v>
      </c>
      <c r="B3299" s="9" t="s">
        <v>3309</v>
      </c>
      <c r="C3299" s="9" t="str">
        <f>IFERROR(__xludf.DUMMYFUNCTION("""COMPUTED_VALUE"""),""":""")</f>
        <v>":"</v>
      </c>
      <c r="D3299" s="24">
        <v>1.96919163374338208E17</v>
      </c>
      <c r="E3299" s="9" t="str">
        <f>IFERROR(__xludf.DUMMYFUNCTION("""COMPUTED_VALUE"""),"""}")</f>
        <v>"}</v>
      </c>
    </row>
    <row r="3300">
      <c r="D3300" s="24"/>
    </row>
    <row r="3301">
      <c r="D3301" s="24"/>
    </row>
    <row r="3302">
      <c r="D3302" s="24"/>
    </row>
    <row r="3303">
      <c r="D3303" s="24"/>
    </row>
    <row r="3304">
      <c r="D3304" s="24"/>
    </row>
    <row r="3305">
      <c r="D3305" s="24"/>
    </row>
    <row r="3306">
      <c r="D3306" s="24"/>
    </row>
    <row r="3307">
      <c r="D3307" s="24"/>
    </row>
    <row r="3308">
      <c r="D3308" s="24"/>
    </row>
    <row r="3309">
      <c r="D3309" s="24"/>
    </row>
    <row r="3310">
      <c r="D3310" s="24"/>
    </row>
    <row r="3311">
      <c r="D3311" s="24"/>
    </row>
    <row r="3312">
      <c r="D3312" s="24"/>
    </row>
    <row r="3313">
      <c r="D3313" s="24"/>
    </row>
    <row r="3314">
      <c r="D3314" s="24"/>
    </row>
    <row r="3315">
      <c r="D3315" s="24"/>
    </row>
    <row r="3316">
      <c r="D3316" s="24"/>
    </row>
    <row r="3317">
      <c r="D3317" s="24"/>
    </row>
    <row r="3318">
      <c r="D3318" s="24"/>
    </row>
    <row r="3319">
      <c r="D3319" s="24"/>
    </row>
    <row r="3320">
      <c r="D3320" s="24"/>
    </row>
    <row r="3321">
      <c r="D3321" s="24"/>
    </row>
    <row r="3322">
      <c r="D3322" s="24"/>
    </row>
    <row r="3323">
      <c r="D3323" s="24"/>
    </row>
    <row r="3324">
      <c r="D3324" s="24"/>
    </row>
    <row r="3325">
      <c r="D3325" s="24"/>
    </row>
    <row r="3326">
      <c r="D3326" s="24"/>
    </row>
    <row r="3327">
      <c r="D3327" s="24"/>
    </row>
    <row r="3328">
      <c r="D3328" s="24"/>
    </row>
    <row r="3329">
      <c r="D3329" s="24"/>
    </row>
    <row r="3330">
      <c r="D3330" s="24"/>
    </row>
    <row r="3331">
      <c r="D3331" s="24"/>
    </row>
    <row r="3332">
      <c r="D3332" s="24"/>
    </row>
    <row r="3333">
      <c r="D3333" s="24"/>
    </row>
    <row r="3334">
      <c r="D3334" s="24"/>
    </row>
    <row r="3335">
      <c r="D3335" s="24"/>
    </row>
    <row r="3336">
      <c r="D3336" s="24"/>
    </row>
    <row r="3337">
      <c r="D3337" s="24"/>
    </row>
    <row r="3338">
      <c r="D3338" s="24"/>
    </row>
    <row r="3339">
      <c r="D3339" s="24"/>
    </row>
    <row r="3340">
      <c r="D3340" s="24"/>
    </row>
    <row r="3341">
      <c r="D3341" s="24"/>
    </row>
    <row r="3342">
      <c r="D3342" s="24"/>
    </row>
    <row r="3343">
      <c r="D3343" s="24"/>
    </row>
    <row r="3344">
      <c r="D3344" s="24"/>
    </row>
    <row r="3345">
      <c r="D3345" s="24"/>
    </row>
    <row r="3346">
      <c r="D3346" s="24"/>
    </row>
    <row r="3347">
      <c r="D3347" s="24"/>
    </row>
    <row r="3348">
      <c r="D3348" s="24"/>
    </row>
    <row r="3349">
      <c r="D3349" s="24"/>
    </row>
    <row r="3350">
      <c r="D3350" s="24"/>
    </row>
    <row r="3351">
      <c r="D3351" s="24"/>
    </row>
    <row r="3352">
      <c r="D3352" s="24"/>
    </row>
    <row r="3353">
      <c r="D3353" s="24"/>
    </row>
    <row r="3354">
      <c r="D3354" s="24"/>
    </row>
    <row r="3355">
      <c r="D3355" s="24"/>
    </row>
    <row r="3356">
      <c r="D3356" s="24"/>
    </row>
    <row r="3357">
      <c r="D3357" s="24"/>
    </row>
    <row r="3358">
      <c r="D3358" s="24"/>
    </row>
    <row r="3359">
      <c r="D3359" s="24"/>
    </row>
    <row r="3360">
      <c r="D3360" s="24"/>
    </row>
    <row r="3361">
      <c r="D3361" s="24"/>
    </row>
    <row r="3362">
      <c r="D3362" s="24"/>
    </row>
    <row r="3363">
      <c r="D3363" s="24"/>
    </row>
    <row r="3364">
      <c r="D3364" s="24"/>
    </row>
    <row r="3365">
      <c r="D3365" s="24"/>
    </row>
    <row r="3366">
      <c r="D3366" s="24"/>
    </row>
    <row r="3367">
      <c r="D3367" s="24"/>
    </row>
    <row r="3368">
      <c r="D3368" s="24"/>
    </row>
    <row r="3369">
      <c r="D3369" s="24"/>
    </row>
    <row r="3370">
      <c r="D3370" s="24"/>
    </row>
    <row r="3371">
      <c r="D3371" s="24"/>
    </row>
    <row r="3372">
      <c r="D3372" s="24"/>
    </row>
    <row r="3373">
      <c r="D3373" s="24"/>
    </row>
    <row r="3374">
      <c r="D3374" s="24"/>
    </row>
    <row r="3375">
      <c r="D3375" s="24"/>
    </row>
    <row r="3376">
      <c r="D3376" s="24"/>
    </row>
    <row r="3377">
      <c r="D3377" s="24"/>
    </row>
    <row r="3378">
      <c r="D3378" s="24"/>
    </row>
    <row r="3379">
      <c r="D3379" s="24"/>
    </row>
    <row r="3380">
      <c r="D3380" s="24"/>
    </row>
    <row r="3381">
      <c r="D3381" s="24"/>
    </row>
    <row r="3382">
      <c r="D3382" s="24"/>
    </row>
    <row r="3383">
      <c r="D3383" s="24"/>
    </row>
    <row r="3384">
      <c r="D3384" s="24"/>
    </row>
    <row r="3385">
      <c r="D3385" s="24"/>
    </row>
    <row r="3386">
      <c r="D3386" s="24"/>
    </row>
    <row r="3387">
      <c r="D3387" s="24"/>
    </row>
    <row r="3388">
      <c r="D3388" s="24"/>
    </row>
    <row r="3389">
      <c r="D3389" s="24"/>
    </row>
    <row r="3390">
      <c r="D3390" s="24"/>
    </row>
    <row r="3391">
      <c r="D3391" s="24"/>
    </row>
    <row r="3392">
      <c r="D3392" s="24"/>
    </row>
    <row r="3393">
      <c r="D3393" s="24"/>
    </row>
    <row r="3394">
      <c r="D3394" s="24"/>
    </row>
    <row r="3395">
      <c r="D3395" s="24"/>
    </row>
    <row r="3396">
      <c r="D3396" s="24"/>
    </row>
    <row r="3397">
      <c r="D3397" s="24"/>
    </row>
    <row r="3398">
      <c r="D3398" s="24"/>
    </row>
    <row r="3399">
      <c r="D3399" s="24"/>
    </row>
    <row r="3400">
      <c r="D3400" s="24"/>
    </row>
    <row r="3401">
      <c r="D3401" s="24"/>
    </row>
    <row r="3402">
      <c r="D3402" s="24"/>
    </row>
    <row r="3403">
      <c r="D3403" s="24"/>
    </row>
    <row r="3404">
      <c r="D3404" s="24"/>
    </row>
    <row r="3405">
      <c r="D3405" s="24"/>
    </row>
    <row r="3406">
      <c r="D3406" s="24"/>
    </row>
    <row r="3407">
      <c r="D3407" s="24"/>
    </row>
    <row r="3408">
      <c r="D3408" s="24"/>
    </row>
    <row r="3409">
      <c r="D3409" s="24"/>
    </row>
    <row r="3410">
      <c r="D3410" s="24"/>
    </row>
    <row r="3411">
      <c r="D3411" s="24"/>
    </row>
    <row r="3412">
      <c r="D3412" s="24"/>
    </row>
    <row r="3413">
      <c r="D3413" s="24"/>
    </row>
    <row r="3414">
      <c r="D3414" s="24"/>
    </row>
    <row r="3415">
      <c r="D3415" s="24"/>
    </row>
    <row r="3416">
      <c r="D3416" s="24"/>
    </row>
    <row r="3417">
      <c r="D3417" s="24"/>
    </row>
    <row r="3418">
      <c r="D3418" s="24"/>
    </row>
    <row r="3419">
      <c r="D3419" s="24"/>
    </row>
    <row r="3420">
      <c r="D3420" s="24"/>
    </row>
    <row r="3421">
      <c r="D3421" s="24"/>
    </row>
    <row r="3422">
      <c r="D3422" s="24"/>
    </row>
    <row r="3423">
      <c r="D3423" s="24"/>
    </row>
    <row r="3424">
      <c r="D3424" s="24"/>
    </row>
    <row r="3425">
      <c r="D3425" s="24"/>
    </row>
    <row r="3426">
      <c r="D3426" s="24"/>
    </row>
    <row r="3427">
      <c r="D3427" s="24"/>
    </row>
    <row r="3428">
      <c r="D3428" s="24"/>
    </row>
    <row r="3429">
      <c r="D3429" s="24"/>
    </row>
    <row r="3430">
      <c r="D3430" s="24"/>
    </row>
    <row r="3431">
      <c r="D3431" s="24"/>
    </row>
    <row r="3432">
      <c r="D3432" s="24"/>
    </row>
    <row r="3433">
      <c r="D3433" s="24"/>
    </row>
    <row r="3434">
      <c r="D3434" s="24"/>
    </row>
    <row r="3435">
      <c r="D3435" s="24"/>
    </row>
    <row r="3436">
      <c r="D3436" s="24"/>
    </row>
    <row r="3437">
      <c r="D3437" s="24"/>
    </row>
    <row r="3438">
      <c r="D3438" s="24"/>
    </row>
    <row r="3439">
      <c r="D3439" s="24"/>
    </row>
    <row r="3440">
      <c r="D3440" s="24"/>
    </row>
    <row r="3441">
      <c r="D3441" s="24"/>
    </row>
    <row r="3442">
      <c r="D3442" s="24"/>
    </row>
    <row r="3443">
      <c r="D3443" s="24"/>
    </row>
    <row r="3444">
      <c r="D3444" s="24"/>
    </row>
    <row r="3445">
      <c r="D3445" s="24"/>
    </row>
    <row r="3446">
      <c r="D3446" s="24"/>
    </row>
    <row r="3447">
      <c r="D3447" s="24"/>
    </row>
    <row r="3448">
      <c r="D3448" s="24"/>
    </row>
    <row r="3449">
      <c r="D3449" s="24"/>
    </row>
    <row r="3450">
      <c r="D3450" s="24"/>
    </row>
    <row r="3451">
      <c r="D3451" s="24"/>
    </row>
    <row r="3452">
      <c r="D3452" s="24"/>
    </row>
    <row r="3453">
      <c r="D3453" s="24"/>
    </row>
    <row r="3454">
      <c r="D3454" s="24"/>
    </row>
    <row r="3455">
      <c r="D3455" s="24"/>
    </row>
    <row r="3456">
      <c r="D3456" s="24"/>
    </row>
    <row r="3457">
      <c r="D3457" s="24"/>
    </row>
    <row r="3458">
      <c r="D3458" s="24"/>
    </row>
    <row r="3459">
      <c r="D3459" s="24"/>
    </row>
    <row r="3460">
      <c r="D3460" s="24"/>
    </row>
    <row r="3461">
      <c r="D3461" s="24"/>
    </row>
    <row r="3462">
      <c r="D3462" s="24"/>
    </row>
    <row r="3463">
      <c r="D3463" s="24"/>
    </row>
    <row r="3464">
      <c r="D3464" s="24"/>
    </row>
    <row r="3465">
      <c r="D3465" s="24"/>
    </row>
    <row r="3466">
      <c r="D3466" s="24"/>
    </row>
    <row r="3467">
      <c r="D3467" s="24"/>
    </row>
    <row r="3468">
      <c r="D3468" s="24"/>
    </row>
    <row r="3469">
      <c r="D3469" s="24"/>
    </row>
    <row r="3470">
      <c r="D3470" s="24"/>
    </row>
    <row r="3471">
      <c r="D3471" s="24"/>
    </row>
    <row r="3472">
      <c r="D3472" s="24"/>
    </row>
    <row r="3473">
      <c r="D3473" s="24"/>
    </row>
    <row r="3474">
      <c r="D3474" s="24"/>
    </row>
    <row r="3475">
      <c r="D3475" s="24"/>
    </row>
    <row r="3476">
      <c r="D3476" s="24"/>
    </row>
    <row r="3477">
      <c r="D3477" s="24"/>
    </row>
    <row r="3478">
      <c r="D3478" s="24"/>
    </row>
    <row r="3479">
      <c r="D3479" s="24"/>
    </row>
    <row r="3480">
      <c r="D3480" s="24"/>
    </row>
    <row r="3481">
      <c r="D3481" s="24"/>
    </row>
    <row r="3482">
      <c r="D3482" s="24"/>
    </row>
    <row r="3483">
      <c r="D3483" s="24"/>
    </row>
    <row r="3484">
      <c r="D3484" s="24"/>
    </row>
    <row r="3485">
      <c r="D3485" s="24"/>
    </row>
    <row r="3486">
      <c r="D3486" s="24"/>
    </row>
    <row r="3487">
      <c r="D3487" s="24"/>
    </row>
    <row r="3488">
      <c r="D3488" s="24"/>
    </row>
    <row r="3489">
      <c r="D3489" s="24"/>
    </row>
    <row r="3490">
      <c r="D3490" s="24"/>
    </row>
    <row r="3491">
      <c r="D3491" s="24"/>
    </row>
    <row r="3492">
      <c r="D3492" s="24"/>
    </row>
    <row r="3493">
      <c r="D3493" s="24"/>
    </row>
    <row r="3494">
      <c r="D3494" s="24"/>
    </row>
    <row r="3495">
      <c r="D3495" s="24"/>
    </row>
    <row r="3496">
      <c r="D3496" s="24"/>
    </row>
    <row r="3497">
      <c r="D3497" s="24"/>
    </row>
    <row r="3498">
      <c r="D3498" s="24"/>
    </row>
    <row r="3499">
      <c r="D3499" s="24"/>
    </row>
    <row r="3500">
      <c r="D3500" s="24"/>
    </row>
    <row r="3501">
      <c r="D3501" s="24"/>
    </row>
    <row r="3502">
      <c r="D3502" s="24"/>
    </row>
    <row r="3503">
      <c r="D3503" s="24"/>
    </row>
    <row r="3504">
      <c r="D3504" s="24"/>
    </row>
    <row r="3505">
      <c r="D3505" s="24"/>
    </row>
    <row r="3506">
      <c r="D3506" s="24"/>
    </row>
    <row r="3507">
      <c r="D3507" s="24"/>
    </row>
    <row r="3508">
      <c r="D3508" s="24"/>
    </row>
    <row r="3509">
      <c r="D3509" s="24"/>
    </row>
    <row r="3510">
      <c r="D3510" s="24"/>
    </row>
    <row r="3511">
      <c r="D3511" s="24"/>
    </row>
    <row r="3512">
      <c r="D3512" s="24"/>
    </row>
    <row r="3513">
      <c r="D3513" s="24"/>
    </row>
    <row r="3514">
      <c r="D3514" s="24"/>
    </row>
    <row r="3515">
      <c r="D3515" s="24"/>
    </row>
    <row r="3516">
      <c r="D3516" s="24"/>
    </row>
    <row r="3517">
      <c r="D3517" s="24"/>
    </row>
    <row r="3518">
      <c r="D3518" s="24"/>
    </row>
    <row r="3519">
      <c r="D3519" s="24"/>
    </row>
    <row r="3520">
      <c r="D3520" s="24"/>
    </row>
    <row r="3521">
      <c r="D3521" s="24"/>
    </row>
    <row r="3522">
      <c r="D3522" s="24"/>
    </row>
    <row r="3523">
      <c r="D3523" s="24"/>
    </row>
    <row r="3524">
      <c r="D3524" s="24"/>
    </row>
    <row r="3525">
      <c r="D3525" s="24"/>
    </row>
    <row r="3526">
      <c r="D3526" s="24"/>
    </row>
    <row r="3527">
      <c r="D3527" s="24"/>
    </row>
    <row r="3528">
      <c r="D3528" s="24"/>
    </row>
    <row r="3529">
      <c r="D3529" s="24"/>
    </row>
    <row r="3530">
      <c r="D3530" s="24"/>
    </row>
    <row r="3531">
      <c r="D3531" s="24"/>
    </row>
    <row r="3532">
      <c r="D3532" s="24"/>
    </row>
    <row r="3533">
      <c r="D3533" s="24"/>
    </row>
    <row r="3534">
      <c r="D3534" s="24"/>
    </row>
    <row r="3535">
      <c r="D3535" s="24"/>
    </row>
    <row r="3536">
      <c r="D3536" s="24"/>
    </row>
    <row r="3537">
      <c r="D3537" s="24"/>
    </row>
    <row r="3538">
      <c r="D3538" s="24"/>
    </row>
    <row r="3539">
      <c r="D3539" s="24"/>
    </row>
    <row r="3540">
      <c r="D3540" s="24"/>
    </row>
    <row r="3541">
      <c r="D3541" s="24"/>
    </row>
    <row r="3542">
      <c r="D3542" s="24"/>
    </row>
    <row r="3543">
      <c r="D3543" s="24"/>
    </row>
    <row r="3544">
      <c r="D3544" s="24"/>
    </row>
    <row r="3545">
      <c r="D3545" s="24"/>
    </row>
    <row r="3546">
      <c r="D3546" s="24"/>
    </row>
    <row r="3547">
      <c r="D3547" s="24"/>
    </row>
    <row r="3548">
      <c r="D3548" s="24"/>
    </row>
    <row r="3549">
      <c r="D3549" s="24"/>
    </row>
    <row r="3550">
      <c r="D3550" s="24"/>
    </row>
    <row r="3551">
      <c r="D3551" s="24"/>
    </row>
    <row r="3552">
      <c r="D3552" s="24"/>
    </row>
    <row r="3553">
      <c r="D3553" s="24"/>
    </row>
    <row r="3554">
      <c r="D3554" s="24"/>
    </row>
    <row r="3555">
      <c r="D3555" s="24"/>
    </row>
    <row r="3556">
      <c r="D3556" s="24"/>
    </row>
    <row r="3557">
      <c r="D3557" s="24"/>
    </row>
    <row r="3558">
      <c r="D3558" s="24"/>
    </row>
    <row r="3559">
      <c r="D3559" s="24"/>
    </row>
    <row r="3560">
      <c r="D3560" s="24"/>
    </row>
    <row r="3561">
      <c r="D3561" s="24"/>
    </row>
    <row r="3562">
      <c r="D3562" s="24"/>
    </row>
    <row r="3563">
      <c r="D3563" s="24"/>
    </row>
    <row r="3564">
      <c r="D3564" s="24"/>
    </row>
    <row r="3565">
      <c r="D3565" s="24"/>
    </row>
    <row r="3566">
      <c r="D3566" s="24"/>
    </row>
    <row r="3567">
      <c r="D3567" s="24"/>
    </row>
    <row r="3568">
      <c r="D3568" s="24"/>
    </row>
    <row r="3569">
      <c r="D3569" s="24"/>
    </row>
    <row r="3570">
      <c r="D3570" s="24"/>
    </row>
    <row r="3571">
      <c r="D3571" s="24"/>
    </row>
    <row r="3572">
      <c r="D3572" s="24"/>
    </row>
    <row r="3573">
      <c r="D3573" s="24"/>
    </row>
    <row r="3574">
      <c r="D3574" s="24"/>
    </row>
    <row r="3575">
      <c r="D3575" s="24"/>
    </row>
    <row r="3576">
      <c r="D3576" s="24"/>
    </row>
    <row r="3577">
      <c r="D3577" s="24"/>
    </row>
    <row r="3578">
      <c r="D3578" s="24"/>
    </row>
    <row r="3579">
      <c r="D3579" s="24"/>
    </row>
    <row r="3580">
      <c r="D3580" s="24"/>
    </row>
    <row r="3581">
      <c r="D3581" s="24"/>
    </row>
    <row r="3582">
      <c r="D3582" s="24"/>
    </row>
    <row r="3583">
      <c r="D3583" s="24"/>
    </row>
    <row r="3584">
      <c r="D3584" s="24"/>
    </row>
    <row r="3585">
      <c r="D3585" s="24"/>
    </row>
    <row r="3586">
      <c r="D3586" s="24"/>
    </row>
    <row r="3587">
      <c r="D3587" s="24"/>
    </row>
    <row r="3588">
      <c r="D3588" s="24"/>
    </row>
    <row r="3589">
      <c r="D3589" s="24"/>
    </row>
    <row r="3590">
      <c r="D3590" s="24"/>
    </row>
    <row r="3591">
      <c r="D3591" s="24"/>
    </row>
    <row r="3592">
      <c r="D3592" s="24"/>
    </row>
    <row r="3593">
      <c r="D3593" s="24"/>
    </row>
    <row r="3594">
      <c r="D3594" s="24"/>
    </row>
    <row r="3595">
      <c r="D3595" s="24"/>
    </row>
    <row r="3596">
      <c r="D3596" s="24"/>
    </row>
    <row r="3597">
      <c r="D3597" s="24"/>
    </row>
    <row r="3598">
      <c r="D3598" s="24"/>
    </row>
    <row r="3599">
      <c r="D3599" s="24"/>
    </row>
    <row r="3600">
      <c r="D3600" s="24"/>
    </row>
    <row r="3601">
      <c r="D3601" s="24"/>
    </row>
    <row r="3602">
      <c r="D3602" s="24"/>
    </row>
    <row r="3603">
      <c r="D3603" s="24"/>
    </row>
    <row r="3604">
      <c r="D3604" s="24"/>
    </row>
    <row r="3605">
      <c r="D3605" s="24"/>
    </row>
    <row r="3606">
      <c r="D3606" s="24"/>
    </row>
    <row r="3607">
      <c r="D3607" s="24"/>
    </row>
    <row r="3608">
      <c r="D3608" s="24"/>
    </row>
    <row r="3609">
      <c r="D3609" s="24"/>
    </row>
    <row r="3610">
      <c r="D3610" s="24"/>
    </row>
    <row r="3611">
      <c r="D3611" s="24"/>
    </row>
    <row r="3612">
      <c r="D3612" s="24"/>
    </row>
    <row r="3613">
      <c r="D3613" s="24"/>
    </row>
    <row r="3614">
      <c r="D3614" s="24"/>
    </row>
    <row r="3615">
      <c r="D3615" s="24"/>
    </row>
    <row r="3616">
      <c r="D3616" s="24"/>
    </row>
    <row r="3617">
      <c r="D3617" s="24"/>
    </row>
    <row r="3618">
      <c r="D3618" s="24"/>
    </row>
    <row r="3619">
      <c r="D3619" s="24"/>
    </row>
    <row r="3620">
      <c r="D3620" s="24"/>
    </row>
    <row r="3621">
      <c r="D3621" s="24"/>
    </row>
    <row r="3622">
      <c r="D3622" s="24"/>
    </row>
    <row r="3623">
      <c r="D3623" s="24"/>
    </row>
    <row r="3624">
      <c r="D3624" s="24"/>
    </row>
    <row r="3625">
      <c r="D3625" s="24"/>
    </row>
    <row r="3626">
      <c r="D3626" s="24"/>
    </row>
    <row r="3627">
      <c r="D3627" s="24"/>
    </row>
    <row r="3628">
      <c r="D3628" s="24"/>
    </row>
    <row r="3629">
      <c r="D3629" s="24"/>
    </row>
    <row r="3630">
      <c r="D3630" s="24"/>
    </row>
    <row r="3631">
      <c r="D3631" s="24"/>
    </row>
    <row r="3632">
      <c r="D3632" s="24"/>
    </row>
    <row r="3633">
      <c r="D3633" s="24"/>
    </row>
    <row r="3634">
      <c r="D3634" s="24"/>
    </row>
    <row r="3635">
      <c r="D3635" s="24"/>
    </row>
    <row r="3636">
      <c r="D3636" s="24"/>
    </row>
    <row r="3637">
      <c r="D3637" s="24"/>
    </row>
    <row r="3638">
      <c r="D3638" s="24"/>
    </row>
    <row r="3639">
      <c r="D3639" s="24"/>
    </row>
    <row r="3640">
      <c r="D3640" s="24"/>
    </row>
    <row r="3641">
      <c r="D3641" s="24"/>
    </row>
    <row r="3642">
      <c r="D3642" s="24"/>
    </row>
    <row r="3643">
      <c r="D3643" s="24"/>
    </row>
    <row r="3644">
      <c r="D3644" s="24"/>
    </row>
    <row r="3645">
      <c r="D3645" s="24"/>
    </row>
    <row r="3646">
      <c r="D3646" s="24"/>
    </row>
    <row r="3647">
      <c r="D3647" s="24"/>
    </row>
    <row r="3648">
      <c r="D3648" s="24"/>
    </row>
    <row r="3649">
      <c r="D3649" s="24"/>
    </row>
    <row r="3650">
      <c r="D3650" s="24"/>
    </row>
    <row r="3651">
      <c r="D3651" s="24"/>
    </row>
    <row r="3652">
      <c r="D3652" s="24"/>
    </row>
    <row r="3653">
      <c r="D3653" s="24"/>
    </row>
    <row r="3654">
      <c r="D3654" s="24"/>
    </row>
    <row r="3655">
      <c r="D3655" s="24"/>
    </row>
    <row r="3656">
      <c r="D3656" s="24"/>
    </row>
    <row r="3657">
      <c r="D3657" s="24"/>
    </row>
    <row r="3658">
      <c r="D3658" s="24"/>
    </row>
    <row r="3659">
      <c r="D3659" s="24"/>
    </row>
    <row r="3660">
      <c r="D3660" s="24"/>
    </row>
    <row r="3661">
      <c r="D3661" s="24"/>
    </row>
    <row r="3662">
      <c r="D3662" s="24"/>
    </row>
    <row r="3663">
      <c r="D3663" s="24"/>
    </row>
    <row r="3664">
      <c r="D3664" s="24"/>
    </row>
    <row r="3665">
      <c r="D3665" s="24"/>
    </row>
    <row r="3666">
      <c r="D3666" s="24"/>
    </row>
    <row r="3667">
      <c r="D3667" s="24"/>
    </row>
    <row r="3668">
      <c r="D3668" s="24"/>
    </row>
    <row r="3669">
      <c r="D3669" s="24"/>
    </row>
    <row r="3670">
      <c r="D3670" s="24"/>
    </row>
    <row r="3671">
      <c r="D3671" s="24"/>
    </row>
    <row r="3672">
      <c r="D3672" s="24"/>
    </row>
    <row r="3673">
      <c r="D3673" s="24"/>
    </row>
    <row r="3674">
      <c r="D3674" s="24"/>
    </row>
    <row r="3675">
      <c r="D3675" s="24"/>
    </row>
    <row r="3676">
      <c r="D3676" s="24"/>
    </row>
    <row r="3677">
      <c r="D3677" s="24"/>
    </row>
    <row r="3678">
      <c r="D3678" s="24"/>
    </row>
    <row r="3679">
      <c r="D3679" s="24"/>
    </row>
    <row r="3680">
      <c r="D3680" s="24"/>
    </row>
    <row r="3681">
      <c r="D3681" s="24"/>
    </row>
    <row r="3682">
      <c r="D3682" s="24"/>
    </row>
    <row r="3683">
      <c r="D3683" s="24"/>
    </row>
    <row r="3684">
      <c r="D3684" s="24"/>
    </row>
    <row r="3685">
      <c r="D3685" s="24"/>
    </row>
    <row r="3686">
      <c r="D3686" s="24"/>
    </row>
    <row r="3687">
      <c r="D3687" s="24"/>
    </row>
    <row r="3688">
      <c r="D3688" s="24"/>
    </row>
    <row r="3689">
      <c r="D3689" s="24"/>
    </row>
    <row r="3690">
      <c r="D3690" s="24"/>
    </row>
    <row r="3691">
      <c r="D3691" s="24"/>
    </row>
    <row r="3692">
      <c r="D3692" s="24"/>
    </row>
    <row r="3693">
      <c r="D3693" s="24"/>
    </row>
    <row r="3694">
      <c r="D3694" s="24"/>
    </row>
    <row r="3695">
      <c r="D3695" s="24"/>
    </row>
    <row r="3696">
      <c r="D3696" s="24"/>
    </row>
    <row r="3697">
      <c r="D3697" s="24"/>
    </row>
    <row r="3698">
      <c r="D3698" s="24"/>
    </row>
    <row r="3699">
      <c r="D3699" s="24"/>
    </row>
    <row r="3700">
      <c r="D3700" s="24"/>
    </row>
    <row r="3701">
      <c r="D3701" s="24"/>
    </row>
    <row r="3702">
      <c r="D3702" s="24"/>
    </row>
    <row r="3703">
      <c r="D3703" s="24"/>
    </row>
    <row r="3704">
      <c r="D3704" s="24"/>
    </row>
    <row r="3705">
      <c r="D3705" s="24"/>
    </row>
    <row r="3706">
      <c r="D3706" s="24"/>
    </row>
    <row r="3707">
      <c r="D3707" s="24"/>
    </row>
    <row r="3708">
      <c r="D3708" s="24"/>
    </row>
    <row r="3709">
      <c r="D3709" s="24"/>
    </row>
    <row r="3710">
      <c r="D3710" s="24"/>
    </row>
    <row r="3711">
      <c r="D3711" s="24"/>
    </row>
    <row r="3712">
      <c r="D3712" s="24"/>
    </row>
    <row r="3713">
      <c r="D3713" s="24"/>
    </row>
    <row r="3714">
      <c r="D3714" s="24"/>
    </row>
    <row r="3715">
      <c r="D3715" s="24"/>
    </row>
    <row r="3716">
      <c r="D3716" s="24"/>
    </row>
    <row r="3717">
      <c r="D3717" s="24"/>
    </row>
    <row r="3718">
      <c r="D3718" s="24"/>
    </row>
    <row r="3719">
      <c r="D3719" s="24"/>
    </row>
    <row r="3720">
      <c r="D3720" s="24"/>
    </row>
    <row r="3721">
      <c r="D3721" s="24"/>
    </row>
    <row r="3722">
      <c r="D3722" s="24"/>
    </row>
    <row r="3723">
      <c r="D3723" s="24"/>
    </row>
    <row r="3724">
      <c r="D3724" s="24"/>
    </row>
    <row r="3725">
      <c r="D3725" s="24"/>
    </row>
    <row r="3726">
      <c r="D3726" s="24"/>
    </row>
    <row r="3727">
      <c r="D3727" s="24"/>
    </row>
    <row r="3728">
      <c r="D3728" s="24"/>
    </row>
    <row r="3729">
      <c r="D3729" s="24"/>
    </row>
    <row r="3730">
      <c r="D3730" s="24"/>
    </row>
    <row r="3731">
      <c r="D3731" s="24"/>
    </row>
    <row r="3732">
      <c r="D3732" s="24"/>
    </row>
    <row r="3733">
      <c r="D3733" s="24"/>
    </row>
    <row r="3734">
      <c r="D3734" s="24"/>
    </row>
    <row r="3735">
      <c r="D3735" s="24"/>
    </row>
    <row r="3736">
      <c r="D3736" s="24"/>
    </row>
    <row r="3737">
      <c r="D3737" s="24"/>
    </row>
    <row r="3738">
      <c r="D3738" s="24"/>
    </row>
    <row r="3739">
      <c r="D3739" s="24"/>
    </row>
    <row r="3740">
      <c r="D3740" s="24"/>
    </row>
    <row r="3741">
      <c r="D3741" s="24"/>
    </row>
    <row r="3742">
      <c r="D3742" s="24"/>
    </row>
    <row r="3743">
      <c r="D3743" s="24"/>
    </row>
    <row r="3744">
      <c r="D3744" s="24"/>
    </row>
    <row r="3745">
      <c r="D3745" s="24"/>
    </row>
    <row r="3746">
      <c r="D3746" s="24"/>
    </row>
    <row r="3747">
      <c r="D3747" s="24"/>
    </row>
    <row r="3748">
      <c r="D3748" s="24"/>
    </row>
    <row r="3749">
      <c r="D3749" s="24"/>
    </row>
    <row r="3750">
      <c r="D3750" s="24"/>
    </row>
    <row r="3751">
      <c r="D3751" s="24"/>
    </row>
    <row r="3752">
      <c r="D3752" s="24"/>
    </row>
    <row r="3753">
      <c r="D3753" s="24"/>
    </row>
    <row r="3754">
      <c r="D3754" s="24"/>
    </row>
    <row r="3755">
      <c r="D3755" s="24"/>
    </row>
    <row r="3756">
      <c r="D3756" s="24"/>
    </row>
    <row r="3757">
      <c r="D3757" s="24"/>
    </row>
    <row r="3758">
      <c r="D3758" s="24"/>
    </row>
    <row r="3759">
      <c r="D3759" s="24"/>
    </row>
    <row r="3760">
      <c r="D3760" s="24"/>
    </row>
    <row r="3761">
      <c r="D3761" s="24"/>
    </row>
    <row r="3762">
      <c r="D3762" s="24"/>
    </row>
    <row r="3763">
      <c r="D3763" s="24"/>
    </row>
    <row r="3764">
      <c r="D3764" s="24"/>
    </row>
    <row r="3765">
      <c r="D3765" s="24"/>
    </row>
    <row r="3766">
      <c r="D3766" s="24"/>
    </row>
    <row r="3767">
      <c r="D3767" s="24"/>
    </row>
    <row r="3768">
      <c r="D3768" s="24"/>
    </row>
    <row r="3769">
      <c r="D3769" s="24"/>
    </row>
    <row r="3770">
      <c r="D3770" s="24"/>
    </row>
    <row r="3771">
      <c r="D3771" s="24"/>
    </row>
    <row r="3772">
      <c r="D3772" s="24"/>
    </row>
    <row r="3773">
      <c r="D3773" s="24"/>
    </row>
    <row r="3774">
      <c r="D3774" s="24"/>
    </row>
    <row r="3775">
      <c r="D3775" s="24"/>
    </row>
    <row r="3776">
      <c r="D3776" s="24"/>
    </row>
    <row r="3777">
      <c r="D3777" s="24"/>
    </row>
    <row r="3778">
      <c r="D3778" s="24"/>
    </row>
    <row r="3779">
      <c r="D3779" s="24"/>
    </row>
    <row r="3780">
      <c r="D3780" s="24"/>
    </row>
    <row r="3781">
      <c r="D3781" s="24"/>
    </row>
    <row r="3782">
      <c r="D3782" s="24"/>
    </row>
    <row r="3783">
      <c r="D3783" s="24"/>
    </row>
    <row r="3784">
      <c r="D3784" s="24"/>
    </row>
    <row r="3785">
      <c r="D3785" s="24"/>
    </row>
    <row r="3786">
      <c r="D3786" s="24"/>
    </row>
    <row r="3787">
      <c r="D3787" s="24"/>
    </row>
    <row r="3788">
      <c r="D3788" s="24"/>
    </row>
    <row r="3789">
      <c r="D3789" s="24"/>
    </row>
    <row r="3790">
      <c r="D3790" s="24"/>
    </row>
    <row r="3791">
      <c r="D3791" s="24"/>
    </row>
    <row r="3792">
      <c r="D3792" s="24"/>
    </row>
    <row r="3793">
      <c r="D3793" s="24"/>
    </row>
    <row r="3794">
      <c r="D3794" s="24"/>
    </row>
    <row r="3795">
      <c r="D3795" s="24"/>
    </row>
    <row r="3796">
      <c r="D3796" s="24"/>
    </row>
    <row r="3797">
      <c r="D3797" s="24"/>
    </row>
    <row r="3798">
      <c r="D3798" s="24"/>
    </row>
    <row r="3799">
      <c r="D3799" s="24"/>
    </row>
  </sheetData>
  <drawing r:id="rId1"/>
</worksheet>
</file>