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9260" yWindow="440" windowWidth="29260" windowHeight="14720"/>
  </bookViews>
  <sheets>
    <sheet name="Entry" sheetId="2" r:id="rId1"/>
    <sheet name="Calc" sheetId="1" r:id="rId2"/>
    <sheet name="Referenc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6" i="1"/>
  <c r="A13" i="1"/>
  <c r="A16" i="1"/>
  <c r="C16" i="1"/>
  <c r="E16" i="1"/>
  <c r="E13" i="1"/>
  <c r="C19" i="1"/>
  <c r="C20" i="1"/>
  <c r="F16" i="1"/>
  <c r="F13" i="1"/>
  <c r="E7" i="2"/>
  <c r="A8" i="1"/>
  <c r="C13" i="1"/>
  <c r="B4" i="1"/>
  <c r="B3" i="1"/>
  <c r="B2" i="1"/>
  <c r="B6" i="2"/>
  <c r="B1" i="1"/>
  <c r="B5" i="1"/>
  <c r="C8" i="1"/>
  <c r="D8" i="1"/>
  <c r="D9" i="1"/>
  <c r="F19" i="1"/>
  <c r="H6" i="3"/>
  <c r="G6" i="3"/>
  <c r="J6" i="3"/>
  <c r="I6" i="3"/>
  <c r="I11" i="3"/>
  <c r="H11" i="3"/>
  <c r="G11" i="3"/>
  <c r="E11" i="3"/>
  <c r="F11" i="3"/>
  <c r="D11" i="3"/>
  <c r="C11" i="3"/>
  <c r="B11" i="3"/>
  <c r="E6" i="3"/>
  <c r="D6" i="3"/>
  <c r="B6" i="3"/>
  <c r="C6" i="3"/>
  <c r="F6" i="3"/>
  <c r="F8" i="1"/>
  <c r="E6" i="2"/>
  <c r="E5" i="2"/>
  <c r="F5" i="2"/>
  <c r="B8" i="1"/>
  <c r="D16" i="1"/>
  <c r="D13" i="1"/>
  <c r="E16" i="2"/>
  <c r="E14" i="2"/>
  <c r="E12" i="2"/>
  <c r="E8" i="1"/>
  <c r="D19" i="1"/>
  <c r="D20" i="1"/>
  <c r="E9" i="1"/>
  <c r="D25" i="1"/>
  <c r="E15" i="2"/>
  <c r="E13" i="2"/>
  <c r="D21" i="1"/>
  <c r="D24" i="1"/>
  <c r="D26" i="1"/>
  <c r="C21" i="1"/>
  <c r="E9" i="2"/>
  <c r="C24" i="1"/>
  <c r="C25" i="1"/>
  <c r="C26" i="1"/>
  <c r="E10" i="2"/>
  <c r="E17" i="2"/>
  <c r="G16" i="1"/>
  <c r="G13" i="1"/>
</calcChain>
</file>

<file path=xl/sharedStrings.xml><?xml version="1.0" encoding="utf-8"?>
<sst xmlns="http://schemas.openxmlformats.org/spreadsheetml/2006/main" count="96" uniqueCount="75">
  <si>
    <t>Orbital Period (sec)</t>
  </si>
  <si>
    <t>Target Inclination (deg)</t>
  </si>
  <si>
    <t>Azimuth (deg, inertial)</t>
  </si>
  <si>
    <t>Launch Latitude (deg)</t>
  </si>
  <si>
    <t>Rotation Velocity (m/s)</t>
  </si>
  <si>
    <t>μ = GM (m^3/s^2)</t>
  </si>
  <si>
    <t>Planet Rotation (m/s)</t>
  </si>
  <si>
    <t>Launch Latitude (rad)</t>
  </si>
  <si>
    <t>Target Inclination (rad)</t>
  </si>
  <si>
    <t>Azimuth (rad, inertial)</t>
  </si>
  <si>
    <t>Planet Rotation (multiplier)</t>
  </si>
  <si>
    <t>Alternate Azimuth (deg, int)</t>
  </si>
  <si>
    <t>Alternate Azimuth (rad, int)</t>
  </si>
  <si>
    <t>X Component (rot)</t>
  </si>
  <si>
    <t>Y Component (rot)</t>
  </si>
  <si>
    <t>Delta V (m/s)</t>
  </si>
  <si>
    <t>Velocity (m/s) circular</t>
  </si>
  <si>
    <t>Sidereal Day (s)</t>
  </si>
  <si>
    <t>Planet Radius (m)</t>
  </si>
  <si>
    <t>Azimuth North (rad, rot)</t>
  </si>
  <si>
    <t>Azimuth South (rad, rot)</t>
  </si>
  <si>
    <t>Azimuth North</t>
  </si>
  <si>
    <t>Azimuth South</t>
  </si>
  <si>
    <t>Unit</t>
  </si>
  <si>
    <t>Moho</t>
  </si>
  <si>
    <t>Sidereal Day (sec)</t>
  </si>
  <si>
    <t>μ = GM (m^3/sec^2)</t>
  </si>
  <si>
    <t>Semi-Major Axis (m)</t>
  </si>
  <si>
    <t>Value</t>
  </si>
  <si>
    <t>Launch Site Latitude (deg)</t>
  </si>
  <si>
    <t>Eccentricity</t>
  </si>
  <si>
    <t>SMA (m, absolute)</t>
  </si>
  <si>
    <t>Linear Eccentricity (m)</t>
  </si>
  <si>
    <t>Apoapsis (m, absolute)</t>
  </si>
  <si>
    <t>Periapsis (m, absolute)</t>
  </si>
  <si>
    <t>Launch to Ap</t>
  </si>
  <si>
    <t>Launch to Pe</t>
  </si>
  <si>
    <t>Target Eccentricity</t>
  </si>
  <si>
    <t>Input Values</t>
  </si>
  <si>
    <t>Derived Values</t>
  </si>
  <si>
    <t>Orbital Period</t>
  </si>
  <si>
    <t>Periapsis Orbital Velocity (m/s)</t>
  </si>
  <si>
    <t>Apoapsis Orbital Velocity (m/s)</t>
  </si>
  <si>
    <t>Apoapsis Altitude (m)</t>
  </si>
  <si>
    <t>Periapsis Altitude (m)</t>
  </si>
  <si>
    <t>Apoapsis Absolute (m)</t>
  </si>
  <si>
    <t>Periapsis Absolute (m)</t>
  </si>
  <si>
    <t>Launch Delta V to Ap (m/s)</t>
  </si>
  <si>
    <t>Launch Delta V to Pe (m/s)</t>
  </si>
  <si>
    <t>Launch Azimuth (deg, rotational)</t>
  </si>
  <si>
    <t>Eve</t>
  </si>
  <si>
    <t>Gilly</t>
  </si>
  <si>
    <t>Kerbin</t>
  </si>
  <si>
    <t>Mun</t>
  </si>
  <si>
    <t>Minmus</t>
  </si>
  <si>
    <t>Duna</t>
  </si>
  <si>
    <t>Ike</t>
  </si>
  <si>
    <t>Dres</t>
  </si>
  <si>
    <t>Jool</t>
  </si>
  <si>
    <t>Laythe</t>
  </si>
  <si>
    <t>Vall</t>
  </si>
  <si>
    <t>Tylo</t>
  </si>
  <si>
    <t>Pol</t>
  </si>
  <si>
    <t>Bop</t>
  </si>
  <si>
    <t>Eeloo</t>
  </si>
  <si>
    <t>Kerbol</t>
  </si>
  <si>
    <t>R6 GM</t>
  </si>
  <si>
    <t>R7 Sidereal Day</t>
  </si>
  <si>
    <t>R8 Radius</t>
  </si>
  <si>
    <t>C2 Kerbol to C10 Ike</t>
  </si>
  <si>
    <t>R11 GM</t>
  </si>
  <si>
    <t>R12 Sidereal Day</t>
  </si>
  <si>
    <t>R13 Radius</t>
  </si>
  <si>
    <t>Reference Body</t>
  </si>
  <si>
    <t>C2 Dres to C9 Eeloo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</si>
</sst>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2" sqref="B12"/>
    </sheetView>
  </sheetViews>
  <sheetFormatPr baseColWidth="10" defaultColWidth="8.83203125" defaultRowHeight="14" x14ac:dyDescent="0"/>
  <cols>
    <col min="1" max="1" width="30.5" customWidth="1"/>
    <col min="2" max="2" width="19.5" customWidth="1"/>
    <col min="3" max="3" width="6.83203125" customWidth="1"/>
    <col min="4" max="4" width="31.5" customWidth="1"/>
    <col min="5" max="5" width="17.1640625" customWidth="1"/>
    <col min="6" max="6" width="18.33203125" customWidth="1"/>
  </cols>
  <sheetData>
    <row r="1" spans="1:6" ht="30.75" customHeight="1"/>
    <row r="2" spans="1:6" ht="13.5" customHeight="1"/>
    <row r="3" spans="1:6">
      <c r="A3" t="s">
        <v>38</v>
      </c>
      <c r="D3" t="s">
        <v>39</v>
      </c>
    </row>
    <row r="4" spans="1:6">
      <c r="A4" t="s">
        <v>23</v>
      </c>
      <c r="B4" t="s">
        <v>28</v>
      </c>
      <c r="D4" t="s">
        <v>23</v>
      </c>
      <c r="E4" t="s">
        <v>28</v>
      </c>
    </row>
    <row r="5" spans="1:6">
      <c r="A5" t="s">
        <v>73</v>
      </c>
      <c r="B5" t="s">
        <v>52</v>
      </c>
      <c r="D5" t="s">
        <v>0</v>
      </c>
      <c r="E5">
        <f>Calc!$F$8</f>
        <v>2171.6308839761837</v>
      </c>
      <c r="F5" t="str">
        <f>CONCATENATE(FLOOR(E5/60, 1), " min, ", ROUND(MOD(E5, 60), 4),  " sec")</f>
        <v>36 min, 11.6309 sec</v>
      </c>
    </row>
    <row r="6" spans="1:6">
      <c r="A6" t="s">
        <v>26</v>
      </c>
      <c r="B6">
        <f>3.5316*10^12</f>
        <v>3531600000000</v>
      </c>
      <c r="D6" t="s">
        <v>27</v>
      </c>
      <c r="E6">
        <f>Calc!$A$8</f>
        <v>750000</v>
      </c>
    </row>
    <row r="7" spans="1:6">
      <c r="A7" t="s">
        <v>25</v>
      </c>
      <c r="B7">
        <v>21549.424999999999</v>
      </c>
      <c r="D7" s="1" t="s">
        <v>49</v>
      </c>
      <c r="E7">
        <f>IF(D8 = "Azimuth North", Calc!$F$13, IF(D8 = "Azimuth South", Calc!$G$13, "ERROR!"))</f>
        <v>62.895143388159539</v>
      </c>
    </row>
    <row r="8" spans="1:6">
      <c r="A8" t="s">
        <v>18</v>
      </c>
      <c r="B8">
        <v>600000</v>
      </c>
      <c r="D8" s="1" t="s">
        <v>21</v>
      </c>
    </row>
    <row r="9" spans="1:6">
      <c r="D9" s="2" t="s">
        <v>47</v>
      </c>
      <c r="E9">
        <f>IF(D8 = "Azimuth North", Calc!$C$21, IF(D8 = "Azimuth South", Calc!$D$21, "ERROR!"))</f>
        <v>2012.7834811315308</v>
      </c>
    </row>
    <row r="10" spans="1:6">
      <c r="A10" t="s">
        <v>27</v>
      </c>
      <c r="B10">
        <v>750000</v>
      </c>
      <c r="D10" s="2" t="s">
        <v>48</v>
      </c>
      <c r="E10">
        <f>IF(D8 = "Azimuth North", Calc!$C$26, IF(D8 = "Azimuth South", Calc!$D$26, "ERROR!"))</f>
        <v>2012.7834811315308</v>
      </c>
    </row>
    <row r="11" spans="1:6">
      <c r="A11" t="s">
        <v>1</v>
      </c>
      <c r="B11">
        <v>25</v>
      </c>
    </row>
    <row r="12" spans="1:6">
      <c r="A12" t="s">
        <v>29</v>
      </c>
      <c r="B12">
        <v>-0.10249999999999999</v>
      </c>
      <c r="D12" t="s">
        <v>43</v>
      </c>
      <c r="E12">
        <f>E14-B8</f>
        <v>150000</v>
      </c>
    </row>
    <row r="13" spans="1:6">
      <c r="A13" t="s">
        <v>37</v>
      </c>
      <c r="B13">
        <v>0</v>
      </c>
      <c r="D13" t="s">
        <v>44</v>
      </c>
      <c r="E13">
        <f>E15-B8</f>
        <v>150000</v>
      </c>
    </row>
    <row r="14" spans="1:6">
      <c r="D14" t="s">
        <v>45</v>
      </c>
      <c r="E14">
        <f>Calc!$D$8</f>
        <v>750000</v>
      </c>
    </row>
    <row r="15" spans="1:6">
      <c r="D15" t="s">
        <v>46</v>
      </c>
      <c r="E15">
        <f>Calc!$E$8</f>
        <v>750000</v>
      </c>
    </row>
    <row r="16" spans="1:6">
      <c r="D16" t="s">
        <v>42</v>
      </c>
      <c r="E16">
        <f>Calc!$D$9</f>
        <v>2169.976958403015</v>
      </c>
    </row>
    <row r="17" spans="1:5">
      <c r="D17" t="s">
        <v>41</v>
      </c>
      <c r="E17">
        <f>Calc!$E$9</f>
        <v>2169.976958403015</v>
      </c>
    </row>
    <row r="21" spans="1:5">
      <c r="A21" t="s">
        <v>66</v>
      </c>
      <c r="B21" t="s">
        <v>69</v>
      </c>
    </row>
    <row r="22" spans="1:5">
      <c r="A22" t="s">
        <v>67</v>
      </c>
    </row>
    <row r="23" spans="1:5">
      <c r="A23" t="s">
        <v>68</v>
      </c>
    </row>
    <row r="25" spans="1:5">
      <c r="A25" t="s">
        <v>70</v>
      </c>
      <c r="B25" t="s">
        <v>74</v>
      </c>
    </row>
    <row r="26" spans="1:5">
      <c r="A26" t="s">
        <v>71</v>
      </c>
    </row>
    <row r="27" spans="1:5">
      <c r="A27" t="s">
        <v>72</v>
      </c>
    </row>
  </sheetData>
  <dataValidations count="1">
    <dataValidation type="list" allowBlank="1" showInputMessage="1" showErrorMessage="1" sqref="A10">
      <formula1>$D$5:$D$6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Calc!$F$12:$G$12</xm:f>
          </x14:formula1>
          <xm:sqref>D8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21.5" customWidth="1"/>
    <col min="2" max="2" width="21.6640625" customWidth="1"/>
    <col min="3" max="3" width="22" customWidth="1"/>
    <col min="4" max="4" width="26.33203125" customWidth="1"/>
    <col min="5" max="5" width="25.1640625" customWidth="1"/>
    <col min="6" max="6" width="22.83203125" customWidth="1"/>
    <col min="7" max="7" width="23.5" customWidth="1"/>
    <col min="8" max="8" width="23.33203125" customWidth="1"/>
  </cols>
  <sheetData>
    <row r="1" spans="1:7">
      <c r="A1" t="s">
        <v>5</v>
      </c>
      <c r="B1">
        <f>Entry!$B$6</f>
        <v>3531600000000</v>
      </c>
    </row>
    <row r="2" spans="1:7">
      <c r="A2" t="s">
        <v>4</v>
      </c>
      <c r="B2">
        <f>((2*B4)*PI())/B3</f>
        <v>174.94254182224128</v>
      </c>
    </row>
    <row r="3" spans="1:7">
      <c r="A3" t="s">
        <v>17</v>
      </c>
      <c r="B3">
        <f>Entry!$B$7</f>
        <v>21549.424999999999</v>
      </c>
    </row>
    <row r="4" spans="1:7">
      <c r="A4" t="s">
        <v>18</v>
      </c>
      <c r="B4">
        <f>Entry!$B$8</f>
        <v>600000</v>
      </c>
    </row>
    <row r="5" spans="1:7">
      <c r="A5" t="s">
        <v>30</v>
      </c>
      <c r="B5">
        <f>Entry!$B$13</f>
        <v>0</v>
      </c>
    </row>
    <row r="7" spans="1:7">
      <c r="A7" t="s">
        <v>31</v>
      </c>
      <c r="B7" t="s">
        <v>16</v>
      </c>
      <c r="C7" t="s">
        <v>32</v>
      </c>
      <c r="D7" t="s">
        <v>33</v>
      </c>
      <c r="E7" t="s">
        <v>34</v>
      </c>
      <c r="F7" t="s">
        <v>40</v>
      </c>
    </row>
    <row r="8" spans="1:7">
      <c r="A8">
        <f>IF(Entry!$A$10="Semi-Major Axis (m)",Entry!$B$10,IF(Entry!$A$10="Orbital Period (sec)",((B1*((Entry!$B$10*Entry!$B$10)/(4*PI()*PI())))^(1/3)), "ERROR!"))</f>
        <v>750000</v>
      </c>
      <c r="B8">
        <f>SQRT(B1/(A8))</f>
        <v>2169.976958403015</v>
      </c>
      <c r="C8">
        <f>A8*B5</f>
        <v>0</v>
      </c>
      <c r="D8">
        <f>A8+C8</f>
        <v>750000</v>
      </c>
      <c r="E8">
        <f>A8-C8</f>
        <v>750000</v>
      </c>
      <c r="F8">
        <f>IF(Entry!$A$10 = "Semi-Major Axis (m)", (2*PI()*(SQRT((A8*A8*A8)/B1))), IF(Entry!$A$10 = "Orbital Period (sec)", Entry!$B$10, "ERROR!"))</f>
        <v>2171.6308839761837</v>
      </c>
    </row>
    <row r="9" spans="1:7">
      <c r="D9">
        <f>SQRT(B1*((2/D8)-(1/A8)))</f>
        <v>2169.976958403015</v>
      </c>
      <c r="E9">
        <f>SQRT(B1*((2/E8)-(1/A8)))</f>
        <v>2169.976958403015</v>
      </c>
    </row>
    <row r="12" spans="1:7">
      <c r="A12" t="s">
        <v>3</v>
      </c>
      <c r="B12" t="s">
        <v>1</v>
      </c>
      <c r="C12" t="s">
        <v>2</v>
      </c>
      <c r="D12" t="s">
        <v>11</v>
      </c>
      <c r="E12" t="s">
        <v>6</v>
      </c>
      <c r="F12" t="s">
        <v>21</v>
      </c>
      <c r="G12" t="s">
        <v>22</v>
      </c>
    </row>
    <row r="13" spans="1:7">
      <c r="A13">
        <f>Entry!$B$12</f>
        <v>-0.10249999999999999</v>
      </c>
      <c r="B13">
        <f>Entry!$B$11</f>
        <v>25</v>
      </c>
      <c r="C13">
        <f>C16*(180/PI())</f>
        <v>65.000196618659999</v>
      </c>
      <c r="D13">
        <f>D16*(180/PI())</f>
        <v>114.99980338133999</v>
      </c>
      <c r="E13">
        <f>B2*E16</f>
        <v>174.94226188041804</v>
      </c>
      <c r="F13">
        <f>F16*(180/PI())</f>
        <v>62.895143388159539</v>
      </c>
      <c r="G13">
        <f>G16*(180/PI())</f>
        <v>117.10485661184046</v>
      </c>
    </row>
    <row r="15" spans="1:7">
      <c r="A15" t="s">
        <v>7</v>
      </c>
      <c r="B15" t="s">
        <v>8</v>
      </c>
      <c r="C15" t="s">
        <v>9</v>
      </c>
      <c r="D15" t="s">
        <v>12</v>
      </c>
      <c r="E15" t="s">
        <v>10</v>
      </c>
      <c r="F15" t="s">
        <v>19</v>
      </c>
      <c r="G15" t="s">
        <v>20</v>
      </c>
    </row>
    <row r="16" spans="1:7">
      <c r="A16">
        <f>(PI()/180)*A13</f>
        <v>-1.7889624832941877E-3</v>
      </c>
      <c r="B16">
        <f>(PI()/180)*B13</f>
        <v>0.43633231299858238</v>
      </c>
      <c r="C16">
        <f>ASIN(COS(B16)/COS(A16))</f>
        <v>1.134467445439302</v>
      </c>
      <c r="D16">
        <f>PI()-C16</f>
        <v>2.0071252081504909</v>
      </c>
      <c r="E16">
        <f>COS(A16)</f>
        <v>0.99999839980704341</v>
      </c>
      <c r="F16">
        <f>ATAN(C19/C20)</f>
        <v>1.0977273356373258</v>
      </c>
      <c r="G16">
        <f>PI()-F16</f>
        <v>2.0438653179524673</v>
      </c>
    </row>
    <row r="18" spans="2:6">
      <c r="B18" t="s">
        <v>35</v>
      </c>
      <c r="C18" t="s">
        <v>21</v>
      </c>
      <c r="D18" t="s">
        <v>22</v>
      </c>
    </row>
    <row r="19" spans="2:6">
      <c r="B19" t="s">
        <v>13</v>
      </c>
      <c r="C19">
        <f>(D9*SIN(C16))-E13</f>
        <v>1791.7279002620805</v>
      </c>
      <c r="D19">
        <f>(D9*SIN(D16))-E13</f>
        <v>1791.7279002620808</v>
      </c>
      <c r="F19">
        <f>D9*SIN(C16)</f>
        <v>1966.6701621424986</v>
      </c>
    </row>
    <row r="20" spans="2:6">
      <c r="B20" t="s">
        <v>14</v>
      </c>
      <c r="C20">
        <f>D9*COS(C16)</f>
        <v>917.06514127318087</v>
      </c>
      <c r="D20">
        <f>D9*COS(D16)</f>
        <v>-917.06514127318019</v>
      </c>
    </row>
    <row r="21" spans="2:6">
      <c r="B21" t="s">
        <v>15</v>
      </c>
      <c r="C21">
        <f>SQRT((C19*C19)+(C20*C20))</f>
        <v>2012.7834811315308</v>
      </c>
      <c r="D21">
        <f>SQRT((D19*D19)+(D20*D20))</f>
        <v>2012.7834811315308</v>
      </c>
    </row>
    <row r="23" spans="2:6">
      <c r="B23" t="s">
        <v>36</v>
      </c>
      <c r="C23" t="s">
        <v>21</v>
      </c>
      <c r="D23" t="s">
        <v>22</v>
      </c>
    </row>
    <row r="24" spans="2:6">
      <c r="B24" t="s">
        <v>13</v>
      </c>
      <c r="C24">
        <f>(E9*SIN(C16))-E13</f>
        <v>1791.7279002620805</v>
      </c>
      <c r="D24">
        <f>(E9*SIN(D16))-E13</f>
        <v>1791.7279002620808</v>
      </c>
    </row>
    <row r="25" spans="2:6">
      <c r="B25" t="s">
        <v>14</v>
      </c>
      <c r="C25">
        <f>E9*COS(C16)</f>
        <v>917.06514127318087</v>
      </c>
      <c r="D25">
        <f>E9*COS(D16)</f>
        <v>-917.06514127318019</v>
      </c>
    </row>
    <row r="26" spans="2:6">
      <c r="B26" t="s">
        <v>15</v>
      </c>
      <c r="C26">
        <f>SQRT((C24*C24)+(C25*C25))</f>
        <v>2012.7834811315308</v>
      </c>
      <c r="D26">
        <f>SQRT((D24*D24)+(D25*D25))</f>
        <v>2012.7834811315308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3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18.5" customWidth="1"/>
    <col min="2" max="5" width="12" bestFit="1" customWidth="1"/>
    <col min="6" max="6" width="14.1640625" customWidth="1"/>
    <col min="7" max="7" width="13" customWidth="1"/>
    <col min="8" max="8" width="14.5" customWidth="1"/>
    <col min="9" max="9" width="14.83203125" customWidth="1"/>
    <col min="10" max="10" width="14.6640625" customWidth="1"/>
  </cols>
  <sheetData>
    <row r="5" spans="1:10">
      <c r="A5" t="s">
        <v>23</v>
      </c>
      <c r="B5" t="s">
        <v>65</v>
      </c>
      <c r="C5" t="s">
        <v>24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</row>
    <row r="6" spans="1:10">
      <c r="A6" t="s">
        <v>26</v>
      </c>
      <c r="B6">
        <f>1.1723328*10^18</f>
        <v>1.1723328E+18</v>
      </c>
      <c r="C6">
        <f>1.6860938*10^11</f>
        <v>168609380000</v>
      </c>
      <c r="D6">
        <f>8.1717302*10^12</f>
        <v>8171730200000.001</v>
      </c>
      <c r="E6">
        <f>8289449.8*10^0</f>
        <v>8289449.7999999998</v>
      </c>
      <c r="F6">
        <f>3.5316*10^12</f>
        <v>3531600000000</v>
      </c>
      <c r="G6">
        <f>6.5138398*10^10</f>
        <v>65138398000.000008</v>
      </c>
      <c r="H6">
        <f>1.7658*10^9</f>
        <v>1765800000</v>
      </c>
      <c r="I6">
        <f>3.0136321*10^11</f>
        <v>301363210000</v>
      </c>
      <c r="J6">
        <f>1.8568369*10^10</f>
        <v>18568369000</v>
      </c>
    </row>
    <row r="7" spans="1:10">
      <c r="A7" t="s">
        <v>25</v>
      </c>
      <c r="B7">
        <v>432000</v>
      </c>
      <c r="C7">
        <v>1210000</v>
      </c>
      <c r="D7">
        <v>80500</v>
      </c>
      <c r="E7">
        <v>28255</v>
      </c>
      <c r="F7">
        <v>21549.424999999999</v>
      </c>
      <c r="G7">
        <v>138984.38</v>
      </c>
      <c r="H7">
        <v>40400</v>
      </c>
      <c r="I7">
        <v>65517.858999999997</v>
      </c>
      <c r="J7">
        <v>65517.862000000001</v>
      </c>
    </row>
    <row r="8" spans="1:10">
      <c r="A8" t="s">
        <v>18</v>
      </c>
      <c r="B8">
        <v>261600000</v>
      </c>
      <c r="C8">
        <v>250000</v>
      </c>
      <c r="D8">
        <v>700000</v>
      </c>
      <c r="E8">
        <v>13000</v>
      </c>
      <c r="F8">
        <v>600000</v>
      </c>
      <c r="G8">
        <v>200000</v>
      </c>
      <c r="H8">
        <v>60000</v>
      </c>
      <c r="I8">
        <v>320000</v>
      </c>
      <c r="J8">
        <v>130000</v>
      </c>
    </row>
    <row r="10" spans="1:10"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62</v>
      </c>
      <c r="I10" t="s">
        <v>64</v>
      </c>
    </row>
    <row r="11" spans="1:10">
      <c r="A11" t="s">
        <v>26</v>
      </c>
      <c r="B11">
        <f>2.1484489*10^10</f>
        <v>21484489000</v>
      </c>
      <c r="C11">
        <f>2.82528*10^14</f>
        <v>282528000000000</v>
      </c>
      <c r="D11">
        <f>1.962*10^12</f>
        <v>1962000000000</v>
      </c>
      <c r="E11">
        <f>2.074815*10^11</f>
        <v>207481500000</v>
      </c>
      <c r="F11">
        <f>2.82528*10^12</f>
        <v>2825280000000</v>
      </c>
      <c r="G11">
        <f>2.4868349*10^9</f>
        <v>2486834900</v>
      </c>
      <c r="H11">
        <f>7.2170208*10^8</f>
        <v>721702080</v>
      </c>
      <c r="I11">
        <f>7.4410815*10^10</f>
        <v>74410815000</v>
      </c>
    </row>
    <row r="12" spans="1:10">
      <c r="A12" t="s">
        <v>25</v>
      </c>
      <c r="B12">
        <v>34800</v>
      </c>
      <c r="C12">
        <v>36000</v>
      </c>
      <c r="D12">
        <v>52980.879000000001</v>
      </c>
      <c r="E12">
        <v>105962.09</v>
      </c>
      <c r="F12">
        <v>211926.36</v>
      </c>
      <c r="G12">
        <v>544507.43000000005</v>
      </c>
      <c r="H12">
        <v>901902.62</v>
      </c>
      <c r="I12">
        <v>19460</v>
      </c>
    </row>
    <row r="13" spans="1:10">
      <c r="A13" t="s">
        <v>18</v>
      </c>
      <c r="B13">
        <v>138000</v>
      </c>
      <c r="C13">
        <v>6000000</v>
      </c>
      <c r="D13">
        <v>500000</v>
      </c>
      <c r="E13">
        <v>300000</v>
      </c>
      <c r="F13">
        <v>600000</v>
      </c>
      <c r="G13">
        <v>65000</v>
      </c>
      <c r="H13">
        <v>44000</v>
      </c>
      <c r="I13">
        <v>210000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</vt:lpstr>
      <vt:lpstr>Calc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Stuewe</dc:creator>
  <cp:lastModifiedBy>Eric Meyer</cp:lastModifiedBy>
  <dcterms:created xsi:type="dcterms:W3CDTF">2016-09-09T01:05:29Z</dcterms:created>
  <dcterms:modified xsi:type="dcterms:W3CDTF">2016-09-17T20:20:14Z</dcterms:modified>
</cp:coreProperties>
</file>