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1340" yWindow="4280" windowWidth="21240" windowHeight="16680" tabRatio="500"/>
  </bookViews>
  <sheets>
    <sheet name="Body data" sheetId="2" r:id="rId1"/>
    <sheet name="Worksheet" sheetId="4" r:id="rId2"/>
    <sheet name="Sheet1" sheetId="5" r:id="rId3"/>
    <sheet name="Old WS" sheetId="3" r:id="rId4"/>
    <sheet name="Old" sheetId="1" r:id="rId5"/>
  </sheets>
  <definedNames>
    <definedName name="TIMEVALUE">Worksheet!#REF!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2" i="2"/>
  <c r="E3" i="2"/>
  <c r="E4" i="2"/>
  <c r="E5" i="2"/>
  <c r="E6" i="2"/>
  <c r="C17" i="5"/>
  <c r="C18" i="5"/>
  <c r="C7" i="5"/>
  <c r="D4" i="5"/>
  <c r="E4" i="5"/>
  <c r="F4" i="5"/>
  <c r="G4" i="5"/>
  <c r="C12" i="5"/>
  <c r="C4" i="5"/>
  <c r="C10" i="5"/>
  <c r="C11" i="5"/>
  <c r="C13" i="5"/>
  <c r="C14" i="5"/>
  <c r="C16" i="5"/>
  <c r="D7" i="5"/>
  <c r="E7" i="5"/>
  <c r="F7" i="5"/>
  <c r="G7" i="5"/>
  <c r="D2" i="4"/>
  <c r="E2" i="4"/>
  <c r="D5" i="4"/>
  <c r="E5" i="4"/>
  <c r="E6" i="4"/>
  <c r="E7" i="4"/>
  <c r="F6" i="4"/>
  <c r="F7" i="4"/>
  <c r="F5" i="4"/>
  <c r="C9" i="4"/>
  <c r="E9" i="4"/>
  <c r="D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6" i="4"/>
  <c r="D6" i="4"/>
  <c r="C7" i="4"/>
  <c r="D7" i="4"/>
  <c r="E8" i="4"/>
  <c r="D8" i="4"/>
  <c r="C8" i="4"/>
  <c r="C2" i="3"/>
  <c r="C5" i="3"/>
  <c r="C7" i="3"/>
  <c r="B7" i="3"/>
  <c r="D2" i="3"/>
  <c r="D7" i="3"/>
  <c r="B6" i="3"/>
  <c r="C6" i="3"/>
  <c r="D6" i="3"/>
  <c r="D5" i="3"/>
  <c r="J4" i="1"/>
  <c r="I3" i="1"/>
  <c r="I2" i="1"/>
  <c r="I4" i="1"/>
  <c r="H3" i="1"/>
  <c r="H2" i="1"/>
  <c r="H4" i="1"/>
  <c r="G3" i="1"/>
  <c r="G2" i="1"/>
  <c r="G4" i="1"/>
  <c r="C8" i="1"/>
  <c r="G9" i="1"/>
  <c r="I9" i="1"/>
  <c r="D15" i="1"/>
  <c r="C15" i="1"/>
  <c r="C14" i="1"/>
  <c r="C16" i="1"/>
  <c r="B15" i="1"/>
  <c r="B14" i="1"/>
  <c r="B16" i="1"/>
  <c r="A15" i="1"/>
  <c r="A14" i="1"/>
  <c r="A16" i="1"/>
  <c r="D9" i="1"/>
  <c r="C9" i="1"/>
  <c r="C10" i="1"/>
  <c r="B9" i="1"/>
  <c r="B8" i="1"/>
  <c r="B10" i="1"/>
  <c r="A9" i="1"/>
  <c r="A8" i="1"/>
  <c r="A10" i="1"/>
  <c r="C3" i="1"/>
  <c r="B3" i="1"/>
  <c r="C2" i="1"/>
  <c r="B2" i="1"/>
  <c r="B4" i="1"/>
  <c r="C4" i="1"/>
  <c r="D4" i="1"/>
  <c r="A3" i="1"/>
  <c r="A2" i="1"/>
  <c r="A4" i="1"/>
</calcChain>
</file>

<file path=xl/sharedStrings.xml><?xml version="1.0" encoding="utf-8"?>
<sst xmlns="http://schemas.openxmlformats.org/spreadsheetml/2006/main" count="58" uniqueCount="40">
  <si>
    <t>T</t>
  </si>
  <si>
    <t>r</t>
  </si>
  <si>
    <t>µ</t>
  </si>
  <si>
    <t>2/3</t>
  </si>
  <si>
    <t>Body EqR</t>
  </si>
  <si>
    <t>Moho</t>
  </si>
  <si>
    <t>Eve</t>
  </si>
  <si>
    <t>Gilly</t>
  </si>
  <si>
    <t>Kerbin</t>
  </si>
  <si>
    <t>Mun</t>
  </si>
  <si>
    <t>Minmus</t>
  </si>
  <si>
    <t>Ike</t>
  </si>
  <si>
    <t>Dres</t>
  </si>
  <si>
    <t>Jool</t>
  </si>
  <si>
    <t>Laythe</t>
  </si>
  <si>
    <t>Vall</t>
  </si>
  <si>
    <t>Tylo</t>
  </si>
  <si>
    <t>Bop</t>
  </si>
  <si>
    <t>Pol</t>
  </si>
  <si>
    <t>Eeloo</t>
  </si>
  <si>
    <t>GM</t>
  </si>
  <si>
    <t>Duna</t>
  </si>
  <si>
    <t>Body</t>
  </si>
  <si>
    <t>EqR (km)</t>
  </si>
  <si>
    <t>GM (m3/s-2)</t>
  </si>
  <si>
    <t>Orbit</t>
  </si>
  <si>
    <t>2:3</t>
  </si>
  <si>
    <t>Ap</t>
  </si>
  <si>
    <t>Pe</t>
  </si>
  <si>
    <t>4:3</t>
  </si>
  <si>
    <t>OrbPrd</t>
  </si>
  <si>
    <t>Kerbol</t>
  </si>
  <si>
    <t>MA</t>
  </si>
  <si>
    <t>SMA</t>
  </si>
  <si>
    <t>e</t>
  </si>
  <si>
    <t>mA</t>
  </si>
  <si>
    <t>smA</t>
  </si>
  <si>
    <t>F</t>
  </si>
  <si>
    <t>SRP</t>
  </si>
  <si>
    <t>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</si>
</sst>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E+00"/>
    <numFmt numFmtId="165" formatCode="0.000E+00"/>
    <numFmt numFmtId="166" formatCode="#,##0.000"/>
    <numFmt numFmtId="167" formatCode="#,##0.0"/>
    <numFmt numFmtId="168" formatCode="h:mm:ss;@"/>
    <numFmt numFmtId="169" formatCode="0.0"/>
    <numFmt numFmtId="170" formatCode="0.00000"/>
  </numFmts>
  <fonts count="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164" fontId="0" fillId="0" borderId="0" xfId="0" applyNumberFormat="1"/>
    <xf numFmtId="11" fontId="0" fillId="0" borderId="0" xfId="0" applyNumberFormat="1"/>
    <xf numFmtId="49" fontId="3" fillId="0" borderId="0" xfId="0" applyNumberFormat="1" applyFont="1" applyAlignment="1">
      <alignment horizontal="right"/>
    </xf>
    <xf numFmtId="12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3" fontId="0" fillId="0" borderId="0" xfId="0" applyNumberFormat="1" applyFont="1"/>
    <xf numFmtId="0" fontId="0" fillId="0" borderId="0" xfId="0" applyNumberFormat="1" applyFont="1"/>
    <xf numFmtId="165" fontId="0" fillId="0" borderId="0" xfId="0" applyNumberFormat="1"/>
    <xf numFmtId="0" fontId="0" fillId="0" borderId="0" xfId="0" applyFont="1"/>
    <xf numFmtId="0" fontId="0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0" applyNumberFormat="1" applyFont="1"/>
    <xf numFmtId="0" fontId="0" fillId="0" borderId="0" xfId="0" applyFont="1" applyBorder="1"/>
    <xf numFmtId="0" fontId="0" fillId="0" borderId="0" xfId="0" applyBorder="1"/>
    <xf numFmtId="3" fontId="0" fillId="0" borderId="0" xfId="0" applyNumberFormat="1" applyFont="1" applyBorder="1"/>
    <xf numFmtId="1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168" fontId="0" fillId="0" borderId="0" xfId="0" applyNumberFormat="1" applyFont="1" applyBorder="1"/>
    <xf numFmtId="2" fontId="0" fillId="0" borderId="0" xfId="0" applyNumberFormat="1"/>
    <xf numFmtId="169" fontId="0" fillId="0" borderId="0" xfId="0" applyNumberFormat="1"/>
    <xf numFmtId="11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" fontId="0" fillId="0" borderId="0" xfId="0" applyNumberFormat="1"/>
  </cellXfs>
  <cellStyles count="9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4" sqref="E4"/>
    </sheetView>
  </sheetViews>
  <sheetFormatPr baseColWidth="10" defaultRowHeight="15" x14ac:dyDescent="0"/>
  <cols>
    <col min="2" max="2" width="11.33203125" bestFit="1" customWidth="1"/>
    <col min="3" max="3" width="13" customWidth="1"/>
    <col min="5" max="5" width="12.1640625" bestFit="1" customWidth="1"/>
  </cols>
  <sheetData>
    <row r="1" spans="1:5">
      <c r="B1" s="6" t="s">
        <v>4</v>
      </c>
      <c r="C1" s="6" t="s">
        <v>20</v>
      </c>
      <c r="D1" s="6" t="s">
        <v>38</v>
      </c>
      <c r="E1" s="6" t="s">
        <v>39</v>
      </c>
    </row>
    <row r="2" spans="1:5">
      <c r="A2" s="7" t="s">
        <v>31</v>
      </c>
      <c r="B2" s="8">
        <v>261600000</v>
      </c>
      <c r="C2" s="2">
        <v>1.1723328E+18</v>
      </c>
      <c r="D2">
        <v>432000</v>
      </c>
      <c r="E2" s="26">
        <f t="shared" ref="E2:E18" si="0">((C2*(D2^2))/(4*(PI()^2)))^(1/3)</f>
        <v>1769645289.0912395</v>
      </c>
    </row>
    <row r="3" spans="1:5">
      <c r="A3" s="7" t="s">
        <v>5</v>
      </c>
      <c r="B3" s="8">
        <v>250000</v>
      </c>
      <c r="C3" s="2">
        <v>168609380000</v>
      </c>
      <c r="E3" s="26">
        <f t="shared" si="0"/>
        <v>0</v>
      </c>
    </row>
    <row r="4" spans="1:5">
      <c r="A4" s="7" t="s">
        <v>6</v>
      </c>
      <c r="B4" s="8">
        <v>700000</v>
      </c>
      <c r="C4" s="2">
        <v>8171730200000</v>
      </c>
      <c r="D4">
        <v>80500</v>
      </c>
      <c r="E4" s="26">
        <f t="shared" si="0"/>
        <v>11028472.073871389</v>
      </c>
    </row>
    <row r="5" spans="1:5">
      <c r="A5" s="7" t="s">
        <v>7</v>
      </c>
      <c r="B5" s="8">
        <v>13000</v>
      </c>
      <c r="C5" s="2">
        <v>8289449.7999999998</v>
      </c>
      <c r="D5">
        <v>28255</v>
      </c>
      <c r="E5" s="26">
        <f t="shared" si="0"/>
        <v>55138.150881061083</v>
      </c>
    </row>
    <row r="6" spans="1:5">
      <c r="A6" s="7" t="s">
        <v>8</v>
      </c>
      <c r="B6" s="8">
        <v>600000</v>
      </c>
      <c r="C6" s="2">
        <v>3531600000000</v>
      </c>
      <c r="D6">
        <v>21600</v>
      </c>
      <c r="E6" s="26">
        <f>((C6*(D6^2))/(4*(PI()^2)))^(1/3)</f>
        <v>3468750.725048624</v>
      </c>
    </row>
    <row r="7" spans="1:5">
      <c r="A7" s="7" t="s">
        <v>9</v>
      </c>
      <c r="B7" s="8">
        <v>200000</v>
      </c>
      <c r="C7" s="2">
        <v>65138398000</v>
      </c>
      <c r="E7" s="26">
        <f t="shared" si="0"/>
        <v>0</v>
      </c>
    </row>
    <row r="8" spans="1:5">
      <c r="A8" s="7" t="s">
        <v>10</v>
      </c>
      <c r="B8" s="8">
        <v>60000</v>
      </c>
      <c r="C8" s="2">
        <v>1765800000</v>
      </c>
      <c r="D8">
        <v>40400</v>
      </c>
      <c r="E8" s="26">
        <f t="shared" si="0"/>
        <v>417940.86317366653</v>
      </c>
    </row>
    <row r="9" spans="1:5">
      <c r="A9" s="7" t="s">
        <v>21</v>
      </c>
      <c r="B9" s="8">
        <v>320000</v>
      </c>
      <c r="C9" s="2">
        <v>301363210000</v>
      </c>
      <c r="D9">
        <v>65517.858999999997</v>
      </c>
      <c r="E9" s="26">
        <f t="shared" si="0"/>
        <v>3199999.8909364119</v>
      </c>
    </row>
    <row r="10" spans="1:5">
      <c r="A10" s="7" t="s">
        <v>11</v>
      </c>
      <c r="B10" s="8">
        <v>130000</v>
      </c>
      <c r="C10" s="2">
        <v>18568369000</v>
      </c>
      <c r="E10" s="26">
        <f t="shared" si="0"/>
        <v>0</v>
      </c>
    </row>
    <row r="11" spans="1:5">
      <c r="A11" s="7" t="s">
        <v>12</v>
      </c>
      <c r="B11" s="8">
        <v>138000</v>
      </c>
      <c r="C11" s="2">
        <v>21484489000</v>
      </c>
      <c r="D11">
        <v>34800</v>
      </c>
      <c r="E11" s="26">
        <f t="shared" si="0"/>
        <v>870244.44536877633</v>
      </c>
    </row>
    <row r="12" spans="1:5">
      <c r="A12" s="7" t="s">
        <v>13</v>
      </c>
      <c r="B12" s="8">
        <v>6000000</v>
      </c>
      <c r="C12" s="2">
        <v>282528000000000</v>
      </c>
      <c r="D12">
        <v>36000</v>
      </c>
      <c r="E12" s="26">
        <f t="shared" si="0"/>
        <v>21010461.246290855</v>
      </c>
    </row>
    <row r="13" spans="1:5">
      <c r="A13" s="7" t="s">
        <v>14</v>
      </c>
      <c r="B13" s="8">
        <v>500000</v>
      </c>
      <c r="C13" s="2">
        <v>1962000000000</v>
      </c>
      <c r="E13" s="26">
        <f t="shared" si="0"/>
        <v>0</v>
      </c>
    </row>
    <row r="14" spans="1:5">
      <c r="A14" s="7" t="s">
        <v>15</v>
      </c>
      <c r="B14" s="8">
        <v>300000</v>
      </c>
      <c r="C14" s="2">
        <v>207481500000</v>
      </c>
      <c r="E14" s="26">
        <f t="shared" si="0"/>
        <v>0</v>
      </c>
    </row>
    <row r="15" spans="1:5">
      <c r="A15" s="7" t="s">
        <v>16</v>
      </c>
      <c r="B15" s="8">
        <v>600000</v>
      </c>
      <c r="C15" s="2">
        <v>2825280000000</v>
      </c>
      <c r="E15" s="26">
        <f t="shared" si="0"/>
        <v>0</v>
      </c>
    </row>
    <row r="16" spans="1:5">
      <c r="A16" s="7" t="s">
        <v>17</v>
      </c>
      <c r="B16" s="8">
        <v>65000</v>
      </c>
      <c r="C16" s="2">
        <v>2486834900</v>
      </c>
      <c r="E16" s="26">
        <f t="shared" si="0"/>
        <v>0</v>
      </c>
    </row>
    <row r="17" spans="1:5">
      <c r="A17" s="7" t="s">
        <v>18</v>
      </c>
      <c r="B17" s="8">
        <v>44000</v>
      </c>
      <c r="C17" s="2">
        <v>721702080</v>
      </c>
      <c r="E17" s="26">
        <f t="shared" si="0"/>
        <v>0</v>
      </c>
    </row>
    <row r="18" spans="1:5">
      <c r="A18" s="7" t="s">
        <v>19</v>
      </c>
      <c r="B18" s="8">
        <v>210000</v>
      </c>
      <c r="C18" s="2">
        <v>74410815000</v>
      </c>
      <c r="D18">
        <v>19460</v>
      </c>
      <c r="E18" s="26">
        <f t="shared" si="0"/>
        <v>893690.89255149476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E7" sqref="E7"/>
    </sheetView>
  </sheetViews>
  <sheetFormatPr baseColWidth="10" defaultRowHeight="15" x14ac:dyDescent="0"/>
  <cols>
    <col min="2" max="2" width="5.83203125" bestFit="1" customWidth="1"/>
    <col min="3" max="3" width="12.83203125" bestFit="1" customWidth="1"/>
    <col min="4" max="4" width="13.5" bestFit="1" customWidth="1"/>
    <col min="5" max="5" width="11.83203125" customWidth="1"/>
  </cols>
  <sheetData>
    <row r="1" spans="1:10">
      <c r="D1" s="6" t="s">
        <v>23</v>
      </c>
      <c r="E1" s="6" t="s">
        <v>24</v>
      </c>
    </row>
    <row r="2" spans="1:10">
      <c r="B2" s="6" t="s">
        <v>22</v>
      </c>
      <c r="C2" s="12" t="s">
        <v>9</v>
      </c>
      <c r="D2" s="1">
        <f>INDEX('Body data'!B2:B18,MATCH(Worksheet!C2,'Body data'!A2:A18,0))</f>
        <v>200000</v>
      </c>
      <c r="E2" s="10">
        <f>INDEX('Body data'!C2:C18,MATCH(Worksheet!D2,'Body data'!B2:B18,0))</f>
        <v>65138398000</v>
      </c>
    </row>
    <row r="3" spans="1:10">
      <c r="B3" s="11"/>
      <c r="C3" s="9"/>
      <c r="D3" s="11"/>
      <c r="E3" s="11"/>
      <c r="F3" s="11"/>
      <c r="G3" s="11"/>
      <c r="H3" s="11"/>
    </row>
    <row r="4" spans="1:10">
      <c r="C4" s="6" t="s">
        <v>27</v>
      </c>
      <c r="D4" s="6" t="s">
        <v>28</v>
      </c>
      <c r="E4" s="6" t="s">
        <v>30</v>
      </c>
      <c r="F4" s="11"/>
      <c r="G4" s="11"/>
      <c r="H4" s="11"/>
    </row>
    <row r="5" spans="1:10">
      <c r="A5" s="6"/>
      <c r="B5" s="6" t="s">
        <v>25</v>
      </c>
      <c r="C5" s="8">
        <v>250000</v>
      </c>
      <c r="D5" s="8">
        <f>C5</f>
        <v>250000</v>
      </c>
      <c r="E5" s="13">
        <f>2*PI()*SQRT(((((C5+D5)/2)+D$2)^3)/E$2)</f>
        <v>7431.5619476523307</v>
      </c>
      <c r="F5" s="21">
        <f>E5/86400</f>
        <v>8.6013448468198278E-2</v>
      </c>
      <c r="H5" s="15"/>
      <c r="I5" s="16"/>
      <c r="J5" s="16"/>
    </row>
    <row r="6" spans="1:10">
      <c r="A6" s="18">
        <v>2</v>
      </c>
      <c r="B6" s="20">
        <v>3</v>
      </c>
      <c r="C6" s="14">
        <f t="shared" ref="C6:C7" si="0">IF(A6&lt;&gt;0,IF($A6/$B6&gt;1,2*(10^(LOG(($E$2*$E6^2)/(4*PI()^2))/3))-$C$5-2*$D$2,C$5),"")</f>
        <v>250000</v>
      </c>
      <c r="D6" s="14">
        <f t="shared" ref="D6:D7" si="1">IF(A6&lt;&gt;0,IF($A6/$B6&lt;1,2*(10^(LOG(($E$2*$E6^2)/(4*PI()^2))/3))-$C$5-2*$D$2,D$5),"")</f>
        <v>36828.545532000368</v>
      </c>
      <c r="E6" s="13">
        <f t="shared" ref="E6:E7" si="2">IF(A6&lt;&gt;0,E$5*(A6/B6),"")</f>
        <v>4954.3746317682198</v>
      </c>
      <c r="F6" s="21">
        <f>E6/86400</f>
        <v>5.734229897879884E-2</v>
      </c>
      <c r="H6" s="17"/>
      <c r="I6" s="16"/>
      <c r="J6" s="16"/>
    </row>
    <row r="7" spans="1:10">
      <c r="A7" s="18">
        <v>4</v>
      </c>
      <c r="B7" s="20">
        <v>3</v>
      </c>
      <c r="C7" s="14">
        <f t="shared" si="0"/>
        <v>440272.35569928517</v>
      </c>
      <c r="D7" s="14">
        <f t="shared" si="1"/>
        <v>250000</v>
      </c>
      <c r="E7" s="13">
        <f t="shared" si="2"/>
        <v>9908.7492635364397</v>
      </c>
      <c r="F7" s="21">
        <f>E7/86400</f>
        <v>0.11468459795759768</v>
      </c>
      <c r="H7" s="15"/>
      <c r="I7" s="16"/>
      <c r="J7" s="16"/>
    </row>
    <row r="8" spans="1:10">
      <c r="A8" s="18"/>
      <c r="B8" s="19"/>
      <c r="C8" s="14" t="str">
        <f>IF(A8&lt;&gt;0,IF($A8/$B8&gt;1,2*(10^(LOG(($E$2*$E8^2)/(4*PI()^2))/3))-$C$5-2*$D$2,C$5),"")</f>
        <v/>
      </c>
      <c r="D8" s="14" t="str">
        <f>IF(A8&lt;&gt;0,IF($A8/$B8&lt;1,2*(10^(LOG(($E$2*$E8^2)/(4*PI()^2))/3))-$C$5-2*$D$2,D$5),"")</f>
        <v/>
      </c>
      <c r="E8" s="13" t="str">
        <f>IF(A8&lt;&gt;0,E$5*(A8/B8),"")</f>
        <v/>
      </c>
      <c r="F8" s="11"/>
      <c r="G8" s="15"/>
      <c r="H8" s="15"/>
      <c r="I8" s="16"/>
      <c r="J8" s="16"/>
    </row>
    <row r="9" spans="1:10">
      <c r="A9" s="18"/>
      <c r="B9" s="19"/>
      <c r="C9" s="14" t="str">
        <f t="shared" ref="C9:C39" si="3">IF(A9&lt;&gt;0,IF($A9/$B9&gt;1,2*(10^(LOG(($E$2*$E9^2)/(4*PI()^2))/3))-$C$5-2*$D$2,C$5),"")</f>
        <v/>
      </c>
      <c r="D9" s="14" t="str">
        <f t="shared" ref="D9:D39" si="4">IF(A9&lt;&gt;0,IF($A9/$B9&lt;1,2*(10^(LOG(($E$2*$E9^2)/(4*PI()^2))/3))-$C$5-2*$D$2,D$5),"")</f>
        <v/>
      </c>
      <c r="E9" s="13" t="str">
        <f t="shared" ref="E9:E39" si="5">IF(A9&lt;&gt;0,E$5*(A9/B9),"")</f>
        <v/>
      </c>
      <c r="F9" s="11"/>
      <c r="G9" s="15"/>
      <c r="H9" s="15"/>
      <c r="I9" s="16"/>
      <c r="J9" s="16"/>
    </row>
    <row r="10" spans="1:10">
      <c r="A10" s="18"/>
      <c r="B10" s="19"/>
      <c r="C10" s="14" t="str">
        <f t="shared" si="3"/>
        <v/>
      </c>
      <c r="D10" s="14" t="str">
        <f t="shared" si="4"/>
        <v/>
      </c>
      <c r="E10" s="13" t="str">
        <f t="shared" si="5"/>
        <v/>
      </c>
      <c r="F10" s="11"/>
      <c r="G10" s="15"/>
      <c r="H10" s="15"/>
      <c r="I10" s="16"/>
      <c r="J10" s="16"/>
    </row>
    <row r="11" spans="1:10">
      <c r="A11" s="18"/>
      <c r="B11" s="19"/>
      <c r="C11" s="14" t="str">
        <f t="shared" si="3"/>
        <v/>
      </c>
      <c r="D11" s="14" t="str">
        <f t="shared" si="4"/>
        <v/>
      </c>
      <c r="E11" s="13" t="str">
        <f t="shared" si="5"/>
        <v/>
      </c>
      <c r="F11" s="11"/>
      <c r="G11" s="15"/>
      <c r="H11" s="15"/>
      <c r="I11" s="16"/>
      <c r="J11" s="16"/>
    </row>
    <row r="12" spans="1:10">
      <c r="A12" s="18"/>
      <c r="B12" s="19"/>
      <c r="C12" s="14" t="str">
        <f t="shared" si="3"/>
        <v/>
      </c>
      <c r="D12" s="14" t="str">
        <f t="shared" si="4"/>
        <v/>
      </c>
      <c r="E12" s="13" t="str">
        <f t="shared" si="5"/>
        <v/>
      </c>
      <c r="F12" s="11"/>
      <c r="G12" s="15"/>
      <c r="H12" s="15"/>
      <c r="I12" s="16"/>
      <c r="J12" s="16"/>
    </row>
    <row r="13" spans="1:10">
      <c r="A13" s="18"/>
      <c r="B13" s="19"/>
      <c r="C13" s="14" t="str">
        <f t="shared" si="3"/>
        <v/>
      </c>
      <c r="D13" s="14" t="str">
        <f t="shared" si="4"/>
        <v/>
      </c>
      <c r="E13" s="13" t="str">
        <f t="shared" si="5"/>
        <v/>
      </c>
      <c r="F13" s="11"/>
      <c r="G13" s="15"/>
      <c r="H13" s="15"/>
      <c r="I13" s="16"/>
      <c r="J13" s="16"/>
    </row>
    <row r="14" spans="1:10">
      <c r="A14" s="18"/>
      <c r="B14" s="19"/>
      <c r="C14" s="14" t="str">
        <f t="shared" si="3"/>
        <v/>
      </c>
      <c r="D14" s="14" t="str">
        <f t="shared" si="4"/>
        <v/>
      </c>
      <c r="E14" s="13" t="str">
        <f t="shared" si="5"/>
        <v/>
      </c>
      <c r="F14" s="11"/>
      <c r="G14" s="15"/>
      <c r="H14" s="15"/>
      <c r="I14" s="16"/>
      <c r="J14" s="16"/>
    </row>
    <row r="15" spans="1:10">
      <c r="A15" s="18"/>
      <c r="B15" s="19"/>
      <c r="C15" s="14" t="str">
        <f t="shared" si="3"/>
        <v/>
      </c>
      <c r="D15" s="14" t="str">
        <f t="shared" si="4"/>
        <v/>
      </c>
      <c r="E15" s="13" t="str">
        <f t="shared" si="5"/>
        <v/>
      </c>
      <c r="F15" s="11"/>
      <c r="G15" s="15"/>
      <c r="H15" s="15"/>
      <c r="I15" s="16"/>
      <c r="J15" s="16"/>
    </row>
    <row r="16" spans="1:10">
      <c r="A16" s="18"/>
      <c r="B16" s="19"/>
      <c r="C16" s="14" t="str">
        <f t="shared" si="3"/>
        <v/>
      </c>
      <c r="D16" s="14" t="str">
        <f t="shared" si="4"/>
        <v/>
      </c>
      <c r="E16" s="13" t="str">
        <f t="shared" si="5"/>
        <v/>
      </c>
      <c r="F16" s="11"/>
      <c r="G16" s="15"/>
      <c r="H16" s="15"/>
      <c r="I16" s="16"/>
      <c r="J16" s="16"/>
    </row>
    <row r="17" spans="1:10">
      <c r="A17" s="18"/>
      <c r="B17" s="19"/>
      <c r="C17" s="14" t="str">
        <f t="shared" si="3"/>
        <v/>
      </c>
      <c r="D17" s="14" t="str">
        <f t="shared" si="4"/>
        <v/>
      </c>
      <c r="E17" s="13" t="str">
        <f t="shared" si="5"/>
        <v/>
      </c>
      <c r="F17" s="11"/>
      <c r="G17" s="15"/>
      <c r="H17" s="15"/>
      <c r="I17" s="16"/>
      <c r="J17" s="16"/>
    </row>
    <row r="18" spans="1:10">
      <c r="A18" s="18"/>
      <c r="B18" s="19"/>
      <c r="C18" s="14" t="str">
        <f t="shared" si="3"/>
        <v/>
      </c>
      <c r="D18" s="14" t="str">
        <f t="shared" si="4"/>
        <v/>
      </c>
      <c r="E18" s="13" t="str">
        <f t="shared" si="5"/>
        <v/>
      </c>
      <c r="F18" s="11"/>
      <c r="G18" s="15"/>
      <c r="H18" s="15"/>
      <c r="I18" s="16"/>
      <c r="J18" s="16"/>
    </row>
    <row r="19" spans="1:10">
      <c r="A19" s="18"/>
      <c r="B19" s="19"/>
      <c r="C19" s="14" t="str">
        <f t="shared" si="3"/>
        <v/>
      </c>
      <c r="D19" s="14" t="str">
        <f t="shared" si="4"/>
        <v/>
      </c>
      <c r="E19" s="13" t="str">
        <f t="shared" si="5"/>
        <v/>
      </c>
      <c r="F19" s="11"/>
      <c r="G19" s="11"/>
      <c r="H19" s="11"/>
    </row>
    <row r="20" spans="1:10">
      <c r="A20" s="18"/>
      <c r="B20" s="19"/>
      <c r="C20" s="14" t="str">
        <f t="shared" si="3"/>
        <v/>
      </c>
      <c r="D20" s="14" t="str">
        <f t="shared" si="4"/>
        <v/>
      </c>
      <c r="E20" s="13" t="str">
        <f t="shared" si="5"/>
        <v/>
      </c>
      <c r="F20" s="11"/>
      <c r="G20" s="11"/>
      <c r="H20" s="11"/>
    </row>
    <row r="21" spans="1:10">
      <c r="A21" s="18"/>
      <c r="B21" s="19"/>
      <c r="C21" s="14" t="str">
        <f t="shared" si="3"/>
        <v/>
      </c>
      <c r="D21" s="14" t="str">
        <f t="shared" si="4"/>
        <v/>
      </c>
      <c r="E21" s="13" t="str">
        <f t="shared" si="5"/>
        <v/>
      </c>
      <c r="F21" s="11"/>
      <c r="G21" s="11"/>
      <c r="H21" s="11"/>
    </row>
    <row r="22" spans="1:10">
      <c r="A22" s="18"/>
      <c r="B22" s="19"/>
      <c r="C22" s="14" t="str">
        <f t="shared" si="3"/>
        <v/>
      </c>
      <c r="D22" s="14" t="str">
        <f t="shared" si="4"/>
        <v/>
      </c>
      <c r="E22" s="13" t="str">
        <f t="shared" si="5"/>
        <v/>
      </c>
      <c r="F22" s="11"/>
      <c r="G22" s="11"/>
      <c r="H22" s="11"/>
    </row>
    <row r="23" spans="1:10">
      <c r="A23" s="18"/>
      <c r="B23" s="19"/>
      <c r="C23" s="14" t="str">
        <f t="shared" si="3"/>
        <v/>
      </c>
      <c r="D23" s="14" t="str">
        <f t="shared" si="4"/>
        <v/>
      </c>
      <c r="E23" s="13" t="str">
        <f t="shared" si="5"/>
        <v/>
      </c>
      <c r="F23" s="11"/>
      <c r="G23" s="11"/>
      <c r="H23" s="11"/>
    </row>
    <row r="24" spans="1:10">
      <c r="A24" s="18"/>
      <c r="B24" s="19"/>
      <c r="C24" s="14" t="str">
        <f t="shared" si="3"/>
        <v/>
      </c>
      <c r="D24" s="14" t="str">
        <f t="shared" si="4"/>
        <v/>
      </c>
      <c r="E24" s="13" t="str">
        <f t="shared" si="5"/>
        <v/>
      </c>
      <c r="F24" s="11"/>
      <c r="G24" s="11"/>
      <c r="H24" s="11"/>
    </row>
    <row r="25" spans="1:10">
      <c r="A25" s="18"/>
      <c r="B25" s="19"/>
      <c r="C25" s="14" t="str">
        <f t="shared" si="3"/>
        <v/>
      </c>
      <c r="D25" s="14" t="str">
        <f t="shared" si="4"/>
        <v/>
      </c>
      <c r="E25" s="13" t="str">
        <f t="shared" si="5"/>
        <v/>
      </c>
      <c r="F25" s="11"/>
      <c r="G25" s="11"/>
      <c r="H25" s="11"/>
    </row>
    <row r="26" spans="1:10">
      <c r="A26" s="18"/>
      <c r="B26" s="19"/>
      <c r="C26" s="14" t="str">
        <f t="shared" si="3"/>
        <v/>
      </c>
      <c r="D26" s="14" t="str">
        <f t="shared" si="4"/>
        <v/>
      </c>
      <c r="E26" s="13" t="str">
        <f t="shared" si="5"/>
        <v/>
      </c>
      <c r="F26" s="11"/>
      <c r="G26" s="11"/>
      <c r="H26" s="11"/>
    </row>
    <row r="27" spans="1:10">
      <c r="A27" s="18"/>
      <c r="B27" s="19"/>
      <c r="C27" s="14" t="str">
        <f t="shared" si="3"/>
        <v/>
      </c>
      <c r="D27" s="14" t="str">
        <f t="shared" si="4"/>
        <v/>
      </c>
      <c r="E27" s="13" t="str">
        <f t="shared" si="5"/>
        <v/>
      </c>
      <c r="F27" s="11"/>
      <c r="G27" s="11"/>
      <c r="H27" s="11"/>
    </row>
    <row r="28" spans="1:10">
      <c r="A28" s="18"/>
      <c r="B28" s="19"/>
      <c r="C28" s="14" t="str">
        <f t="shared" si="3"/>
        <v/>
      </c>
      <c r="D28" s="14" t="str">
        <f t="shared" si="4"/>
        <v/>
      </c>
      <c r="E28" s="13" t="str">
        <f t="shared" si="5"/>
        <v/>
      </c>
      <c r="F28" s="11"/>
      <c r="G28" s="11"/>
      <c r="H28" s="11"/>
    </row>
    <row r="29" spans="1:10">
      <c r="A29" s="18"/>
      <c r="B29" s="19"/>
      <c r="C29" s="14" t="str">
        <f t="shared" si="3"/>
        <v/>
      </c>
      <c r="D29" s="14" t="str">
        <f t="shared" si="4"/>
        <v/>
      </c>
      <c r="E29" s="13" t="str">
        <f t="shared" si="5"/>
        <v/>
      </c>
      <c r="F29" s="11"/>
      <c r="G29" s="11"/>
      <c r="H29" s="11"/>
    </row>
    <row r="30" spans="1:10">
      <c r="A30" s="18"/>
      <c r="B30" s="19"/>
      <c r="C30" s="14" t="str">
        <f t="shared" si="3"/>
        <v/>
      </c>
      <c r="D30" s="14" t="str">
        <f t="shared" si="4"/>
        <v/>
      </c>
      <c r="E30" s="13" t="str">
        <f t="shared" si="5"/>
        <v/>
      </c>
      <c r="F30" s="11"/>
      <c r="G30" s="11"/>
      <c r="H30" s="11"/>
    </row>
    <row r="31" spans="1:10">
      <c r="A31" s="18"/>
      <c r="B31" s="19"/>
      <c r="C31" s="14" t="str">
        <f t="shared" si="3"/>
        <v/>
      </c>
      <c r="D31" s="14" t="str">
        <f t="shared" si="4"/>
        <v/>
      </c>
      <c r="E31" s="13" t="str">
        <f t="shared" si="5"/>
        <v/>
      </c>
      <c r="F31" s="11"/>
      <c r="G31" s="11"/>
      <c r="H31" s="11"/>
    </row>
    <row r="32" spans="1:10">
      <c r="A32" s="18"/>
      <c r="B32" s="19"/>
      <c r="C32" s="14" t="str">
        <f t="shared" si="3"/>
        <v/>
      </c>
      <c r="D32" s="14" t="str">
        <f t="shared" si="4"/>
        <v/>
      </c>
      <c r="E32" s="13" t="str">
        <f t="shared" si="5"/>
        <v/>
      </c>
      <c r="F32" s="11"/>
      <c r="G32" s="11"/>
      <c r="H32" s="11"/>
    </row>
    <row r="33" spans="1:8">
      <c r="A33" s="18"/>
      <c r="B33" s="19"/>
      <c r="C33" s="14" t="str">
        <f t="shared" si="3"/>
        <v/>
      </c>
      <c r="D33" s="14" t="str">
        <f t="shared" si="4"/>
        <v/>
      </c>
      <c r="E33" s="13" t="str">
        <f t="shared" si="5"/>
        <v/>
      </c>
      <c r="F33" s="11"/>
      <c r="G33" s="11"/>
      <c r="H33" s="11"/>
    </row>
    <row r="34" spans="1:8">
      <c r="A34" s="18"/>
      <c r="B34" s="19"/>
      <c r="C34" s="14" t="str">
        <f t="shared" si="3"/>
        <v/>
      </c>
      <c r="D34" s="14" t="str">
        <f t="shared" si="4"/>
        <v/>
      </c>
      <c r="E34" s="13" t="str">
        <f t="shared" si="5"/>
        <v/>
      </c>
      <c r="F34" s="11"/>
      <c r="G34" s="11"/>
      <c r="H34" s="11"/>
    </row>
    <row r="35" spans="1:8">
      <c r="A35" s="18"/>
      <c r="B35" s="19"/>
      <c r="C35" s="14" t="str">
        <f t="shared" si="3"/>
        <v/>
      </c>
      <c r="D35" s="14" t="str">
        <f t="shared" si="4"/>
        <v/>
      </c>
      <c r="E35" s="13" t="str">
        <f t="shared" si="5"/>
        <v/>
      </c>
      <c r="F35" s="11"/>
      <c r="G35" s="11"/>
      <c r="H35" s="11"/>
    </row>
    <row r="36" spans="1:8">
      <c r="A36" s="18"/>
      <c r="B36" s="19"/>
      <c r="C36" s="14" t="str">
        <f t="shared" si="3"/>
        <v/>
      </c>
      <c r="D36" s="14" t="str">
        <f t="shared" si="4"/>
        <v/>
      </c>
      <c r="E36" s="13" t="str">
        <f t="shared" si="5"/>
        <v/>
      </c>
    </row>
    <row r="37" spans="1:8">
      <c r="A37" s="18"/>
      <c r="B37" s="19"/>
      <c r="C37" s="14" t="str">
        <f t="shared" si="3"/>
        <v/>
      </c>
      <c r="D37" s="14" t="str">
        <f t="shared" si="4"/>
        <v/>
      </c>
      <c r="E37" s="13" t="str">
        <f t="shared" si="5"/>
        <v/>
      </c>
    </row>
    <row r="38" spans="1:8">
      <c r="A38" s="18"/>
      <c r="B38" s="19"/>
      <c r="C38" s="14" t="str">
        <f t="shared" si="3"/>
        <v/>
      </c>
      <c r="D38" s="14" t="str">
        <f t="shared" si="4"/>
        <v/>
      </c>
      <c r="E38" s="13" t="str">
        <f t="shared" si="5"/>
        <v/>
      </c>
    </row>
    <row r="39" spans="1:8">
      <c r="A39" s="18"/>
      <c r="B39" s="19"/>
      <c r="C39" s="14" t="str">
        <f t="shared" si="3"/>
        <v/>
      </c>
      <c r="D39" s="14" t="str">
        <f t="shared" si="4"/>
        <v/>
      </c>
      <c r="E39" s="13" t="str">
        <f t="shared" si="5"/>
        <v/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'Body data'!$A$2:$A$18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" sqref="D2"/>
    </sheetView>
  </sheetViews>
  <sheetFormatPr baseColWidth="10" defaultRowHeight="15" x14ac:dyDescent="0"/>
  <cols>
    <col min="3" max="3" width="15" bestFit="1" customWidth="1"/>
    <col min="4" max="5" width="12.1640625" bestFit="1" customWidth="1"/>
  </cols>
  <sheetData>
    <row r="1" spans="1:7">
      <c r="C1">
        <v>200000</v>
      </c>
      <c r="D1" s="3">
        <v>65138398000</v>
      </c>
    </row>
    <row r="4" spans="1:7">
      <c r="A4" t="s">
        <v>28</v>
      </c>
      <c r="B4">
        <v>250000</v>
      </c>
      <c r="C4">
        <f>B4+C1</f>
        <v>450000</v>
      </c>
      <c r="D4" s="3">
        <f>2*D1*C7</f>
        <v>8.3492053574072E+16</v>
      </c>
      <c r="E4">
        <f>C4*(C7+C4)</f>
        <v>490896900000</v>
      </c>
      <c r="F4" s="3">
        <f>D4/E4</f>
        <v>170080.6290976211</v>
      </c>
      <c r="G4">
        <f>SQRT(F4)</f>
        <v>412.4083281138017</v>
      </c>
    </row>
    <row r="7" spans="1:7">
      <c r="A7" t="s">
        <v>27</v>
      </c>
      <c r="B7">
        <v>440882</v>
      </c>
      <c r="C7">
        <f>B7+C1</f>
        <v>640882</v>
      </c>
      <c r="D7" s="24">
        <f>2*D1*C4</f>
        <v>5.86245582E+16</v>
      </c>
      <c r="E7">
        <f>C7*(C7+C4)</f>
        <v>699126637924</v>
      </c>
      <c r="F7" s="3">
        <f>D7/E7</f>
        <v>83853.990135579559</v>
      </c>
      <c r="G7">
        <f>SQRT(F7)</f>
        <v>289.57553442164198</v>
      </c>
    </row>
    <row r="10" spans="1:7">
      <c r="A10" t="s">
        <v>32</v>
      </c>
      <c r="C10">
        <f>C4+C7</f>
        <v>1090882</v>
      </c>
      <c r="E10" s="22"/>
      <c r="F10" s="22"/>
    </row>
    <row r="11" spans="1:7">
      <c r="A11" t="s">
        <v>33</v>
      </c>
      <c r="C11" s="23">
        <f>C10/2</f>
        <v>545441</v>
      </c>
    </row>
    <row r="12" spans="1:7">
      <c r="A12" t="s">
        <v>34</v>
      </c>
      <c r="C12" s="25">
        <f>((C4*(G4^2))/D1)-1</f>
        <v>0.17497951199121453</v>
      </c>
      <c r="E12" s="22"/>
    </row>
    <row r="13" spans="1:7">
      <c r="A13" t="s">
        <v>35</v>
      </c>
      <c r="C13">
        <f>C10*SQRT(1-(C12^2))</f>
        <v>1074051.9540506408</v>
      </c>
    </row>
    <row r="14" spans="1:7">
      <c r="A14" t="s">
        <v>36</v>
      </c>
      <c r="C14">
        <f>C13/2</f>
        <v>537025.9770253204</v>
      </c>
    </row>
    <row r="16" spans="1:7">
      <c r="A16" t="s">
        <v>37</v>
      </c>
      <c r="C16">
        <f>SQRT(C11^2-C14^2)</f>
        <v>95441.00000000032</v>
      </c>
    </row>
    <row r="17" spans="1:3">
      <c r="A17" t="s">
        <v>0</v>
      </c>
      <c r="C17" s="22">
        <f>2*PI()*SQRT(C11^3/D1)</f>
        <v>9917.0613933375862</v>
      </c>
    </row>
    <row r="18" spans="1:3">
      <c r="C18" s="21">
        <f>C17/86400</f>
        <v>0.11478080316362947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6" sqref="C6"/>
    </sheetView>
  </sheetViews>
  <sheetFormatPr baseColWidth="10" defaultRowHeight="15" x14ac:dyDescent="0"/>
  <cols>
    <col min="1" max="1" width="5.83203125" bestFit="1" customWidth="1"/>
    <col min="3" max="4" width="11.83203125" customWidth="1"/>
  </cols>
  <sheetData>
    <row r="1" spans="1:7">
      <c r="C1" s="6" t="s">
        <v>23</v>
      </c>
      <c r="D1" s="6" t="s">
        <v>24</v>
      </c>
    </row>
    <row r="2" spans="1:7">
      <c r="A2" s="6" t="s">
        <v>22</v>
      </c>
      <c r="B2" s="12" t="s">
        <v>9</v>
      </c>
      <c r="C2" s="1">
        <f>INDEX('Body data'!B3:B18,MATCH('Old WS'!B2,'Body data'!A3:A18,0))</f>
        <v>200000</v>
      </c>
      <c r="D2" s="10">
        <f>INDEX('Body data'!C3:C18,MATCH('Old WS'!C2,'Body data'!B3:B18,0))</f>
        <v>65138398000</v>
      </c>
    </row>
    <row r="3" spans="1:7">
      <c r="A3" s="11"/>
      <c r="B3" s="9"/>
      <c r="C3" s="11"/>
      <c r="D3" s="11"/>
      <c r="E3" s="11"/>
      <c r="F3" s="11"/>
      <c r="G3" s="11"/>
    </row>
    <row r="4" spans="1:7">
      <c r="B4" s="6" t="s">
        <v>27</v>
      </c>
      <c r="C4" s="6" t="s">
        <v>28</v>
      </c>
      <c r="D4" s="6" t="s">
        <v>30</v>
      </c>
      <c r="E4" s="11"/>
      <c r="F4" s="11"/>
      <c r="G4" s="11"/>
    </row>
    <row r="5" spans="1:7">
      <c r="A5" s="6" t="s">
        <v>25</v>
      </c>
      <c r="B5" s="8">
        <v>250000</v>
      </c>
      <c r="C5" s="8">
        <f>B5</f>
        <v>250000</v>
      </c>
      <c r="D5" s="13">
        <f>2*PI()*SQRT(((((B5+C5)/2)+C$2)^3)/D$2)</f>
        <v>7431.5619476523307</v>
      </c>
      <c r="E5" s="11"/>
      <c r="F5" s="11"/>
      <c r="G5" s="11"/>
    </row>
    <row r="6" spans="1:7">
      <c r="A6" s="4" t="s">
        <v>26</v>
      </c>
      <c r="B6" s="8">
        <f>B5</f>
        <v>250000</v>
      </c>
      <c r="C6" s="8">
        <f>((2*((C$5+C$2)*0.76314285))-(B6+C$2))-C$2</f>
        <v>36828.565000000061</v>
      </c>
      <c r="D6" s="13">
        <f t="shared" ref="D6" si="0">2*PI()*SQRT(((((B6+C6)/2)+C$2)^3)/D$2)</f>
        <v>4954.3748424141768</v>
      </c>
      <c r="E6" s="11"/>
      <c r="F6" s="11"/>
      <c r="G6" s="11"/>
    </row>
    <row r="7" spans="1:7">
      <c r="A7" s="4" t="s">
        <v>29</v>
      </c>
      <c r="B7" s="8">
        <f>((2*((C$5+C$2)*1.21141375))-(C7+C$2))-C$2</f>
        <v>440272.375</v>
      </c>
      <c r="C7" s="1">
        <f>C5</f>
        <v>250000</v>
      </c>
      <c r="D7" s="13">
        <f>2*PI()*SQRT(((((C7+B7)/2)+C$2)^3)/D$2)</f>
        <v>9908.7495266532078</v>
      </c>
      <c r="E7" s="11"/>
      <c r="F7" s="11"/>
      <c r="G7" s="11"/>
    </row>
    <row r="8" spans="1:7">
      <c r="A8" s="11"/>
      <c r="B8" s="9"/>
      <c r="C8" s="11"/>
      <c r="D8" s="11"/>
      <c r="E8" s="11"/>
      <c r="F8" s="11"/>
      <c r="G8" s="11"/>
    </row>
    <row r="9" spans="1:7">
      <c r="A9" s="11"/>
      <c r="B9" s="9"/>
      <c r="C9" s="11"/>
      <c r="E9" s="11"/>
      <c r="F9" s="11"/>
      <c r="G9" s="11"/>
    </row>
    <row r="10" spans="1:7">
      <c r="A10" s="11"/>
      <c r="B10" s="9"/>
      <c r="C10" s="1"/>
      <c r="D10" s="11"/>
      <c r="E10" s="11"/>
      <c r="F10" s="11"/>
      <c r="G10" s="11"/>
    </row>
    <row r="11" spans="1:7">
      <c r="A11" s="11"/>
      <c r="B11" s="9"/>
      <c r="C11" s="8"/>
      <c r="D11" s="11"/>
      <c r="E11" s="11"/>
      <c r="F11" s="11"/>
      <c r="G11" s="11"/>
    </row>
    <row r="12" spans="1:7">
      <c r="A12" s="11"/>
      <c r="B12" s="9"/>
      <c r="C12" s="11"/>
      <c r="D12" s="11"/>
      <c r="E12" s="11"/>
      <c r="F12" s="11"/>
      <c r="G12" s="11"/>
    </row>
    <row r="13" spans="1:7">
      <c r="A13" s="11"/>
      <c r="B13" s="9"/>
      <c r="C13" s="11"/>
      <c r="D13" s="11"/>
      <c r="E13" s="11"/>
      <c r="F13" s="11"/>
      <c r="G13" s="11"/>
    </row>
    <row r="14" spans="1:7">
      <c r="A14" s="11"/>
      <c r="B14" s="9"/>
      <c r="C14" s="11"/>
      <c r="D14" s="11"/>
      <c r="E14" s="11"/>
      <c r="F14" s="11"/>
      <c r="G14" s="11"/>
    </row>
    <row r="15" spans="1:7">
      <c r="A15" s="11"/>
      <c r="B15" s="9"/>
      <c r="C15" s="11"/>
      <c r="D15" s="11"/>
      <c r="E15" s="11"/>
      <c r="F15" s="11"/>
      <c r="G15" s="11"/>
    </row>
    <row r="16" spans="1:7">
      <c r="A16" s="11"/>
      <c r="B16" s="9"/>
      <c r="C16" s="11"/>
      <c r="D16" s="11"/>
      <c r="E16" s="11"/>
      <c r="F16" s="11"/>
      <c r="G16" s="11"/>
    </row>
    <row r="17" spans="1:7">
      <c r="A17" s="11"/>
      <c r="B17" s="11"/>
      <c r="C17" s="11"/>
      <c r="D17" s="11"/>
      <c r="E17" s="11"/>
      <c r="F17" s="11"/>
      <c r="G17" s="11"/>
    </row>
    <row r="18" spans="1:7">
      <c r="A18" s="11"/>
      <c r="B18" s="11"/>
      <c r="C18" s="11"/>
      <c r="D18" s="11"/>
      <c r="E18" s="11"/>
      <c r="F18" s="11"/>
      <c r="G18" s="11"/>
    </row>
    <row r="19" spans="1:7">
      <c r="A19" s="11"/>
      <c r="B19" s="11"/>
      <c r="C19" s="11"/>
      <c r="D19" s="11"/>
      <c r="E19" s="11"/>
      <c r="F19" s="11"/>
      <c r="G19" s="11"/>
    </row>
    <row r="20" spans="1:7">
      <c r="A20" s="11"/>
      <c r="B20" s="11"/>
      <c r="C20" s="11"/>
      <c r="D20" s="11"/>
      <c r="E20" s="11"/>
      <c r="F20" s="11"/>
      <c r="G20" s="11"/>
    </row>
    <row r="21" spans="1:7">
      <c r="A21" s="11"/>
      <c r="B21" s="11"/>
      <c r="C21" s="11"/>
      <c r="D21" s="11"/>
      <c r="E21" s="11"/>
      <c r="F21" s="11"/>
      <c r="G21" s="11"/>
    </row>
    <row r="22" spans="1:7">
      <c r="A22" s="11"/>
      <c r="B22" s="11"/>
      <c r="C22" s="11"/>
      <c r="D22" s="11"/>
      <c r="E22" s="11"/>
      <c r="F22" s="11"/>
      <c r="G22" s="11"/>
    </row>
    <row r="23" spans="1:7">
      <c r="A23" s="11"/>
      <c r="B23" s="11"/>
      <c r="C23" s="11"/>
      <c r="D23" s="11"/>
      <c r="E23" s="11"/>
      <c r="F23" s="11"/>
      <c r="G23" s="11"/>
    </row>
    <row r="24" spans="1:7">
      <c r="A24" s="11"/>
      <c r="B24" s="11"/>
      <c r="C24" s="11"/>
      <c r="D24" s="11"/>
      <c r="E24" s="11"/>
      <c r="F24" s="11"/>
      <c r="G24" s="11"/>
    </row>
    <row r="25" spans="1:7">
      <c r="A25" s="11"/>
      <c r="B25" s="11"/>
      <c r="C25" s="11"/>
      <c r="D25" s="11"/>
      <c r="E25" s="11"/>
      <c r="F25" s="11"/>
      <c r="G25" s="11"/>
    </row>
    <row r="26" spans="1:7">
      <c r="A26" s="11"/>
      <c r="B26" s="11"/>
      <c r="C26" s="11"/>
      <c r="D26" s="11"/>
      <c r="E26" s="11"/>
      <c r="F26" s="11"/>
      <c r="G26" s="11"/>
    </row>
    <row r="27" spans="1:7">
      <c r="A27" s="11"/>
      <c r="B27" s="11"/>
      <c r="C27" s="11"/>
      <c r="D27" s="11"/>
      <c r="E27" s="11"/>
      <c r="F27" s="11"/>
      <c r="G27" s="11"/>
    </row>
    <row r="28" spans="1:7">
      <c r="A28" s="11"/>
      <c r="B28" s="11"/>
      <c r="C28" s="11"/>
      <c r="D28" s="11"/>
      <c r="E28" s="11"/>
      <c r="F28" s="11"/>
      <c r="G28" s="11"/>
    </row>
    <row r="29" spans="1:7">
      <c r="A29" s="11"/>
      <c r="B29" s="11"/>
      <c r="C29" s="11"/>
      <c r="D29" s="11"/>
      <c r="E29" s="11"/>
      <c r="F29" s="11"/>
      <c r="G29" s="11"/>
    </row>
    <row r="30" spans="1:7">
      <c r="A30" s="11"/>
      <c r="B30" s="11"/>
      <c r="C30" s="11"/>
      <c r="D30" s="11"/>
      <c r="E30" s="11"/>
      <c r="F30" s="11"/>
      <c r="G30" s="11"/>
    </row>
    <row r="31" spans="1:7">
      <c r="A31" s="11"/>
      <c r="B31" s="11"/>
      <c r="C31" s="11"/>
      <c r="D31" s="11"/>
      <c r="E31" s="11"/>
      <c r="F31" s="11"/>
      <c r="G31" s="11"/>
    </row>
    <row r="32" spans="1:7">
      <c r="A32" s="11"/>
      <c r="B32" s="11"/>
      <c r="C32" s="11"/>
      <c r="D32" s="11"/>
      <c r="E32" s="11"/>
      <c r="F32" s="11"/>
      <c r="G32" s="11"/>
    </row>
    <row r="33" spans="1:7">
      <c r="A33" s="11"/>
      <c r="B33" s="11"/>
      <c r="C33" s="11"/>
      <c r="D33" s="11"/>
      <c r="E33" s="11"/>
      <c r="F33" s="11"/>
      <c r="G33" s="11"/>
    </row>
    <row r="34" spans="1:7">
      <c r="A34" s="11"/>
      <c r="B34" s="11"/>
      <c r="C34" s="11"/>
      <c r="D34" s="11"/>
      <c r="E34" s="11"/>
      <c r="F34" s="11"/>
      <c r="G34" s="11"/>
    </row>
    <row r="35" spans="1:7">
      <c r="A35" s="11"/>
      <c r="B35" s="11"/>
      <c r="C35" s="11"/>
      <c r="D35" s="11"/>
      <c r="E35" s="11"/>
      <c r="F35" s="11"/>
      <c r="G35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'Body data'!$A$3:$A$18</xm:f>
          </x14:formula1>
          <xm:sqref>B2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9" sqref="G9"/>
    </sheetView>
  </sheetViews>
  <sheetFormatPr baseColWidth="10" defaultRowHeight="15" x14ac:dyDescent="0"/>
  <cols>
    <col min="3" max="3" width="12.1640625" bestFit="1" customWidth="1"/>
    <col min="4" max="4" width="12.83203125" bestFit="1" customWidth="1"/>
    <col min="5" max="5" width="10.83203125" bestFit="1" customWidth="1"/>
  </cols>
  <sheetData>
    <row r="1" spans="1:11">
      <c r="C1" t="s">
        <v>0</v>
      </c>
      <c r="D1" t="s">
        <v>1</v>
      </c>
      <c r="E1" t="s">
        <v>2</v>
      </c>
    </row>
    <row r="2" spans="1:11">
      <c r="A2">
        <f>B2/60</f>
        <v>4.8258464088359636</v>
      </c>
      <c r="B2">
        <f>C2/60</f>
        <v>289.55078453015784</v>
      </c>
      <c r="C2">
        <f>2*PI()*SQRT((D2^3)/E2)</f>
        <v>17373.047071809469</v>
      </c>
      <c r="D2" s="1">
        <v>3000000</v>
      </c>
      <c r="E2" s="2">
        <v>3531600000000</v>
      </c>
      <c r="G2">
        <f>H2/60</f>
        <v>4.8258464088359636</v>
      </c>
      <c r="H2">
        <f>I2/60</f>
        <v>289.55078453015784</v>
      </c>
      <c r="I2">
        <f>2*PI()*SQRT((J2^3)/K2)</f>
        <v>17373.047071809469</v>
      </c>
      <c r="J2" s="1">
        <v>3000000</v>
      </c>
      <c r="K2" s="2">
        <v>3531600000000</v>
      </c>
    </row>
    <row r="3" spans="1:11">
      <c r="A3">
        <f>B3/60</f>
        <v>3.2172310760115099</v>
      </c>
      <c r="B3">
        <f>C3/60</f>
        <v>193.0338645606906</v>
      </c>
      <c r="C3">
        <f>2*PI()*SQRT((D3^3)/E3)</f>
        <v>11582.031873641436</v>
      </c>
      <c r="D3" s="1">
        <v>2289428.5500000003</v>
      </c>
      <c r="E3" s="2">
        <v>3531600000000</v>
      </c>
      <c r="G3">
        <f>H3/60</f>
        <v>1.6086178615276145</v>
      </c>
      <c r="H3">
        <f>I3/60</f>
        <v>96.517071691656867</v>
      </c>
      <c r="I3">
        <f>2*PI()*SQRT((J3^3)/K3)</f>
        <v>5791.0243014994121</v>
      </c>
      <c r="J3" s="1">
        <v>1442251</v>
      </c>
      <c r="K3" s="2">
        <v>3531600000000</v>
      </c>
    </row>
    <row r="4" spans="1:11">
      <c r="A4">
        <f>A3/A2</f>
        <v>0.66666669501144238</v>
      </c>
      <c r="B4">
        <f t="shared" ref="B4:C4" si="0">B3/B2</f>
        <v>0.66666669501144238</v>
      </c>
      <c r="C4">
        <f t="shared" si="0"/>
        <v>0.66666669501144238</v>
      </c>
      <c r="D4">
        <f>D3/D2</f>
        <v>0.76314285000000004</v>
      </c>
      <c r="G4">
        <f>G3/G2</f>
        <v>0.33333382898019487</v>
      </c>
      <c r="H4">
        <f t="shared" ref="H4:I4" si="1">H3/H2</f>
        <v>0.33333382898019481</v>
      </c>
      <c r="I4">
        <f t="shared" si="1"/>
        <v>0.33333382898019481</v>
      </c>
      <c r="J4">
        <f>J3/J2</f>
        <v>0.48075033333333334</v>
      </c>
    </row>
    <row r="7" spans="1:11">
      <c r="C7" t="s">
        <v>0</v>
      </c>
      <c r="D7" t="s">
        <v>1</v>
      </c>
      <c r="E7" t="s">
        <v>2</v>
      </c>
    </row>
    <row r="8" spans="1:11">
      <c r="A8">
        <f>B8/60</f>
        <v>2.6581934610171105</v>
      </c>
      <c r="B8">
        <f>C8/60</f>
        <v>159.49160766102662</v>
      </c>
      <c r="C8">
        <f>2*PI()*SQRT((D8^3)/E8)</f>
        <v>9569.4964596615973</v>
      </c>
      <c r="D8" s="1">
        <v>160000</v>
      </c>
      <c r="E8" s="3">
        <v>1765800000</v>
      </c>
      <c r="G8" s="1"/>
      <c r="H8" s="1"/>
    </row>
    <row r="9" spans="1:11">
      <c r="A9">
        <f>B9/60</f>
        <v>1.7721290493573039</v>
      </c>
      <c r="B9">
        <f>C9/60</f>
        <v>106.32774296143823</v>
      </c>
      <c r="C9">
        <f>2*PI()*SQRT((D9^3)/E9)</f>
        <v>6379.6645776862943</v>
      </c>
      <c r="D9" s="1">
        <f>D8*D10</f>
        <v>122102.856</v>
      </c>
      <c r="E9" s="3">
        <v>1765800000</v>
      </c>
      <c r="G9" s="1">
        <f>(D9*2)-D8</f>
        <v>84205.712</v>
      </c>
      <c r="H9" s="1">
        <v>60000</v>
      </c>
      <c r="I9" s="1">
        <f>G9-H9</f>
        <v>24205.712</v>
      </c>
    </row>
    <row r="10" spans="1:11">
      <c r="A10">
        <f>A9/A8</f>
        <v>0.66666669501144216</v>
      </c>
      <c r="B10">
        <f t="shared" ref="B10" si="2">B9/B8</f>
        <v>0.66666669501144216</v>
      </c>
      <c r="C10">
        <f t="shared" ref="C10" si="3">C9/C8</f>
        <v>0.66666669501144227</v>
      </c>
      <c r="D10">
        <v>0.76314285000000004</v>
      </c>
      <c r="G10" s="1"/>
    </row>
    <row r="13" spans="1:11">
      <c r="C13" t="s">
        <v>0</v>
      </c>
      <c r="D13" t="s">
        <v>1</v>
      </c>
      <c r="E13" t="s">
        <v>2</v>
      </c>
    </row>
    <row r="14" spans="1:11">
      <c r="A14">
        <f>B14/60</f>
        <v>11.916274440609477</v>
      </c>
      <c r="B14">
        <f>C14/60</f>
        <v>714.97646643656867</v>
      </c>
      <c r="C14">
        <f>2*PI()*SQRT((D14^3)/E14)</f>
        <v>42898.587986194121</v>
      </c>
      <c r="D14" s="1">
        <v>435000</v>
      </c>
      <c r="E14" s="3">
        <v>1765800000</v>
      </c>
      <c r="G14" s="1"/>
      <c r="H14" s="1"/>
    </row>
    <row r="15" spans="1:11">
      <c r="A15">
        <f>B15/60</f>
        <v>15.888366342712041</v>
      </c>
      <c r="B15">
        <f>C15/60</f>
        <v>953.30198056272252</v>
      </c>
      <c r="C15">
        <f>2*PI()*SQRT((D15^3)/E15)</f>
        <v>57198.11883376335</v>
      </c>
      <c r="D15" s="1">
        <f>D14*D16</f>
        <v>526964.98124999995</v>
      </c>
      <c r="E15" s="3">
        <v>1765800000</v>
      </c>
      <c r="G15" s="1"/>
      <c r="H15" s="1"/>
    </row>
    <row r="16" spans="1:11">
      <c r="A16">
        <f>A15/A14</f>
        <v>1.3333333687386446</v>
      </c>
      <c r="B16">
        <f t="shared" ref="B16:C16" si="4">B15/B14</f>
        <v>1.3333333687386446</v>
      </c>
      <c r="C16">
        <f t="shared" si="4"/>
        <v>1.3333333687386444</v>
      </c>
      <c r="D16">
        <v>1.21141375</v>
      </c>
      <c r="G16" s="1"/>
    </row>
    <row r="23" spans="1:2">
      <c r="A23" s="4" t="s">
        <v>3</v>
      </c>
      <c r="B23">
        <v>0.76314285000000004</v>
      </c>
    </row>
    <row r="24" spans="1:2">
      <c r="A24" s="5">
        <v>1.3333333333333333</v>
      </c>
      <c r="B24">
        <v>1.21141375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Body data</vt:lpstr>
      <vt:lpstr>Worksheet</vt:lpstr>
      <vt:lpstr>Sheet1</vt:lpstr>
      <vt:lpstr>Old WS</vt:lpstr>
      <vt:lpstr>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Meyer</dc:creator>
  <cp:lastModifiedBy>Eric Meyer</cp:lastModifiedBy>
  <dcterms:created xsi:type="dcterms:W3CDTF">2017-01-26T05:07:15Z</dcterms:created>
  <dcterms:modified xsi:type="dcterms:W3CDTF">2017-02-07T21:29:02Z</dcterms:modified>
</cp:coreProperties>
</file>