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o 1 et 2" sheetId="1" r:id="rId4"/>
    <sheet state="visible" name="Réponse" sheetId="2" r:id="rId5"/>
    <sheet state="visible" name="Perso Exo 1 " sheetId="3" r:id="rId6"/>
    <sheet state="visible" name="Perso Exo 2" sheetId="4" r:id="rId7"/>
  </sheets>
  <definedNames/>
  <calcPr/>
  <extLst>
    <ext uri="GoogleSheetsCustomDataVersion1">
      <go:sheetsCustomData xmlns:go="http://customooxmlschemas.google.com/" r:id="rId8" roundtripDataSignature="AMtx7mgPRRwp0acHYzKyb3YSSNFfQ9OPFg=="/>
    </ext>
  </extLst>
</workbook>
</file>

<file path=xl/sharedStrings.xml><?xml version="1.0" encoding="utf-8"?>
<sst xmlns="http://schemas.openxmlformats.org/spreadsheetml/2006/main" count="332" uniqueCount="196">
  <si>
    <t>Exercice 1</t>
  </si>
  <si>
    <t>Exercice 2:</t>
  </si>
  <si>
    <r>
      <rPr>
        <rFont val="Calibri"/>
        <color theme="1"/>
        <sz val="11.0"/>
      </rPr>
      <t xml:space="preserve">On vous présente </t>
    </r>
    <r>
      <rPr>
        <rFont val="Calibri"/>
        <b/>
        <color rgb="FFFF0000"/>
        <sz val="11.0"/>
      </rPr>
      <t>une partie</t>
    </r>
    <r>
      <rPr>
        <rFont val="Calibri"/>
        <color theme="1"/>
        <sz val="11.0"/>
      </rPr>
      <t xml:space="preserve"> des soldes comparatifs de la  société X au 31 décembre. Les comptes sont classés par ordre alphabétique et les montants sont en dollar canadien.</t>
    </r>
  </si>
  <si>
    <t>On vous présente les soldes comparatifs des comptes de la société YEP inc. au 31 décembre. Les comptes sont classés par ordre alphabétique et les montants sont en dollar canadien.</t>
  </si>
  <si>
    <t>Amortissement cumulé - Bâtiment</t>
  </si>
  <si>
    <t>Amortissement cumulé - Matériel roulant</t>
  </si>
  <si>
    <t xml:space="preserve">Amortissement cumulé- Machine </t>
  </si>
  <si>
    <t>Bâtiment</t>
  </si>
  <si>
    <t>Capital social</t>
  </si>
  <si>
    <t>Capital- social (ou capital-actions)</t>
  </si>
  <si>
    <t>Charges commerciales et administratives</t>
  </si>
  <si>
    <t>Comptes-clients (nets)</t>
  </si>
  <si>
    <t>Comptes clients (nets)</t>
  </si>
  <si>
    <t>Comptes-fournisseurs</t>
  </si>
  <si>
    <t>Comptes fournisseurs</t>
  </si>
  <si>
    <t>Dividendes</t>
  </si>
  <si>
    <t>-</t>
  </si>
  <si>
    <t>Coût des ventes</t>
  </si>
  <si>
    <t>Emprunt bancaire (court terme)</t>
  </si>
  <si>
    <t>Encaisse</t>
  </si>
  <si>
    <t>Emprunt-échéance 2022</t>
  </si>
  <si>
    <t>Fournitures de bureau</t>
  </si>
  <si>
    <t>Intérêts à payer</t>
  </si>
  <si>
    <t>Machine</t>
  </si>
  <si>
    <t>Intérêts à recevoir</t>
  </si>
  <si>
    <t>Intérêts sur emprunt</t>
  </si>
  <si>
    <t>Loyers payés d'avance</t>
  </si>
  <si>
    <t xml:space="preserve">Intérêts sur placement </t>
  </si>
  <si>
    <t>Matériel roulant</t>
  </si>
  <si>
    <t>Intérêts sur placement à recevoir</t>
  </si>
  <si>
    <t>Obligations à payer (long terme)</t>
  </si>
  <si>
    <t>Loyer payé d'avance</t>
  </si>
  <si>
    <t>Placements temporaires</t>
  </si>
  <si>
    <t>Perte sur disposition de l'ancienne machine</t>
  </si>
  <si>
    <t>Résultats non distribués (RND)</t>
  </si>
  <si>
    <t>Placement à terme (2019)</t>
  </si>
  <si>
    <t>Stocks (inventaires) de marchandises</t>
  </si>
  <si>
    <t>Placement à terme (2021)</t>
  </si>
  <si>
    <t>Terrain</t>
  </si>
  <si>
    <t>Produit des ventes</t>
  </si>
  <si>
    <t xml:space="preserve">TRAVAIL À FAIRE : </t>
  </si>
  <si>
    <t xml:space="preserve">Réparation de la machine  </t>
  </si>
  <si>
    <t xml:space="preserve">Partie 1 : (Pour l'année 2020) </t>
  </si>
  <si>
    <t>Résultat non distribué (début d'exercice)</t>
  </si>
  <si>
    <r>
      <rPr>
        <rFont val="Calibri"/>
        <b/>
        <color theme="1"/>
        <sz val="11.0"/>
      </rPr>
      <t>A)</t>
    </r>
    <r>
      <rPr>
        <rFont val="Calibri"/>
        <color theme="1"/>
        <sz val="11.0"/>
      </rPr>
      <t xml:space="preserve"> Calculer le ratio de liquidité générale </t>
    </r>
  </si>
  <si>
    <t>Salaires à payer</t>
  </si>
  <si>
    <r>
      <rPr>
        <rFont val="Calibri"/>
        <b/>
        <color theme="1"/>
        <sz val="11.0"/>
      </rPr>
      <t>B)</t>
    </r>
    <r>
      <rPr>
        <rFont val="Calibri"/>
        <color theme="1"/>
        <sz val="11.0"/>
      </rPr>
      <t xml:space="preserve"> Calculer le ratio de liquidité immédiate </t>
    </r>
  </si>
  <si>
    <t>Stocks (inventaires) de matières premières</t>
  </si>
  <si>
    <r>
      <rPr>
        <rFont val="Calibri"/>
        <b/>
        <color theme="1"/>
        <sz val="11.0"/>
      </rPr>
      <t>C)</t>
    </r>
    <r>
      <rPr>
        <rFont val="Calibri"/>
        <color theme="1"/>
        <sz val="11.0"/>
      </rPr>
      <t xml:space="preserve"> Calculer le ratio d'endettement</t>
    </r>
  </si>
  <si>
    <t>Partie 2: (pour l’exercice terminé le 31 décembre 2020)</t>
  </si>
  <si>
    <t>Informations supplémentaires :</t>
  </si>
  <si>
    <r>
      <rPr>
        <rFont val="Calibri"/>
        <b/>
        <color rgb="FF000000"/>
        <sz val="12.0"/>
      </rPr>
      <t>A)</t>
    </r>
    <r>
      <rPr>
        <rFont val="Calibri"/>
        <b/>
        <color rgb="FF000000"/>
        <sz val="7.0"/>
      </rPr>
      <t xml:space="preserve">     </t>
    </r>
    <r>
      <rPr>
        <rFont val="Calibri"/>
        <b val="0"/>
        <color rgb="FF000000"/>
        <sz val="12.0"/>
      </rPr>
      <t xml:space="preserve">Dressez, </t>
    </r>
    <r>
      <rPr>
        <rFont val="Calibri"/>
        <b/>
        <color rgb="FF000000"/>
        <sz val="12.0"/>
      </rPr>
      <t>en bonne et due forme</t>
    </r>
    <r>
      <rPr>
        <rFont val="Calibri"/>
        <b val="0"/>
        <color rgb="FF000000"/>
        <sz val="12.0"/>
      </rPr>
      <t>, l’état de variation des capitaux propres</t>
    </r>
    <r>
      <rPr>
        <rFont val="Calibri"/>
        <b/>
        <color rgb="FF000000"/>
        <sz val="12.0"/>
      </rPr>
      <t>.</t>
    </r>
  </si>
  <si>
    <r>
      <rPr>
        <rFont val="Times New Roman"/>
        <b/>
        <color theme="1"/>
        <sz val="12.0"/>
      </rPr>
      <t>1)</t>
    </r>
    <r>
      <rPr>
        <rFont val="Times New Roman"/>
        <color theme="1"/>
        <sz val="12.0"/>
      </rPr>
      <t xml:space="preserve"> Le 1</t>
    </r>
    <r>
      <rPr>
        <rFont val="Times New Roman"/>
        <color theme="1"/>
        <sz val="12.0"/>
        <vertAlign val="superscript"/>
      </rPr>
      <t>er</t>
    </r>
    <r>
      <rPr>
        <rFont val="Times New Roman"/>
        <color theme="1"/>
        <sz val="12.0"/>
      </rPr>
      <t xml:space="preserve"> mai, une nouvelle machine a été achetée au prix de 157 000 $ pour remplacer l’ancienne machine de production qui a été vendu à cette même date. La nouvelle machinet s’amortit linéairement à raison de 6 850 $ par année et l’ancienne machine s’amortissait linéairement à raison de 6 000 $ par année.</t>
    </r>
  </si>
  <si>
    <r>
      <rPr>
        <rFont val="Calibri"/>
        <b/>
        <color theme="1"/>
        <sz val="11.0"/>
      </rPr>
      <t>2)</t>
    </r>
    <r>
      <rPr>
        <rFont val="Calibri"/>
        <color theme="1"/>
        <sz val="11.0"/>
      </rPr>
      <t xml:space="preserve"> Les placements à terme sont constitués d’obligations de compagnies.</t>
    </r>
  </si>
  <si>
    <r>
      <rPr>
        <rFont val="Calibri"/>
        <b/>
        <color theme="1"/>
        <sz val="11.0"/>
      </rPr>
      <t>3)</t>
    </r>
    <r>
      <rPr>
        <rFont val="Calibri"/>
        <color theme="1"/>
        <sz val="11.0"/>
      </rPr>
      <t xml:space="preserve"> Des dividendes ont été déclarés et payés.</t>
    </r>
  </si>
  <si>
    <r>
      <rPr>
        <rFont val="Calibri"/>
        <b/>
        <color theme="1"/>
        <sz val="11.0"/>
      </rPr>
      <t>4)</t>
    </r>
    <r>
      <rPr>
        <rFont val="Calibri"/>
        <color theme="1"/>
        <sz val="11.0"/>
      </rPr>
      <t xml:space="preserve"> Les charges commerciales et administratives comprennent toutes les charges qui ne sont pas mentionnées dans les comptes du tableau précédant. Entre autres, l'amortissement est inclus dans les charges commerciales.</t>
    </r>
  </si>
  <si>
    <r>
      <rPr>
        <rFont val="Calibri"/>
        <b/>
        <color theme="1"/>
        <sz val="11.0"/>
      </rPr>
      <t>5)</t>
    </r>
    <r>
      <rPr>
        <rFont val="Calibri"/>
        <color theme="1"/>
        <sz val="11.0"/>
      </rPr>
      <t xml:space="preserve"> La compagnie ne paye pas d’impôt</t>
    </r>
  </si>
  <si>
    <t>Arrondir au dollar près.</t>
  </si>
  <si>
    <r>
      <rPr>
        <rFont val="Calibri"/>
        <b/>
        <color theme="1"/>
        <sz val="12.0"/>
        <u/>
      </rPr>
      <t>TRAVAIL À FAIRE</t>
    </r>
    <r>
      <rPr>
        <rFont val="Calibri"/>
        <b/>
        <color theme="1"/>
        <sz val="12.0"/>
        <u/>
      </rPr>
      <t> </t>
    </r>
    <r>
      <rPr>
        <rFont val="Calibri"/>
        <b val="0"/>
        <color theme="1"/>
        <sz val="11.0"/>
        <u/>
      </rPr>
      <t>: (pour l’exercice terminé le 31 décembre 2020)</t>
    </r>
  </si>
  <si>
    <r>
      <rPr>
        <rFont val="Calibri"/>
        <b/>
        <color theme="1"/>
        <sz val="12.0"/>
      </rPr>
      <t>A)</t>
    </r>
    <r>
      <rPr>
        <rFont val="Calibri"/>
        <b/>
        <color theme="1"/>
        <sz val="7.0"/>
      </rPr>
      <t xml:space="preserve">     </t>
    </r>
    <r>
      <rPr>
        <rFont val="Calibri"/>
        <b val="0"/>
        <color theme="1"/>
        <sz val="11.0"/>
      </rPr>
      <t xml:space="preserve">Dressez, </t>
    </r>
    <r>
      <rPr>
        <rFont val="Calibri"/>
        <b/>
        <color theme="1"/>
        <sz val="12.0"/>
      </rPr>
      <t>en bonne et due forme</t>
    </r>
    <r>
      <rPr>
        <rFont val="Calibri"/>
        <b val="0"/>
        <color theme="1"/>
        <sz val="11.0"/>
      </rPr>
      <t>, l’état de la situation financière.</t>
    </r>
  </si>
  <si>
    <r>
      <rPr>
        <rFont val="Calibri"/>
        <b/>
        <color theme="1"/>
        <sz val="12.0"/>
      </rPr>
      <t>B)</t>
    </r>
    <r>
      <rPr>
        <rFont val="Calibri"/>
        <b/>
        <color theme="1"/>
        <sz val="7.0"/>
      </rPr>
      <t xml:space="preserve">     </t>
    </r>
    <r>
      <rPr>
        <rFont val="Calibri"/>
        <b val="0"/>
        <color theme="1"/>
        <sz val="11.0"/>
      </rPr>
      <t xml:space="preserve">Dressez, </t>
    </r>
    <r>
      <rPr>
        <rFont val="Calibri"/>
        <b/>
        <color theme="1"/>
        <sz val="12.0"/>
      </rPr>
      <t>en bonne et due forme</t>
    </r>
    <r>
      <rPr>
        <rFont val="Calibri"/>
        <b val="0"/>
        <color theme="1"/>
        <sz val="11.0"/>
      </rPr>
      <t>, l’état des flux de trésorerie selon la méthode indirecte.</t>
    </r>
  </si>
  <si>
    <t>Brouillons sont dans les page Perso Exo1 et 2</t>
  </si>
  <si>
    <t>Réponses Exo 2</t>
  </si>
  <si>
    <t>Societe YEP</t>
  </si>
  <si>
    <t>Etat de la situation financiere</t>
  </si>
  <si>
    <t>Etat des flux de tresorie (indirect)</t>
  </si>
  <si>
    <t>Réponses Exo 1</t>
  </si>
  <si>
    <t>Au 31 Decembre 2020</t>
  </si>
  <si>
    <t>($ CAN)</t>
  </si>
  <si>
    <t>Exercice termine le 31 Decembre 2020</t>
  </si>
  <si>
    <t>Partie 1</t>
  </si>
  <si>
    <t>Activités opérationnelles</t>
  </si>
  <si>
    <r>
      <rPr>
        <rFont val="Times New Roman"/>
        <b/>
        <color theme="1"/>
        <sz val="12.0"/>
      </rPr>
      <t>A)</t>
    </r>
    <r>
      <rPr>
        <rFont val="Times New Roman"/>
        <color theme="1"/>
        <sz val="12.0"/>
      </rPr>
      <t xml:space="preserve"> Calculer le ratio de liquidité générale </t>
    </r>
  </si>
  <si>
    <t>ACTIFS</t>
  </si>
  <si>
    <t>Resultat net</t>
  </si>
  <si>
    <r>
      <rPr>
        <rFont val="Times New Roman"/>
        <b/>
        <color theme="1"/>
        <sz val="12.0"/>
      </rPr>
      <t>B)</t>
    </r>
    <r>
      <rPr>
        <rFont val="Times New Roman"/>
        <color theme="1"/>
        <sz val="12.0"/>
      </rPr>
      <t xml:space="preserve"> Calculer le ratio de liquidité immédiate </t>
    </r>
  </si>
  <si>
    <t>Actifs courants</t>
  </si>
  <si>
    <t>Variation de compte client</t>
  </si>
  <si>
    <r>
      <rPr>
        <rFont val="Times New Roman"/>
        <b/>
        <color theme="1"/>
        <sz val="12.0"/>
      </rPr>
      <t>C)</t>
    </r>
    <r>
      <rPr>
        <rFont val="Times New Roman"/>
        <color theme="1"/>
        <sz val="12.0"/>
      </rPr>
      <t xml:space="preserve"> Calculer le ratio d'endettement</t>
    </r>
  </si>
  <si>
    <t>Comptes Clients</t>
  </si>
  <si>
    <t>Variation stock</t>
  </si>
  <si>
    <t>Variation des comptes fournisseurs</t>
  </si>
  <si>
    <t>Partie 2</t>
  </si>
  <si>
    <t>Stock</t>
  </si>
  <si>
    <t>Variation Loyer paye avance</t>
  </si>
  <si>
    <t>Societe X</t>
  </si>
  <si>
    <t>Loyer paye d'avance</t>
  </si>
  <si>
    <t>Variation Salaires a payer</t>
  </si>
  <si>
    <t>Etat des variations des capitaux propres</t>
  </si>
  <si>
    <t>Interets sur placements a recevoir</t>
  </si>
  <si>
    <t>Variation Charges</t>
  </si>
  <si>
    <t>Periode Terminee le 31 Decembre 2020      ($Can)</t>
  </si>
  <si>
    <t>Elements sans effet sur la Tresorie</t>
  </si>
  <si>
    <t xml:space="preserve">Capital social </t>
  </si>
  <si>
    <t>RND</t>
  </si>
  <si>
    <t xml:space="preserve">Total </t>
  </si>
  <si>
    <t>Total actifs courants</t>
  </si>
  <si>
    <t>Amortissement</t>
  </si>
  <si>
    <t>Solde au debut</t>
  </si>
  <si>
    <t>Actifs non courants</t>
  </si>
  <si>
    <t>Perte sur disposition</t>
  </si>
  <si>
    <t>Emission actions</t>
  </si>
  <si>
    <t>Dividendes Declares</t>
  </si>
  <si>
    <t>Amortissement Machine</t>
  </si>
  <si>
    <t>Placements a terme</t>
  </si>
  <si>
    <t>Solde a la fin</t>
  </si>
  <si>
    <t>Total actifs non courants</t>
  </si>
  <si>
    <t>Total des activités opérationnelles</t>
  </si>
  <si>
    <t>Total des actifs</t>
  </si>
  <si>
    <t>Étudiant 1</t>
  </si>
  <si>
    <t>Étudiant 2</t>
  </si>
  <si>
    <t>PASSIFS ET CAPITAUX PROPRES</t>
  </si>
  <si>
    <t>Activités d'investissement</t>
  </si>
  <si>
    <t>Nom</t>
  </si>
  <si>
    <t>Mitri</t>
  </si>
  <si>
    <t>Simard</t>
  </si>
  <si>
    <t>Passifs courants</t>
  </si>
  <si>
    <t>Acquisition d'actifs non-courant</t>
  </si>
  <si>
    <t xml:space="preserve">Prénom </t>
  </si>
  <si>
    <t>Elie</t>
  </si>
  <si>
    <t>Samuel</t>
  </si>
  <si>
    <t>Matricule</t>
  </si>
  <si>
    <t>Salaires a payer</t>
  </si>
  <si>
    <t xml:space="preserve">Groupe </t>
  </si>
  <si>
    <t>Total Passifs Courants</t>
  </si>
  <si>
    <t>Total des activités d'investissement</t>
  </si>
  <si>
    <t>Passifs non courants</t>
  </si>
  <si>
    <t>Emprunt echeace 2022</t>
  </si>
  <si>
    <t>Activités de financement</t>
  </si>
  <si>
    <t>Étudiant 3</t>
  </si>
  <si>
    <t>Dividendes verses</t>
  </si>
  <si>
    <t>Falicoff</t>
  </si>
  <si>
    <t>Frais Interets</t>
  </si>
  <si>
    <t>Maximiliano</t>
  </si>
  <si>
    <t>Total Passifs non courants</t>
  </si>
  <si>
    <t>Émission d'action</t>
  </si>
  <si>
    <t>Capitaux propres</t>
  </si>
  <si>
    <t>Capital Social</t>
  </si>
  <si>
    <t>Total des activités de financement</t>
  </si>
  <si>
    <t>RND (fin)</t>
  </si>
  <si>
    <t>Variation de la trésorerie</t>
  </si>
  <si>
    <t>Total Capitaux Propres</t>
  </si>
  <si>
    <t>Total passifs et des capitaux</t>
  </si>
  <si>
    <t>Trésorerie au début</t>
  </si>
  <si>
    <t>Trésorerie à la fin</t>
  </si>
  <si>
    <t>E</t>
  </si>
  <si>
    <t>Actifs</t>
  </si>
  <si>
    <t xml:space="preserve">AC </t>
  </si>
  <si>
    <t>ANC</t>
  </si>
  <si>
    <t>Passifs</t>
  </si>
  <si>
    <t>PC</t>
  </si>
  <si>
    <t>PNC</t>
  </si>
  <si>
    <t>Ratio liquidite generale</t>
  </si>
  <si>
    <t>Ratio liquidite immediate</t>
  </si>
  <si>
    <t>ratio endettement</t>
  </si>
  <si>
    <t>resultat net</t>
  </si>
  <si>
    <t xml:space="preserve">Solde au </t>
  </si>
  <si>
    <t>2020 (au debut)</t>
  </si>
  <si>
    <t>2019 (au début)</t>
  </si>
  <si>
    <t>Delta</t>
  </si>
  <si>
    <t>Etat Situation Financiere</t>
  </si>
  <si>
    <t>État de variations des capitaux propres</t>
  </si>
  <si>
    <t>Résultat net</t>
  </si>
  <si>
    <t>AC</t>
  </si>
  <si>
    <t>emission actions</t>
  </si>
  <si>
    <t>Variation charge commerciales et administrative(charge à payer)</t>
  </si>
  <si>
    <t>Actifs de régularisation</t>
  </si>
  <si>
    <t>Solde Fin</t>
  </si>
  <si>
    <t>Etat des resultats</t>
  </si>
  <si>
    <t>Reclassement frais d'interet</t>
  </si>
  <si>
    <t>Perte sur disposition de l'ancienne machine (flux trésorerie)</t>
  </si>
  <si>
    <t>Passif et CP</t>
  </si>
  <si>
    <t>MB</t>
  </si>
  <si>
    <t>Passif Courant</t>
  </si>
  <si>
    <t>Charges</t>
  </si>
  <si>
    <t>Résultat non distribué (début d'exercice) (CP-CS)</t>
  </si>
  <si>
    <t>Passif non courant</t>
  </si>
  <si>
    <t>Resultat avant impot</t>
  </si>
  <si>
    <t>CP</t>
  </si>
  <si>
    <t>Resultat Net</t>
  </si>
  <si>
    <t>Declaration de dividendes</t>
  </si>
  <si>
    <r>
      <rPr>
        <rFont val="Times New Roman"/>
        <b/>
        <color theme="1"/>
        <sz val="12.0"/>
      </rPr>
      <t>1)</t>
    </r>
    <r>
      <rPr>
        <rFont val="Times New Roman"/>
        <color theme="1"/>
        <sz val="12.0"/>
      </rPr>
      <t xml:space="preserve"> Le 1</t>
    </r>
    <r>
      <rPr>
        <rFont val="Times New Roman"/>
        <color theme="1"/>
        <sz val="12.0"/>
        <vertAlign val="superscript"/>
      </rPr>
      <t>er</t>
    </r>
    <r>
      <rPr>
        <rFont val="Times New Roman"/>
        <color theme="1"/>
        <sz val="12.0"/>
      </rPr>
      <t xml:space="preserve"> mai, une nouvelle machine a été achetée au prix de 157 000 $ pour remplacer l’ancienne machine de production qui a été vendu à cette même date. La nouvelle machinet s’amortit linéairement à raison de 6 850 $ par année et l’ancienne machine s’amortissait linéairement à raison de 6 000 $ par année.</t>
    </r>
  </si>
  <si>
    <t>Résultat non distribué</t>
  </si>
  <si>
    <t>B6-C6+(C6+(6000/(4/12)))</t>
  </si>
  <si>
    <t>Émission d'action ??</t>
  </si>
  <si>
    <r>
      <rPr>
        <rFont val="Calibri"/>
        <b/>
        <color theme="1"/>
        <sz val="11.0"/>
      </rPr>
      <t>2)</t>
    </r>
    <r>
      <rPr>
        <rFont val="Calibri"/>
        <color theme="1"/>
        <sz val="11.0"/>
      </rPr>
      <t xml:space="preserve"> Les placements à terme sont constitués d’obligations de compagnies.</t>
    </r>
  </si>
  <si>
    <r>
      <rPr>
        <rFont val="Calibri"/>
        <b/>
        <color theme="1"/>
        <sz val="11.0"/>
      </rPr>
      <t>3)</t>
    </r>
    <r>
      <rPr>
        <rFont val="Calibri"/>
        <color theme="1"/>
        <sz val="11.0"/>
      </rPr>
      <t xml:space="preserve"> Des dividendes ont été déclarés et payés. (dividende doit mettre mis dans état de variation de capitaux prorpres)</t>
    </r>
  </si>
  <si>
    <r>
      <rPr>
        <rFont val="Calibri"/>
        <b/>
        <color theme="1"/>
        <sz val="11.0"/>
      </rPr>
      <t>4)</t>
    </r>
    <r>
      <rPr>
        <rFont val="Calibri"/>
        <color theme="1"/>
        <sz val="11.0"/>
      </rPr>
      <t xml:space="preserve"> Les charges commerciales et administratives comprennent toutes les charges qui ne sont pas mentionnées dans les comptes du tableau précédant. Entre autres, l'amortissement est inclus dans les charges commerciales.</t>
    </r>
  </si>
  <si>
    <t>Amortissement va dans :</t>
  </si>
  <si>
    <r>
      <rPr>
        <rFont val="Calibri"/>
        <b/>
        <color theme="1"/>
        <sz val="11.0"/>
      </rPr>
      <t>5)</t>
    </r>
    <r>
      <rPr>
        <rFont val="Calibri"/>
        <color theme="1"/>
        <sz val="11.0"/>
      </rPr>
      <t xml:space="preserve"> La compagnie ne paye pas d’impôt</t>
    </r>
  </si>
  <si>
    <t>État des résultat (charge)</t>
  </si>
  <si>
    <t>État de la sit. financière (ANC)</t>
  </si>
  <si>
    <t>placement à court terme qu'on sait qu'on va récupérer (2019?) + encaisse</t>
  </si>
  <si>
    <t>État des flux de trésorerie (flux monétaire)</t>
  </si>
  <si>
    <t>Résultat brut : Les ventes - le coût des vente (bénéfice brut)</t>
  </si>
  <si>
    <t>Résultat net : Résultat brut - les charges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</si>
</sst>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_)\ &quot;$&quot;_ ;_ * \(#,##0\)\ &quot;$&quot;_ ;_ * &quot;-&quot;??_)\ &quot;$&quot;_ ;_ @_ "/>
  </numFmts>
  <fonts count="39">
    <font>
      <sz val="11.0"/>
      <color theme="1"/>
      <name val="Arial"/>
    </font>
    <font>
      <b/>
      <u/>
      <sz val="11.0"/>
      <color theme="1"/>
      <name val="Calibri"/>
    </font>
    <font>
      <b/>
      <u/>
      <sz val="11.0"/>
      <color theme="1"/>
      <name val="Times New Roman"/>
    </font>
    <font>
      <sz val="11.0"/>
      <color theme="1"/>
      <name val="Calibri"/>
    </font>
    <font>
      <b/>
      <sz val="11.0"/>
      <color theme="1"/>
      <name val="Calibri"/>
    </font>
    <font>
      <sz val="12.0"/>
      <color rgb="FF000000"/>
      <name val="Times New Roman"/>
    </font>
    <font>
      <sz val="11.0"/>
      <color theme="1"/>
      <name val="Times New Roman"/>
    </font>
    <font>
      <sz val="12.0"/>
      <color rgb="FF000000"/>
      <name val="Calibri"/>
    </font>
    <font>
      <b/>
      <u/>
      <sz val="12.0"/>
      <color rgb="FF000000"/>
      <name val="Times New Roman"/>
    </font>
    <font>
      <color theme="1"/>
      <name val="Calibri"/>
    </font>
    <font>
      <b/>
      <u/>
      <sz val="12.0"/>
      <color theme="1"/>
      <name val="Times New Roman"/>
    </font>
    <font>
      <b/>
      <sz val="12.0"/>
      <color theme="1"/>
      <name val="Calibri"/>
    </font>
    <font>
      <b/>
      <sz val="12.0"/>
      <color rgb="FF000000"/>
      <name val="Calibri"/>
    </font>
    <font>
      <sz val="12.0"/>
      <color theme="1"/>
      <name val="Times New Roman"/>
    </font>
    <font>
      <b/>
      <u/>
      <sz val="12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/>
    <font>
      <sz val="12.0"/>
      <color theme="1"/>
      <name val="Calibri"/>
    </font>
    <font>
      <b/>
      <sz val="12.0"/>
      <color rgb="FFFF0000"/>
      <name val="Times New Roman"/>
    </font>
    <font>
      <b/>
      <sz val="12.0"/>
      <color theme="1"/>
      <name val="Times New Roman"/>
    </font>
    <font>
      <sz val="11.0"/>
      <color rgb="FF000000"/>
      <name val="Calibri"/>
    </font>
    <font>
      <u/>
      <sz val="11.0"/>
      <color theme="1"/>
      <name val="Calibri"/>
    </font>
    <font>
      <sz val="11.0"/>
      <color rgb="FF000000"/>
      <name val="Arial"/>
    </font>
    <font>
      <u/>
      <sz val="11.0"/>
      <color theme="1"/>
      <name val="Calibri"/>
    </font>
    <font>
      <sz val="12.0"/>
      <color rgb="FFFF0000"/>
      <name val="Calibri"/>
    </font>
    <font>
      <sz val="12.0"/>
      <color theme="0"/>
      <name val="Times New Roman"/>
    </font>
    <font>
      <b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b/>
      <color theme="1"/>
      <name val="Calibri"/>
    </font>
    <font>
      <u/>
      <sz val="11.0"/>
      <color theme="1"/>
      <name val="Calibri"/>
    </font>
    <font>
      <u/>
      <sz val="12.0"/>
      <color rgb="FF000000"/>
      <name val="Calibri"/>
    </font>
    <font>
      <u/>
      <sz val="11.0"/>
      <color theme="1"/>
      <name val="Calibri"/>
    </font>
    <font>
      <u/>
      <color theme="1"/>
      <name val="Calibri"/>
    </font>
    <font>
      <u/>
      <sz val="11.0"/>
      <color theme="1"/>
      <name val="Calibri"/>
    </font>
    <font>
      <sz val="11.0"/>
      <color rgb="FF7E3794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548135"/>
        <bgColor rgb="FF548135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</fills>
  <borders count="3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top style="medium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left" shrinkToFit="0" wrapText="1"/>
    </xf>
    <xf borderId="0" fillId="0" fontId="4" numFmtId="0" xfId="0" applyFont="1"/>
    <xf borderId="1" fillId="0" fontId="5" numFmtId="0" xfId="0" applyAlignment="1" applyBorder="1" applyFont="1">
      <alignment vertical="center"/>
    </xf>
    <xf borderId="1" fillId="0" fontId="5" numFmtId="164" xfId="0" applyAlignment="1" applyBorder="1" applyFont="1" applyNumberFormat="1">
      <alignment horizontal="right" vertical="center"/>
    </xf>
    <xf borderId="1" fillId="0" fontId="4" numFmtId="0" xfId="0" applyAlignment="1" applyBorder="1" applyFont="1">
      <alignment horizontal="center"/>
    </xf>
    <xf borderId="1" fillId="0" fontId="3" numFmtId="0" xfId="0" applyAlignment="1" applyBorder="1" applyFont="1">
      <alignment vertical="center"/>
    </xf>
    <xf borderId="1" fillId="0" fontId="3" numFmtId="164" xfId="0" applyAlignment="1" applyBorder="1" applyFont="1" applyNumberFormat="1">
      <alignment vertical="center"/>
    </xf>
    <xf borderId="1" fillId="0" fontId="3" numFmtId="164" xfId="0" applyBorder="1" applyFont="1" applyNumberFormat="1"/>
    <xf borderId="1" fillId="0" fontId="6" numFmtId="164" xfId="0" applyBorder="1" applyFont="1" applyNumberFormat="1"/>
    <xf borderId="1" fillId="0" fontId="3" numFmtId="0" xfId="0" applyAlignment="1" applyBorder="1" applyFont="1">
      <alignment horizontal="center"/>
    </xf>
    <xf borderId="1" fillId="0" fontId="7" numFmtId="0" xfId="0" applyAlignment="1" applyBorder="1" applyFont="1">
      <alignment vertical="center"/>
    </xf>
    <xf borderId="1" fillId="0" fontId="3" numFmtId="0" xfId="0" applyAlignment="1" applyBorder="1" applyFont="1">
      <alignment shrinkToFit="0" vertical="center" wrapText="1"/>
    </xf>
    <xf borderId="1" fillId="0" fontId="3" numFmtId="164" xfId="0" applyAlignment="1" applyBorder="1" applyFont="1" applyNumberFormat="1">
      <alignment shrinkToFit="0" vertical="center" wrapText="1"/>
    </xf>
    <xf borderId="1" fillId="0" fontId="3" numFmtId="164" xfId="0" applyAlignment="1" applyBorder="1" applyFont="1" applyNumberFormat="1">
      <alignment shrinkToFit="0" wrapText="1"/>
    </xf>
    <xf borderId="0" fillId="0" fontId="3" numFmtId="164" xfId="0" applyFont="1" applyNumberFormat="1"/>
    <xf borderId="1" fillId="0" fontId="7" numFmtId="0" xfId="0" applyAlignment="1" applyBorder="1" applyFont="1">
      <alignment shrinkToFit="0" vertical="center" wrapText="1"/>
    </xf>
    <xf borderId="0" fillId="0" fontId="8" numFmtId="0" xfId="0" applyAlignment="1" applyFont="1">
      <alignment vertical="center"/>
    </xf>
    <xf borderId="0" fillId="0" fontId="9" numFmtId="0" xfId="0" applyFont="1"/>
    <xf borderId="0" fillId="0" fontId="10" numFmtId="0" xfId="0" applyFont="1"/>
    <xf borderId="0" fillId="0" fontId="11" numFmtId="0" xfId="0" applyAlignment="1" applyFont="1">
      <alignment vertical="center"/>
    </xf>
    <xf borderId="0" fillId="0" fontId="3" numFmtId="0" xfId="0" applyAlignment="1" applyFont="1">
      <alignment shrinkToFit="0" vertical="center" wrapText="1"/>
    </xf>
    <xf borderId="0" fillId="0" fontId="12" numFmtId="0" xfId="0" applyAlignment="1" applyFont="1">
      <alignment vertical="center"/>
    </xf>
    <xf borderId="0" fillId="0" fontId="1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Font="1"/>
    <xf borderId="0" fillId="0" fontId="14" numFmtId="0" xfId="0" applyAlignment="1" applyFont="1">
      <alignment vertical="center"/>
    </xf>
    <xf borderId="0" fillId="0" fontId="7" numFmtId="0" xfId="0" applyAlignment="1" applyFont="1">
      <alignment horizontal="left" vertical="center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12" numFmtId="49" xfId="0" applyFont="1" applyNumberFormat="1"/>
    <xf borderId="0" fillId="0" fontId="12" numFmtId="49" xfId="0" applyAlignment="1" applyFont="1" applyNumberFormat="1">
      <alignment horizontal="left"/>
    </xf>
    <xf borderId="0" fillId="0" fontId="11" numFmtId="0" xfId="0" applyAlignment="1" applyFont="1">
      <alignment horizontal="center" vertical="center"/>
    </xf>
    <xf borderId="0" fillId="0" fontId="4" numFmtId="0" xfId="0" applyAlignment="1" applyFont="1">
      <alignment horizontal="left"/>
    </xf>
    <xf borderId="2" fillId="2" fontId="11" numFmtId="0" xfId="0" applyAlignment="1" applyBorder="1" applyFill="1" applyFont="1">
      <alignment horizontal="center" readingOrder="0" vertical="center"/>
    </xf>
    <xf borderId="3" fillId="0" fontId="17" numFmtId="0" xfId="0" applyBorder="1" applyFont="1"/>
    <xf borderId="4" fillId="0" fontId="17" numFmtId="0" xfId="0" applyBorder="1" applyFont="1"/>
    <xf borderId="0" fillId="0" fontId="11" numFmtId="0" xfId="0" applyFont="1"/>
    <xf borderId="5" fillId="0" fontId="18" numFmtId="0" xfId="0" applyAlignment="1" applyBorder="1" applyFont="1">
      <alignment horizontal="center" readingOrder="0"/>
    </xf>
    <xf borderId="6" fillId="0" fontId="17" numFmtId="0" xfId="0" applyBorder="1" applyFont="1"/>
    <xf borderId="5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7" fillId="0" fontId="11" numFmtId="0" xfId="0" applyAlignment="1" applyBorder="1" applyFont="1">
      <alignment horizontal="center" vertical="center"/>
    </xf>
    <xf borderId="7" fillId="0" fontId="17" numFmtId="0" xfId="0" applyBorder="1" applyFont="1"/>
    <xf borderId="8" fillId="0" fontId="18" numFmtId="0" xfId="0" applyAlignment="1" applyBorder="1" applyFont="1">
      <alignment horizontal="center" readingOrder="0"/>
    </xf>
    <xf borderId="9" fillId="0" fontId="18" numFmtId="0" xfId="0" applyAlignment="1" applyBorder="1" applyFont="1">
      <alignment horizontal="center"/>
    </xf>
    <xf borderId="10" fillId="0" fontId="18" numFmtId="0" xfId="0" applyAlignment="1" applyBorder="1" applyFont="1">
      <alignment horizontal="center"/>
    </xf>
    <xf borderId="11" fillId="0" fontId="3" numFmtId="0" xfId="0" applyAlignment="1" applyBorder="1" applyFont="1">
      <alignment horizontal="center" readingOrder="0"/>
    </xf>
    <xf borderId="12" fillId="0" fontId="18" numFmtId="0" xfId="0" applyAlignment="1" applyBorder="1" applyFont="1">
      <alignment horizontal="center"/>
    </xf>
    <xf borderId="13" fillId="0" fontId="19" numFmtId="0" xfId="0" applyAlignment="1" applyBorder="1" applyFont="1">
      <alignment horizontal="center" vertical="center"/>
    </xf>
    <xf borderId="14" fillId="0" fontId="20" numFmtId="0" xfId="0" applyAlignment="1" applyBorder="1" applyFont="1">
      <alignment horizontal="center" vertical="center"/>
    </xf>
    <xf borderId="15" fillId="0" fontId="18" numFmtId="0" xfId="0" applyBorder="1" applyFont="1"/>
    <xf borderId="16" fillId="0" fontId="11" numFmtId="1" xfId="0" applyAlignment="1" applyBorder="1" applyFont="1" applyNumberFormat="1">
      <alignment horizontal="center" vertical="center"/>
    </xf>
    <xf borderId="17" fillId="0" fontId="11" numFmtId="0" xfId="0" applyAlignment="1" applyBorder="1" applyFont="1">
      <alignment horizontal="center" vertical="center"/>
    </xf>
    <xf borderId="13" fillId="0" fontId="11" numFmtId="0" xfId="0" applyBorder="1" applyFont="1"/>
    <xf borderId="18" fillId="0" fontId="3" numFmtId="0" xfId="0" applyBorder="1" applyFont="1"/>
    <xf borderId="14" fillId="0" fontId="3" numFmtId="0" xfId="0" applyBorder="1" applyFont="1"/>
    <xf borderId="5" fillId="0" fontId="13" numFmtId="0" xfId="0" applyBorder="1" applyFont="1"/>
    <xf borderId="19" fillId="0" fontId="11" numFmtId="0" xfId="0" applyBorder="1" applyFont="1"/>
    <xf borderId="0" fillId="0" fontId="18" numFmtId="164" xfId="0" applyFont="1" applyNumberFormat="1"/>
    <xf borderId="20" fillId="0" fontId="18" numFmtId="164" xfId="0" applyBorder="1" applyFont="1" applyNumberFormat="1"/>
    <xf borderId="5" fillId="0" fontId="3" numFmtId="0" xfId="0" applyAlignment="1" applyBorder="1" applyFont="1">
      <alignment readingOrder="0"/>
    </xf>
    <xf borderId="6" fillId="0" fontId="3" numFmtId="164" xfId="0" applyAlignment="1" applyBorder="1" applyFont="1" applyNumberFormat="1">
      <alignment readingOrder="0"/>
    </xf>
    <xf borderId="5" fillId="0" fontId="3" numFmtId="0" xfId="0" applyAlignment="1" applyBorder="1" applyFont="1">
      <alignment vertical="bottom"/>
    </xf>
    <xf borderId="0" fillId="0" fontId="3" numFmtId="164" xfId="0" applyAlignment="1" applyFont="1" applyNumberFormat="1">
      <alignment horizontal="right" vertical="bottom"/>
    </xf>
    <xf borderId="6" fillId="0" fontId="3" numFmtId="164" xfId="0" applyBorder="1" applyFont="1" applyNumberFormat="1"/>
    <xf borderId="0" fillId="0" fontId="9" numFmtId="0" xfId="0" applyAlignment="1" applyFont="1">
      <alignment readingOrder="0"/>
    </xf>
    <xf borderId="11" fillId="0" fontId="13" numFmtId="0" xfId="0" applyBorder="1" applyFont="1"/>
    <xf borderId="9" fillId="0" fontId="3" numFmtId="0" xfId="0" applyBorder="1" applyFont="1"/>
    <xf borderId="19" fillId="0" fontId="18" numFmtId="0" xfId="0" applyAlignment="1" applyBorder="1" applyFont="1">
      <alignment readingOrder="0"/>
    </xf>
    <xf borderId="0" fillId="0" fontId="21" numFmtId="164" xfId="0" applyAlignment="1" applyFont="1" applyNumberFormat="1">
      <alignment readingOrder="0"/>
    </xf>
    <xf borderId="20" fillId="0" fontId="18" numFmtId="164" xfId="0" applyAlignment="1" applyBorder="1" applyFont="1" applyNumberFormat="1">
      <alignment readingOrder="0"/>
    </xf>
    <xf borderId="19" fillId="0" fontId="3" numFmtId="0" xfId="0" applyAlignment="1" applyBorder="1" applyFont="1">
      <alignment readingOrder="0"/>
    </xf>
    <xf borderId="20" fillId="0" fontId="3" numFmtId="164" xfId="0" applyBorder="1" applyFont="1" applyNumberFormat="1"/>
    <xf borderId="21" fillId="0" fontId="19" numFmtId="0" xfId="0" applyAlignment="1" applyBorder="1" applyFont="1">
      <alignment horizontal="center"/>
    </xf>
    <xf borderId="22" fillId="0" fontId="17" numFmtId="0" xfId="0" applyBorder="1" applyFont="1"/>
    <xf borderId="23" fillId="0" fontId="17" numFmtId="0" xfId="0" applyBorder="1" applyFont="1"/>
    <xf borderId="24" fillId="2" fontId="20" numFmtId="0" xfId="0" applyAlignment="1" applyBorder="1" applyFont="1">
      <alignment horizontal="center" readingOrder="0"/>
    </xf>
    <xf borderId="25" fillId="0" fontId="17" numFmtId="0" xfId="0" applyBorder="1" applyFont="1"/>
    <xf borderId="26" fillId="0" fontId="17" numFmtId="0" xfId="0" applyBorder="1" applyFont="1"/>
    <xf borderId="0" fillId="0" fontId="22" numFmtId="0" xfId="0" applyAlignment="1" applyFont="1">
      <alignment readingOrder="0"/>
    </xf>
    <xf borderId="0" fillId="0" fontId="3" numFmtId="164" xfId="0" applyAlignment="1" applyFont="1" applyNumberFormat="1">
      <alignment shrinkToFit="0" vertical="center" wrapText="1"/>
    </xf>
    <xf borderId="0" fillId="0" fontId="3" numFmtId="164" xfId="0" applyAlignment="1" applyFont="1" applyNumberFormat="1">
      <alignment shrinkToFit="0" wrapText="1"/>
    </xf>
    <xf borderId="27" fillId="0" fontId="13" numFmtId="0" xfId="0" applyAlignment="1" applyBorder="1" applyFont="1">
      <alignment horizontal="center" readingOrder="0" shrinkToFit="0" vertical="center" wrapText="1"/>
    </xf>
    <xf borderId="16" fillId="0" fontId="17" numFmtId="0" xfId="0" applyBorder="1" applyFont="1"/>
    <xf borderId="28" fillId="0" fontId="17" numFmtId="0" xfId="0" applyBorder="1" applyFont="1"/>
    <xf borderId="0" fillId="0" fontId="23" numFmtId="164" xfId="0" applyAlignment="1" applyFont="1" applyNumberFormat="1">
      <alignment readingOrder="0"/>
    </xf>
    <xf borderId="20" fillId="0" fontId="23" numFmtId="164" xfId="0" applyAlignment="1" applyBorder="1" applyFont="1" applyNumberFormat="1">
      <alignment readingOrder="0"/>
    </xf>
    <xf borderId="5" fillId="0" fontId="9" numFmtId="0" xfId="0" applyAlignment="1" applyBorder="1" applyFont="1">
      <alignment readingOrder="0"/>
    </xf>
    <xf borderId="6" fillId="0" fontId="9" numFmtId="164" xfId="0" applyBorder="1" applyFont="1" applyNumberFormat="1"/>
    <xf borderId="0" fillId="0" fontId="11" numFmtId="164" xfId="0" applyFont="1" applyNumberFormat="1"/>
    <xf borderId="11" fillId="0" fontId="13" numFmtId="0" xfId="0" applyAlignment="1" applyBorder="1" applyFont="1">
      <alignment horizontal="center" readingOrder="0" shrinkToFit="0" vertical="center" wrapText="1"/>
    </xf>
    <xf borderId="12" fillId="0" fontId="17" numFmtId="0" xfId="0" applyBorder="1" applyFont="1"/>
    <xf borderId="19" fillId="0" fontId="3" numFmtId="0" xfId="0" applyAlignment="1" applyBorder="1" applyFont="1">
      <alignment shrinkToFit="0" wrapText="1"/>
    </xf>
    <xf borderId="0" fillId="0" fontId="3" numFmtId="164" xfId="0" applyAlignment="1" applyFont="1" applyNumberFormat="1">
      <alignment horizontal="right" shrinkToFit="0" wrapText="1"/>
    </xf>
    <xf borderId="20" fillId="0" fontId="3" numFmtId="164" xfId="0" applyAlignment="1" applyBorder="1" applyFont="1" applyNumberFormat="1">
      <alignment horizontal="right" shrinkToFit="0" vertical="bottom" wrapText="1"/>
    </xf>
    <xf borderId="5" fillId="0" fontId="24" numFmtId="0" xfId="0" applyAlignment="1" applyBorder="1" applyFont="1">
      <alignment vertical="bottom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readingOrder="0"/>
    </xf>
    <xf borderId="13" fillId="0" fontId="13" numFmtId="0" xfId="0" applyBorder="1" applyFont="1"/>
    <xf borderId="18" fillId="0" fontId="20" numFmtId="0" xfId="0" applyAlignment="1" applyBorder="1" applyFont="1">
      <alignment horizontal="center" shrinkToFit="0" vertical="center" wrapText="1"/>
    </xf>
    <xf borderId="18" fillId="0" fontId="20" numFmtId="0" xfId="0" applyAlignment="1" applyBorder="1" applyFont="1">
      <alignment horizontal="center" vertical="center"/>
    </xf>
    <xf borderId="14" fillId="0" fontId="20" numFmtId="0" xfId="0" applyAlignment="1" applyBorder="1" applyFont="1">
      <alignment horizontal="center" shrinkToFit="0" vertical="center" wrapText="1"/>
    </xf>
    <xf borderId="20" fillId="0" fontId="11" numFmtId="164" xfId="0" applyBorder="1" applyFont="1" applyNumberFormat="1"/>
    <xf borderId="0" fillId="0" fontId="3" numFmtId="0" xfId="0" applyAlignment="1" applyFont="1">
      <alignment readingOrder="0" shrinkToFit="0" vertical="center" wrapText="1"/>
    </xf>
    <xf borderId="5" fillId="0" fontId="13" numFmtId="164" xfId="0" applyBorder="1" applyFont="1" applyNumberFormat="1"/>
    <xf borderId="0" fillId="0" fontId="13" numFmtId="164" xfId="0" applyAlignment="1" applyFont="1" applyNumberFormat="1">
      <alignment horizontal="center" readingOrder="0" shrinkToFit="0" vertical="center" wrapText="1"/>
    </xf>
    <xf borderId="0" fillId="0" fontId="20" numFmtId="164" xfId="0" applyAlignment="1" applyFont="1" applyNumberFormat="1">
      <alignment horizontal="center" vertical="center"/>
    </xf>
    <xf borderId="6" fillId="0" fontId="20" numFmtId="164" xfId="0" applyAlignment="1" applyBorder="1" applyFont="1" applyNumberFormat="1">
      <alignment horizontal="center" shrinkToFit="0" vertical="center" wrapText="1"/>
    </xf>
    <xf borderId="0" fillId="0" fontId="13" numFmtId="164" xfId="0" applyFont="1" applyNumberFormat="1"/>
    <xf borderId="6" fillId="0" fontId="13" numFmtId="164" xfId="0" applyBorder="1" applyFont="1" applyNumberFormat="1"/>
    <xf borderId="5" fillId="0" fontId="9" numFmtId="0" xfId="0" applyBorder="1" applyFont="1"/>
    <xf borderId="19" fillId="0" fontId="25" numFmtId="0" xfId="0" applyAlignment="1" applyBorder="1" applyFont="1">
      <alignment readingOrder="0"/>
    </xf>
    <xf borderId="20" fillId="0" fontId="3" numFmtId="164" xfId="0" applyAlignment="1" applyBorder="1" applyFont="1" applyNumberFormat="1">
      <alignment readingOrder="0"/>
    </xf>
    <xf borderId="5" fillId="0" fontId="3" numFmtId="0" xfId="0" applyBorder="1" applyFont="1"/>
    <xf borderId="5" fillId="0" fontId="13" numFmtId="164" xfId="0" applyAlignment="1" applyBorder="1" applyFont="1" applyNumberFormat="1">
      <alignment readingOrder="0"/>
    </xf>
    <xf borderId="0" fillId="0" fontId="26" numFmtId="164" xfId="0" applyFont="1" applyNumberFormat="1"/>
    <xf borderId="19" fillId="0" fontId="18" numFmtId="0" xfId="0" applyAlignment="1" applyBorder="1" applyFont="1">
      <alignment horizontal="left" readingOrder="0"/>
    </xf>
    <xf borderId="5" fillId="0" fontId="18" numFmtId="0" xfId="0" applyBorder="1" applyFont="1"/>
    <xf borderId="19" fillId="0" fontId="9" numFmtId="0" xfId="0" applyBorder="1" applyFont="1"/>
    <xf borderId="19" fillId="0" fontId="3" numFmtId="0" xfId="0" applyBorder="1" applyFont="1"/>
    <xf borderId="11" fillId="0" fontId="20" numFmtId="164" xfId="0" applyAlignment="1" applyBorder="1" applyFont="1" applyNumberFormat="1">
      <alignment readingOrder="0"/>
    </xf>
    <xf borderId="7" fillId="0" fontId="20" numFmtId="164" xfId="0" applyBorder="1" applyFont="1" applyNumberFormat="1"/>
    <xf borderId="12" fillId="0" fontId="20" numFmtId="164" xfId="0" applyBorder="1" applyFont="1" applyNumberFormat="1"/>
    <xf borderId="5" fillId="0" fontId="11" numFmtId="0" xfId="0" applyBorder="1" applyFont="1"/>
    <xf borderId="6" fillId="0" fontId="11" numFmtId="164" xfId="0" applyBorder="1" applyFont="1" applyNumberFormat="1"/>
    <xf borderId="29" fillId="0" fontId="11" numFmtId="0" xfId="0" applyBorder="1" applyFont="1"/>
    <xf borderId="9" fillId="0" fontId="11" numFmtId="164" xfId="0" applyBorder="1" applyFont="1" applyNumberFormat="1"/>
    <xf borderId="30" fillId="0" fontId="11" numFmtId="164" xfId="0" applyBorder="1" applyFont="1" applyNumberFormat="1"/>
    <xf borderId="15" fillId="0" fontId="11" numFmtId="0" xfId="0" applyBorder="1" applyFont="1"/>
    <xf borderId="16" fillId="0" fontId="18" numFmtId="164" xfId="0" applyBorder="1" applyFont="1" applyNumberFormat="1"/>
    <xf borderId="17" fillId="0" fontId="18" numFmtId="164" xfId="0" applyBorder="1" applyFont="1" applyNumberFormat="1"/>
    <xf borderId="0" fillId="0" fontId="3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5" fillId="0" fontId="3" numFmtId="0" xfId="0" applyAlignment="1" applyBorder="1" applyFont="1">
      <alignment shrinkToFit="0" vertical="center" wrapText="1"/>
    </xf>
    <xf borderId="6" fillId="0" fontId="3" numFmtId="164" xfId="0" applyAlignment="1" applyBorder="1" applyFont="1" applyNumberFormat="1">
      <alignment shrinkToFit="0" wrapText="1"/>
    </xf>
    <xf borderId="20" fillId="0" fontId="9" numFmtId="0" xfId="0" applyBorder="1" applyFont="1"/>
    <xf borderId="0" fillId="0" fontId="3" numFmtId="164" xfId="0" applyAlignment="1" applyFont="1" applyNumberFormat="1">
      <alignment readingOrder="0"/>
    </xf>
    <xf borderId="19" fillId="0" fontId="21" numFmtId="0" xfId="0" applyAlignment="1" applyBorder="1" applyFont="1">
      <alignment readingOrder="0"/>
    </xf>
    <xf borderId="20" fillId="0" fontId="3" numFmtId="164" xfId="0" applyAlignment="1" applyBorder="1" applyFont="1" applyNumberFormat="1">
      <alignment shrinkToFit="0" wrapText="1"/>
    </xf>
    <xf borderId="13" fillId="0" fontId="3" numFmtId="0" xfId="0" applyBorder="1" applyFont="1"/>
    <xf borderId="18" fillId="0" fontId="3" numFmtId="164" xfId="0" applyBorder="1" applyFont="1" applyNumberFormat="1"/>
    <xf borderId="14" fillId="0" fontId="18" numFmtId="164" xfId="0" applyBorder="1" applyFont="1" applyNumberFormat="1"/>
    <xf borderId="31" fillId="0" fontId="11" numFmtId="0" xfId="0" applyBorder="1" applyFont="1"/>
    <xf borderId="7" fillId="0" fontId="11" numFmtId="164" xfId="0" applyBorder="1" applyFont="1" applyNumberFormat="1"/>
    <xf borderId="32" fillId="0" fontId="11" numFmtId="164" xfId="0" applyBorder="1" applyFont="1" applyNumberFormat="1"/>
    <xf borderId="11" fillId="0" fontId="3" numFmtId="0" xfId="0" applyBorder="1" applyFont="1"/>
    <xf borderId="7" fillId="0" fontId="3" numFmtId="164" xfId="0" applyBorder="1" applyFont="1" applyNumberFormat="1"/>
    <xf borderId="12" fillId="0" fontId="3" numFmtId="164" xfId="0" applyBorder="1" applyFont="1" applyNumberFormat="1"/>
    <xf borderId="0" fillId="0" fontId="3" numFmtId="49" xfId="0" applyFont="1" applyNumberFormat="1"/>
    <xf borderId="0" fillId="0" fontId="18" numFmtId="0" xfId="0" applyFont="1"/>
    <xf borderId="0" fillId="0" fontId="18" numFmtId="0" xfId="0" applyAlignment="1" applyFont="1">
      <alignment horizontal="center"/>
    </xf>
    <xf borderId="0" fillId="0" fontId="11" numFmtId="1" xfId="0" applyAlignment="1" applyFont="1" applyNumberFormat="1">
      <alignment horizontal="center" vertical="center"/>
    </xf>
    <xf borderId="0" fillId="0" fontId="25" numFmtId="0" xfId="0" applyFont="1"/>
    <xf borderId="0" fillId="0" fontId="18" numFmtId="0" xfId="0" applyAlignment="1" applyFont="1">
      <alignment horizontal="left"/>
    </xf>
    <xf borderId="0" fillId="0" fontId="18" numFmtId="0" xfId="0" applyAlignment="1" applyFont="1">
      <alignment horizontal="right"/>
    </xf>
    <xf borderId="1" fillId="3" fontId="5" numFmtId="0" xfId="0" applyAlignment="1" applyBorder="1" applyFill="1" applyFont="1">
      <alignment vertical="center"/>
    </xf>
    <xf borderId="1" fillId="3" fontId="5" numFmtId="164" xfId="0" applyAlignment="1" applyBorder="1" applyFont="1" applyNumberFormat="1">
      <alignment horizontal="right" vertical="center"/>
    </xf>
    <xf borderId="1" fillId="2" fontId="5" numFmtId="0" xfId="0" applyAlignment="1" applyBorder="1" applyFont="1">
      <alignment vertical="center"/>
    </xf>
    <xf borderId="1" fillId="2" fontId="5" numFmtId="164" xfId="0" applyAlignment="1" applyBorder="1" applyFont="1" applyNumberFormat="1">
      <alignment horizontal="right" vertical="center"/>
    </xf>
    <xf borderId="1" fillId="4" fontId="5" numFmtId="0" xfId="0" applyAlignment="1" applyBorder="1" applyFill="1" applyFont="1">
      <alignment vertical="center"/>
    </xf>
    <xf borderId="1" fillId="4" fontId="5" numFmtId="164" xfId="0" applyAlignment="1" applyBorder="1" applyFont="1" applyNumberFormat="1">
      <alignment horizontal="right" vertical="center"/>
    </xf>
    <xf borderId="1" fillId="3" fontId="13" numFmtId="0" xfId="0" applyAlignment="1" applyBorder="1" applyFont="1">
      <alignment vertical="center"/>
    </xf>
    <xf borderId="1" fillId="3" fontId="13" numFmtId="164" xfId="0" applyAlignment="1" applyBorder="1" applyFont="1" applyNumberFormat="1">
      <alignment horizontal="right" vertical="center"/>
    </xf>
    <xf borderId="1" fillId="5" fontId="5" numFmtId="0" xfId="0" applyAlignment="1" applyBorder="1" applyFill="1" applyFont="1">
      <alignment vertical="center"/>
    </xf>
    <xf borderId="1" fillId="5" fontId="5" numFmtId="164" xfId="0" applyAlignment="1" applyBorder="1" applyFont="1" applyNumberFormat="1">
      <alignment horizontal="right" vertical="center"/>
    </xf>
    <xf borderId="0" fillId="0" fontId="5" numFmtId="164" xfId="0" applyAlignment="1" applyFont="1" applyNumberFormat="1">
      <alignment horizontal="right" vertical="center"/>
    </xf>
    <xf borderId="0" fillId="0" fontId="27" numFmtId="0" xfId="0" applyAlignment="1" applyFont="1">
      <alignment vertical="center"/>
    </xf>
    <xf borderId="0" fillId="0" fontId="28" numFmtId="0" xfId="0" applyAlignment="1" applyFont="1">
      <alignment vertical="center"/>
    </xf>
    <xf borderId="33" fillId="0" fontId="29" numFmtId="0" xfId="0" applyAlignment="1" applyBorder="1" applyFont="1">
      <alignment vertical="center"/>
    </xf>
    <xf borderId="1" fillId="0" fontId="30" numFmtId="0" xfId="0" applyAlignment="1" applyBorder="1" applyFont="1">
      <alignment vertical="center"/>
    </xf>
    <xf borderId="1" fillId="6" fontId="31" numFmtId="0" xfId="0" applyAlignment="1" applyBorder="1" applyFill="1" applyFont="1">
      <alignment vertical="center"/>
    </xf>
    <xf borderId="1" fillId="6" fontId="5" numFmtId="164" xfId="0" applyAlignment="1" applyBorder="1" applyFont="1" applyNumberFormat="1">
      <alignment horizontal="right" vertical="center"/>
    </xf>
    <xf borderId="0" fillId="0" fontId="5" numFmtId="0" xfId="0" applyAlignment="1" applyFont="1">
      <alignment vertical="center"/>
    </xf>
    <xf borderId="24" fillId="2" fontId="20" numFmtId="0" xfId="0" applyAlignment="1" applyBorder="1" applyFont="1">
      <alignment horizontal="center"/>
    </xf>
    <xf borderId="27" fillId="0" fontId="13" numFmtId="0" xfId="0" applyAlignment="1" applyBorder="1" applyFont="1">
      <alignment horizontal="center" shrinkToFit="0" vertical="center" wrapText="1"/>
    </xf>
    <xf borderId="11" fillId="0" fontId="17" numFmtId="0" xfId="0" applyBorder="1" applyFont="1"/>
    <xf borderId="0" fillId="0" fontId="20" numFmtId="164" xfId="0" applyAlignment="1" applyFont="1" applyNumberFormat="1">
      <alignment horizontal="center" shrinkToFit="0" vertical="center" wrapText="1"/>
    </xf>
    <xf borderId="11" fillId="0" fontId="20" numFmtId="164" xfId="0" applyBorder="1" applyFont="1" applyNumberFormat="1"/>
    <xf borderId="34" fillId="2" fontId="11" numFmtId="0" xfId="0" applyAlignment="1" applyBorder="1" applyFont="1">
      <alignment horizontal="center" vertical="center"/>
    </xf>
    <xf borderId="35" fillId="0" fontId="17" numFmtId="0" xfId="0" applyBorder="1" applyFont="1"/>
    <xf borderId="36" fillId="0" fontId="17" numFmtId="0" xfId="0" applyBorder="1" applyFont="1"/>
    <xf borderId="5" fillId="0" fontId="3" numFmtId="0" xfId="0" applyAlignment="1" applyBorder="1" applyFont="1">
      <alignment horizontal="center"/>
    </xf>
    <xf borderId="11" fillId="0" fontId="3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0" fillId="0" fontId="32" numFmtId="0" xfId="0" applyAlignment="1" applyFont="1">
      <alignment readingOrder="0"/>
    </xf>
    <xf borderId="1" fillId="7" fontId="3" numFmtId="0" xfId="0" applyAlignment="1" applyBorder="1" applyFill="1" applyFont="1">
      <alignment vertical="center"/>
    </xf>
    <xf borderId="1" fillId="7" fontId="3" numFmtId="164" xfId="0" applyAlignment="1" applyBorder="1" applyFont="1" applyNumberFormat="1">
      <alignment vertical="center"/>
    </xf>
    <xf borderId="1" fillId="7" fontId="3" numFmtId="164" xfId="0" applyBorder="1" applyFont="1" applyNumberFormat="1"/>
    <xf borderId="1" fillId="8" fontId="3" numFmtId="0" xfId="0" applyAlignment="1" applyBorder="1" applyFill="1" applyFont="1">
      <alignment vertical="center"/>
    </xf>
    <xf borderId="1" fillId="8" fontId="3" numFmtId="164" xfId="0" applyAlignment="1" applyBorder="1" applyFont="1" applyNumberFormat="1">
      <alignment vertical="center"/>
    </xf>
    <xf borderId="0" fillId="0" fontId="33" numFmtId="0" xfId="0" applyFont="1"/>
    <xf borderId="5" fillId="0" fontId="13" numFmtId="0" xfId="0" applyAlignment="1" applyBorder="1" applyFont="1">
      <alignment readingOrder="0"/>
    </xf>
    <xf borderId="1" fillId="9" fontId="3" numFmtId="0" xfId="0" applyAlignment="1" applyBorder="1" applyFill="1" applyFont="1">
      <alignment vertical="center"/>
    </xf>
    <xf borderId="1" fillId="9" fontId="3" numFmtId="164" xfId="0" applyAlignment="1" applyBorder="1" applyFont="1" applyNumberFormat="1">
      <alignment vertical="center"/>
    </xf>
    <xf borderId="1" fillId="9" fontId="3" numFmtId="164" xfId="0" applyBorder="1" applyFont="1" applyNumberFormat="1"/>
    <xf borderId="1" fillId="7" fontId="3" numFmtId="0" xfId="0" applyAlignment="1" applyBorder="1" applyFont="1">
      <alignment shrinkToFit="0" vertical="center" wrapText="1"/>
    </xf>
    <xf borderId="1" fillId="7" fontId="3" numFmtId="164" xfId="0" applyAlignment="1" applyBorder="1" applyFont="1" applyNumberFormat="1">
      <alignment shrinkToFit="0" vertical="center" wrapText="1"/>
    </xf>
    <xf borderId="1" fillId="7" fontId="3" numFmtId="164" xfId="0" applyAlignment="1" applyBorder="1" applyFont="1" applyNumberFormat="1">
      <alignment shrinkToFit="0" wrapText="1"/>
    </xf>
    <xf borderId="0" fillId="0" fontId="13" numFmtId="164" xfId="0" applyAlignment="1" applyFont="1" applyNumberFormat="1">
      <alignment readingOrder="0"/>
    </xf>
    <xf borderId="1" fillId="7" fontId="7" numFmtId="0" xfId="0" applyAlignment="1" applyBorder="1" applyFont="1">
      <alignment vertical="center"/>
    </xf>
    <xf borderId="0" fillId="0" fontId="5" numFmtId="164" xfId="0" applyAlignment="1" applyFont="1" applyNumberFormat="1">
      <alignment horizontal="left"/>
    </xf>
    <xf borderId="37" fillId="10" fontId="9" numFmtId="0" xfId="0" applyAlignment="1" applyBorder="1" applyFill="1" applyFont="1">
      <alignment readingOrder="0"/>
    </xf>
    <xf borderId="0" fillId="10" fontId="9" numFmtId="164" xfId="0" applyFont="1" applyNumberFormat="1"/>
    <xf borderId="38" fillId="10" fontId="9" numFmtId="0" xfId="0" applyBorder="1" applyFont="1"/>
    <xf borderId="37" fillId="0" fontId="3" numFmtId="0" xfId="0" applyAlignment="1" applyBorder="1" applyFont="1">
      <alignment readingOrder="0"/>
    </xf>
    <xf borderId="38" fillId="0" fontId="9" numFmtId="0" xfId="0" applyBorder="1" applyFont="1"/>
    <xf borderId="1" fillId="0" fontId="34" numFmtId="0" xfId="0" applyAlignment="1" applyBorder="1" applyFont="1">
      <alignment readingOrder="0" shrinkToFit="0" vertical="bottom" wrapText="0"/>
    </xf>
    <xf borderId="37" fillId="0" fontId="9" numFmtId="0" xfId="0" applyAlignment="1" applyBorder="1" applyFont="1">
      <alignment readingOrder="0"/>
    </xf>
    <xf borderId="0" fillId="0" fontId="9" numFmtId="164" xfId="0" applyFont="1" applyNumberFormat="1"/>
    <xf borderId="38" fillId="0" fontId="3" numFmtId="164" xfId="0" applyBorder="1" applyFont="1" applyNumberFormat="1"/>
    <xf borderId="1" fillId="8" fontId="3" numFmtId="164" xfId="0" applyBorder="1" applyFont="1" applyNumberFormat="1"/>
    <xf borderId="37" fillId="0" fontId="9" numFmtId="0" xfId="0" applyBorder="1" applyFont="1"/>
    <xf borderId="11" fillId="0" fontId="20" numFmtId="0" xfId="0" applyAlignment="1" applyBorder="1" applyFont="1">
      <alignment readingOrder="0"/>
    </xf>
    <xf borderId="37" fillId="0" fontId="35" numFmtId="0" xfId="0" applyAlignment="1" applyBorder="1" applyFont="1">
      <alignment readingOrder="0"/>
    </xf>
    <xf borderId="0" fillId="0" fontId="36" numFmtId="0" xfId="0" applyAlignment="1" applyFont="1">
      <alignment readingOrder="0"/>
    </xf>
    <xf borderId="6" fillId="11" fontId="3" numFmtId="164" xfId="0" applyBorder="1" applyFill="1" applyFont="1" applyNumberFormat="1"/>
    <xf borderId="1" fillId="8" fontId="3" numFmtId="0" xfId="0" applyAlignment="1" applyBorder="1" applyFont="1">
      <alignment shrinkToFit="0" vertical="center" wrapText="1"/>
    </xf>
    <xf borderId="1" fillId="8" fontId="3" numFmtId="164" xfId="0" applyAlignment="1" applyBorder="1" applyFont="1" applyNumberFormat="1">
      <alignment shrinkToFit="0" vertical="center" wrapText="1"/>
    </xf>
    <xf borderId="5" fillId="0" fontId="3" numFmtId="0" xfId="0" applyAlignment="1" applyBorder="1" applyFont="1">
      <alignment readingOrder="0"/>
    </xf>
    <xf borderId="1" fillId="8" fontId="3" numFmtId="164" xfId="0" applyAlignment="1" applyBorder="1" applyFont="1" applyNumberFormat="1">
      <alignment shrinkToFit="0" wrapText="1"/>
    </xf>
    <xf borderId="1" fillId="7" fontId="37" numFmtId="0" xfId="0" applyAlignment="1" applyBorder="1" applyFont="1">
      <alignment vertical="center"/>
    </xf>
    <xf borderId="1" fillId="8" fontId="3" numFmtId="0" xfId="0" applyAlignment="1" applyBorder="1" applyFont="1">
      <alignment readingOrder="0" shrinkToFit="0" vertical="center" wrapText="1"/>
    </xf>
    <xf borderId="1" fillId="7" fontId="7" numFmtId="0" xfId="0" applyAlignment="1" applyBorder="1" applyFont="1">
      <alignment shrinkToFit="0" vertical="center" wrapText="1"/>
    </xf>
    <xf borderId="1" fillId="9" fontId="3" numFmtId="0" xfId="0" applyAlignment="1" applyBorder="1" applyFont="1">
      <alignment shrinkToFit="0" vertical="center" wrapText="1"/>
    </xf>
    <xf borderId="1" fillId="9" fontId="3" numFmtId="164" xfId="0" applyAlignment="1" applyBorder="1" applyFont="1" applyNumberFormat="1">
      <alignment shrinkToFit="0" wrapText="1"/>
    </xf>
    <xf borderId="0" fillId="12" fontId="9" numFmtId="0" xfId="0" applyFill="1" applyFont="1"/>
    <xf borderId="1" fillId="9" fontId="3" numFmtId="0" xfId="0" applyAlignment="1" applyBorder="1" applyFont="1">
      <alignment readingOrder="0" shrinkToFit="0" vertical="center" wrapText="1"/>
    </xf>
    <xf borderId="1" fillId="9" fontId="3" numFmtId="164" xfId="0" applyAlignment="1" applyBorder="1" applyFont="1" applyNumberFormat="1">
      <alignment shrinkToFit="0" vertical="center" wrapText="1"/>
    </xf>
    <xf borderId="0" fillId="8" fontId="9" numFmtId="0" xfId="0" applyAlignment="1" applyFont="1">
      <alignment readingOrder="0"/>
    </xf>
    <xf borderId="1" fillId="8" fontId="7" numFmtId="0" xfId="0" applyAlignment="1" applyBorder="1" applyFont="1">
      <alignment readingOrder="0" shrinkToFit="0" vertical="center" wrapText="1"/>
    </xf>
    <xf borderId="1" fillId="8" fontId="7" numFmtId="0" xfId="0" applyAlignment="1" applyBorder="1" applyFont="1">
      <alignment shrinkToFit="0" vertical="center" wrapText="1"/>
    </xf>
    <xf borderId="0" fillId="13" fontId="9" numFmtId="0" xfId="0" applyFill="1" applyFont="1"/>
    <xf borderId="0" fillId="0" fontId="38" numFmtId="0" xfId="0" applyAlignment="1" applyFont="1">
      <alignment readingOrder="0"/>
    </xf>
    <xf borderId="0" fillId="14" fontId="21" numFmtId="0" xfId="0" applyAlignment="1" applyFill="1" applyFont="1">
      <alignment horizontal="left"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8.63"/>
    <col customWidth="1" min="2" max="5" width="10.0"/>
    <col customWidth="1" min="6" max="6" width="41.5"/>
    <col customWidth="1" min="7" max="7" width="10.0"/>
    <col customWidth="1" min="8" max="8" width="14.13"/>
    <col customWidth="1" min="9" max="26" width="10.0"/>
  </cols>
  <sheetData>
    <row r="1">
      <c r="A1" s="1" t="s">
        <v>0</v>
      </c>
      <c r="F1" s="2" t="s">
        <v>1</v>
      </c>
    </row>
    <row r="2">
      <c r="A2" s="3" t="s">
        <v>2</v>
      </c>
    </row>
    <row r="3">
      <c r="F3" s="3" t="s">
        <v>3</v>
      </c>
      <c r="I3" s="3"/>
    </row>
    <row r="4">
      <c r="B4" s="4">
        <v>2020.0</v>
      </c>
      <c r="C4" s="4">
        <v>2019.0</v>
      </c>
      <c r="I4" s="3"/>
    </row>
    <row r="5">
      <c r="A5" s="5" t="s">
        <v>4</v>
      </c>
      <c r="B5" s="6">
        <v>45000.0</v>
      </c>
      <c r="C5" s="6">
        <v>30000.0</v>
      </c>
      <c r="G5" s="7">
        <v>2020.0</v>
      </c>
      <c r="H5" s="7">
        <v>2019.0</v>
      </c>
    </row>
    <row r="6">
      <c r="A6" s="5" t="s">
        <v>5</v>
      </c>
      <c r="B6" s="6">
        <v>4200.0</v>
      </c>
      <c r="C6" s="6">
        <v>5000.0</v>
      </c>
      <c r="F6" s="8" t="s">
        <v>6</v>
      </c>
      <c r="G6" s="9">
        <v>4567.0</v>
      </c>
      <c r="H6" s="10">
        <v>90000.0</v>
      </c>
    </row>
    <row r="7">
      <c r="A7" s="5" t="s">
        <v>7</v>
      </c>
      <c r="B7" s="6">
        <v>450000.0</v>
      </c>
      <c r="C7" s="6">
        <v>300000.0</v>
      </c>
      <c r="F7" s="8" t="s">
        <v>8</v>
      </c>
      <c r="G7" s="9">
        <v>40000.0</v>
      </c>
      <c r="H7" s="9">
        <v>45000.0</v>
      </c>
    </row>
    <row r="8">
      <c r="A8" s="5" t="s">
        <v>9</v>
      </c>
      <c r="B8" s="6">
        <v>120000.0</v>
      </c>
      <c r="C8" s="6">
        <v>75000.0</v>
      </c>
      <c r="F8" s="8" t="s">
        <v>10</v>
      </c>
      <c r="G8" s="9">
        <v>337000.0</v>
      </c>
      <c r="H8" s="10">
        <v>325000.0</v>
      </c>
    </row>
    <row r="9">
      <c r="A9" s="5" t="s">
        <v>11</v>
      </c>
      <c r="B9" s="6">
        <v>875.0</v>
      </c>
      <c r="C9" s="6">
        <v>947.0</v>
      </c>
      <c r="F9" s="8" t="s">
        <v>12</v>
      </c>
      <c r="G9" s="9">
        <v>14220.0</v>
      </c>
      <c r="H9" s="10">
        <v>12870.0</v>
      </c>
    </row>
    <row r="10">
      <c r="A10" s="5" t="s">
        <v>13</v>
      </c>
      <c r="B10" s="6">
        <v>7412.0</v>
      </c>
      <c r="C10" s="6">
        <v>8743.0</v>
      </c>
      <c r="F10" s="8" t="s">
        <v>14</v>
      </c>
      <c r="G10" s="9">
        <f>8600+1000</f>
        <v>9600</v>
      </c>
      <c r="H10" s="9">
        <f>7500+1000</f>
        <v>8500</v>
      </c>
    </row>
    <row r="11">
      <c r="A11" s="5" t="s">
        <v>15</v>
      </c>
      <c r="B11" s="11">
        <v>1000.0</v>
      </c>
      <c r="C11" s="12" t="s">
        <v>16</v>
      </c>
      <c r="F11" s="8" t="s">
        <v>17</v>
      </c>
      <c r="G11" s="9">
        <v>297000.0</v>
      </c>
      <c r="H11" s="9">
        <v>246000.0</v>
      </c>
    </row>
    <row r="12">
      <c r="A12" s="5" t="s">
        <v>18</v>
      </c>
      <c r="B12" s="6">
        <v>15000.0</v>
      </c>
      <c r="C12" s="6">
        <v>12489.0</v>
      </c>
      <c r="F12" s="13" t="s">
        <v>15</v>
      </c>
      <c r="G12" s="9">
        <v>12600.0</v>
      </c>
      <c r="H12" s="9">
        <v>13500.0</v>
      </c>
    </row>
    <row r="13">
      <c r="A13" s="5" t="s">
        <v>19</v>
      </c>
      <c r="B13" s="6">
        <v>6000.0</v>
      </c>
      <c r="C13" s="6">
        <v>5700.0</v>
      </c>
      <c r="F13" s="8" t="s">
        <v>20</v>
      </c>
      <c r="G13" s="9">
        <v>75000.0</v>
      </c>
      <c r="H13" s="10">
        <v>75000.0</v>
      </c>
    </row>
    <row r="14">
      <c r="A14" s="5" t="s">
        <v>21</v>
      </c>
      <c r="B14" s="6">
        <v>54.0</v>
      </c>
      <c r="C14" s="6">
        <v>75.0</v>
      </c>
      <c r="F14" s="14" t="s">
        <v>19</v>
      </c>
      <c r="G14" s="15">
        <f>36664+2000</f>
        <v>38664</v>
      </c>
      <c r="H14" s="16">
        <f>67852+2000</f>
        <v>69852</v>
      </c>
    </row>
    <row r="15">
      <c r="A15" s="5" t="s">
        <v>22</v>
      </c>
      <c r="B15" s="6">
        <v>475.0</v>
      </c>
      <c r="C15" s="6">
        <v>456.0</v>
      </c>
      <c r="F15" s="14" t="s">
        <v>23</v>
      </c>
      <c r="G15" s="15">
        <v>157000.0</v>
      </c>
      <c r="H15" s="15">
        <v>165000.0</v>
      </c>
    </row>
    <row r="16">
      <c r="A16" s="5" t="s">
        <v>24</v>
      </c>
      <c r="B16" s="6">
        <v>45.0</v>
      </c>
      <c r="C16" s="6">
        <v>87.0</v>
      </c>
      <c r="F16" s="14" t="s">
        <v>25</v>
      </c>
      <c r="G16" s="15">
        <v>1875.0</v>
      </c>
      <c r="H16" s="15">
        <v>1875.0</v>
      </c>
    </row>
    <row r="17">
      <c r="A17" s="5" t="s">
        <v>26</v>
      </c>
      <c r="B17" s="6">
        <v>125.0</v>
      </c>
      <c r="C17" s="6">
        <v>874.0</v>
      </c>
      <c r="E17" s="17"/>
      <c r="F17" s="14" t="s">
        <v>27</v>
      </c>
      <c r="G17" s="15">
        <v>1960.0</v>
      </c>
      <c r="H17" s="16">
        <v>2800.0</v>
      </c>
    </row>
    <row r="18">
      <c r="A18" s="5" t="s">
        <v>28</v>
      </c>
      <c r="B18" s="6">
        <v>25000.0</v>
      </c>
      <c r="C18" s="6">
        <v>30000.0</v>
      </c>
      <c r="F18" s="14" t="s">
        <v>29</v>
      </c>
      <c r="G18" s="15">
        <v>163.0</v>
      </c>
      <c r="H18" s="16">
        <v>233.0</v>
      </c>
    </row>
    <row r="19">
      <c r="A19" s="5" t="s">
        <v>30</v>
      </c>
      <c r="B19" s="6">
        <v>224000.0</v>
      </c>
      <c r="C19" s="6">
        <v>200000.0</v>
      </c>
      <c r="F19" s="14" t="s">
        <v>31</v>
      </c>
      <c r="G19" s="15">
        <f>5280-2000</f>
        <v>3280</v>
      </c>
      <c r="H19" s="16">
        <f>4800-2000</f>
        <v>2800</v>
      </c>
    </row>
    <row r="20">
      <c r="A20" s="5" t="s">
        <v>32</v>
      </c>
      <c r="B20" s="6">
        <v>150.0</v>
      </c>
      <c r="C20" s="6">
        <v>3645.0</v>
      </c>
      <c r="E20" s="17"/>
      <c r="F20" s="14" t="s">
        <v>33</v>
      </c>
      <c r="G20" s="15">
        <v>5000.0</v>
      </c>
      <c r="H20" s="16">
        <v>0.0</v>
      </c>
    </row>
    <row r="21" ht="15.75" customHeight="1">
      <c r="A21" s="5" t="s">
        <v>34</v>
      </c>
      <c r="B21" s="6">
        <v>136162.0</v>
      </c>
      <c r="C21" s="6">
        <v>76096.0</v>
      </c>
      <c r="F21" s="14" t="s">
        <v>35</v>
      </c>
      <c r="G21" s="15">
        <v>0.0</v>
      </c>
      <c r="H21" s="16">
        <v>12000.0</v>
      </c>
    </row>
    <row r="22" ht="15.75" customHeight="1">
      <c r="A22" s="5" t="s">
        <v>36</v>
      </c>
      <c r="B22" s="6">
        <v>5000.0</v>
      </c>
      <c r="C22" s="6">
        <v>1456.0</v>
      </c>
      <c r="E22" s="17"/>
      <c r="F22" s="18" t="s">
        <v>37</v>
      </c>
      <c r="G22" s="16">
        <v>28000.0</v>
      </c>
      <c r="H22" s="16">
        <v>28000.0</v>
      </c>
    </row>
    <row r="23" ht="15.75" customHeight="1">
      <c r="A23" s="5" t="s">
        <v>38</v>
      </c>
      <c r="B23" s="6">
        <v>65000.0</v>
      </c>
      <c r="C23" s="6">
        <v>65000.0</v>
      </c>
      <c r="F23" s="14" t="s">
        <v>39</v>
      </c>
      <c r="G23" s="16">
        <v>687200.0</v>
      </c>
      <c r="H23" s="16">
        <v>643000.0</v>
      </c>
    </row>
    <row r="24" ht="15.75" customHeight="1">
      <c r="A24" s="19" t="s">
        <v>40</v>
      </c>
      <c r="E24" s="17"/>
      <c r="F24" s="14" t="s">
        <v>41</v>
      </c>
      <c r="G24" s="16">
        <v>3230.0</v>
      </c>
      <c r="H24" s="16">
        <v>0.0</v>
      </c>
    </row>
    <row r="25" ht="15.75" customHeight="1">
      <c r="A25" s="19" t="s">
        <v>42</v>
      </c>
      <c r="F25" s="18" t="s">
        <v>43</v>
      </c>
      <c r="G25" s="16">
        <v>198005.0</v>
      </c>
      <c r="H25" s="16">
        <v>138580.0</v>
      </c>
    </row>
    <row r="26" ht="15.75" customHeight="1">
      <c r="A26" s="20" t="s">
        <v>44</v>
      </c>
      <c r="F26" s="18" t="s">
        <v>45</v>
      </c>
      <c r="G26" s="16">
        <f>18300-1000</f>
        <v>17300</v>
      </c>
      <c r="H26" s="16">
        <f>16450-1000</f>
        <v>15450</v>
      </c>
    </row>
    <row r="27" ht="15.75" customHeight="1">
      <c r="A27" s="20" t="s">
        <v>46</v>
      </c>
      <c r="F27" s="13" t="s">
        <v>47</v>
      </c>
      <c r="G27" s="16">
        <f>57600-2000</f>
        <v>55600</v>
      </c>
      <c r="H27" s="16">
        <f>63200-2000</f>
        <v>61200</v>
      </c>
    </row>
    <row r="28" ht="15.75" customHeight="1">
      <c r="A28" s="20" t="s">
        <v>48</v>
      </c>
      <c r="F28" s="18" t="s">
        <v>38</v>
      </c>
      <c r="G28" s="16">
        <v>80000.0</v>
      </c>
      <c r="H28" s="16">
        <v>80000.0</v>
      </c>
    </row>
    <row r="29" ht="15.75" customHeight="1">
      <c r="A29" s="21" t="s">
        <v>49</v>
      </c>
      <c r="F29" s="22" t="s">
        <v>50</v>
      </c>
      <c r="I29" s="23"/>
    </row>
    <row r="30" ht="74.25" customHeight="1">
      <c r="A30" s="24" t="s">
        <v>51</v>
      </c>
      <c r="C30" s="17"/>
      <c r="F30" s="25" t="s">
        <v>52</v>
      </c>
    </row>
    <row r="31" ht="15.75" customHeight="1">
      <c r="F31" s="26" t="s">
        <v>53</v>
      </c>
      <c r="G31" s="27"/>
      <c r="H31" s="27"/>
      <c r="I31" s="27"/>
    </row>
    <row r="32" ht="18.0" customHeight="1">
      <c r="F32" s="23" t="s">
        <v>54</v>
      </c>
      <c r="G32" s="27"/>
      <c r="H32" s="28"/>
      <c r="I32" s="28"/>
    </row>
    <row r="33" ht="14.25" customHeight="1">
      <c r="F33" s="29" t="s">
        <v>55</v>
      </c>
      <c r="G33" s="29"/>
      <c r="H33" s="29"/>
      <c r="I33" s="29"/>
    </row>
    <row r="34" ht="15.75" customHeight="1">
      <c r="F34" s="30" t="s">
        <v>56</v>
      </c>
      <c r="G34" s="28"/>
      <c r="H34" s="28"/>
      <c r="I34" s="28"/>
    </row>
    <row r="35" ht="15.75" customHeight="1">
      <c r="F35" s="20" t="s">
        <v>57</v>
      </c>
    </row>
    <row r="36" ht="15.75" customHeight="1">
      <c r="F36" s="31" t="s">
        <v>58</v>
      </c>
      <c r="G36" s="32"/>
    </row>
    <row r="37" ht="15.75" customHeight="1">
      <c r="F37" s="22" t="s">
        <v>59</v>
      </c>
      <c r="G37" s="24"/>
      <c r="H37" s="24"/>
    </row>
    <row r="38" ht="15.75" customHeight="1">
      <c r="F38" s="22" t="s">
        <v>60</v>
      </c>
      <c r="G38" s="22"/>
      <c r="H38" s="22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E3"/>
    <mergeCell ref="F3:H4"/>
    <mergeCell ref="F30:I3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88"/>
    <col customWidth="1" min="2" max="2" width="11.25"/>
    <col customWidth="1" min="3" max="5" width="10.0"/>
    <col customWidth="1" min="6" max="6" width="34.25"/>
    <col customWidth="1" min="7" max="7" width="10.0"/>
    <col customWidth="1" min="8" max="8" width="12.13"/>
    <col customWidth="1" min="9" max="10" width="10.0"/>
    <col customWidth="1" min="11" max="11" width="29.25"/>
    <col customWidth="1" min="12" max="12" width="10.0"/>
    <col customWidth="1" min="13" max="13" width="14.25"/>
    <col customWidth="1" min="14" max="14" width="10.0"/>
    <col customWidth="1" min="15" max="15" width="24.63"/>
    <col customWidth="1" min="16" max="16" width="20.38"/>
    <col customWidth="1" min="17" max="26" width="10.0"/>
  </cols>
  <sheetData>
    <row r="1">
      <c r="A1" s="33" t="s">
        <v>61</v>
      </c>
      <c r="C1" s="34"/>
      <c r="F1" s="35" t="s">
        <v>62</v>
      </c>
      <c r="P1" s="30"/>
      <c r="Q1" s="30"/>
    </row>
    <row r="2">
      <c r="A2" s="36"/>
      <c r="B2" s="30"/>
      <c r="C2" s="37"/>
      <c r="F2" s="38"/>
      <c r="G2" s="38"/>
      <c r="P2" s="17"/>
      <c r="Q2" s="17"/>
    </row>
    <row r="3">
      <c r="A3" s="4"/>
      <c r="B3" s="30"/>
      <c r="C3" s="39"/>
      <c r="P3" s="17"/>
      <c r="Q3" s="17"/>
    </row>
    <row r="4">
      <c r="A4" s="4"/>
      <c r="B4" s="30"/>
      <c r="C4" s="39"/>
      <c r="F4" s="40" t="s">
        <v>63</v>
      </c>
      <c r="G4" s="41"/>
      <c r="H4" s="42"/>
      <c r="J4" s="40" t="s">
        <v>63</v>
      </c>
      <c r="K4" s="41"/>
      <c r="L4" s="42"/>
      <c r="N4" s="43"/>
      <c r="P4" s="17"/>
      <c r="Q4" s="17"/>
    </row>
    <row r="5">
      <c r="A5" s="4"/>
      <c r="B5" s="30"/>
      <c r="C5" s="39"/>
      <c r="F5" s="44" t="s">
        <v>64</v>
      </c>
      <c r="H5" s="45"/>
      <c r="J5" s="46" t="s">
        <v>65</v>
      </c>
      <c r="L5" s="47"/>
      <c r="N5" s="48"/>
      <c r="P5" s="17"/>
      <c r="Q5" s="17"/>
    </row>
    <row r="6">
      <c r="A6" s="49" t="s">
        <v>66</v>
      </c>
      <c r="B6" s="50"/>
      <c r="F6" s="51" t="s">
        <v>67</v>
      </c>
      <c r="G6" s="52"/>
      <c r="H6" s="53" t="s">
        <v>68</v>
      </c>
      <c r="J6" s="54" t="s">
        <v>69</v>
      </c>
      <c r="K6" s="50"/>
      <c r="L6" s="55" t="s">
        <v>68</v>
      </c>
      <c r="N6" s="48"/>
    </row>
    <row r="7">
      <c r="A7" s="56" t="s">
        <v>70</v>
      </c>
      <c r="B7" s="57"/>
      <c r="F7" s="58"/>
      <c r="G7" s="59">
        <v>2020.0</v>
      </c>
      <c r="H7" s="60">
        <v>2019.0</v>
      </c>
      <c r="J7" s="61" t="s">
        <v>71</v>
      </c>
      <c r="K7" s="62"/>
      <c r="L7" s="63"/>
      <c r="N7" s="48"/>
      <c r="P7" s="17"/>
    </row>
    <row r="8">
      <c r="A8" s="64" t="s">
        <v>72</v>
      </c>
      <c r="B8" s="30">
        <f>0.533</f>
        <v>0.533</v>
      </c>
      <c r="F8" s="65" t="s">
        <v>73</v>
      </c>
      <c r="G8" s="66"/>
      <c r="H8" s="67"/>
      <c r="J8" s="68" t="s">
        <v>74</v>
      </c>
      <c r="K8" s="17"/>
      <c r="L8" s="69">
        <v>45488.0</v>
      </c>
      <c r="N8" s="48"/>
      <c r="Q8" s="17"/>
    </row>
    <row r="9">
      <c r="A9" s="64" t="s">
        <v>75</v>
      </c>
      <c r="B9" s="30">
        <f>0.309</f>
        <v>0.309</v>
      </c>
      <c r="F9" s="65" t="s">
        <v>76</v>
      </c>
      <c r="G9" s="66"/>
      <c r="H9" s="67"/>
      <c r="J9" s="70" t="s">
        <v>77</v>
      </c>
      <c r="K9" s="71"/>
      <c r="L9" s="72">
        <f>-1350</f>
        <v>-1350</v>
      </c>
      <c r="N9" s="73"/>
    </row>
    <row r="10">
      <c r="A10" s="74" t="s">
        <v>78</v>
      </c>
      <c r="B10" s="75">
        <f>0.491</f>
        <v>0.491</v>
      </c>
      <c r="F10" s="76" t="s">
        <v>79</v>
      </c>
      <c r="G10" s="77">
        <v>14220.0</v>
      </c>
      <c r="H10" s="78">
        <v>12870.0</v>
      </c>
      <c r="J10" s="70" t="s">
        <v>80</v>
      </c>
      <c r="K10" s="71"/>
      <c r="L10" s="72">
        <f>5600</f>
        <v>5600</v>
      </c>
      <c r="N10" s="48"/>
      <c r="P10" s="17"/>
      <c r="Q10" s="17"/>
    </row>
    <row r="11">
      <c r="F11" s="79" t="s">
        <v>19</v>
      </c>
      <c r="G11" s="17">
        <f>36664+2000</f>
        <v>38664</v>
      </c>
      <c r="H11" s="80">
        <f>67852+2000</f>
        <v>69852</v>
      </c>
      <c r="J11" s="70" t="s">
        <v>81</v>
      </c>
      <c r="K11" s="71"/>
      <c r="L11" s="72">
        <f>1100</f>
        <v>1100</v>
      </c>
      <c r="N11" s="73"/>
      <c r="P11" s="17"/>
      <c r="Q11" s="17"/>
    </row>
    <row r="12">
      <c r="A12" s="81" t="s">
        <v>82</v>
      </c>
      <c r="B12" s="82"/>
      <c r="C12" s="82"/>
      <c r="D12" s="83"/>
      <c r="F12" s="76" t="s">
        <v>83</v>
      </c>
      <c r="G12" s="17">
        <f>57600-2000</f>
        <v>55600</v>
      </c>
      <c r="H12" s="80">
        <f>63200-2000</f>
        <v>61200</v>
      </c>
      <c r="J12" s="70" t="s">
        <v>84</v>
      </c>
      <c r="K12" s="71"/>
      <c r="L12" s="72">
        <f>-480</f>
        <v>-480</v>
      </c>
      <c r="P12" s="17"/>
      <c r="Q12" s="17"/>
    </row>
    <row r="13">
      <c r="A13" s="84" t="s">
        <v>85</v>
      </c>
      <c r="B13" s="85"/>
      <c r="C13" s="85"/>
      <c r="D13" s="86"/>
      <c r="F13" s="76" t="s">
        <v>86</v>
      </c>
      <c r="G13" s="17">
        <f>5280-2000</f>
        <v>3280</v>
      </c>
      <c r="H13" s="80">
        <f>4800-2000</f>
        <v>2800</v>
      </c>
      <c r="J13" s="70" t="s">
        <v>87</v>
      </c>
      <c r="K13" s="71"/>
      <c r="L13" s="72">
        <f>1850</f>
        <v>1850</v>
      </c>
      <c r="N13" s="87"/>
      <c r="P13" s="88"/>
      <c r="Q13" s="89"/>
    </row>
    <row r="14">
      <c r="A14" s="90" t="s">
        <v>88</v>
      </c>
      <c r="B14" s="91"/>
      <c r="C14" s="91"/>
      <c r="D14" s="92"/>
      <c r="F14" s="76" t="s">
        <v>89</v>
      </c>
      <c r="G14" s="93">
        <v>163.0</v>
      </c>
      <c r="H14" s="94">
        <v>233.0</v>
      </c>
      <c r="J14" s="95" t="s">
        <v>90</v>
      </c>
      <c r="L14" s="96">
        <f>H15</f>
        <v>12000</v>
      </c>
      <c r="N14" s="48"/>
      <c r="P14" s="17"/>
      <c r="Q14" s="97"/>
    </row>
    <row r="15">
      <c r="A15" s="98" t="s">
        <v>91</v>
      </c>
      <c r="B15" s="50"/>
      <c r="C15" s="50"/>
      <c r="D15" s="99"/>
      <c r="F15" s="100" t="s">
        <v>35</v>
      </c>
      <c r="G15" s="101">
        <v>0.0</v>
      </c>
      <c r="H15" s="102">
        <v>12000.0</v>
      </c>
      <c r="J15" s="103" t="s">
        <v>92</v>
      </c>
      <c r="K15" s="104"/>
      <c r="L15" s="72"/>
      <c r="N15" s="105"/>
      <c r="P15" s="17"/>
      <c r="Q15" s="17"/>
    </row>
    <row r="16">
      <c r="A16" s="106"/>
      <c r="B16" s="107" t="s">
        <v>93</v>
      </c>
      <c r="C16" s="108" t="s">
        <v>94</v>
      </c>
      <c r="D16" s="109" t="s">
        <v>95</v>
      </c>
      <c r="F16" s="65" t="s">
        <v>96</v>
      </c>
      <c r="G16" s="97">
        <f t="shared" ref="G16:H16" si="1">Sum(G10:G15)</f>
        <v>111927</v>
      </c>
      <c r="H16" s="110">
        <f t="shared" si="1"/>
        <v>158955</v>
      </c>
      <c r="J16" s="70" t="s">
        <v>97</v>
      </c>
      <c r="K16" s="71"/>
      <c r="L16" s="69">
        <v>4567.0</v>
      </c>
      <c r="N16" s="111"/>
      <c r="P16" s="17"/>
      <c r="Q16" s="17"/>
    </row>
    <row r="17">
      <c r="A17" s="112" t="s">
        <v>98</v>
      </c>
      <c r="B17" s="113">
        <v>75000.0</v>
      </c>
      <c r="C17" s="114">
        <f>76096</f>
        <v>76096</v>
      </c>
      <c r="D17" s="115">
        <f>B17+C17</f>
        <v>151096</v>
      </c>
      <c r="F17" s="65" t="s">
        <v>99</v>
      </c>
      <c r="G17" s="66"/>
      <c r="H17" s="67"/>
      <c r="J17" s="70" t="s">
        <v>100</v>
      </c>
      <c r="K17" s="71"/>
      <c r="L17" s="72">
        <f>-72000</f>
        <v>-72000</v>
      </c>
      <c r="N17" s="43"/>
      <c r="P17" s="17"/>
      <c r="Q17" s="17"/>
    </row>
    <row r="18">
      <c r="A18" s="112" t="s">
        <v>101</v>
      </c>
      <c r="B18" s="116">
        <f>45000</f>
        <v>45000</v>
      </c>
      <c r="C18" s="116"/>
      <c r="D18" s="117">
        <f>B18</f>
        <v>45000</v>
      </c>
      <c r="F18" s="76" t="s">
        <v>23</v>
      </c>
      <c r="G18" s="93">
        <v>157000.0</v>
      </c>
      <c r="H18" s="94">
        <v>165000.0</v>
      </c>
      <c r="J18" s="118"/>
      <c r="L18" s="72"/>
      <c r="N18" s="30"/>
      <c r="P18" s="17"/>
      <c r="Q18" s="17"/>
    </row>
    <row r="19">
      <c r="A19" s="112" t="s">
        <v>102</v>
      </c>
      <c r="B19" s="116"/>
      <c r="C19" s="116">
        <v>-1000.0</v>
      </c>
      <c r="D19" s="117">
        <f t="shared" ref="D19:D20" si="2">C19</f>
        <v>-1000</v>
      </c>
      <c r="F19" s="119" t="s">
        <v>103</v>
      </c>
      <c r="G19" s="77">
        <v>-4567.0</v>
      </c>
      <c r="H19" s="120">
        <v>-90000.0</v>
      </c>
      <c r="J19" s="121"/>
      <c r="K19" s="17"/>
      <c r="L19" s="72"/>
      <c r="N19" s="43"/>
      <c r="P19" s="88"/>
      <c r="Q19" s="89"/>
    </row>
    <row r="20">
      <c r="A20" s="122" t="s">
        <v>74</v>
      </c>
      <c r="B20" s="123"/>
      <c r="C20" s="116">
        <v>61066.0</v>
      </c>
      <c r="D20" s="117">
        <f t="shared" si="2"/>
        <v>61066</v>
      </c>
      <c r="F20" s="124" t="s">
        <v>38</v>
      </c>
      <c r="G20" s="93">
        <v>80000.0</v>
      </c>
      <c r="H20" s="94">
        <v>80000.0</v>
      </c>
      <c r="J20" s="121"/>
      <c r="K20" s="66"/>
      <c r="L20" s="72"/>
      <c r="N20" s="48"/>
      <c r="P20" s="17"/>
      <c r="Q20" s="17"/>
    </row>
    <row r="21" ht="15.75" customHeight="1">
      <c r="A21" s="112"/>
      <c r="B21" s="116"/>
      <c r="C21" s="116"/>
      <c r="D21" s="117"/>
      <c r="F21" s="76" t="s">
        <v>104</v>
      </c>
      <c r="G21" s="93">
        <v>28000.0</v>
      </c>
      <c r="H21" s="94">
        <v>28000.0</v>
      </c>
      <c r="J21" s="125"/>
      <c r="K21" s="17"/>
      <c r="L21" s="72"/>
      <c r="N21" s="48"/>
      <c r="P21" s="17"/>
      <c r="Q21" s="97"/>
    </row>
    <row r="22" ht="15.75" customHeight="1">
      <c r="A22" s="112"/>
      <c r="B22" s="116"/>
      <c r="C22" s="123"/>
      <c r="D22" s="117"/>
      <c r="F22" s="126"/>
      <c r="G22" s="66"/>
      <c r="H22" s="67"/>
      <c r="J22" s="121"/>
      <c r="K22" s="17"/>
      <c r="L22" s="72"/>
      <c r="N22" s="23"/>
      <c r="P22" s="17"/>
      <c r="Q22" s="17"/>
    </row>
    <row r="23" ht="15.75" customHeight="1">
      <c r="A23" s="112"/>
      <c r="B23" s="116"/>
      <c r="C23" s="116"/>
      <c r="D23" s="117"/>
      <c r="F23" s="127"/>
      <c r="G23" s="17"/>
      <c r="H23" s="80"/>
      <c r="J23" s="121"/>
      <c r="K23" s="17"/>
      <c r="L23" s="72"/>
      <c r="N23" s="30"/>
      <c r="P23" s="17"/>
      <c r="Q23" s="17"/>
    </row>
    <row r="24" ht="15.75" customHeight="1">
      <c r="A24" s="128" t="s">
        <v>105</v>
      </c>
      <c r="B24" s="129">
        <f>B17+B18</f>
        <v>120000</v>
      </c>
      <c r="C24" s="129">
        <f>SUM(C17:C23)</f>
        <v>136162</v>
      </c>
      <c r="D24" s="130">
        <f>C24+B24</f>
        <v>256162</v>
      </c>
      <c r="F24" s="127"/>
      <c r="G24" s="17"/>
      <c r="H24" s="80"/>
      <c r="J24" s="121"/>
      <c r="K24" s="17"/>
      <c r="L24" s="72"/>
      <c r="N24" s="43"/>
      <c r="P24" s="17"/>
      <c r="Q24" s="17"/>
    </row>
    <row r="25" ht="15.75" customHeight="1">
      <c r="F25" s="65" t="s">
        <v>106</v>
      </c>
      <c r="G25" s="97">
        <f t="shared" ref="G25:H25" si="3">Sum(G18:G24)</f>
        <v>260433</v>
      </c>
      <c r="H25" s="110">
        <f t="shared" si="3"/>
        <v>183000</v>
      </c>
      <c r="J25" s="131" t="s">
        <v>107</v>
      </c>
      <c r="K25" s="17"/>
      <c r="L25" s="132">
        <f>SUM(L8:L24)</f>
        <v>-3225</v>
      </c>
      <c r="N25" s="48"/>
      <c r="P25" s="17"/>
      <c r="Q25" s="17"/>
    </row>
    <row r="26" ht="15.75" customHeight="1">
      <c r="F26" s="133" t="s">
        <v>108</v>
      </c>
      <c r="G26" s="134">
        <f t="shared" ref="G26:H26" si="4">G25+G16</f>
        <v>372360</v>
      </c>
      <c r="H26" s="135">
        <f t="shared" si="4"/>
        <v>341955</v>
      </c>
      <c r="J26" s="121"/>
      <c r="K26" s="17"/>
      <c r="L26" s="72"/>
      <c r="N26" s="43"/>
      <c r="P26" s="17"/>
      <c r="Q26" s="17"/>
    </row>
    <row r="27" ht="15.75" customHeight="1">
      <c r="A27" s="34" t="s">
        <v>109</v>
      </c>
      <c r="C27" s="34" t="s">
        <v>110</v>
      </c>
      <c r="F27" s="136" t="s">
        <v>111</v>
      </c>
      <c r="G27" s="137"/>
      <c r="H27" s="138"/>
      <c r="J27" s="131" t="s">
        <v>112</v>
      </c>
      <c r="K27" s="17"/>
      <c r="L27" s="72"/>
      <c r="N27" s="48"/>
      <c r="P27" s="17"/>
      <c r="Q27" s="17"/>
    </row>
    <row r="28" ht="15.75" customHeight="1">
      <c r="A28" s="36" t="s">
        <v>113</v>
      </c>
      <c r="B28" s="139" t="s">
        <v>114</v>
      </c>
      <c r="C28" s="37" t="s">
        <v>113</v>
      </c>
      <c r="D28" s="140" t="s">
        <v>115</v>
      </c>
      <c r="F28" s="65" t="s">
        <v>116</v>
      </c>
      <c r="G28" s="66"/>
      <c r="H28" s="67"/>
      <c r="J28" s="70" t="s">
        <v>117</v>
      </c>
      <c r="K28" s="71"/>
      <c r="L28" s="69">
        <v>-68433.0</v>
      </c>
      <c r="N28" s="48"/>
      <c r="P28" s="97"/>
      <c r="Q28" s="97"/>
    </row>
    <row r="29" ht="15.75" customHeight="1">
      <c r="A29" s="4" t="s">
        <v>118</v>
      </c>
      <c r="B29" s="139" t="s">
        <v>119</v>
      </c>
      <c r="C29" s="39" t="s">
        <v>118</v>
      </c>
      <c r="D29" s="140" t="s">
        <v>120</v>
      </c>
      <c r="F29" s="79" t="s">
        <v>14</v>
      </c>
      <c r="G29" s="17">
        <f>8600+1000</f>
        <v>9600</v>
      </c>
      <c r="H29" s="80">
        <f>7500+1000</f>
        <v>8500</v>
      </c>
      <c r="J29" s="141" t="s">
        <v>27</v>
      </c>
      <c r="K29" s="88"/>
      <c r="L29" s="142">
        <f>1960-2800</f>
        <v>-840</v>
      </c>
      <c r="N29" s="48"/>
      <c r="P29" s="17"/>
      <c r="Q29" s="17"/>
    </row>
    <row r="30" ht="15.75" customHeight="1">
      <c r="A30" s="4" t="s">
        <v>121</v>
      </c>
      <c r="B30" s="139">
        <v>1744525.0</v>
      </c>
      <c r="C30" s="39" t="s">
        <v>121</v>
      </c>
      <c r="D30" s="140">
        <v>2025123.0</v>
      </c>
      <c r="F30" s="79" t="s">
        <v>122</v>
      </c>
      <c r="G30" s="17">
        <f>18300-1000</f>
        <v>17300</v>
      </c>
      <c r="H30" s="67">
        <f>16450-1000</f>
        <v>15450</v>
      </c>
      <c r="J30" s="121"/>
      <c r="K30" s="17"/>
      <c r="L30" s="72"/>
      <c r="N30" s="30"/>
      <c r="P30" s="17"/>
      <c r="Q30" s="66"/>
    </row>
    <row r="31" ht="15.75" customHeight="1">
      <c r="A31" s="4" t="s">
        <v>123</v>
      </c>
      <c r="B31" s="139">
        <v>5.0</v>
      </c>
      <c r="C31" s="39" t="s">
        <v>123</v>
      </c>
      <c r="D31" s="140">
        <v>6.0</v>
      </c>
      <c r="F31" s="126"/>
      <c r="H31" s="143"/>
      <c r="J31" s="121"/>
      <c r="K31" s="17"/>
      <c r="L31" s="72"/>
      <c r="N31" s="43"/>
      <c r="P31" s="17"/>
      <c r="Q31" s="97"/>
    </row>
    <row r="32" ht="15.75" customHeight="1">
      <c r="F32" s="65" t="s">
        <v>124</v>
      </c>
      <c r="G32" s="97">
        <f t="shared" ref="G32:H32" si="5">Sum(G29:G31)</f>
        <v>26900</v>
      </c>
      <c r="H32" s="110">
        <f t="shared" si="5"/>
        <v>23950</v>
      </c>
      <c r="J32" s="131" t="s">
        <v>125</v>
      </c>
      <c r="K32" s="17"/>
      <c r="L32" s="132">
        <f>Sum(L28:L31)</f>
        <v>-69273</v>
      </c>
      <c r="N32" s="30"/>
      <c r="P32" s="144"/>
      <c r="Q32" s="17"/>
    </row>
    <row r="33" ht="15.75" customHeight="1">
      <c r="F33" s="65" t="s">
        <v>126</v>
      </c>
      <c r="G33" s="97"/>
      <c r="H33" s="67"/>
      <c r="J33" s="121"/>
      <c r="K33" s="17"/>
      <c r="L33" s="72"/>
      <c r="N33" s="30"/>
      <c r="P33" s="17"/>
      <c r="Q33" s="17"/>
    </row>
    <row r="34" ht="15.75" customHeight="1">
      <c r="F34" s="145" t="s">
        <v>127</v>
      </c>
      <c r="G34" s="93">
        <v>75000.0</v>
      </c>
      <c r="H34" s="94">
        <v>75000.0</v>
      </c>
      <c r="J34" s="131" t="s">
        <v>128</v>
      </c>
      <c r="K34" s="17"/>
      <c r="L34" s="72"/>
      <c r="N34" s="30"/>
    </row>
    <row r="35" ht="15.75" customHeight="1">
      <c r="A35" s="34" t="s">
        <v>129</v>
      </c>
      <c r="F35" s="127"/>
      <c r="G35" s="17"/>
      <c r="H35" s="80"/>
      <c r="J35" s="68" t="s">
        <v>130</v>
      </c>
      <c r="K35" s="17"/>
      <c r="L35" s="72">
        <f>900</f>
        <v>900</v>
      </c>
      <c r="N35" s="30"/>
    </row>
    <row r="36" ht="15.75" customHeight="1">
      <c r="A36" s="36" t="s">
        <v>113</v>
      </c>
      <c r="B36" s="140" t="s">
        <v>131</v>
      </c>
      <c r="F36" s="127"/>
      <c r="G36" s="17"/>
      <c r="H36" s="80"/>
      <c r="J36" s="68" t="s">
        <v>132</v>
      </c>
      <c r="K36" s="17"/>
      <c r="L36" s="69">
        <v>-1875.0</v>
      </c>
      <c r="N36" s="30"/>
    </row>
    <row r="37" ht="15.75" customHeight="1">
      <c r="A37" s="4" t="s">
        <v>118</v>
      </c>
      <c r="B37" s="140" t="s">
        <v>133</v>
      </c>
      <c r="F37" s="65" t="s">
        <v>134</v>
      </c>
      <c r="G37" s="97">
        <f t="shared" ref="G37:H37" si="6">Sum(G33:G36)</f>
        <v>75000</v>
      </c>
      <c r="H37" s="110">
        <f t="shared" si="6"/>
        <v>75000</v>
      </c>
      <c r="J37" s="68" t="s">
        <v>135</v>
      </c>
      <c r="K37" s="17"/>
      <c r="L37" s="72">
        <f>5000</f>
        <v>5000</v>
      </c>
    </row>
    <row r="38" ht="15.75" customHeight="1">
      <c r="A38" s="4" t="s">
        <v>121</v>
      </c>
      <c r="B38" s="140">
        <v>2013658.0</v>
      </c>
      <c r="F38" s="65" t="s">
        <v>136</v>
      </c>
      <c r="G38" s="66"/>
      <c r="H38" s="67"/>
      <c r="J38" s="121"/>
      <c r="K38" s="17"/>
      <c r="L38" s="72"/>
    </row>
    <row r="39" ht="15.75" customHeight="1">
      <c r="A39" s="4" t="s">
        <v>123</v>
      </c>
      <c r="B39" s="140">
        <v>6.0</v>
      </c>
      <c r="F39" s="76" t="s">
        <v>137</v>
      </c>
      <c r="G39" s="93">
        <v>40000.0</v>
      </c>
      <c r="H39" s="94">
        <v>45000.0</v>
      </c>
      <c r="J39" s="131" t="s">
        <v>138</v>
      </c>
      <c r="K39" s="97"/>
      <c r="L39" s="132">
        <f>SUM(L35:L38)</f>
        <v>4025</v>
      </c>
    </row>
    <row r="40" ht="15.75" customHeight="1">
      <c r="F40" s="76" t="s">
        <v>139</v>
      </c>
      <c r="G40" s="93">
        <v>230892.0</v>
      </c>
      <c r="H40" s="146">
        <v>198005.0</v>
      </c>
      <c r="J40" s="121"/>
      <c r="K40" s="17"/>
      <c r="L40" s="72"/>
    </row>
    <row r="41" ht="15.75" customHeight="1">
      <c r="F41" s="127"/>
      <c r="G41" s="17"/>
      <c r="H41" s="80"/>
      <c r="J41" s="147" t="s">
        <v>140</v>
      </c>
      <c r="K41" s="148"/>
      <c r="L41" s="149">
        <f>L25+L32+L39</f>
        <v>-68473</v>
      </c>
    </row>
    <row r="42" ht="15.75" customHeight="1">
      <c r="F42" s="65" t="s">
        <v>141</v>
      </c>
      <c r="G42" s="97">
        <f t="shared" ref="G42:H42" si="7">Sum(G39:G41)</f>
        <v>270892</v>
      </c>
      <c r="H42" s="110">
        <f t="shared" si="7"/>
        <v>243005</v>
      </c>
      <c r="I42" s="17"/>
      <c r="J42" s="121"/>
      <c r="K42" s="17"/>
      <c r="L42" s="132"/>
    </row>
    <row r="43" ht="15.75" customHeight="1">
      <c r="F43" s="150" t="s">
        <v>142</v>
      </c>
      <c r="G43" s="151">
        <f t="shared" ref="G43:H43" si="8">G32+G37+G42</f>
        <v>372792</v>
      </c>
      <c r="H43" s="152">
        <f t="shared" si="8"/>
        <v>341955</v>
      </c>
      <c r="J43" s="121" t="s">
        <v>143</v>
      </c>
      <c r="K43" s="17"/>
      <c r="L43" s="72">
        <f>H11+H15</f>
        <v>81852</v>
      </c>
    </row>
    <row r="44" ht="15.75" customHeight="1">
      <c r="J44" s="153" t="s">
        <v>144</v>
      </c>
      <c r="K44" s="154"/>
      <c r="L44" s="155">
        <f>G11+G15</f>
        <v>38664</v>
      </c>
    </row>
    <row r="45" ht="15.75" customHeight="1"/>
    <row r="46" ht="15.75" customHeight="1">
      <c r="I46" s="156"/>
    </row>
    <row r="47" ht="15.75" customHeight="1"/>
    <row r="48" ht="15.75" customHeight="1"/>
    <row r="49" ht="15.75" customHeight="1">
      <c r="A49" s="30"/>
      <c r="B49" s="30"/>
      <c r="C49" s="30"/>
      <c r="D49" s="30"/>
      <c r="L49" s="30"/>
    </row>
    <row r="50" ht="15.75" customHeight="1">
      <c r="C50" s="30"/>
      <c r="D50" s="30"/>
      <c r="L50" s="30"/>
    </row>
    <row r="51" ht="15.75" customHeight="1">
      <c r="A51" s="22"/>
      <c r="B51" s="22"/>
      <c r="C51" s="30"/>
      <c r="D51" s="30"/>
      <c r="L51" s="30"/>
    </row>
    <row r="52" ht="15.75" customHeight="1">
      <c r="A52" s="22"/>
      <c r="B52" s="22"/>
      <c r="C52" s="22"/>
      <c r="D52" s="30"/>
      <c r="L52" s="30"/>
    </row>
    <row r="53" ht="15.75" customHeight="1">
      <c r="A53" s="157"/>
      <c r="B53" s="157"/>
      <c r="C53" s="157"/>
      <c r="D53" s="30"/>
      <c r="L53" s="30"/>
    </row>
    <row r="54" ht="15.75" customHeight="1">
      <c r="A54" s="157"/>
      <c r="B54" s="157"/>
      <c r="C54" s="158"/>
      <c r="D54" s="30"/>
      <c r="L54" s="30"/>
    </row>
    <row r="55" ht="15.75" customHeight="1">
      <c r="A55" s="157"/>
      <c r="B55" s="159"/>
      <c r="C55" s="38"/>
      <c r="D55" s="30"/>
      <c r="L55" s="30"/>
    </row>
    <row r="56" ht="15.75" customHeight="1">
      <c r="A56" s="43"/>
      <c r="B56" s="66"/>
      <c r="C56" s="66"/>
      <c r="D56" s="30"/>
      <c r="L56" s="30"/>
    </row>
    <row r="57" ht="15.75" customHeight="1">
      <c r="A57" s="43"/>
      <c r="B57" s="66"/>
      <c r="C57" s="66"/>
      <c r="D57" s="30"/>
      <c r="L57" s="30"/>
    </row>
    <row r="58" ht="15.75" customHeight="1">
      <c r="A58" s="157"/>
      <c r="B58" s="66"/>
      <c r="C58" s="66"/>
      <c r="D58" s="30"/>
      <c r="L58" s="30"/>
    </row>
    <row r="59" ht="15.75" customHeight="1">
      <c r="A59" s="30"/>
      <c r="B59" s="17"/>
      <c r="C59" s="17"/>
      <c r="D59" s="30"/>
    </row>
    <row r="60" ht="15.75" customHeight="1">
      <c r="A60" s="157"/>
      <c r="B60" s="66"/>
      <c r="C60" s="66"/>
      <c r="D60" s="30"/>
    </row>
    <row r="61" ht="15.75" customHeight="1">
      <c r="A61" s="157"/>
      <c r="B61" s="66"/>
      <c r="C61" s="66"/>
      <c r="D61" s="30"/>
    </row>
    <row r="62" ht="15.75" customHeight="1">
      <c r="A62" s="157"/>
      <c r="B62" s="66"/>
      <c r="C62" s="66"/>
      <c r="D62" s="30"/>
    </row>
    <row r="63" ht="15.75" customHeight="1">
      <c r="A63" s="157"/>
      <c r="B63" s="17"/>
      <c r="C63" s="17"/>
      <c r="D63" s="30"/>
    </row>
    <row r="64" ht="15.75" customHeight="1">
      <c r="A64" s="43"/>
      <c r="B64" s="97"/>
      <c r="C64" s="97"/>
      <c r="D64" s="30"/>
    </row>
    <row r="65" ht="15.75" customHeight="1">
      <c r="A65" s="43"/>
      <c r="B65" s="66"/>
      <c r="C65" s="66"/>
      <c r="D65" s="30"/>
    </row>
    <row r="66" ht="15.75" customHeight="1">
      <c r="A66" s="157"/>
      <c r="B66" s="17"/>
      <c r="C66" s="17"/>
      <c r="D66" s="30"/>
    </row>
    <row r="67" ht="15.75" customHeight="1">
      <c r="A67" s="160"/>
      <c r="B67" s="17"/>
      <c r="C67" s="17"/>
      <c r="D67" s="30"/>
    </row>
    <row r="68" ht="15.75" customHeight="1">
      <c r="A68" s="161"/>
      <c r="B68" s="17"/>
      <c r="C68" s="17"/>
      <c r="D68" s="30"/>
    </row>
    <row r="69" ht="15.75" customHeight="1">
      <c r="A69" s="157"/>
      <c r="B69" s="17"/>
      <c r="C69" s="17"/>
      <c r="D69" s="30"/>
    </row>
    <row r="70" ht="15.75" customHeight="1">
      <c r="A70" s="162"/>
      <c r="B70" s="66"/>
      <c r="C70" s="66"/>
      <c r="D70" s="30"/>
    </row>
    <row r="71" ht="15.75" customHeight="1">
      <c r="A71" s="30"/>
      <c r="B71" s="17"/>
      <c r="C71" s="17"/>
      <c r="D71" s="30"/>
    </row>
    <row r="72" ht="15.75" customHeight="1">
      <c r="A72" s="30"/>
      <c r="B72" s="17"/>
      <c r="C72" s="17"/>
      <c r="D72" s="30"/>
    </row>
    <row r="73" ht="15.75" customHeight="1">
      <c r="A73" s="43"/>
      <c r="B73" s="97"/>
      <c r="C73" s="97"/>
      <c r="D73" s="30"/>
    </row>
    <row r="74" ht="15.75" customHeight="1">
      <c r="A74" s="43"/>
      <c r="B74" s="97"/>
      <c r="C74" s="97"/>
      <c r="D74" s="30"/>
    </row>
    <row r="75" ht="15.75" customHeight="1">
      <c r="A75" s="43"/>
      <c r="B75" s="66"/>
      <c r="C75" s="66"/>
      <c r="D75" s="30"/>
    </row>
    <row r="76" ht="15.75" customHeight="1">
      <c r="A76" s="43"/>
      <c r="B76" s="66"/>
      <c r="C76" s="66"/>
      <c r="D76" s="30"/>
    </row>
    <row r="77" ht="15.75" customHeight="1">
      <c r="A77" s="30"/>
      <c r="B77" s="66"/>
      <c r="C77" s="66"/>
      <c r="D77" s="30"/>
    </row>
    <row r="78" ht="15.75" customHeight="1">
      <c r="A78" s="30"/>
      <c r="B78" s="66"/>
      <c r="C78" s="66"/>
      <c r="D78" s="30"/>
    </row>
    <row r="79" ht="15.75" customHeight="1">
      <c r="A79" s="30"/>
      <c r="B79" s="17"/>
      <c r="C79" s="17"/>
      <c r="D79" s="30"/>
    </row>
    <row r="80" ht="15.75" customHeight="1">
      <c r="A80" s="43"/>
      <c r="B80" s="97"/>
      <c r="C80" s="97"/>
      <c r="D80" s="30"/>
    </row>
    <row r="81" ht="15.75" customHeight="1">
      <c r="A81" s="43"/>
      <c r="B81" s="97"/>
      <c r="C81" s="66"/>
      <c r="D81" s="30"/>
    </row>
    <row r="82" ht="15.75" customHeight="1">
      <c r="A82" s="30"/>
      <c r="B82" s="66"/>
      <c r="C82" s="66"/>
      <c r="D82" s="30"/>
    </row>
    <row r="83" ht="15.75" customHeight="1">
      <c r="A83" s="30"/>
      <c r="B83" s="17"/>
      <c r="C83" s="17"/>
      <c r="D83" s="30"/>
    </row>
    <row r="84" ht="15.75" customHeight="1">
      <c r="A84" s="30"/>
      <c r="B84" s="17"/>
      <c r="C84" s="17"/>
      <c r="D84" s="30"/>
    </row>
    <row r="85" ht="15.75" customHeight="1">
      <c r="A85" s="43"/>
      <c r="B85" s="97"/>
      <c r="C85" s="97"/>
      <c r="D85" s="30"/>
    </row>
    <row r="86" ht="15.75" customHeight="1">
      <c r="A86" s="43"/>
      <c r="B86" s="66"/>
      <c r="C86" s="66"/>
      <c r="D86" s="30"/>
    </row>
    <row r="87" ht="15.75" customHeight="1">
      <c r="A87" s="157"/>
      <c r="B87" s="66"/>
      <c r="C87" s="66"/>
      <c r="D87" s="30"/>
    </row>
    <row r="88" ht="15.75" customHeight="1">
      <c r="A88" s="157"/>
      <c r="B88" s="66"/>
      <c r="C88" s="66"/>
      <c r="D88" s="30"/>
    </row>
    <row r="89" ht="15.75" customHeight="1">
      <c r="A89" s="30"/>
      <c r="B89" s="17"/>
      <c r="C89" s="17"/>
      <c r="D89" s="30"/>
    </row>
    <row r="90" ht="15.75" customHeight="1">
      <c r="A90" s="43"/>
      <c r="B90" s="97"/>
      <c r="C90" s="97"/>
      <c r="D90" s="30"/>
    </row>
    <row r="91" ht="15.75" customHeight="1">
      <c r="A91" s="43"/>
      <c r="B91" s="97"/>
      <c r="C91" s="97"/>
      <c r="D91" s="30"/>
    </row>
    <row r="92" ht="15.75" customHeight="1">
      <c r="A92" s="30"/>
      <c r="B92" s="30"/>
      <c r="C92" s="30"/>
      <c r="D92" s="30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13:D13"/>
    <mergeCell ref="A14:D14"/>
    <mergeCell ref="A15:D15"/>
    <mergeCell ref="F4:H4"/>
    <mergeCell ref="J4:L4"/>
    <mergeCell ref="F5:H5"/>
    <mergeCell ref="J5:K5"/>
    <mergeCell ref="A6:B6"/>
    <mergeCell ref="J6:K6"/>
    <mergeCell ref="A12:D1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25"/>
    <col customWidth="1" min="2" max="3" width="10.5"/>
    <col customWidth="1" min="4" max="4" width="10.38"/>
    <col customWidth="1" min="5" max="26" width="10.0"/>
  </cols>
  <sheetData>
    <row r="1">
      <c r="A1" s="20" t="s">
        <v>145</v>
      </c>
      <c r="B1" s="4">
        <v>2020.0</v>
      </c>
      <c r="C1" s="4">
        <v>2019.0</v>
      </c>
    </row>
    <row r="2">
      <c r="A2" s="163" t="s">
        <v>4</v>
      </c>
      <c r="B2" s="164">
        <v>45000.0</v>
      </c>
      <c r="C2" s="164">
        <v>30000.0</v>
      </c>
    </row>
    <row r="3">
      <c r="A3" s="163" t="s">
        <v>5</v>
      </c>
      <c r="B3" s="164">
        <v>4200.0</v>
      </c>
      <c r="C3" s="164">
        <v>5000.0</v>
      </c>
    </row>
    <row r="4">
      <c r="A4" s="163" t="s">
        <v>7</v>
      </c>
      <c r="B4" s="164">
        <v>450000.0</v>
      </c>
      <c r="C4" s="164">
        <v>300000.0</v>
      </c>
    </row>
    <row r="5">
      <c r="A5" s="5" t="s">
        <v>9</v>
      </c>
      <c r="B5" s="6">
        <v>120000.0</v>
      </c>
      <c r="C5" s="6">
        <v>75000.0</v>
      </c>
    </row>
    <row r="6">
      <c r="A6" s="165" t="s">
        <v>11</v>
      </c>
      <c r="B6" s="166">
        <v>875.0</v>
      </c>
      <c r="C6" s="166">
        <v>947.0</v>
      </c>
    </row>
    <row r="7">
      <c r="A7" s="167" t="s">
        <v>13</v>
      </c>
      <c r="B7" s="168">
        <v>7412.0</v>
      </c>
      <c r="C7" s="168">
        <v>8743.0</v>
      </c>
    </row>
    <row r="8">
      <c r="A8" s="5" t="s">
        <v>15</v>
      </c>
      <c r="B8" s="11">
        <v>1000.0</v>
      </c>
      <c r="C8" s="12" t="s">
        <v>16</v>
      </c>
    </row>
    <row r="9">
      <c r="A9" s="167" t="s">
        <v>18</v>
      </c>
      <c r="B9" s="168">
        <v>15000.0</v>
      </c>
      <c r="C9" s="168">
        <v>12489.0</v>
      </c>
    </row>
    <row r="10">
      <c r="A10" s="165" t="s">
        <v>19</v>
      </c>
      <c r="B10" s="166">
        <v>6000.0</v>
      </c>
      <c r="C10" s="166">
        <v>5700.0</v>
      </c>
    </row>
    <row r="11">
      <c r="A11" s="169" t="s">
        <v>21</v>
      </c>
      <c r="B11" s="170">
        <v>54.0</v>
      </c>
      <c r="C11" s="170">
        <v>75.0</v>
      </c>
    </row>
    <row r="12">
      <c r="A12" s="167" t="s">
        <v>22</v>
      </c>
      <c r="B12" s="168">
        <v>475.0</v>
      </c>
      <c r="C12" s="168">
        <v>456.0</v>
      </c>
    </row>
    <row r="13">
      <c r="A13" s="165" t="s">
        <v>24</v>
      </c>
      <c r="B13" s="166">
        <v>45.0</v>
      </c>
      <c r="C13" s="166">
        <v>87.0</v>
      </c>
    </row>
    <row r="14">
      <c r="A14" s="165" t="s">
        <v>26</v>
      </c>
      <c r="B14" s="166">
        <v>125.0</v>
      </c>
      <c r="C14" s="166">
        <v>874.0</v>
      </c>
    </row>
    <row r="15">
      <c r="A15" s="163" t="s">
        <v>28</v>
      </c>
      <c r="B15" s="164">
        <v>25000.0</v>
      </c>
      <c r="C15" s="164">
        <v>30000.0</v>
      </c>
    </row>
    <row r="16">
      <c r="A16" s="171" t="s">
        <v>30</v>
      </c>
      <c r="B16" s="172">
        <v>224000.0</v>
      </c>
      <c r="C16" s="172">
        <v>200000.0</v>
      </c>
    </row>
    <row r="17">
      <c r="A17" s="165" t="s">
        <v>32</v>
      </c>
      <c r="B17" s="166">
        <v>150.0</v>
      </c>
      <c r="C17" s="166">
        <v>3645.0</v>
      </c>
    </row>
    <row r="18">
      <c r="A18" s="5" t="s">
        <v>34</v>
      </c>
      <c r="B18" s="6">
        <v>136162.0</v>
      </c>
      <c r="C18" s="6">
        <v>76096.0</v>
      </c>
    </row>
    <row r="19">
      <c r="A19" s="165" t="s">
        <v>36</v>
      </c>
      <c r="B19" s="166">
        <v>5000.0</v>
      </c>
      <c r="C19" s="166">
        <v>1456.0</v>
      </c>
    </row>
    <row r="20">
      <c r="A20" s="163" t="s">
        <v>38</v>
      </c>
      <c r="B20" s="164">
        <v>65000.0</v>
      </c>
      <c r="C20" s="164">
        <v>65000.0</v>
      </c>
    </row>
    <row r="21" ht="15.75" customHeight="1"/>
    <row r="22" ht="15.75" customHeight="1">
      <c r="B22" s="173">
        <v>2020.0</v>
      </c>
      <c r="C22" s="173">
        <v>2019.0</v>
      </c>
    </row>
    <row r="23" ht="15.75" customHeight="1">
      <c r="A23" s="174" t="s">
        <v>146</v>
      </c>
    </row>
    <row r="24" ht="15.75" customHeight="1">
      <c r="A24" s="175" t="s">
        <v>147</v>
      </c>
    </row>
    <row r="25" ht="15.75" customHeight="1">
      <c r="A25" s="5" t="s">
        <v>19</v>
      </c>
      <c r="B25" s="6">
        <v>6000.0</v>
      </c>
      <c r="C25" s="6">
        <v>5700.0</v>
      </c>
    </row>
    <row r="26" ht="15.75" customHeight="1">
      <c r="A26" s="5" t="s">
        <v>11</v>
      </c>
      <c r="B26" s="6">
        <v>875.0</v>
      </c>
      <c r="C26" s="6">
        <v>947.0</v>
      </c>
    </row>
    <row r="27" ht="15.75" customHeight="1">
      <c r="A27" s="5" t="s">
        <v>26</v>
      </c>
      <c r="B27" s="6">
        <v>125.0</v>
      </c>
      <c r="C27" s="6">
        <v>874.0</v>
      </c>
    </row>
    <row r="28" ht="15.75" customHeight="1">
      <c r="A28" s="5" t="s">
        <v>36</v>
      </c>
      <c r="B28" s="6">
        <v>5000.0</v>
      </c>
      <c r="C28" s="6">
        <v>1456.0</v>
      </c>
    </row>
    <row r="29" ht="15.75" customHeight="1">
      <c r="A29" s="5" t="s">
        <v>32</v>
      </c>
      <c r="B29" s="6">
        <v>150.0</v>
      </c>
      <c r="C29" s="6">
        <v>3645.0</v>
      </c>
    </row>
    <row r="30" ht="15.75" customHeight="1">
      <c r="A30" s="5" t="s">
        <v>24</v>
      </c>
      <c r="B30" s="6">
        <v>45.0</v>
      </c>
      <c r="C30" s="6">
        <v>87.0</v>
      </c>
      <c r="D30" s="17">
        <f>SUM(B25:B30)</f>
        <v>12195</v>
      </c>
    </row>
    <row r="31" ht="15.75" customHeight="1">
      <c r="A31" s="176" t="s">
        <v>148</v>
      </c>
    </row>
    <row r="32" ht="15.75" customHeight="1">
      <c r="A32" s="5" t="s">
        <v>7</v>
      </c>
      <c r="B32" s="6">
        <v>450000.0</v>
      </c>
      <c r="C32" s="6">
        <v>300000.0</v>
      </c>
    </row>
    <row r="33" ht="15.75" customHeight="1">
      <c r="A33" s="177" t="s">
        <v>4</v>
      </c>
      <c r="B33" s="6">
        <v>45000.0</v>
      </c>
      <c r="C33" s="6">
        <v>30000.0</v>
      </c>
    </row>
    <row r="34" ht="15.75" customHeight="1">
      <c r="A34" s="5" t="s">
        <v>28</v>
      </c>
      <c r="B34" s="6">
        <v>25000.0</v>
      </c>
      <c r="C34" s="6">
        <v>30000.0</v>
      </c>
    </row>
    <row r="35" ht="15.75" customHeight="1">
      <c r="A35" s="178" t="s">
        <v>5</v>
      </c>
      <c r="B35" s="179">
        <v>4200.0</v>
      </c>
      <c r="C35" s="179">
        <v>5000.0</v>
      </c>
    </row>
    <row r="36" ht="15.75" customHeight="1">
      <c r="A36" s="5" t="s">
        <v>21</v>
      </c>
      <c r="B36" s="6">
        <v>54.0</v>
      </c>
      <c r="C36" s="6">
        <v>75.0</v>
      </c>
    </row>
    <row r="37" ht="15.75" customHeight="1">
      <c r="A37" s="5" t="s">
        <v>38</v>
      </c>
      <c r="B37" s="6">
        <v>65000.0</v>
      </c>
      <c r="C37" s="6">
        <v>65000.0</v>
      </c>
      <c r="D37" s="17">
        <f>SUM(B32,B34,B36,B37)-SUM(B33,B35)</f>
        <v>490854</v>
      </c>
    </row>
    <row r="38" ht="15.75" customHeight="1"/>
    <row r="39" ht="15.75" customHeight="1">
      <c r="A39" s="174" t="s">
        <v>149</v>
      </c>
    </row>
    <row r="40" ht="15.75" customHeight="1">
      <c r="A40" s="175" t="s">
        <v>150</v>
      </c>
    </row>
    <row r="41" ht="15.75" customHeight="1">
      <c r="A41" s="5" t="s">
        <v>13</v>
      </c>
      <c r="B41" s="6">
        <v>7412.0</v>
      </c>
      <c r="C41" s="6">
        <v>8743.0</v>
      </c>
    </row>
    <row r="42" ht="15.75" customHeight="1">
      <c r="A42" s="5" t="s">
        <v>18</v>
      </c>
      <c r="B42" s="6">
        <v>15000.0</v>
      </c>
      <c r="C42" s="6">
        <v>12489.0</v>
      </c>
    </row>
    <row r="43" ht="15.75" customHeight="1">
      <c r="A43" s="5" t="s">
        <v>22</v>
      </c>
      <c r="B43" s="6">
        <v>475.0</v>
      </c>
      <c r="C43" s="6">
        <v>456.0</v>
      </c>
      <c r="D43" s="17">
        <f>SUM(B41:B43)</f>
        <v>22887</v>
      </c>
    </row>
    <row r="44" ht="15.75" customHeight="1">
      <c r="A44" s="175" t="s">
        <v>151</v>
      </c>
    </row>
    <row r="45" ht="15.75" customHeight="1">
      <c r="A45" s="5" t="s">
        <v>30</v>
      </c>
      <c r="B45" s="6">
        <v>224000.0</v>
      </c>
      <c r="C45" s="6">
        <v>200000.0</v>
      </c>
      <c r="D45" s="17">
        <f>SUM(B45)</f>
        <v>224000</v>
      </c>
    </row>
    <row r="46" ht="15.75" customHeight="1"/>
    <row r="47" ht="15.75" customHeight="1">
      <c r="A47" s="180" t="s">
        <v>152</v>
      </c>
      <c r="B47" s="30">
        <f>SUM(B25:B30)/SUM(B41:B43)</f>
        <v>0.532835234</v>
      </c>
    </row>
    <row r="48" ht="15.75" customHeight="1">
      <c r="A48" s="180" t="s">
        <v>153</v>
      </c>
      <c r="B48" s="30">
        <f>(SUM(B25:B30)-B28-B27)/SUM(B41:B43)</f>
        <v>0.3089089876</v>
      </c>
    </row>
    <row r="49" ht="15.75" customHeight="1">
      <c r="A49" s="180" t="s">
        <v>154</v>
      </c>
      <c r="B49" s="30">
        <f>SUM(D43+D45)/SUM(D30+D37)</f>
        <v>0.4907812161</v>
      </c>
    </row>
    <row r="50" ht="15.75" customHeight="1"/>
    <row r="51" ht="15.75" customHeight="1"/>
    <row r="52" ht="15.75" customHeight="1"/>
    <row r="53" ht="15.75" customHeight="1"/>
    <row r="54" ht="15.75" customHeight="1">
      <c r="A54" s="81" t="s">
        <v>82</v>
      </c>
      <c r="B54" s="82"/>
      <c r="C54" s="82"/>
      <c r="D54" s="83"/>
    </row>
    <row r="55" ht="15.75" customHeight="1">
      <c r="A55" s="181"/>
      <c r="B55" s="85"/>
      <c r="C55" s="85"/>
      <c r="D55" s="86"/>
    </row>
    <row r="56" ht="15.75" customHeight="1">
      <c r="A56" s="182"/>
      <c r="B56" s="91"/>
      <c r="C56" s="91"/>
      <c r="D56" s="92"/>
    </row>
    <row r="57" ht="15.75" customHeight="1">
      <c r="A57" s="183"/>
      <c r="B57" s="50"/>
      <c r="C57" s="50"/>
      <c r="D57" s="99"/>
    </row>
    <row r="58" ht="15.75" customHeight="1">
      <c r="A58" s="106"/>
      <c r="B58" s="107" t="s">
        <v>93</v>
      </c>
      <c r="C58" s="108" t="s">
        <v>94</v>
      </c>
      <c r="D58" s="109" t="s">
        <v>95</v>
      </c>
    </row>
    <row r="59" ht="15.75" customHeight="1">
      <c r="A59" s="112" t="s">
        <v>98</v>
      </c>
      <c r="B59" s="184">
        <f>C5</f>
        <v>75000</v>
      </c>
      <c r="C59" s="114">
        <f>C18</f>
        <v>76096</v>
      </c>
      <c r="D59" s="115">
        <f>B59+C59</f>
        <v>151096</v>
      </c>
    </row>
    <row r="60" ht="15.75" customHeight="1">
      <c r="A60" s="112" t="s">
        <v>101</v>
      </c>
      <c r="B60" s="116">
        <f>B5-C5</f>
        <v>45000</v>
      </c>
      <c r="C60" s="116"/>
      <c r="D60" s="117">
        <f>B60</f>
        <v>45000</v>
      </c>
    </row>
    <row r="61" ht="15.75" customHeight="1">
      <c r="A61" s="112" t="s">
        <v>102</v>
      </c>
      <c r="B61" s="116"/>
      <c r="C61" s="116">
        <v>-1000.0</v>
      </c>
      <c r="D61" s="117">
        <f t="shared" ref="D61:D62" si="1">C61</f>
        <v>-1000</v>
      </c>
    </row>
    <row r="62" ht="15.75" customHeight="1">
      <c r="A62" s="112" t="s">
        <v>155</v>
      </c>
      <c r="B62" s="123"/>
      <c r="C62" s="116">
        <v>61066.0</v>
      </c>
      <c r="D62" s="117">
        <f t="shared" si="1"/>
        <v>61066</v>
      </c>
    </row>
    <row r="63" ht="15.75" customHeight="1">
      <c r="A63" s="112"/>
      <c r="B63" s="116"/>
      <c r="C63" s="116"/>
      <c r="D63" s="117"/>
    </row>
    <row r="64" ht="15.75" customHeight="1">
      <c r="A64" s="112"/>
      <c r="B64" s="116"/>
      <c r="C64" s="123"/>
      <c r="D64" s="117"/>
    </row>
    <row r="65" ht="15.75" customHeight="1">
      <c r="A65" s="112"/>
      <c r="B65" s="116"/>
      <c r="C65" s="116"/>
      <c r="D65" s="117"/>
    </row>
    <row r="66" ht="15.75" customHeight="1">
      <c r="A66" s="185" t="s">
        <v>156</v>
      </c>
      <c r="B66" s="129">
        <f>B59+B60</f>
        <v>120000</v>
      </c>
      <c r="C66" s="129">
        <f>SUM(C59:C65)</f>
        <v>136162</v>
      </c>
      <c r="D66" s="130">
        <f>C66+B66</f>
        <v>256162</v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54:D54"/>
    <mergeCell ref="A55:D55"/>
    <mergeCell ref="A56:D5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9.5"/>
    <col customWidth="1" min="2" max="2" width="14.88"/>
    <col customWidth="1" min="3" max="3" width="14.0"/>
    <col customWidth="1" min="4" max="4" width="14.25"/>
    <col customWidth="1" min="5" max="5" width="7.63"/>
    <col customWidth="1" min="6" max="6" width="28.88"/>
    <col customWidth="1" min="7" max="7" width="9.5"/>
    <col customWidth="1" min="8" max="8" width="9.13"/>
    <col customWidth="1" min="9" max="9" width="7.63"/>
    <col customWidth="1" min="10" max="10" width="17.25"/>
    <col customWidth="1" min="11" max="11" width="28.38"/>
    <col customWidth="1" min="12" max="12" width="12.38"/>
    <col customWidth="1" min="13" max="13" width="10.13"/>
    <col customWidth="1" min="14" max="14" width="12.5"/>
    <col customWidth="1" min="15" max="16" width="7.63"/>
    <col customWidth="1" min="17" max="17" width="31.0"/>
    <col customWidth="1" min="18" max="18" width="12.0"/>
    <col customWidth="1" min="19" max="26" width="7.63"/>
  </cols>
  <sheetData>
    <row r="1">
      <c r="A1" s="2" t="s">
        <v>1</v>
      </c>
    </row>
    <row r="2">
      <c r="Q2" s="186"/>
      <c r="R2" s="187"/>
      <c r="S2" s="188"/>
    </row>
    <row r="3">
      <c r="A3" s="3" t="s">
        <v>3</v>
      </c>
      <c r="D3" s="3"/>
      <c r="Q3" s="189"/>
      <c r="S3" s="47"/>
    </row>
    <row r="4" ht="28.5" customHeight="1">
      <c r="D4" s="3"/>
      <c r="Q4" s="190"/>
      <c r="R4" s="50"/>
      <c r="S4" s="53" t="s">
        <v>68</v>
      </c>
    </row>
    <row r="5">
      <c r="B5" s="191" t="s">
        <v>157</v>
      </c>
      <c r="C5" s="191" t="s">
        <v>158</v>
      </c>
      <c r="D5" s="20" t="s">
        <v>159</v>
      </c>
      <c r="F5" s="1" t="s">
        <v>160</v>
      </c>
      <c r="G5" s="20">
        <v>2020.0</v>
      </c>
      <c r="H5" s="20">
        <v>2019.0</v>
      </c>
      <c r="J5" s="192" t="s">
        <v>161</v>
      </c>
      <c r="Q5" s="61" t="s">
        <v>71</v>
      </c>
      <c r="R5" s="62"/>
      <c r="S5" s="63"/>
    </row>
    <row r="6">
      <c r="A6" s="193" t="s">
        <v>6</v>
      </c>
      <c r="B6" s="194">
        <v>4567.0</v>
      </c>
      <c r="C6" s="195">
        <v>90000.0</v>
      </c>
      <c r="D6" s="17">
        <f t="shared" ref="D6:D28" si="1">B6-C6</f>
        <v>-85433</v>
      </c>
      <c r="F6" s="4" t="s">
        <v>73</v>
      </c>
      <c r="J6" s="106"/>
      <c r="K6" s="107" t="s">
        <v>93</v>
      </c>
      <c r="L6" s="108" t="s">
        <v>94</v>
      </c>
      <c r="M6" s="109" t="s">
        <v>95</v>
      </c>
      <c r="Q6" s="68" t="s">
        <v>162</v>
      </c>
      <c r="R6" s="17">
        <f>N28</f>
        <v>45488</v>
      </c>
      <c r="S6" s="72"/>
    </row>
    <row r="7">
      <c r="A7" s="196" t="s">
        <v>8</v>
      </c>
      <c r="B7" s="197">
        <v>40000.0</v>
      </c>
      <c r="C7" s="197">
        <v>45000.0</v>
      </c>
      <c r="D7" s="17">
        <f t="shared" si="1"/>
        <v>-5000</v>
      </c>
      <c r="F7" s="198" t="s">
        <v>163</v>
      </c>
      <c r="J7" s="199" t="s">
        <v>98</v>
      </c>
      <c r="K7" s="184">
        <f>C7</f>
        <v>45000</v>
      </c>
      <c r="L7" s="114">
        <f>B25</f>
        <v>198005</v>
      </c>
      <c r="M7" s="115">
        <f>K7+L7</f>
        <v>243005</v>
      </c>
      <c r="Q7" s="68" t="s">
        <v>77</v>
      </c>
      <c r="R7" s="17">
        <f>-(B9-C9)</f>
        <v>-1350</v>
      </c>
      <c r="S7" s="72"/>
    </row>
    <row r="8">
      <c r="A8" s="200" t="s">
        <v>10</v>
      </c>
      <c r="B8" s="201">
        <v>337000.0</v>
      </c>
      <c r="C8" s="202">
        <v>325000.0</v>
      </c>
      <c r="D8" s="17">
        <f t="shared" si="1"/>
        <v>12000</v>
      </c>
      <c r="F8" s="193" t="s">
        <v>12</v>
      </c>
      <c r="G8" s="194">
        <v>14220.0</v>
      </c>
      <c r="H8" s="195">
        <v>12870.0</v>
      </c>
      <c r="J8" s="199" t="s">
        <v>15</v>
      </c>
      <c r="K8" s="116"/>
      <c r="L8" s="116">
        <f>-B12</f>
        <v>-12600</v>
      </c>
      <c r="M8" s="117">
        <f t="shared" ref="M8:M9" si="2">L8</f>
        <v>-12600</v>
      </c>
      <c r="Q8" s="68" t="s">
        <v>80</v>
      </c>
      <c r="R8" s="17">
        <f>-(B27-C27)</f>
        <v>5600</v>
      </c>
      <c r="S8" s="72"/>
    </row>
    <row r="9">
      <c r="A9" s="193" t="s">
        <v>12</v>
      </c>
      <c r="B9" s="194">
        <v>14220.0</v>
      </c>
      <c r="C9" s="195">
        <v>12870.0</v>
      </c>
      <c r="D9" s="17">
        <f t="shared" si="1"/>
        <v>1350</v>
      </c>
      <c r="F9" s="203" t="s">
        <v>19</v>
      </c>
      <c r="G9" s="204">
        <f>36664+2000</f>
        <v>38664</v>
      </c>
      <c r="H9" s="205">
        <f>67852+2000</f>
        <v>69852</v>
      </c>
      <c r="J9" s="199" t="s">
        <v>74</v>
      </c>
      <c r="K9" s="116"/>
      <c r="L9" s="206">
        <f>N28</f>
        <v>45488</v>
      </c>
      <c r="M9" s="117">
        <f t="shared" si="2"/>
        <v>45488</v>
      </c>
      <c r="Q9" s="68" t="s">
        <v>81</v>
      </c>
      <c r="R9" s="17">
        <f>B10-C10</f>
        <v>1100</v>
      </c>
      <c r="S9" s="72"/>
    </row>
    <row r="10" ht="26.25" customHeight="1">
      <c r="A10" s="196" t="s">
        <v>14</v>
      </c>
      <c r="B10" s="197">
        <f>8600+1000</f>
        <v>9600</v>
      </c>
      <c r="C10" s="197">
        <f>7500+1000</f>
        <v>8500</v>
      </c>
      <c r="D10" s="17">
        <f t="shared" si="1"/>
        <v>1100</v>
      </c>
      <c r="F10" s="207" t="s">
        <v>47</v>
      </c>
      <c r="G10" s="205">
        <f>57600-2000</f>
        <v>55600</v>
      </c>
      <c r="H10" s="205">
        <f>63200-2000</f>
        <v>61200</v>
      </c>
      <c r="J10" s="199" t="s">
        <v>164</v>
      </c>
      <c r="K10" s="208">
        <f>B7-C7</f>
        <v>-5000</v>
      </c>
      <c r="L10" s="116"/>
      <c r="M10" s="117">
        <f>K10</f>
        <v>-5000</v>
      </c>
      <c r="Q10" s="209" t="s">
        <v>165</v>
      </c>
      <c r="R10" s="210">
        <f>B8-C8</f>
        <v>12000</v>
      </c>
      <c r="S10" s="211"/>
    </row>
    <row r="11">
      <c r="A11" s="200" t="s">
        <v>17</v>
      </c>
      <c r="B11" s="201">
        <v>297000.0</v>
      </c>
      <c r="C11" s="201">
        <v>246000.0</v>
      </c>
      <c r="D11" s="17">
        <f t="shared" si="1"/>
        <v>51000</v>
      </c>
      <c r="F11" s="203"/>
      <c r="G11" s="204"/>
      <c r="H11" s="205"/>
      <c r="J11" s="64"/>
      <c r="K11" s="116"/>
      <c r="L11" s="116"/>
      <c r="M11" s="117"/>
      <c r="Q11" s="212" t="s">
        <v>84</v>
      </c>
      <c r="R11" s="17">
        <f>-(G13-H13)</f>
        <v>-480</v>
      </c>
      <c r="S11" s="213"/>
    </row>
    <row r="12">
      <c r="A12" s="13" t="s">
        <v>15</v>
      </c>
      <c r="B12" s="9">
        <v>12600.0</v>
      </c>
      <c r="C12" s="9">
        <v>13500.0</v>
      </c>
      <c r="D12" s="17">
        <f t="shared" si="1"/>
        <v>-900</v>
      </c>
      <c r="F12" s="214" t="s">
        <v>166</v>
      </c>
      <c r="J12" s="64"/>
      <c r="K12" s="116"/>
      <c r="L12" s="123"/>
      <c r="M12" s="117"/>
      <c r="Q12" s="215" t="s">
        <v>87</v>
      </c>
      <c r="R12" s="216">
        <f>(D26)</f>
        <v>1850</v>
      </c>
      <c r="S12" s="217"/>
    </row>
    <row r="13">
      <c r="A13" s="196" t="s">
        <v>20</v>
      </c>
      <c r="B13" s="197">
        <v>75000.0</v>
      </c>
      <c r="C13" s="218">
        <v>75000.0</v>
      </c>
      <c r="D13" s="17">
        <f t="shared" si="1"/>
        <v>0</v>
      </c>
      <c r="F13" s="203" t="s">
        <v>31</v>
      </c>
      <c r="G13" s="204">
        <f>5280-2000</f>
        <v>3280</v>
      </c>
      <c r="H13" s="205">
        <f>4800-2000</f>
        <v>2800</v>
      </c>
      <c r="J13" s="64"/>
      <c r="K13" s="116"/>
      <c r="L13" s="116"/>
      <c r="M13" s="117"/>
      <c r="N13" s="216">
        <f>M7+M8+M9+M10</f>
        <v>270893</v>
      </c>
      <c r="Q13" s="219"/>
      <c r="S13" s="213"/>
    </row>
    <row r="14">
      <c r="A14" s="203" t="s">
        <v>19</v>
      </c>
      <c r="B14" s="204">
        <f>36664+2000</f>
        <v>38664</v>
      </c>
      <c r="C14" s="205">
        <f>67852+2000</f>
        <v>69852</v>
      </c>
      <c r="D14" s="17">
        <f t="shared" si="1"/>
        <v>-31188</v>
      </c>
      <c r="F14" s="203" t="s">
        <v>29</v>
      </c>
      <c r="G14" s="204">
        <v>163.0</v>
      </c>
      <c r="H14" s="205">
        <v>233.0</v>
      </c>
      <c r="J14" s="220" t="s">
        <v>167</v>
      </c>
      <c r="K14" s="129">
        <f>K7+K10</f>
        <v>40000</v>
      </c>
      <c r="L14" s="129">
        <f>L7+L8+L9</f>
        <v>230893</v>
      </c>
      <c r="M14" s="130">
        <f>L15</f>
        <v>270893</v>
      </c>
      <c r="Q14" s="221" t="s">
        <v>92</v>
      </c>
      <c r="R14" s="17"/>
      <c r="S14" s="72"/>
    </row>
    <row r="15">
      <c r="A15" s="203" t="s">
        <v>23</v>
      </c>
      <c r="B15" s="204">
        <v>157000.0</v>
      </c>
      <c r="C15" s="204">
        <v>165000.0</v>
      </c>
      <c r="D15" s="17">
        <f t="shared" si="1"/>
        <v>-8000</v>
      </c>
      <c r="F15" s="222" t="s">
        <v>148</v>
      </c>
      <c r="L15" s="216">
        <f>K14+L14</f>
        <v>270893</v>
      </c>
      <c r="Q15" s="68" t="s">
        <v>97</v>
      </c>
      <c r="R15" s="17">
        <f>B6-C6+(C6+(6000/(4/12)))</f>
        <v>22567</v>
      </c>
      <c r="S15" s="223"/>
    </row>
    <row r="16" ht="14.25" customHeight="1">
      <c r="A16" s="224" t="s">
        <v>25</v>
      </c>
      <c r="B16" s="225">
        <v>1875.0</v>
      </c>
      <c r="C16" s="225">
        <v>1875.0</v>
      </c>
      <c r="D16" s="17">
        <f t="shared" si="1"/>
        <v>0</v>
      </c>
      <c r="F16" s="203" t="s">
        <v>23</v>
      </c>
      <c r="G16" s="204">
        <v>157000.0</v>
      </c>
      <c r="H16" s="204">
        <v>165000.0</v>
      </c>
      <c r="Q16" s="226" t="s">
        <v>100</v>
      </c>
      <c r="R16" s="17">
        <f>B20</f>
        <v>5000</v>
      </c>
      <c r="S16" s="72"/>
    </row>
    <row r="17" ht="15.0" customHeight="1">
      <c r="A17" s="224" t="s">
        <v>27</v>
      </c>
      <c r="B17" s="225">
        <v>1960.0</v>
      </c>
      <c r="C17" s="227">
        <v>2800.0</v>
      </c>
      <c r="D17" s="17">
        <f t="shared" si="1"/>
        <v>-840</v>
      </c>
      <c r="F17" s="228" t="s">
        <v>6</v>
      </c>
      <c r="G17" s="194">
        <v>4567.0</v>
      </c>
      <c r="H17" s="195">
        <v>90000.0</v>
      </c>
      <c r="K17" s="73" t="s">
        <v>168</v>
      </c>
      <c r="Q17" s="229" t="s">
        <v>169</v>
      </c>
      <c r="R17" s="225">
        <f>(B16+B17)</f>
        <v>3835</v>
      </c>
      <c r="S17" s="227"/>
    </row>
    <row r="18" ht="16.5" customHeight="1">
      <c r="A18" s="203" t="s">
        <v>29</v>
      </c>
      <c r="B18" s="204">
        <v>163.0</v>
      </c>
      <c r="C18" s="205">
        <v>233.0</v>
      </c>
      <c r="D18" s="17">
        <f t="shared" si="1"/>
        <v>-70</v>
      </c>
      <c r="F18" s="230" t="s">
        <v>38</v>
      </c>
      <c r="G18" s="205">
        <v>80000.0</v>
      </c>
      <c r="H18" s="205">
        <v>80000.0</v>
      </c>
      <c r="I18" s="216">
        <f>G8+G9+G10+G13+G14+G16-G17+G18+G19</f>
        <v>372360</v>
      </c>
      <c r="K18" s="231" t="s">
        <v>39</v>
      </c>
      <c r="L18" s="232">
        <v>687200.0</v>
      </c>
      <c r="M18" s="232">
        <v>643000.0</v>
      </c>
      <c r="Q18" s="131" t="s">
        <v>107</v>
      </c>
      <c r="R18" s="17">
        <f>R6+R7+R8+R9+R10+R11+R12+R15+R16+R17</f>
        <v>95610</v>
      </c>
      <c r="S18" s="132"/>
    </row>
    <row r="19" ht="20.25" customHeight="1">
      <c r="A19" s="203" t="s">
        <v>31</v>
      </c>
      <c r="B19" s="204">
        <f>5280-2000</f>
        <v>3280</v>
      </c>
      <c r="C19" s="205">
        <f>4800-2000</f>
        <v>2800</v>
      </c>
      <c r="D19" s="17">
        <f t="shared" si="1"/>
        <v>480</v>
      </c>
      <c r="F19" s="230" t="s">
        <v>37</v>
      </c>
      <c r="G19" s="205">
        <v>28000.0</v>
      </c>
      <c r="H19" s="205">
        <v>28000.0</v>
      </c>
      <c r="I19" s="233"/>
      <c r="K19" s="200" t="s">
        <v>17</v>
      </c>
      <c r="L19" s="201">
        <v>297000.0</v>
      </c>
      <c r="M19" s="201">
        <v>246000.0</v>
      </c>
      <c r="Q19" s="121"/>
      <c r="R19" s="17"/>
      <c r="S19" s="72"/>
    </row>
    <row r="20" ht="17.25" customHeight="1">
      <c r="A20" s="234" t="s">
        <v>170</v>
      </c>
      <c r="B20" s="235">
        <v>5000.0</v>
      </c>
      <c r="C20" s="232">
        <v>0.0</v>
      </c>
      <c r="D20" s="17">
        <f t="shared" si="1"/>
        <v>5000</v>
      </c>
      <c r="F20" s="192" t="s">
        <v>171</v>
      </c>
      <c r="K20" s="73" t="s">
        <v>172</v>
      </c>
      <c r="N20" s="216">
        <f>L18-L19+L21</f>
        <v>392160</v>
      </c>
      <c r="Q20" s="131" t="s">
        <v>112</v>
      </c>
      <c r="R20" s="17"/>
      <c r="S20" s="72"/>
    </row>
    <row r="21" ht="14.25" customHeight="1">
      <c r="A21" s="203" t="s">
        <v>35</v>
      </c>
      <c r="B21" s="204">
        <v>0.0</v>
      </c>
      <c r="C21" s="205">
        <v>12000.0</v>
      </c>
      <c r="D21" s="17">
        <f t="shared" si="1"/>
        <v>-12000</v>
      </c>
      <c r="F21" s="192" t="s">
        <v>173</v>
      </c>
      <c r="K21" s="224" t="s">
        <v>27</v>
      </c>
      <c r="L21" s="225">
        <v>1960.0</v>
      </c>
      <c r="M21" s="227">
        <v>2800.0</v>
      </c>
      <c r="Q21" s="68" t="s">
        <v>117</v>
      </c>
      <c r="R21" s="17">
        <f>-B15</f>
        <v>-157000</v>
      </c>
      <c r="S21" s="72"/>
    </row>
    <row r="22" ht="16.5" customHeight="1">
      <c r="A22" s="230" t="s">
        <v>37</v>
      </c>
      <c r="B22" s="205">
        <v>28000.0</v>
      </c>
      <c r="C22" s="205">
        <v>28000.0</v>
      </c>
      <c r="D22" s="17">
        <f t="shared" si="1"/>
        <v>0</v>
      </c>
      <c r="F22" s="236" t="s">
        <v>14</v>
      </c>
      <c r="G22" s="197">
        <f>8600+1000</f>
        <v>9600</v>
      </c>
      <c r="H22" s="197">
        <f>7500+1000</f>
        <v>8500</v>
      </c>
      <c r="K22" s="222" t="s">
        <v>174</v>
      </c>
      <c r="Q22" s="68"/>
      <c r="R22" s="17"/>
      <c r="S22" s="72"/>
    </row>
    <row r="23" ht="12.75" customHeight="1">
      <c r="A23" s="231" t="s">
        <v>39</v>
      </c>
      <c r="B23" s="232">
        <v>687200.0</v>
      </c>
      <c r="C23" s="232">
        <v>643000.0</v>
      </c>
      <c r="D23" s="17">
        <f t="shared" si="1"/>
        <v>44200</v>
      </c>
      <c r="F23" s="224"/>
      <c r="G23" s="225"/>
      <c r="H23" s="225"/>
      <c r="K23" s="200" t="s">
        <v>10</v>
      </c>
      <c r="L23" s="201">
        <v>337000.0</v>
      </c>
      <c r="M23" s="202">
        <v>325000.0</v>
      </c>
      <c r="Q23" s="203"/>
      <c r="R23" s="204">
        <v>163.0</v>
      </c>
      <c r="S23" s="205">
        <v>233.0</v>
      </c>
    </row>
    <row r="24" ht="14.25" customHeight="1">
      <c r="A24" s="231" t="s">
        <v>41</v>
      </c>
      <c r="B24" s="232">
        <v>3230.0</v>
      </c>
      <c r="C24" s="232">
        <v>0.0</v>
      </c>
      <c r="D24" s="17">
        <f t="shared" si="1"/>
        <v>3230</v>
      </c>
      <c r="F24" s="224"/>
      <c r="G24" s="225"/>
      <c r="H24" s="227"/>
      <c r="K24" s="231" t="s">
        <v>41</v>
      </c>
      <c r="L24" s="232">
        <v>3230.0</v>
      </c>
      <c r="M24" s="232">
        <v>0.0</v>
      </c>
      <c r="Q24" s="121"/>
      <c r="R24" s="17"/>
      <c r="S24" s="72"/>
    </row>
    <row r="25" ht="30.0" customHeight="1">
      <c r="A25" s="237" t="s">
        <v>175</v>
      </c>
      <c r="B25" s="227">
        <v>198005.0</v>
      </c>
      <c r="C25" s="227">
        <v>138580.0</v>
      </c>
      <c r="D25" s="17">
        <f t="shared" si="1"/>
        <v>59425</v>
      </c>
      <c r="F25" s="238" t="s">
        <v>45</v>
      </c>
      <c r="G25" s="227">
        <f>18300-1000</f>
        <v>17300</v>
      </c>
      <c r="H25" s="227">
        <f>16450-1000</f>
        <v>15450</v>
      </c>
      <c r="K25" s="224" t="s">
        <v>25</v>
      </c>
      <c r="L25" s="225">
        <v>1875.0</v>
      </c>
      <c r="M25" s="225">
        <v>1875.0</v>
      </c>
      <c r="Q25" s="131" t="s">
        <v>125</v>
      </c>
      <c r="R25" s="17">
        <f>R21</f>
        <v>-157000</v>
      </c>
      <c r="S25" s="132"/>
    </row>
    <row r="26" ht="15.75" customHeight="1">
      <c r="A26" s="238" t="s">
        <v>45</v>
      </c>
      <c r="B26" s="227">
        <f>18300-1000</f>
        <v>17300</v>
      </c>
      <c r="C26" s="227">
        <f>16450-1000</f>
        <v>15450</v>
      </c>
      <c r="D26" s="17">
        <f t="shared" si="1"/>
        <v>1850</v>
      </c>
      <c r="F26" s="192" t="s">
        <v>176</v>
      </c>
      <c r="K26" s="193" t="s">
        <v>6</v>
      </c>
      <c r="L26" s="194">
        <v>4567.0</v>
      </c>
      <c r="M26" s="195">
        <v>90000.0</v>
      </c>
      <c r="N26" s="239"/>
      <c r="Q26" s="68"/>
      <c r="R26" s="17"/>
      <c r="S26" s="72"/>
    </row>
    <row r="27" ht="15.75" customHeight="1">
      <c r="A27" s="207" t="s">
        <v>47</v>
      </c>
      <c r="B27" s="205">
        <f>57600-2000</f>
        <v>55600</v>
      </c>
      <c r="C27" s="205">
        <f>63200-2000</f>
        <v>61200</v>
      </c>
      <c r="D27" s="17">
        <f t="shared" si="1"/>
        <v>-5600</v>
      </c>
      <c r="F27" s="8" t="s">
        <v>20</v>
      </c>
      <c r="G27" s="9">
        <v>75000.0</v>
      </c>
      <c r="H27" s="10">
        <v>75000.0</v>
      </c>
      <c r="K27" s="73" t="s">
        <v>177</v>
      </c>
      <c r="N27" s="216">
        <f>-(L23+L24+L25+L26)</f>
        <v>-346672</v>
      </c>
      <c r="Q27" s="131" t="s">
        <v>128</v>
      </c>
      <c r="R27" s="17"/>
      <c r="S27" s="72"/>
    </row>
    <row r="28" ht="15.75" customHeight="1">
      <c r="A28" s="230" t="s">
        <v>38</v>
      </c>
      <c r="B28" s="205">
        <v>80000.0</v>
      </c>
      <c r="C28" s="205">
        <v>80000.0</v>
      </c>
      <c r="D28" s="17">
        <f t="shared" si="1"/>
        <v>0</v>
      </c>
      <c r="F28" s="192" t="s">
        <v>178</v>
      </c>
      <c r="K28" s="73" t="s">
        <v>179</v>
      </c>
      <c r="N28" s="216">
        <f>N20+N27</f>
        <v>45488</v>
      </c>
      <c r="Q28" s="68" t="s">
        <v>180</v>
      </c>
      <c r="R28" s="17">
        <f>L8</f>
        <v>-12600</v>
      </c>
      <c r="S28" s="72"/>
    </row>
    <row r="29" ht="15.75" customHeight="1">
      <c r="A29" s="22" t="s">
        <v>50</v>
      </c>
      <c r="D29" s="23"/>
      <c r="F29" s="196" t="s">
        <v>8</v>
      </c>
      <c r="G29" s="197">
        <v>40000.0</v>
      </c>
      <c r="H29" s="197">
        <v>45000.0</v>
      </c>
      <c r="J29" s="73"/>
      <c r="Q29" s="68" t="s">
        <v>132</v>
      </c>
      <c r="R29" s="17">
        <f>-(B17)</f>
        <v>-1960</v>
      </c>
      <c r="S29" s="72"/>
    </row>
    <row r="30" ht="60.0" customHeight="1">
      <c r="A30" s="25" t="s">
        <v>181</v>
      </c>
      <c r="F30" s="237" t="s">
        <v>182</v>
      </c>
      <c r="G30" s="227">
        <f>L14</f>
        <v>230893</v>
      </c>
      <c r="H30" s="227">
        <v>138580.0</v>
      </c>
      <c r="I30" s="216">
        <f>G22+G23+G24+G25+G27+G29+G30</f>
        <v>372793</v>
      </c>
      <c r="K30" s="240" t="s">
        <v>183</v>
      </c>
      <c r="Q30" s="68" t="s">
        <v>184</v>
      </c>
      <c r="R30" s="17"/>
      <c r="S30" s="72"/>
    </row>
    <row r="31" ht="15.75" customHeight="1">
      <c r="B31" s="27"/>
      <c r="C31" s="27"/>
      <c r="D31" s="27"/>
      <c r="Q31" s="121"/>
      <c r="R31" s="17"/>
      <c r="S31" s="72"/>
    </row>
    <row r="32" ht="33.0" customHeight="1">
      <c r="A32" s="26" t="s">
        <v>185</v>
      </c>
      <c r="B32" s="27"/>
      <c r="C32" s="28"/>
      <c r="D32" s="28"/>
      <c r="H32" s="216">
        <f>I30-I18</f>
        <v>433</v>
      </c>
      <c r="Q32" s="131" t="s">
        <v>138</v>
      </c>
      <c r="R32" s="97">
        <f>R25+R28+R29+R30</f>
        <v>-171560</v>
      </c>
      <c r="S32" s="132"/>
    </row>
    <row r="33" ht="54.75" customHeight="1">
      <c r="A33" s="111" t="s">
        <v>186</v>
      </c>
      <c r="B33" s="29"/>
      <c r="C33" s="29"/>
      <c r="D33" s="29"/>
      <c r="K33" s="73">
        <v>230892.0</v>
      </c>
      <c r="Q33" s="121"/>
      <c r="R33" s="17"/>
      <c r="S33" s="72"/>
    </row>
    <row r="34" ht="15.75" customHeight="1">
      <c r="A34" s="29" t="s">
        <v>187</v>
      </c>
      <c r="B34" s="28"/>
      <c r="C34" s="28"/>
      <c r="D34" s="28"/>
      <c r="F34" s="241" t="s">
        <v>188</v>
      </c>
      <c r="Q34" s="147" t="s">
        <v>140</v>
      </c>
      <c r="R34" s="148">
        <f>R18+R25+R32</f>
        <v>-232950</v>
      </c>
      <c r="S34" s="149"/>
    </row>
    <row r="35" ht="15.75" customHeight="1">
      <c r="A35" s="30" t="s">
        <v>189</v>
      </c>
      <c r="F35" s="73" t="s">
        <v>190</v>
      </c>
      <c r="Q35" s="121"/>
      <c r="R35" s="17"/>
      <c r="S35" s="132"/>
    </row>
    <row r="36" ht="15.75" customHeight="1">
      <c r="A36" s="20" t="s">
        <v>57</v>
      </c>
      <c r="B36" s="32"/>
      <c r="F36" s="73" t="s">
        <v>191</v>
      </c>
      <c r="Q36" s="121" t="s">
        <v>143</v>
      </c>
      <c r="R36" s="144">
        <f>B14+C21</f>
        <v>50664</v>
      </c>
      <c r="S36" s="72"/>
      <c r="T36" s="73" t="s">
        <v>192</v>
      </c>
    </row>
    <row r="37" ht="15.75" customHeight="1">
      <c r="A37" s="22"/>
      <c r="B37" s="24"/>
      <c r="C37" s="24"/>
      <c r="F37" s="73" t="s">
        <v>193</v>
      </c>
      <c r="Q37" s="153" t="s">
        <v>144</v>
      </c>
      <c r="R37" s="154">
        <f>R34+R36</f>
        <v>-182286</v>
      </c>
      <c r="S37" s="155"/>
    </row>
    <row r="38" ht="15.75" customHeight="1">
      <c r="A38" s="22"/>
      <c r="B38" s="22"/>
      <c r="C38" s="22"/>
    </row>
    <row r="39" ht="15.75" customHeight="1">
      <c r="C39" s="242" t="s">
        <v>194</v>
      </c>
    </row>
    <row r="40" ht="15.75" customHeight="1">
      <c r="C40" s="242" t="s">
        <v>195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Q2:S2"/>
    <mergeCell ref="A3:C4"/>
    <mergeCell ref="Q3:R3"/>
    <mergeCell ref="Q4:R4"/>
    <mergeCell ref="A30:D30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2021-01-09T16:24:30Z</dcterms:created>
  <dc:creator>anas ramdani</dc:creator>
</cp:coreProperties>
</file>