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" sheetId="1" r:id="rId4"/>
    <sheet state="visible" name="Données" sheetId="2" r:id="rId5"/>
    <sheet state="hidden" name="Feuil2" sheetId="3" r:id="rId6"/>
  </sheets>
  <definedNames/>
  <calcPr/>
  <extLst>
    <ext uri="GoogleSheetsCustomDataVersion1">
      <go:sheetsCustomData xmlns:go="http://customooxmlschemas.google.com/" r:id="rId7" roundtripDataSignature="AMtx7mgLLKVzkXVaLxgEuqkQX5MKT4DybA=="/>
    </ext>
  </extLst>
</workbook>
</file>

<file path=xl/sharedStrings.xml><?xml version="1.0" encoding="utf-8"?>
<sst xmlns="http://schemas.openxmlformats.org/spreadsheetml/2006/main" count="104" uniqueCount="73">
  <si>
    <t>NOM :</t>
  </si>
  <si>
    <t>Falicoff</t>
  </si>
  <si>
    <t>Prénom :</t>
  </si>
  <si>
    <t>Maximiliano</t>
  </si>
  <si>
    <t>Matricule:</t>
  </si>
  <si>
    <t>Gr:</t>
  </si>
  <si>
    <t>Samuel</t>
  </si>
  <si>
    <t>Simard</t>
  </si>
  <si>
    <t>Mitri</t>
  </si>
  <si>
    <t>Elie</t>
  </si>
  <si>
    <t>Question 1</t>
  </si>
  <si>
    <t>i</t>
  </si>
  <si>
    <t>Voici un diagramme de flux monétaire couvrant une période de temps infini (le montant de 300 $ se répète à l'infini). En considérant un taux d'intérêt de 9% annuellement, capitalisé (composé) annuellement, actualisez ses flux monétaires.</t>
  </si>
  <si>
    <t>Montants</t>
  </si>
  <si>
    <t>Fact.Act1</t>
  </si>
  <si>
    <t>Fact.Act2</t>
  </si>
  <si>
    <t>Fact.Act3</t>
  </si>
  <si>
    <t>Fact.Act4</t>
  </si>
  <si>
    <t>Montants act.</t>
  </si>
  <si>
    <t>Réponse</t>
  </si>
  <si>
    <t>Question 2</t>
  </si>
  <si>
    <r>
      <rPr>
        <rFont val="Calibri"/>
        <b/>
        <color theme="1"/>
        <sz val="11.0"/>
      </rPr>
      <t>i</t>
    </r>
    <r>
      <rPr>
        <rFont val="Calibri"/>
        <b/>
        <color theme="1"/>
        <sz val="5.0"/>
      </rPr>
      <t>1</t>
    </r>
  </si>
  <si>
    <r>
      <rPr>
        <rFont val="Calibri"/>
        <b/>
        <color theme="1"/>
        <sz val="11.0"/>
      </rPr>
      <t>i</t>
    </r>
    <r>
      <rPr>
        <rFont val="Calibri"/>
        <b/>
        <color theme="1"/>
        <sz val="5.0"/>
      </rPr>
      <t>2</t>
    </r>
  </si>
  <si>
    <t xml:space="preserve">Voici un diagramme de flux monétaire qui représente deux taux d’intérêt différents couvrant une période de 24 ans. L’intérêt est capitalisé (composé) annuellement. </t>
  </si>
  <si>
    <t>2000.1800.1600.1400</t>
  </si>
  <si>
    <r>
      <rPr>
        <rFont val="Calibri"/>
        <b/>
        <color theme="1"/>
        <sz val="11.0"/>
      </rPr>
      <t>i</t>
    </r>
    <r>
      <rPr>
        <rFont val="Calibri"/>
        <b/>
        <color theme="1"/>
        <sz val="5.0"/>
      </rPr>
      <t>1</t>
    </r>
  </si>
  <si>
    <t>Montants convert.</t>
  </si>
  <si>
    <t>2000-1800-1600-1400</t>
  </si>
  <si>
    <t xml:space="preserve">a)      Calculez la valeur actualisée à l’année 0, en utilisant le moins de facteurs possibles. </t>
  </si>
  <si>
    <t xml:space="preserve">b)     En considérant seulement un seul taux d’intérêt (i1=8%) pour la période de 24 ans, calculez la somme des flux monétaires à l’année 7. </t>
  </si>
  <si>
    <t>Question 3</t>
  </si>
  <si>
    <t>Un équipement coûte 105 000 $ à l’achat et a une durée de vie de 20 ans. À la fin de cette période, la valeur résiduelle est de 15 000 $. Les coûts d’entretien et de réparation sont de 3 000 $ la première année. Ces coûts augmentent à raison de 1 250 $ par année jusqu’à la fin de la durée de vie du véhicule. Supposez un taux d’intérêt de 11%. Quelle est l’annuité correspondant au véhicule ?</t>
  </si>
  <si>
    <t>Question 4</t>
  </si>
  <si>
    <t>Montant Max</t>
  </si>
  <si>
    <t>Le 23 décembre 2020, vous avez eu un enfant et vous décidez d'investir dans un REEE.</t>
  </si>
  <si>
    <t>Le fédéral vous donne 20% de subvention pour un maximum de 500 $/année et de 7 200 $ à vie de la personne.</t>
  </si>
  <si>
    <t>Réponse a</t>
  </si>
  <si>
    <t>Le provincial vous donne 10% de subvention pour un maximum de 250 $/année et de 3 600 $ à vie de la personne.</t>
  </si>
  <si>
    <t>if</t>
  </si>
  <si>
    <t>Montant fin anee 14</t>
  </si>
  <si>
    <t>Les placements rapportent 4% annuellement et si l’on se fie aux 10 dernières années, l'inflation moyenne serait de 1,69% par année.</t>
  </si>
  <si>
    <t>Montant a vie</t>
  </si>
  <si>
    <t>Afin de simplifier le problème, les subventions sont déposées en même temps que vos dépôts.</t>
  </si>
  <si>
    <t>14.4 ans</t>
  </si>
  <si>
    <t>13 ans</t>
  </si>
  <si>
    <t>a) Combien devez-vous mettre annuellement afin de maximiser les subventions?</t>
  </si>
  <si>
    <t>b) Combien votre enfant aurait-il dans son REEE à la fin de l'année où il aura ses 18 ans?</t>
  </si>
  <si>
    <t>14e annee</t>
  </si>
  <si>
    <t>c) Si à ces 18 ans, votre enfant veut s'acheter un immeuble et qu'il doit mettre une mise de fonds de 10%, quelle est la valeur maximum de l'immeuble qu'il pourrait s'acheter en valeur d'aujourd'hui (en considérant l'inflation)?</t>
  </si>
  <si>
    <t>Réponse b</t>
  </si>
  <si>
    <t>Montant courant</t>
  </si>
  <si>
    <t>Valeur immeuble</t>
  </si>
  <si>
    <t>Réponse c</t>
  </si>
  <si>
    <t>Question 5 (Bonus)</t>
  </si>
  <si>
    <t>Interets semestrielle</t>
  </si>
  <si>
    <r>
      <rPr>
        <rFont val="Calibri"/>
        <b/>
        <color theme="1"/>
        <sz val="11.0"/>
      </rPr>
      <t>5.1</t>
    </r>
    <r>
      <rPr>
        <rFont val="Calibri"/>
        <b val="0"/>
        <color theme="1"/>
        <sz val="11.0"/>
      </rPr>
      <t xml:space="preserve"> Vous songez à acheter une obligation d’une valeur nominale de 1 500 $, dont les intérêts sont versés semestriellement avec un taux d’intérêt annuel de 5%. Vous désirez obtenir un rendement annuel de 11% composé semestriellement.  Présumez que l’obligation arrivera à échéance à sa valeur nominale dans 10 ans et que vous conserverez cette obligation jusqu’à cette date.</t>
    </r>
  </si>
  <si>
    <t>TRAM effectif</t>
  </si>
  <si>
    <t>VA</t>
  </si>
  <si>
    <t xml:space="preserve">Quel est le montant maximal que vous seriez prêt à payer aujourd’hui pour acquérir cette obligation ? </t>
  </si>
  <si>
    <r>
      <rPr>
        <rFont val="Calibri"/>
        <b/>
        <color theme="1"/>
        <sz val="11.0"/>
      </rPr>
      <t xml:space="preserve">5.2 </t>
    </r>
    <r>
      <rPr>
        <rFont val="Calibri"/>
        <b val="0"/>
        <color theme="1"/>
        <sz val="11.0"/>
      </rPr>
      <t>(indépendante de 5.1)</t>
    </r>
  </si>
  <si>
    <t>Réponse 5.1</t>
  </si>
  <si>
    <t>Vous possédez aujourd’hui une obligation qui vaut 600 $. Les coupons sont payables deux fois par année avec un taux de 9%. Présumez que l’obligation arrivera à échéance à sa valeur nominale, soit 900 $, dans 9 ans. Quel taux de rendement annuel effectif moyen réaliserez-vous ?</t>
  </si>
  <si>
    <t>Coupons</t>
  </si>
  <si>
    <t>/semestre</t>
  </si>
  <si>
    <t>Echeance</t>
  </si>
  <si>
    <t>VN</t>
  </si>
  <si>
    <t>P0</t>
  </si>
  <si>
    <t>Interpolation en page Donnees</t>
  </si>
  <si>
    <t>Réponse 5.2</t>
  </si>
  <si>
    <t>Entre 10 et 11</t>
  </si>
  <si>
    <t>r</t>
  </si>
  <si>
    <t>rendement annuel</t>
  </si>
  <si>
    <t>rendement effectif annuel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</si>
</sst>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_);[Red]\(&quot;$&quot;#,##0.00\)"/>
    <numFmt numFmtId="165" formatCode="_ * #,##0_)\ &quot;$&quot;_ ;_ * \(#,##0\)\ &quot;$&quot;_ ;_ * &quot;-&quot;??_)\ &quot;$&quot;_ ;_ @_ "/>
    <numFmt numFmtId="166" formatCode="_(&quot;$&quot;* #,##0.00_);_(&quot;$&quot;* \(#,##0.00\);_(&quot;$&quot;* &quot;-&quot;??_);_(@_)"/>
    <numFmt numFmtId="167" formatCode="&quot;$&quot;#,##0.00"/>
    <numFmt numFmtId="168" formatCode="_ * #,##0.00_)\ &quot;$&quot;_ ;_ * \(#,##0.00\)\ &quot;$&quot;_ ;_ * &quot;-&quot;??_)\ &quot;$&quot;_ ;_ @_ "/>
    <numFmt numFmtId="169" formatCode="0.00%&quot;/an&quot;"/>
  </numFmts>
  <fonts count="12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  <font/>
    <font>
      <sz val="11.0"/>
      <color rgb="FF000000"/>
      <name val="Calibri"/>
    </font>
    <font>
      <sz val="12.0"/>
      <color theme="1"/>
      <name val="Calibri"/>
    </font>
    <font>
      <sz val="11.0"/>
    </font>
    <font>
      <color theme="1"/>
      <name val="Calibri"/>
    </font>
    <font>
      <b/>
      <sz val="12.0"/>
      <color theme="1"/>
      <name val="Calibri"/>
    </font>
    <font>
      <b/>
      <u/>
      <sz val="11.0"/>
      <color theme="1"/>
      <name val="Calibri"/>
    </font>
    <font>
      <i/>
      <sz val="11.0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1" numFmtId="9" xfId="0" applyAlignment="1" applyBorder="1" applyFont="1" applyNumberFormat="1">
      <alignment readingOrder="0"/>
    </xf>
    <xf borderId="7" fillId="0" fontId="2" numFmtId="0" xfId="0" applyBorder="1" applyFont="1"/>
    <xf borderId="4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shrinkToFit="0" wrapText="1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4" fillId="0" fontId="4" numFmtId="0" xfId="0" applyBorder="1" applyFont="1"/>
    <xf borderId="12" fillId="0" fontId="2" numFmtId="0" xfId="0" applyBorder="1" applyFont="1"/>
    <xf borderId="13" fillId="0" fontId="2" numFmtId="164" xfId="0" applyBorder="1" applyFont="1" applyNumberFormat="1"/>
    <xf borderId="13" fillId="0" fontId="2" numFmtId="0" xfId="0" applyBorder="1" applyFont="1"/>
    <xf borderId="14" fillId="0" fontId="2" numFmtId="0" xfId="0" applyBorder="1" applyFont="1"/>
    <xf borderId="15" fillId="0" fontId="2" numFmtId="164" xfId="0" applyBorder="1" applyFont="1" applyNumberForma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1" numFmtId="0" xfId="0" applyAlignment="1" applyBorder="1" applyFont="1">
      <alignment horizontal="right"/>
    </xf>
    <xf borderId="20" fillId="0" fontId="4" numFmtId="0" xfId="0" applyBorder="1" applyFont="1"/>
    <xf borderId="21" fillId="2" fontId="1" numFmtId="165" xfId="0" applyBorder="1" applyFill="1" applyFont="1" applyNumberFormat="1"/>
    <xf borderId="12" fillId="0" fontId="2" numFmtId="0" xfId="0" applyAlignment="1" applyBorder="1" applyFont="1">
      <alignment horizontal="right"/>
    </xf>
    <xf borderId="13" fillId="0" fontId="2" numFmtId="2" xfId="0" applyBorder="1" applyFont="1" applyNumberFormat="1"/>
    <xf borderId="14" fillId="0" fontId="2" numFmtId="2" xfId="0" applyBorder="1" applyFont="1" applyNumberFormat="1"/>
    <xf borderId="15" fillId="0" fontId="2" numFmtId="2" xfId="0" applyBorder="1" applyFont="1" applyNumberFormat="1"/>
    <xf borderId="12" fillId="0" fontId="2" numFmtId="3" xfId="0" applyAlignment="1" applyBorder="1" applyFont="1" applyNumberFormat="1">
      <alignment horizontal="right" readingOrder="0"/>
    </xf>
    <xf borderId="0" fillId="3" fontId="5" numFmtId="0" xfId="0" applyAlignment="1" applyFill="1" applyFont="1">
      <alignment horizontal="right"/>
    </xf>
    <xf borderId="16" fillId="0" fontId="2" numFmtId="165" xfId="0" applyBorder="1" applyFont="1" applyNumberFormat="1"/>
    <xf borderId="17" fillId="0" fontId="2" numFmtId="2" xfId="0" applyBorder="1" applyFont="1" applyNumberFormat="1"/>
    <xf borderId="18" fillId="0" fontId="2" numFmtId="2" xfId="0" applyBorder="1" applyFont="1" applyNumberFormat="1"/>
    <xf borderId="22" fillId="0" fontId="2" numFmtId="2" xfId="0" applyBorder="1" applyFont="1" applyNumberFormat="1"/>
    <xf borderId="0" fillId="0" fontId="2" numFmtId="2" xfId="0" applyFont="1" applyNumberFormat="1"/>
    <xf borderId="19" fillId="0" fontId="1" numFmtId="2" xfId="0" applyAlignment="1" applyBorder="1" applyFont="1" applyNumberFormat="1">
      <alignment horizontal="right"/>
    </xf>
    <xf borderId="21" fillId="2" fontId="1" numFmtId="2" xfId="0" applyAlignment="1" applyBorder="1" applyFont="1" applyNumberFormat="1">
      <alignment readingOrder="0"/>
    </xf>
    <xf borderId="0" fillId="0" fontId="2" numFmtId="2" xfId="0" applyAlignment="1" applyFont="1" applyNumberFormat="1">
      <alignment shrinkToFit="0" wrapText="1"/>
    </xf>
    <xf borderId="5" fillId="0" fontId="1" numFmtId="2" xfId="0" applyBorder="1" applyFont="1" applyNumberFormat="1"/>
    <xf borderId="6" fillId="0" fontId="1" numFmtId="2" xfId="0" applyAlignment="1" applyBorder="1" applyFont="1" applyNumberFormat="1">
      <alignment readingOrder="0"/>
    </xf>
    <xf borderId="9" fillId="0" fontId="1" numFmtId="2" xfId="0" applyBorder="1" applyFont="1" applyNumberFormat="1"/>
    <xf borderId="10" fillId="0" fontId="1" numFmtId="2" xfId="0" applyBorder="1" applyFont="1" applyNumberFormat="1"/>
    <xf borderId="11" fillId="0" fontId="1" numFmtId="2" xfId="0" applyBorder="1" applyFont="1" applyNumberFormat="1"/>
    <xf borderId="7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left"/>
    </xf>
    <xf borderId="13" fillId="0" fontId="2" numFmtId="2" xfId="0" applyAlignment="1" applyBorder="1" applyFont="1" applyNumberFormat="1">
      <alignment readingOrder="0"/>
    </xf>
    <xf borderId="23" fillId="0" fontId="1" numFmtId="2" xfId="0" applyBorder="1" applyFont="1" applyNumberFormat="1"/>
    <xf borderId="24" fillId="0" fontId="1" numFmtId="2" xfId="0" applyBorder="1" applyFont="1" applyNumberFormat="1"/>
    <xf borderId="21" fillId="2" fontId="1" numFmtId="2" xfId="0" applyBorder="1" applyFont="1" applyNumberFormat="1"/>
    <xf borderId="2" fillId="0" fontId="1" numFmtId="0" xfId="0" applyAlignment="1" applyBorder="1" applyFont="1">
      <alignment vertical="center"/>
    </xf>
    <xf borderId="25" fillId="0" fontId="1" numFmtId="2" xfId="0" applyBorder="1" applyFont="1" applyNumberFormat="1"/>
    <xf borderId="26" fillId="0" fontId="1" numFmtId="2" xfId="0" applyBorder="1" applyFont="1" applyNumberFormat="1"/>
    <xf borderId="2" fillId="0" fontId="2" numFmtId="2" xfId="0" applyBorder="1" applyFont="1" applyNumberFormat="1"/>
    <xf borderId="4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27" fillId="0" fontId="2" numFmtId="0" xfId="0" applyAlignment="1" applyBorder="1" applyFont="1">
      <alignment readingOrder="0"/>
    </xf>
    <xf borderId="28" fillId="0" fontId="2" numFmtId="2" xfId="0" applyBorder="1" applyFont="1" applyNumberFormat="1"/>
    <xf borderId="0" fillId="0" fontId="7" numFmtId="2" xfId="0" applyFont="1" applyNumberFormat="1"/>
    <xf borderId="0" fillId="0" fontId="7" numFmtId="2" xfId="0" applyAlignment="1" applyFont="1" applyNumberFormat="1">
      <alignment readingOrder="0"/>
    </xf>
    <xf borderId="27" fillId="0" fontId="7" numFmtId="0" xfId="0" applyAlignment="1" applyBorder="1" applyFont="1">
      <alignment readingOrder="0"/>
    </xf>
    <xf borderId="27" fillId="0" fontId="2" numFmtId="0" xfId="0" applyBorder="1" applyFont="1"/>
    <xf borderId="28" fillId="0" fontId="2" numFmtId="2" xfId="0" applyAlignment="1" applyBorder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29" fillId="0" fontId="2" numFmtId="0" xfId="0" applyBorder="1" applyFont="1"/>
    <xf borderId="24" fillId="0" fontId="2" numFmtId="2" xfId="0" applyBorder="1" applyFont="1" applyNumberFormat="1"/>
    <xf borderId="19" fillId="0" fontId="1" numFmtId="2" xfId="0" applyBorder="1" applyFont="1" applyNumberFormat="1"/>
    <xf borderId="30" fillId="2" fontId="1" numFmtId="2" xfId="0" applyAlignment="1" applyBorder="1" applyFont="1" applyNumberFormat="1">
      <alignment horizontal="right"/>
    </xf>
    <xf borderId="26" fillId="0" fontId="4" numFmtId="0" xfId="0" applyBorder="1" applyFont="1"/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4" fillId="0" fontId="1" numFmtId="0" xfId="0" applyBorder="1" applyFont="1"/>
    <xf borderId="34" fillId="0" fontId="2" numFmtId="166" xfId="0" applyAlignment="1" applyBorder="1" applyFont="1" applyNumberFormat="1">
      <alignment readingOrder="0"/>
    </xf>
    <xf borderId="35" fillId="0" fontId="2" numFmtId="166" xfId="0" applyAlignment="1" applyBorder="1" applyFont="1" applyNumberFormat="1">
      <alignment readingOrder="0"/>
    </xf>
    <xf borderId="35" fillId="0" fontId="2" numFmtId="166" xfId="0" applyBorder="1" applyFont="1" applyNumberFormat="1"/>
    <xf borderId="36" fillId="0" fontId="2" numFmtId="166" xfId="0" applyBorder="1" applyFont="1" applyNumberFormat="1"/>
    <xf borderId="27" fillId="0" fontId="2" numFmtId="166" xfId="0" applyBorder="1" applyFont="1" applyNumberFormat="1"/>
    <xf borderId="0" fillId="0" fontId="2" numFmtId="166" xfId="0" applyFont="1" applyNumberFormat="1"/>
    <xf borderId="28" fillId="0" fontId="2" numFmtId="166" xfId="0" applyBorder="1" applyFont="1" applyNumberFormat="1"/>
    <xf borderId="29" fillId="0" fontId="2" numFmtId="166" xfId="0" applyBorder="1" applyFont="1" applyNumberFormat="1"/>
    <xf borderId="24" fillId="0" fontId="2" numFmtId="166" xfId="0" applyBorder="1" applyFont="1" applyNumberFormat="1"/>
    <xf borderId="19" fillId="0" fontId="1" numFmtId="166" xfId="0" applyBorder="1" applyFont="1" applyNumberFormat="1"/>
    <xf borderId="30" fillId="2" fontId="1" numFmtId="166" xfId="0" applyAlignment="1" applyBorder="1" applyFont="1" applyNumberFormat="1">
      <alignment horizontal="right"/>
    </xf>
    <xf borderId="35" fillId="0" fontId="2" numFmtId="10" xfId="0" applyBorder="1" applyFont="1" applyNumberFormat="1"/>
    <xf borderId="35" fillId="0" fontId="2" numFmtId="166" xfId="0" applyAlignment="1" applyBorder="1" applyFont="1" applyNumberFormat="1">
      <alignment shrinkToFit="0" wrapText="1"/>
    </xf>
    <xf borderId="35" fillId="0" fontId="2" numFmtId="166" xfId="0" applyAlignment="1" applyBorder="1" applyFont="1" applyNumberFormat="1">
      <alignment readingOrder="0" shrinkToFit="0" wrapText="1"/>
    </xf>
    <xf borderId="36" fillId="0" fontId="2" numFmtId="166" xfId="0" applyAlignment="1" applyBorder="1" applyFont="1" applyNumberFormat="1">
      <alignment readingOrder="0" shrinkToFit="0" wrapText="1"/>
    </xf>
    <xf borderId="27" fillId="0" fontId="2" numFmtId="166" xfId="0" applyAlignment="1" applyBorder="1" applyFont="1" applyNumberFormat="1">
      <alignment readingOrder="0"/>
    </xf>
    <xf borderId="0" fillId="0" fontId="2" numFmtId="166" xfId="0" applyAlignment="1" applyFont="1" applyNumberFormat="1">
      <alignment readingOrder="0"/>
    </xf>
    <xf borderId="28" fillId="0" fontId="8" numFmtId="166" xfId="0" applyBorder="1" applyFont="1" applyNumberFormat="1"/>
    <xf borderId="27" fillId="0" fontId="8" numFmtId="166" xfId="0" applyBorder="1" applyFont="1" applyNumberFormat="1"/>
    <xf borderId="0" fillId="0" fontId="8" numFmtId="166" xfId="0" applyFont="1" applyNumberFormat="1"/>
    <xf borderId="0" fillId="0" fontId="2" numFmtId="166" xfId="0" applyAlignment="1" applyFont="1" applyNumberFormat="1">
      <alignment horizontal="center"/>
    </xf>
    <xf borderId="0" fillId="0" fontId="2" numFmtId="166" xfId="0" applyAlignment="1" applyFont="1" applyNumberFormat="1">
      <alignment horizontal="right"/>
    </xf>
    <xf borderId="0" fillId="0" fontId="9" numFmtId="166" xfId="0" applyFont="1" applyNumberFormat="1"/>
    <xf borderId="28" fillId="0" fontId="9" numFmtId="166" xfId="0" applyBorder="1" applyFont="1" applyNumberFormat="1"/>
    <xf borderId="7" fillId="0" fontId="2" numFmtId="165" xfId="0" applyBorder="1" applyFont="1" applyNumberFormat="1"/>
    <xf borderId="0" fillId="0" fontId="2" numFmtId="166" xfId="0" applyAlignment="1" applyFont="1" applyNumberFormat="1">
      <alignment horizontal="center" shrinkToFit="0" wrapText="1"/>
    </xf>
    <xf borderId="0" fillId="0" fontId="6" numFmtId="166" xfId="0" applyFont="1" applyNumberFormat="1"/>
    <xf borderId="1" fillId="0" fontId="10" numFmtId="0" xfId="0" applyAlignment="1" applyBorder="1" applyFont="1">
      <alignment horizontal="left" vertical="center"/>
    </xf>
    <xf borderId="2" fillId="0" fontId="4" numFmtId="0" xfId="0" applyBorder="1" applyFont="1"/>
    <xf borderId="4" fillId="0" fontId="1" numFmtId="0" xfId="0" applyAlignment="1" applyBorder="1" applyFont="1">
      <alignment horizontal="left" vertical="center"/>
    </xf>
    <xf borderId="34" fillId="0" fontId="2" numFmtId="167" xfId="0" applyAlignment="1" applyBorder="1" applyFont="1" applyNumberFormat="1">
      <alignment readingOrder="0"/>
    </xf>
    <xf borderId="35" fillId="0" fontId="2" numFmtId="167" xfId="0" applyBorder="1" applyFont="1" applyNumberFormat="1"/>
    <xf borderId="36" fillId="0" fontId="2" numFmtId="167" xfId="0" applyBorder="1" applyFont="1" applyNumberFormat="1"/>
    <xf borderId="4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27" fillId="0" fontId="2" numFmtId="167" xfId="0" applyBorder="1" applyFont="1" applyNumberFormat="1"/>
    <xf borderId="0" fillId="0" fontId="2" numFmtId="167" xfId="0" applyFont="1" applyNumberFormat="1"/>
    <xf borderId="0" fillId="0" fontId="2" numFmtId="167" xfId="0" applyAlignment="1" applyFont="1" applyNumberFormat="1">
      <alignment horizontal="center"/>
    </xf>
    <xf borderId="28" fillId="0" fontId="2" numFmtId="167" xfId="0" applyBorder="1" applyFont="1" applyNumberFormat="1"/>
    <xf borderId="27" fillId="0" fontId="2" numFmtId="167" xfId="0" applyAlignment="1" applyBorder="1" applyFont="1" applyNumberFormat="1">
      <alignment readingOrder="0"/>
    </xf>
    <xf borderId="0" fillId="0" fontId="2" numFmtId="10" xfId="0" applyFont="1" applyNumberFormat="1"/>
    <xf borderId="0" fillId="0" fontId="2" numFmtId="167" xfId="0" applyAlignment="1" applyFont="1" applyNumberFormat="1">
      <alignment readingOrder="0"/>
    </xf>
    <xf borderId="0" fillId="0" fontId="2" numFmtId="167" xfId="0" applyAlignment="1" applyFont="1" applyNumberFormat="1">
      <alignment shrinkToFit="0" wrapText="1"/>
    </xf>
    <xf borderId="28" fillId="0" fontId="2" numFmtId="167" xfId="0" applyAlignment="1" applyBorder="1" applyFont="1" applyNumberFormat="1">
      <alignment shrinkToFit="0" wrapText="1"/>
    </xf>
    <xf borderId="4" fillId="0" fontId="2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0" fillId="0" fontId="2" numFmtId="167" xfId="0" applyAlignment="1" applyFont="1" applyNumberFormat="1">
      <alignment horizontal="center" shrinkToFit="0" wrapText="1"/>
    </xf>
    <xf borderId="29" fillId="0" fontId="2" numFmtId="167" xfId="0" applyBorder="1" applyFont="1" applyNumberFormat="1"/>
    <xf borderId="24" fillId="0" fontId="2" numFmtId="167" xfId="0" applyBorder="1" applyFont="1" applyNumberFormat="1"/>
    <xf borderId="19" fillId="0" fontId="1" numFmtId="167" xfId="0" applyBorder="1" applyFont="1" applyNumberFormat="1"/>
    <xf borderId="30" fillId="2" fontId="1" numFmtId="167" xfId="0" applyAlignment="1" applyBorder="1" applyFont="1" applyNumberFormat="1">
      <alignment horizontal="right"/>
    </xf>
    <xf borderId="4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34" fillId="0" fontId="2" numFmtId="0" xfId="0" applyAlignment="1" applyBorder="1" applyFont="1">
      <alignment readingOrder="0"/>
    </xf>
    <xf borderId="35" fillId="0" fontId="2" numFmtId="0" xfId="0" applyBorder="1" applyFont="1"/>
    <xf borderId="35" fillId="0" fontId="2" numFmtId="0" xfId="0" applyAlignment="1" applyBorder="1" applyFont="1">
      <alignment readingOrder="0"/>
    </xf>
    <xf borderId="35" fillId="0" fontId="2" numFmtId="0" xfId="0" applyAlignment="1" applyBorder="1" applyFont="1">
      <alignment horizontal="center"/>
    </xf>
    <xf borderId="36" fillId="0" fontId="2" numFmtId="0" xfId="0" applyBorder="1" applyFont="1"/>
    <xf borderId="28" fillId="0" fontId="2" numFmtId="0" xfId="0" applyBorder="1" applyFont="1"/>
    <xf borderId="0" fillId="0" fontId="2" numFmtId="168" xfId="0" applyFont="1" applyNumberFormat="1"/>
    <xf borderId="27" fillId="0" fontId="11" numFmtId="0" xfId="0" applyAlignment="1" applyBorder="1" applyFont="1">
      <alignment readingOrder="0"/>
    </xf>
    <xf borderId="24" fillId="0" fontId="2" numFmtId="0" xfId="0" applyBorder="1" applyFont="1"/>
    <xf borderId="19" fillId="0" fontId="1" numFmtId="0" xfId="0" applyBorder="1" applyFont="1"/>
    <xf borderId="19" fillId="2" fontId="1" numFmtId="169" xfId="0" applyAlignment="1" applyBorder="1" applyFont="1" applyNumberFormat="1">
      <alignment horizontal="right"/>
    </xf>
    <xf borderId="32" fillId="0" fontId="2" numFmtId="168" xfId="0" applyBorder="1" applyFont="1" applyNumberFormat="1"/>
    <xf borderId="0" fillId="0" fontId="8" numFmtId="0" xfId="0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8</xdr:row>
      <xdr:rowOff>123825</xdr:rowOff>
    </xdr:from>
    <xdr:ext cx="4629150" cy="13620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561975</xdr:colOff>
      <xdr:row>20</xdr:row>
      <xdr:rowOff>114300</xdr:rowOff>
    </xdr:from>
    <xdr:ext cx="7105650" cy="2505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3.75"/>
    <col customWidth="1" min="4" max="4" width="13.38"/>
    <col customWidth="1" min="5" max="5" width="10.0"/>
    <col customWidth="1" min="6" max="6" width="13.38"/>
    <col customWidth="1" min="7" max="7" width="12.13"/>
    <col customWidth="1" min="8" max="8" width="19.88"/>
    <col customWidth="1" min="9" max="9" width="13.38"/>
    <col customWidth="1" min="10" max="10" width="10.0"/>
    <col customWidth="1" min="11" max="11" width="13.38"/>
    <col customWidth="1" min="12" max="12" width="10.0"/>
    <col customWidth="1" min="13" max="13" width="13.25"/>
    <col customWidth="1" min="14" max="14" width="18.5"/>
    <col customWidth="1" min="15" max="15" width="14.13"/>
    <col customWidth="1" min="16" max="16" width="11.13"/>
    <col customWidth="1" min="17" max="18" width="13.38"/>
    <col customWidth="1" min="19" max="19" width="15.25"/>
    <col customWidth="1" min="20" max="20" width="16.63"/>
    <col customWidth="1" min="21" max="26" width="10.0"/>
  </cols>
  <sheetData>
    <row r="1">
      <c r="A1" s="1" t="s">
        <v>0</v>
      </c>
      <c r="B1" s="2" t="s">
        <v>1</v>
      </c>
      <c r="D1" s="1" t="s">
        <v>2</v>
      </c>
      <c r="E1" s="2" t="s">
        <v>3</v>
      </c>
      <c r="G1" s="3" t="s">
        <v>4</v>
      </c>
      <c r="H1" s="4">
        <v>2013658.0</v>
      </c>
      <c r="J1" s="3" t="s">
        <v>5</v>
      </c>
      <c r="K1" s="5">
        <v>6.0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0</v>
      </c>
      <c r="B2" s="2" t="s">
        <v>6</v>
      </c>
      <c r="D2" s="1" t="s">
        <v>2</v>
      </c>
      <c r="E2" s="2" t="s">
        <v>7</v>
      </c>
      <c r="G2" s="3" t="s">
        <v>4</v>
      </c>
      <c r="H2" s="4">
        <v>2025123.0</v>
      </c>
      <c r="J2" s="3" t="s">
        <v>5</v>
      </c>
      <c r="K2" s="7">
        <v>6.0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0</v>
      </c>
      <c r="B3" s="2" t="s">
        <v>8</v>
      </c>
      <c r="D3" s="1" t="s">
        <v>2</v>
      </c>
      <c r="E3" s="2" t="s">
        <v>9</v>
      </c>
      <c r="G3" s="3" t="s">
        <v>4</v>
      </c>
      <c r="H3" s="4">
        <v>1744525.0</v>
      </c>
      <c r="J3" s="3" t="s">
        <v>5</v>
      </c>
      <c r="K3" s="7">
        <v>5.0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6"/>
      <c r="Y5" s="6"/>
      <c r="Z5" s="6"/>
    </row>
    <row r="6">
      <c r="A6" s="1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2" t="s">
        <v>11</v>
      </c>
      <c r="P6" s="13">
        <v>0.09</v>
      </c>
      <c r="Q6" s="6"/>
      <c r="R6" s="6"/>
      <c r="S6" s="6"/>
      <c r="T6" s="6"/>
      <c r="U6" s="6"/>
      <c r="V6" s="6"/>
      <c r="W6" s="14"/>
      <c r="X6" s="6"/>
      <c r="Y6" s="6"/>
      <c r="Z6" s="6"/>
    </row>
    <row r="7" ht="15.0" customHeight="1">
      <c r="A7" s="15" t="s">
        <v>12</v>
      </c>
      <c r="I7" s="16"/>
      <c r="J7" s="16"/>
      <c r="K7" s="16"/>
      <c r="L7" s="6"/>
      <c r="M7" s="6"/>
      <c r="N7" s="17" t="s">
        <v>13</v>
      </c>
      <c r="O7" s="18" t="s">
        <v>14</v>
      </c>
      <c r="P7" s="18" t="s">
        <v>15</v>
      </c>
      <c r="Q7" s="18" t="s">
        <v>16</v>
      </c>
      <c r="R7" s="19" t="s">
        <v>17</v>
      </c>
      <c r="S7" s="20" t="s">
        <v>18</v>
      </c>
      <c r="T7" s="6"/>
      <c r="U7" s="6"/>
      <c r="V7" s="6"/>
      <c r="W7" s="14"/>
      <c r="X7" s="6"/>
      <c r="Y7" s="6"/>
      <c r="Z7" s="6"/>
    </row>
    <row r="8">
      <c r="A8" s="21"/>
      <c r="I8" s="16"/>
      <c r="J8" s="16"/>
      <c r="K8" s="16"/>
      <c r="L8" s="6"/>
      <c r="M8" s="6"/>
      <c r="N8" s="22">
        <v>700.0</v>
      </c>
      <c r="O8" s="23">
        <f>PV(0.09, 4, -1)</f>
        <v>3.239719877</v>
      </c>
      <c r="P8" s="24"/>
      <c r="Q8" s="24"/>
      <c r="R8" s="25"/>
      <c r="S8" s="26">
        <f>N8*O8</f>
        <v>2267.803914</v>
      </c>
      <c r="T8" s="6"/>
      <c r="U8" s="6"/>
      <c r="V8" s="6"/>
      <c r="W8" s="14"/>
      <c r="X8" s="6"/>
      <c r="Y8" s="6"/>
      <c r="Z8" s="6"/>
    </row>
    <row r="9">
      <c r="A9" s="1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22">
        <v>1000.0</v>
      </c>
      <c r="O9" s="23">
        <f>PV(0.09, 3, -1)</f>
        <v>2.531294666</v>
      </c>
      <c r="P9" s="23">
        <f>PV(0.09, 4,, -1)</f>
        <v>0.7084252111</v>
      </c>
      <c r="Q9" s="24"/>
      <c r="R9" s="25"/>
      <c r="S9" s="26">
        <f>N9*O9*P9</f>
        <v>1793.232958</v>
      </c>
      <c r="T9" s="6"/>
      <c r="U9" s="6"/>
      <c r="V9" s="6"/>
      <c r="W9" s="14"/>
      <c r="X9" s="6"/>
      <c r="Y9" s="6"/>
      <c r="Z9" s="6"/>
    </row>
    <row r="10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2">
        <v>300.0</v>
      </c>
      <c r="O10" s="23">
        <f>PV(0.09, 8,,-1)</f>
        <v>0.5018662797</v>
      </c>
      <c r="P10" s="23"/>
      <c r="Q10" s="23"/>
      <c r="R10" s="25"/>
      <c r="S10" s="26">
        <f>N10*O10</f>
        <v>150.5598839</v>
      </c>
      <c r="T10" s="6"/>
      <c r="U10" s="6"/>
      <c r="V10" s="6"/>
      <c r="W10" s="14"/>
      <c r="X10" s="6"/>
      <c r="Y10" s="6"/>
      <c r="Z10" s="6"/>
    </row>
    <row r="11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22"/>
      <c r="O11" s="24"/>
      <c r="P11" s="24"/>
      <c r="Q11" s="24"/>
      <c r="R11" s="25"/>
      <c r="S11" s="26">
        <f t="shared" ref="S11:S14" si="1">SUM(O11:R11)</f>
        <v>0</v>
      </c>
      <c r="T11" s="6"/>
      <c r="U11" s="6"/>
      <c r="V11" s="6"/>
      <c r="W11" s="14"/>
      <c r="X11" s="6"/>
      <c r="Y11" s="6"/>
      <c r="Z11" s="6"/>
    </row>
    <row r="1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22"/>
      <c r="O12" s="24"/>
      <c r="P12" s="24"/>
      <c r="Q12" s="24"/>
      <c r="R12" s="25"/>
      <c r="S12" s="26">
        <f t="shared" si="1"/>
        <v>0</v>
      </c>
      <c r="T12" s="6"/>
      <c r="U12" s="6"/>
      <c r="V12" s="6"/>
      <c r="W12" s="14"/>
      <c r="X12" s="6"/>
      <c r="Y12" s="6"/>
      <c r="Z12" s="6"/>
    </row>
    <row r="13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22"/>
      <c r="O13" s="24"/>
      <c r="P13" s="24"/>
      <c r="Q13" s="24"/>
      <c r="R13" s="25"/>
      <c r="S13" s="26">
        <f t="shared" si="1"/>
        <v>0</v>
      </c>
      <c r="T13" s="6"/>
      <c r="U13" s="6"/>
      <c r="V13" s="6"/>
      <c r="W13" s="14"/>
      <c r="X13" s="6"/>
      <c r="Y13" s="6"/>
      <c r="Z13" s="6"/>
    </row>
    <row r="14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27"/>
      <c r="O14" s="28"/>
      <c r="P14" s="28"/>
      <c r="Q14" s="28"/>
      <c r="R14" s="29"/>
      <c r="S14" s="26">
        <f t="shared" si="1"/>
        <v>0</v>
      </c>
      <c r="T14" s="6"/>
      <c r="U14" s="6"/>
      <c r="V14" s="6"/>
      <c r="W14" s="14"/>
      <c r="X14" s="6"/>
      <c r="Y14" s="6"/>
      <c r="Z14" s="6"/>
    </row>
    <row r="15">
      <c r="A15" s="1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30" t="s">
        <v>19</v>
      </c>
      <c r="R15" s="31"/>
      <c r="S15" s="32">
        <f>SUM(S8:S14)</f>
        <v>4211.596756</v>
      </c>
      <c r="T15" s="6"/>
      <c r="U15" s="6"/>
      <c r="V15" s="6"/>
      <c r="W15" s="14"/>
      <c r="X15" s="6"/>
      <c r="Y15" s="6"/>
      <c r="Z15" s="6"/>
    </row>
    <row r="16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4"/>
      <c r="X16" s="6"/>
      <c r="Y16" s="6"/>
      <c r="Z16" s="6"/>
    </row>
    <row r="17">
      <c r="A17" s="8" t="s">
        <v>20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2" t="s">
        <v>21</v>
      </c>
      <c r="P17" s="13">
        <v>0.08</v>
      </c>
      <c r="Q17" s="9"/>
      <c r="R17" s="9"/>
      <c r="S17" s="9"/>
      <c r="T17" s="9"/>
      <c r="U17" s="9"/>
      <c r="V17" s="9"/>
      <c r="W17" s="10"/>
      <c r="X17" s="6"/>
      <c r="Y17" s="6"/>
      <c r="Z17" s="6"/>
    </row>
    <row r="18">
      <c r="A18" s="1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2" t="s">
        <v>22</v>
      </c>
      <c r="P18" s="13">
        <v>0.12</v>
      </c>
      <c r="Q18" s="6"/>
      <c r="R18" s="6"/>
      <c r="S18" s="6"/>
      <c r="T18" s="6"/>
      <c r="U18" s="6"/>
      <c r="V18" s="6"/>
      <c r="W18" s="14"/>
      <c r="X18" s="6"/>
      <c r="Y18" s="6"/>
      <c r="Z18" s="6"/>
    </row>
    <row r="19" ht="15.0" customHeight="1">
      <c r="A19" s="15" t="s">
        <v>23</v>
      </c>
      <c r="I19" s="16"/>
      <c r="J19" s="16"/>
      <c r="K19" s="16"/>
      <c r="L19" s="6"/>
      <c r="M19" s="6"/>
      <c r="N19" s="17" t="s">
        <v>13</v>
      </c>
      <c r="O19" s="18" t="s">
        <v>14</v>
      </c>
      <c r="P19" s="18" t="s">
        <v>15</v>
      </c>
      <c r="Q19" s="18" t="s">
        <v>16</v>
      </c>
      <c r="R19" s="19" t="s">
        <v>17</v>
      </c>
      <c r="S19" s="20" t="s">
        <v>18</v>
      </c>
      <c r="T19" s="6"/>
      <c r="U19" s="6"/>
      <c r="V19" s="6"/>
      <c r="W19" s="14"/>
      <c r="X19" s="6"/>
      <c r="Y19" s="6"/>
      <c r="Z19" s="6"/>
    </row>
    <row r="20">
      <c r="A20" s="21"/>
      <c r="I20" s="16"/>
      <c r="J20" s="16"/>
      <c r="K20" s="16"/>
      <c r="L20" s="6"/>
      <c r="M20" s="6"/>
      <c r="N20" s="33">
        <f t="shared" ref="N20:N21" si="2">2000</f>
        <v>2000</v>
      </c>
      <c r="O20" s="34">
        <f>1</f>
        <v>1</v>
      </c>
      <c r="P20" s="34"/>
      <c r="Q20" s="34"/>
      <c r="R20" s="35"/>
      <c r="S20" s="36">
        <f>N20*O20</f>
        <v>2000</v>
      </c>
      <c r="T20" s="6"/>
      <c r="U20" s="6"/>
      <c r="V20" s="6"/>
      <c r="W20" s="14"/>
      <c r="X20" s="6"/>
      <c r="Y20" s="6"/>
      <c r="Z20" s="6"/>
    </row>
    <row r="21" ht="15.75" customHeight="1">
      <c r="A21" s="1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33">
        <f t="shared" si="2"/>
        <v>2000</v>
      </c>
      <c r="O21" s="34">
        <f>(1.08^-1)</f>
        <v>0.9259259259</v>
      </c>
      <c r="P21" s="34"/>
      <c r="Q21" s="34"/>
      <c r="R21" s="35"/>
      <c r="S21" s="36">
        <f>O21*N21</f>
        <v>1851.851852</v>
      </c>
      <c r="T21" s="6"/>
      <c r="U21" s="6"/>
      <c r="V21" s="6"/>
      <c r="W21" s="14"/>
      <c r="X21" s="6"/>
      <c r="Y21" s="6"/>
      <c r="Z21" s="6"/>
    </row>
    <row r="22" ht="15.75" customHeight="1">
      <c r="A22" s="1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7" t="s">
        <v>24</v>
      </c>
      <c r="O22" s="34">
        <f>((1.08^4)-1)/(0.08*(1.08^4))</f>
        <v>3.31212684</v>
      </c>
      <c r="P22" s="34">
        <f>-(1/0.08)*(((1.08^4) - 1) / ((0.08*(1.08^4)) - (4 / 1.08^4)))</f>
        <v>1.591545708</v>
      </c>
      <c r="Q22" s="34">
        <f>(1.08^-1)</f>
        <v>0.9259259259</v>
      </c>
      <c r="R22" s="35"/>
      <c r="S22" s="36">
        <f>((2000*O22)-(P22*200))*Q22</f>
        <v>5838.837536</v>
      </c>
      <c r="T22" s="6"/>
      <c r="U22" s="6"/>
      <c r="V22" s="6"/>
      <c r="W22" s="14"/>
      <c r="X22" s="6"/>
      <c r="Y22" s="6"/>
      <c r="Z22" s="6"/>
    </row>
    <row r="23" ht="15.75" customHeight="1">
      <c r="A23" s="1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>
        <f>-300</f>
        <v>-300</v>
      </c>
      <c r="O23" s="34">
        <f>1.12^-8</f>
        <v>0.403883228</v>
      </c>
      <c r="P23" s="34"/>
      <c r="Q23" s="34"/>
      <c r="R23" s="35"/>
      <c r="S23" s="36">
        <f>N23*O23</f>
        <v>-121.1649684</v>
      </c>
      <c r="T23" s="6"/>
      <c r="U23" s="6"/>
      <c r="V23" s="6"/>
      <c r="W23" s="14"/>
      <c r="X23" s="6"/>
      <c r="Y23" s="6"/>
      <c r="Z23" s="6"/>
    </row>
    <row r="24" ht="15.75" customHeight="1">
      <c r="A24" s="1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8">
        <f>1600</f>
        <v>1600</v>
      </c>
      <c r="O24" s="34">
        <f>(1-(((1-0.07)^16)*((1+0.12)^-16)))/(0.12-0.07)</f>
        <v>18.9784284</v>
      </c>
      <c r="P24" s="34">
        <f>(1+0.12)^-8</f>
        <v>0.403883228</v>
      </c>
      <c r="Q24" s="34"/>
      <c r="R24" s="35"/>
      <c r="S24" s="36">
        <f>N24*O24*P24</f>
        <v>12264.11028</v>
      </c>
      <c r="T24" s="6"/>
      <c r="U24" s="6"/>
      <c r="V24" s="6"/>
      <c r="W24" s="14"/>
      <c r="X24" s="6"/>
      <c r="Y24" s="6"/>
      <c r="Z24" s="6"/>
    </row>
    <row r="25" ht="15.75" customHeight="1">
      <c r="A25" s="1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33"/>
      <c r="O25" s="34"/>
      <c r="P25" s="34"/>
      <c r="Q25" s="34"/>
      <c r="R25" s="35"/>
      <c r="S25" s="36"/>
      <c r="T25" s="6"/>
      <c r="U25" s="6"/>
      <c r="V25" s="6"/>
      <c r="W25" s="14"/>
      <c r="X25" s="6"/>
      <c r="Y25" s="6"/>
      <c r="Z25" s="6"/>
    </row>
    <row r="26" ht="15.75" customHeight="1">
      <c r="A26" s="1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9"/>
      <c r="O26" s="40"/>
      <c r="P26" s="40"/>
      <c r="Q26" s="40"/>
      <c r="R26" s="41"/>
      <c r="S26" s="42"/>
      <c r="T26" s="6"/>
      <c r="U26" s="6"/>
      <c r="V26" s="6"/>
      <c r="W26" s="14"/>
      <c r="X26" s="6"/>
      <c r="Y26" s="6"/>
      <c r="Z26" s="6"/>
    </row>
    <row r="27" ht="15.75" customHeight="1">
      <c r="A27" s="1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43"/>
      <c r="P27" s="43"/>
      <c r="Q27" s="44" t="s">
        <v>19</v>
      </c>
      <c r="R27" s="31"/>
      <c r="S27" s="45">
        <f>SUM(S20:S24)</f>
        <v>21833.6347</v>
      </c>
      <c r="T27" s="6"/>
      <c r="U27" s="6"/>
      <c r="V27" s="6"/>
      <c r="W27" s="14"/>
      <c r="X27" s="6"/>
      <c r="Y27" s="6"/>
      <c r="Z27" s="6"/>
    </row>
    <row r="28" ht="15.75" customHeight="1">
      <c r="A28" s="1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43"/>
      <c r="P28" s="43"/>
      <c r="Q28" s="43"/>
      <c r="R28" s="43"/>
      <c r="S28" s="43"/>
      <c r="T28" s="6"/>
      <c r="U28" s="6"/>
      <c r="V28" s="6"/>
      <c r="W28" s="14"/>
      <c r="X28" s="6"/>
      <c r="Y28" s="6"/>
      <c r="Z28" s="6"/>
    </row>
    <row r="29" ht="15.75" customHeight="1">
      <c r="A29" s="1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6"/>
      <c r="O29" s="46"/>
      <c r="P29" s="46"/>
      <c r="Q29" s="46"/>
      <c r="R29" s="46"/>
      <c r="S29" s="46"/>
      <c r="T29" s="6"/>
      <c r="U29" s="6"/>
      <c r="V29" s="6"/>
      <c r="W29" s="14"/>
      <c r="X29" s="6"/>
      <c r="Y29" s="6"/>
      <c r="Z29" s="6"/>
    </row>
    <row r="30" ht="15.75" customHeight="1">
      <c r="A30" s="1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47" t="s">
        <v>25</v>
      </c>
      <c r="P30" s="48">
        <v>0.08</v>
      </c>
      <c r="Q30" s="43"/>
      <c r="R30" s="43"/>
      <c r="S30" s="43"/>
      <c r="T30" s="6"/>
      <c r="U30" s="6"/>
      <c r="V30" s="6"/>
      <c r="W30" s="14"/>
      <c r="X30" s="6"/>
      <c r="Y30" s="6"/>
      <c r="Z30" s="6"/>
    </row>
    <row r="31" ht="15.75" customHeight="1">
      <c r="A31" s="1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6"/>
      <c r="N31" s="17" t="s">
        <v>13</v>
      </c>
      <c r="O31" s="49" t="s">
        <v>14</v>
      </c>
      <c r="P31" s="49" t="s">
        <v>15</v>
      </c>
      <c r="Q31" s="49" t="s">
        <v>16</v>
      </c>
      <c r="R31" s="50" t="s">
        <v>17</v>
      </c>
      <c r="S31" s="51" t="s">
        <v>26</v>
      </c>
      <c r="T31" s="16"/>
      <c r="U31" s="16"/>
      <c r="V31" s="16"/>
      <c r="W31" s="52"/>
      <c r="X31" s="6"/>
      <c r="Y31" s="6"/>
      <c r="Z31" s="6"/>
    </row>
    <row r="32" ht="15.75" customHeight="1">
      <c r="A32" s="1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33">
        <f>2000</f>
        <v>2000</v>
      </c>
      <c r="O32" s="34">
        <f>(1.08^7)</f>
        <v>1.713824269</v>
      </c>
      <c r="P32" s="34"/>
      <c r="Q32" s="34"/>
      <c r="R32" s="35"/>
      <c r="S32" s="36">
        <f t="shared" ref="S32:S33" si="3">N32*O32</f>
        <v>3427.648538</v>
      </c>
      <c r="T32" s="6"/>
      <c r="U32" s="6"/>
      <c r="V32" s="6"/>
      <c r="W32" s="14"/>
      <c r="X32" s="6"/>
      <c r="Y32" s="6"/>
      <c r="Z32" s="6"/>
    </row>
    <row r="33" ht="15.75" customHeight="1">
      <c r="A33" s="1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53">
        <v>2000.0</v>
      </c>
      <c r="O33" s="34">
        <f>(1.08^6)</f>
        <v>1.586874323</v>
      </c>
      <c r="P33" s="34"/>
      <c r="Q33" s="34"/>
      <c r="R33" s="35"/>
      <c r="S33" s="36">
        <f t="shared" si="3"/>
        <v>3173.748646</v>
      </c>
      <c r="T33" s="6"/>
      <c r="U33" s="6"/>
      <c r="V33" s="6"/>
      <c r="W33" s="14"/>
      <c r="X33" s="6"/>
      <c r="Y33" s="6"/>
      <c r="Z33" s="6"/>
    </row>
    <row r="34" ht="15.75" customHeight="1">
      <c r="A34" s="1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37" t="s">
        <v>27</v>
      </c>
      <c r="O34" s="34">
        <f>((1.08^4)-1)/(0.08*(1.08^4))</f>
        <v>3.31212684</v>
      </c>
      <c r="P34" s="34">
        <f>-(1/0.08)*(((1.08^4) - 1) / ((0.08*(1.08^4)) - (4 / 1.08^4)))</f>
        <v>1.591545708</v>
      </c>
      <c r="Q34" s="34">
        <f>(1.08^6)</f>
        <v>1.586874323</v>
      </c>
      <c r="R34" s="35"/>
      <c r="S34" s="36">
        <f>((2000*O34)-(200*P34))*Q34</f>
        <v>10006.74147</v>
      </c>
      <c r="T34" s="6"/>
      <c r="U34" s="6"/>
      <c r="V34" s="6"/>
      <c r="W34" s="14"/>
      <c r="X34" s="6"/>
      <c r="Y34" s="6"/>
      <c r="Z34" s="6"/>
    </row>
    <row r="35" ht="15.75" customHeight="1">
      <c r="A35" s="54" t="s">
        <v>28</v>
      </c>
      <c r="I35" s="6"/>
      <c r="J35" s="6"/>
      <c r="K35" s="6"/>
      <c r="L35" s="6"/>
      <c r="M35" s="6"/>
      <c r="N35" s="33">
        <f>-300</f>
        <v>-300</v>
      </c>
      <c r="O35" s="34">
        <f>1.12^-1</f>
        <v>0.8928571429</v>
      </c>
      <c r="P35" s="34"/>
      <c r="Q35" s="34"/>
      <c r="R35" s="35"/>
      <c r="S35" s="36">
        <f>O35*N35</f>
        <v>-267.8571429</v>
      </c>
      <c r="T35" s="6"/>
      <c r="U35" s="6"/>
      <c r="V35" s="6"/>
      <c r="W35" s="14"/>
      <c r="X35" s="6"/>
      <c r="Y35" s="6"/>
      <c r="Z35" s="6"/>
    </row>
    <row r="36" ht="15.75" customHeight="1">
      <c r="A36" s="1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38">
        <f>1600</f>
        <v>1600</v>
      </c>
      <c r="O36" s="34">
        <f>(1-(((1-0.07)^16)*((1+0.12)^-16)))/(0.12-0.07)</f>
        <v>18.9784284</v>
      </c>
      <c r="P36" s="55">
        <f>1.12^-2</f>
        <v>0.7971938776</v>
      </c>
      <c r="Q36" s="34"/>
      <c r="R36" s="35"/>
      <c r="S36" s="36">
        <f>P36*O36*N36</f>
        <v>24207.17908</v>
      </c>
      <c r="T36" s="6"/>
      <c r="U36" s="6"/>
      <c r="V36" s="6"/>
      <c r="W36" s="14"/>
      <c r="X36" s="6"/>
      <c r="Y36" s="6"/>
      <c r="Z36" s="6"/>
    </row>
    <row r="37" ht="15.75" customHeight="1">
      <c r="A37" s="1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33"/>
      <c r="O37" s="34"/>
      <c r="P37" s="34"/>
      <c r="Q37" s="34"/>
      <c r="R37" s="35"/>
      <c r="S37" s="36"/>
      <c r="T37" s="6"/>
      <c r="U37" s="6"/>
      <c r="V37" s="6"/>
      <c r="W37" s="14"/>
      <c r="X37" s="6"/>
      <c r="Y37" s="6"/>
      <c r="Z37" s="6"/>
    </row>
    <row r="38" ht="15.75" customHeight="1">
      <c r="A38" s="15" t="s">
        <v>29</v>
      </c>
      <c r="I38" s="16"/>
      <c r="J38" s="16"/>
      <c r="K38" s="16"/>
      <c r="L38" s="6"/>
      <c r="M38" s="6"/>
      <c r="N38" s="39"/>
      <c r="O38" s="40"/>
      <c r="P38" s="40"/>
      <c r="Q38" s="40"/>
      <c r="R38" s="41"/>
      <c r="S38" s="42"/>
      <c r="T38" s="6"/>
      <c r="U38" s="6"/>
      <c r="V38" s="6"/>
      <c r="W38" s="14"/>
      <c r="X38" s="6"/>
      <c r="Y38" s="6"/>
      <c r="Z38" s="6"/>
    </row>
    <row r="39" ht="15.75" customHeight="1">
      <c r="A39" s="1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43"/>
      <c r="P39" s="43"/>
      <c r="Q39" s="56" t="s">
        <v>19</v>
      </c>
      <c r="R39" s="57"/>
      <c r="S39" s="58">
        <f>S32+S33+S34+S35+S36</f>
        <v>40547.4606</v>
      </c>
      <c r="T39" s="6"/>
      <c r="U39" s="6"/>
      <c r="V39" s="6"/>
      <c r="W39" s="14"/>
      <c r="X39" s="6"/>
      <c r="Y39" s="6"/>
      <c r="Z39" s="6"/>
    </row>
    <row r="40" ht="15.75" customHeight="1">
      <c r="A40" s="1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43"/>
      <c r="P40" s="43"/>
      <c r="Q40" s="43"/>
      <c r="R40" s="43"/>
      <c r="S40" s="43"/>
      <c r="T40" s="6"/>
      <c r="U40" s="6"/>
      <c r="V40" s="6"/>
      <c r="W40" s="14"/>
      <c r="X40" s="6"/>
      <c r="Y40" s="6"/>
      <c r="Z40" s="6"/>
    </row>
    <row r="41" ht="15.75" customHeight="1">
      <c r="A41" s="8" t="s">
        <v>30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59"/>
      <c r="O41" s="60" t="s">
        <v>11</v>
      </c>
      <c r="P41" s="61">
        <v>0.11</v>
      </c>
      <c r="Q41" s="62"/>
      <c r="R41" s="62"/>
      <c r="S41" s="62"/>
      <c r="T41" s="9"/>
      <c r="U41" s="9"/>
      <c r="V41" s="9"/>
      <c r="W41" s="10"/>
      <c r="X41" s="6"/>
      <c r="Y41" s="6"/>
      <c r="Z41" s="6"/>
    </row>
    <row r="42" ht="15.75" customHeight="1">
      <c r="A42" s="1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17" t="s">
        <v>13</v>
      </c>
      <c r="O42" s="49" t="s">
        <v>14</v>
      </c>
      <c r="P42" s="49" t="s">
        <v>15</v>
      </c>
      <c r="Q42" s="49" t="s">
        <v>16</v>
      </c>
      <c r="R42" s="50" t="s">
        <v>17</v>
      </c>
      <c r="S42" s="51" t="s">
        <v>26</v>
      </c>
      <c r="T42" s="6"/>
      <c r="U42" s="6"/>
      <c r="V42" s="6"/>
      <c r="W42" s="14"/>
      <c r="X42" s="6"/>
      <c r="Y42" s="6"/>
      <c r="Z42" s="6"/>
    </row>
    <row r="43" ht="15.75" customHeight="1">
      <c r="A43" s="63" t="s">
        <v>31</v>
      </c>
      <c r="I43" s="64"/>
      <c r="J43" s="64"/>
      <c r="K43" s="64"/>
      <c r="L43" s="6"/>
      <c r="M43" s="6"/>
      <c r="N43" s="65">
        <v>-105000.0</v>
      </c>
      <c r="O43" s="43"/>
      <c r="P43" s="43"/>
      <c r="Q43" s="43"/>
      <c r="R43" s="43"/>
      <c r="S43" s="66">
        <f t="shared" ref="S43:S44" si="4">N43</f>
        <v>-105000</v>
      </c>
      <c r="T43" s="6"/>
      <c r="U43" s="6"/>
      <c r="V43" s="6"/>
      <c r="W43" s="14"/>
      <c r="X43" s="6"/>
      <c r="Y43" s="6"/>
      <c r="Z43" s="6"/>
    </row>
    <row r="44" ht="15.0" customHeight="1">
      <c r="A44" s="21"/>
      <c r="I44" s="64"/>
      <c r="J44" s="64"/>
      <c r="K44" s="64"/>
      <c r="L44" s="6"/>
      <c r="M44" s="6"/>
      <c r="N44" s="65">
        <f>-3000</f>
        <v>-3000</v>
      </c>
      <c r="O44" s="67"/>
      <c r="P44" s="67"/>
      <c r="Q44" s="68"/>
      <c r="R44" s="43"/>
      <c r="S44" s="66">
        <f t="shared" si="4"/>
        <v>-3000</v>
      </c>
      <c r="T44" s="6"/>
      <c r="U44" s="6"/>
      <c r="V44" s="6"/>
      <c r="W44" s="14"/>
      <c r="X44" s="6"/>
      <c r="Y44" s="6"/>
      <c r="Z44" s="6"/>
    </row>
    <row r="45" ht="15.0" customHeight="1">
      <c r="A45" s="21"/>
      <c r="I45" s="64"/>
      <c r="J45" s="64"/>
      <c r="K45" s="64"/>
      <c r="L45" s="6"/>
      <c r="M45" s="6"/>
      <c r="N45" s="65">
        <f>-4250</f>
        <v>-4250</v>
      </c>
      <c r="O45" s="43">
        <f>((1.11^19)-1)/(0.11*(1.11^19))</f>
        <v>7.83929421</v>
      </c>
      <c r="P45" s="43">
        <f>47.48563</f>
        <v>47.48563</v>
      </c>
      <c r="Q45" s="68">
        <v>0.11</v>
      </c>
      <c r="R45" s="67"/>
      <c r="S45" s="66">
        <f>((N45*O45) + (P45*-1250))</f>
        <v>-92674.03789</v>
      </c>
      <c r="T45" s="6"/>
      <c r="U45" s="6"/>
      <c r="V45" s="6"/>
      <c r="W45" s="14"/>
      <c r="X45" s="6"/>
      <c r="Y45" s="6"/>
      <c r="Z45" s="6"/>
    </row>
    <row r="46" ht="15.75" customHeight="1">
      <c r="A46" s="1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9">
        <v>15000.0</v>
      </c>
      <c r="O46" s="43">
        <f>1.11^-20</f>
        <v>0.1240339071</v>
      </c>
      <c r="P46" s="67"/>
      <c r="Q46" s="67"/>
      <c r="R46" s="67"/>
      <c r="S46" s="66">
        <f>O46*N46</f>
        <v>1860.508606</v>
      </c>
      <c r="T46" s="16"/>
      <c r="U46" s="16"/>
      <c r="V46" s="6"/>
      <c r="W46" s="14"/>
      <c r="X46" s="6"/>
      <c r="Y46" s="6"/>
      <c r="Z46" s="6"/>
    </row>
    <row r="47" ht="15.75" customHeight="1">
      <c r="A47" s="1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70"/>
      <c r="O47" s="43"/>
      <c r="P47" s="43"/>
      <c r="Q47" s="43"/>
      <c r="R47" s="43"/>
      <c r="S47" s="71">
        <f>(S43+S44+S45+S46) * 0.11</f>
        <v>-21869.48822</v>
      </c>
      <c r="T47" s="72"/>
      <c r="U47" s="6"/>
      <c r="V47" s="6"/>
      <c r="W47" s="14"/>
      <c r="X47" s="6"/>
      <c r="Y47" s="6"/>
      <c r="Z47" s="6"/>
    </row>
    <row r="48" ht="15.0" customHeight="1">
      <c r="A48" s="1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70"/>
      <c r="O48" s="43"/>
      <c r="P48" s="43"/>
      <c r="Q48" s="43"/>
      <c r="R48" s="43"/>
      <c r="S48" s="66"/>
      <c r="T48" s="6"/>
      <c r="U48" s="6"/>
      <c r="V48" s="6"/>
      <c r="W48" s="14"/>
      <c r="X48" s="6"/>
      <c r="Y48" s="6"/>
      <c r="Z48" s="6"/>
    </row>
    <row r="49" ht="15.75" customHeight="1">
      <c r="A49" s="1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73"/>
      <c r="O49" s="74"/>
      <c r="P49" s="74"/>
      <c r="Q49" s="75" t="s">
        <v>19</v>
      </c>
      <c r="R49" s="76">
        <f>S47*(0.11*(1.11^20)/(1.11^20)-1)</f>
        <v>19463.84452</v>
      </c>
      <c r="S49" s="77"/>
      <c r="T49" s="6"/>
      <c r="U49" s="6"/>
      <c r="V49" s="6"/>
      <c r="W49" s="14"/>
      <c r="X49" s="6"/>
      <c r="Y49" s="6"/>
      <c r="Z49" s="6"/>
    </row>
    <row r="50" ht="15.75" customHeight="1">
      <c r="A50" s="78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6"/>
      <c r="O50" s="6"/>
      <c r="P50" s="6"/>
      <c r="Q50" s="6"/>
      <c r="R50" s="6"/>
      <c r="S50" s="6"/>
      <c r="T50" s="6"/>
      <c r="U50" s="6"/>
      <c r="V50" s="79"/>
      <c r="W50" s="80"/>
      <c r="X50" s="6"/>
      <c r="Y50" s="6"/>
      <c r="Z50" s="6"/>
    </row>
    <row r="51" ht="15.75" customHeight="1">
      <c r="A51" s="81" t="s">
        <v>32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82" t="s">
        <v>33</v>
      </c>
      <c r="O51" s="83">
        <v>500.0</v>
      </c>
      <c r="P51" s="83">
        <v>250.0</v>
      </c>
      <c r="Q51" s="84"/>
      <c r="R51" s="84"/>
      <c r="S51" s="84"/>
      <c r="T51" s="84"/>
      <c r="U51" s="85"/>
      <c r="V51" s="6"/>
      <c r="W51" s="14"/>
      <c r="X51" s="6"/>
      <c r="Y51" s="6"/>
      <c r="Z51" s="6"/>
    </row>
    <row r="52" ht="15.75" customHeight="1">
      <c r="A52" s="1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86"/>
      <c r="O52" s="87">
        <f>O51/0.2</f>
        <v>2500</v>
      </c>
      <c r="P52" s="87">
        <f>P51/0.1</f>
        <v>2500</v>
      </c>
      <c r="Q52" s="87"/>
      <c r="R52" s="87"/>
      <c r="S52" s="87"/>
      <c r="T52" s="87"/>
      <c r="U52" s="88"/>
      <c r="V52" s="6"/>
      <c r="W52" s="14"/>
      <c r="X52" s="6"/>
      <c r="Y52" s="6"/>
      <c r="Z52" s="6"/>
    </row>
    <row r="53" ht="15.75" customHeight="1">
      <c r="A53" s="15" t="s">
        <v>34</v>
      </c>
      <c r="I53" s="16"/>
      <c r="J53" s="16"/>
      <c r="K53" s="16"/>
      <c r="L53" s="6"/>
      <c r="M53" s="6"/>
      <c r="N53" s="86"/>
      <c r="O53" s="87"/>
      <c r="P53" s="87"/>
      <c r="Q53" s="87"/>
      <c r="R53" s="87"/>
      <c r="S53" s="87"/>
      <c r="T53" s="87"/>
      <c r="U53" s="88"/>
      <c r="V53" s="6"/>
      <c r="W53" s="14"/>
      <c r="X53" s="6"/>
      <c r="Y53" s="6"/>
      <c r="Z53" s="6"/>
    </row>
    <row r="54" ht="15.75" customHeight="1">
      <c r="A54" s="15" t="s">
        <v>35</v>
      </c>
      <c r="I54" s="16"/>
      <c r="J54" s="16"/>
      <c r="K54" s="16"/>
      <c r="L54" s="6"/>
      <c r="M54" s="6"/>
      <c r="N54" s="89"/>
      <c r="O54" s="90"/>
      <c r="P54" s="90"/>
      <c r="Q54" s="90"/>
      <c r="R54" s="90"/>
      <c r="S54" s="91" t="s">
        <v>36</v>
      </c>
      <c r="T54" s="92">
        <f>P52</f>
        <v>2500</v>
      </c>
      <c r="U54" s="77"/>
      <c r="V54" s="6"/>
      <c r="W54" s="14"/>
      <c r="X54" s="6"/>
      <c r="Y54" s="6"/>
      <c r="Z54" s="6"/>
    </row>
    <row r="55" ht="15.75" customHeight="1">
      <c r="A55" s="15" t="s">
        <v>37</v>
      </c>
      <c r="I55" s="16"/>
      <c r="J55" s="16"/>
      <c r="K55" s="16"/>
      <c r="L55" s="6"/>
      <c r="M55" s="6"/>
      <c r="N55" s="82" t="s">
        <v>11</v>
      </c>
      <c r="O55" s="93">
        <f>4%</f>
        <v>0.04</v>
      </c>
      <c r="P55" s="83" t="s">
        <v>38</v>
      </c>
      <c r="Q55" s="93">
        <f>0.0169</f>
        <v>0.0169</v>
      </c>
      <c r="R55" s="84"/>
      <c r="S55" s="94"/>
      <c r="T55" s="95" t="s">
        <v>39</v>
      </c>
      <c r="U55" s="96" t="s">
        <v>13</v>
      </c>
      <c r="V55" s="6"/>
      <c r="W55" s="14"/>
      <c r="X55" s="6"/>
      <c r="Y55" s="6"/>
      <c r="Z55" s="6"/>
    </row>
    <row r="56" ht="15.75" customHeight="1">
      <c r="A56" s="15" t="s">
        <v>40</v>
      </c>
      <c r="I56" s="16"/>
      <c r="J56" s="16"/>
      <c r="K56" s="16"/>
      <c r="L56" s="6"/>
      <c r="M56" s="6"/>
      <c r="N56" s="97" t="s">
        <v>41</v>
      </c>
      <c r="O56" s="98">
        <v>7200.0</v>
      </c>
      <c r="P56" s="98">
        <v>3600.0</v>
      </c>
      <c r="Q56" s="87"/>
      <c r="R56" s="87"/>
      <c r="S56" s="87">
        <f>O56+P56</f>
        <v>10800</v>
      </c>
      <c r="U56" s="99"/>
      <c r="V56" s="6"/>
      <c r="W56" s="14"/>
      <c r="X56" s="6"/>
      <c r="Y56" s="6"/>
      <c r="Z56" s="6"/>
    </row>
    <row r="57" ht="15.75" customHeight="1">
      <c r="A57" s="15" t="s">
        <v>42</v>
      </c>
      <c r="I57" s="16"/>
      <c r="J57" s="16"/>
      <c r="K57" s="16"/>
      <c r="L57" s="6"/>
      <c r="M57" s="6"/>
      <c r="N57" s="100"/>
      <c r="O57" s="101">
        <f>O56/500</f>
        <v>14.4</v>
      </c>
      <c r="P57" s="87">
        <f>P56/250</f>
        <v>14.4</v>
      </c>
      <c r="Q57" s="98" t="s">
        <v>43</v>
      </c>
      <c r="R57" s="87"/>
      <c r="S57" s="87"/>
      <c r="T57" s="87"/>
      <c r="U57" s="88"/>
      <c r="V57" s="6"/>
      <c r="W57" s="14"/>
      <c r="X57" s="6"/>
      <c r="Y57" s="6"/>
      <c r="Z57" s="6"/>
    </row>
    <row r="58" ht="15.75" customHeight="1">
      <c r="A58" s="11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97" t="s">
        <v>44</v>
      </c>
      <c r="O58" s="87"/>
      <c r="P58" s="87"/>
      <c r="Q58" s="87"/>
      <c r="R58" s="87"/>
      <c r="S58" s="87"/>
      <c r="T58" s="87"/>
      <c r="U58" s="88"/>
      <c r="V58" s="6"/>
      <c r="W58" s="14"/>
      <c r="X58" s="6"/>
      <c r="Y58" s="6"/>
      <c r="Z58" s="6"/>
    </row>
    <row r="59" ht="15.75" customHeight="1">
      <c r="A59" s="15" t="s">
        <v>45</v>
      </c>
      <c r="I59" s="6"/>
      <c r="J59" s="6"/>
      <c r="K59" s="6"/>
      <c r="L59" s="6"/>
      <c r="M59" s="6"/>
      <c r="N59" s="97">
        <v>2500.0</v>
      </c>
      <c r="O59" s="102">
        <f>FV(M55, 14, -1)</f>
        <v>14</v>
      </c>
      <c r="P59" s="87">
        <f>N59*O59</f>
        <v>35000</v>
      </c>
      <c r="Q59" s="102"/>
      <c r="R59" s="87"/>
      <c r="S59" s="102"/>
      <c r="T59" s="101"/>
      <c r="U59" s="99"/>
      <c r="V59" s="6"/>
      <c r="W59" s="14"/>
      <c r="X59" s="6"/>
      <c r="Y59" s="6"/>
      <c r="Z59" s="6"/>
    </row>
    <row r="60" ht="15.75" customHeight="1">
      <c r="A60" s="15" t="s">
        <v>46</v>
      </c>
      <c r="I60" s="6"/>
      <c r="J60" s="6"/>
      <c r="K60" s="6"/>
      <c r="L60" s="6"/>
      <c r="M60" s="6"/>
      <c r="N60" s="97" t="s">
        <v>47</v>
      </c>
      <c r="O60" s="87"/>
      <c r="P60" s="87"/>
      <c r="Q60" s="87"/>
      <c r="R60" s="87"/>
      <c r="S60" s="87"/>
      <c r="T60" s="103">
        <f>P59*1.04+N61</f>
        <v>37400</v>
      </c>
      <c r="U60" s="88"/>
      <c r="V60" s="6"/>
      <c r="W60" s="14"/>
      <c r="X60" s="6"/>
      <c r="Y60" s="6"/>
      <c r="Z60" s="6"/>
    </row>
    <row r="61" ht="15.0" customHeight="1">
      <c r="A61" s="15" t="s">
        <v>48</v>
      </c>
      <c r="I61" s="6"/>
      <c r="J61" s="6"/>
      <c r="K61" s="6"/>
      <c r="L61" s="6"/>
      <c r="M61" s="6"/>
      <c r="N61" s="86">
        <f>(7200-P59*0.2)/0.2</f>
        <v>1000</v>
      </c>
      <c r="O61" s="87"/>
      <c r="P61" s="87"/>
      <c r="Q61" s="87"/>
      <c r="R61" s="103"/>
      <c r="S61" s="87"/>
      <c r="T61" s="87"/>
      <c r="U61" s="88"/>
      <c r="V61" s="6"/>
      <c r="W61" s="14"/>
      <c r="X61" s="6"/>
      <c r="Y61" s="6"/>
      <c r="Z61" s="6"/>
    </row>
    <row r="62" ht="15.75" customHeight="1">
      <c r="A62" s="21"/>
      <c r="I62" s="6"/>
      <c r="J62" s="6"/>
      <c r="K62" s="6"/>
      <c r="L62" s="6"/>
      <c r="M62" s="6"/>
      <c r="N62" s="86"/>
      <c r="O62" s="87"/>
      <c r="P62" s="87"/>
      <c r="Q62" s="87"/>
      <c r="R62" s="87"/>
      <c r="S62" s="87"/>
      <c r="T62" s="103"/>
      <c r="U62" s="88"/>
      <c r="V62" s="6"/>
      <c r="W62" s="14"/>
      <c r="X62" s="6"/>
      <c r="Y62" s="6"/>
      <c r="Z62" s="6"/>
    </row>
    <row r="63" ht="15.75" customHeight="1">
      <c r="A63" s="1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86"/>
      <c r="O63" s="87"/>
      <c r="P63" s="87"/>
      <c r="Q63" s="87"/>
      <c r="R63" s="87"/>
      <c r="S63" s="87"/>
      <c r="T63" s="104"/>
      <c r="U63" s="105"/>
      <c r="V63" s="6"/>
      <c r="W63" s="14"/>
      <c r="X63" s="6"/>
      <c r="Y63" s="6"/>
      <c r="Z63" s="6"/>
    </row>
    <row r="64" ht="15.75" customHeight="1">
      <c r="A64" s="1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86"/>
      <c r="O64" s="87"/>
      <c r="P64" s="87"/>
      <c r="Q64" s="87"/>
      <c r="R64" s="87"/>
      <c r="S64" s="87"/>
      <c r="T64" s="87"/>
      <c r="U64" s="88"/>
      <c r="V64" s="6"/>
      <c r="W64" s="106"/>
      <c r="X64" s="6"/>
      <c r="Y64" s="6"/>
      <c r="Z64" s="6"/>
    </row>
    <row r="65" ht="15.75" customHeight="1">
      <c r="A65" s="1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89"/>
      <c r="O65" s="90"/>
      <c r="P65" s="90"/>
      <c r="Q65" s="90"/>
      <c r="R65" s="90"/>
      <c r="S65" s="91" t="s">
        <v>49</v>
      </c>
      <c r="T65" s="92">
        <f>(T60+S56)*(1+O55)^4</f>
        <v>56387.18259</v>
      </c>
      <c r="U65" s="77"/>
      <c r="V65" s="6"/>
      <c r="W65" s="14"/>
      <c r="X65" s="6"/>
      <c r="Y65" s="6"/>
      <c r="Z65" s="6"/>
    </row>
    <row r="66" ht="15.75" customHeight="1">
      <c r="A66" s="1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97" t="s">
        <v>50</v>
      </c>
      <c r="O66" s="87">
        <f>T65*(1-Q55)^18</f>
        <v>41489.56918</v>
      </c>
      <c r="P66" s="87"/>
      <c r="Q66" s="87"/>
      <c r="R66" s="87"/>
      <c r="S66" s="107"/>
      <c r="T66" s="107"/>
      <c r="U66" s="88"/>
      <c r="V66" s="6"/>
      <c r="W66" s="14"/>
      <c r="X66" s="6"/>
      <c r="Y66" s="6"/>
      <c r="Z66" s="6"/>
    </row>
    <row r="67" ht="15.75" customHeight="1">
      <c r="A67" s="1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97" t="s">
        <v>51</v>
      </c>
      <c r="O67" s="87">
        <f>O66*10</f>
        <v>414895.6918</v>
      </c>
      <c r="P67" s="87"/>
      <c r="Q67" s="87"/>
      <c r="R67" s="87"/>
      <c r="S67" s="107"/>
      <c r="T67" s="107"/>
      <c r="U67" s="88"/>
      <c r="V67" s="6"/>
      <c r="W67" s="14"/>
      <c r="X67" s="6"/>
      <c r="Y67" s="6"/>
      <c r="Z67" s="6"/>
    </row>
    <row r="68" ht="15.75" customHeight="1">
      <c r="A68" s="1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86"/>
      <c r="O68" s="87"/>
      <c r="P68" s="108"/>
      <c r="Q68" s="87"/>
      <c r="R68" s="87"/>
      <c r="S68" s="107"/>
      <c r="T68" s="107"/>
      <c r="U68" s="88"/>
      <c r="V68" s="6"/>
      <c r="W68" s="14"/>
      <c r="X68" s="6"/>
      <c r="Y68" s="6"/>
      <c r="Z68" s="6"/>
    </row>
    <row r="69" ht="15.75" customHeight="1">
      <c r="A69" s="1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86"/>
      <c r="O69" s="87"/>
      <c r="P69" s="87"/>
      <c r="Q69" s="87"/>
      <c r="R69" s="87"/>
      <c r="S69" s="107"/>
      <c r="T69" s="107"/>
      <c r="U69" s="88"/>
      <c r="V69" s="6"/>
      <c r="W69" s="106"/>
      <c r="X69" s="6"/>
      <c r="Y69" s="6"/>
      <c r="Z69" s="6"/>
    </row>
    <row r="70" ht="15.75" customHeight="1">
      <c r="A70" s="1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89"/>
      <c r="O70" s="90"/>
      <c r="P70" s="90"/>
      <c r="Q70" s="90"/>
      <c r="R70" s="90"/>
      <c r="S70" s="91" t="s">
        <v>52</v>
      </c>
      <c r="T70" s="92">
        <f>O67/(1+Q55)^18</f>
        <v>306853.0704</v>
      </c>
      <c r="U70" s="77"/>
      <c r="V70" s="6"/>
      <c r="W70" s="14"/>
      <c r="X70" s="6"/>
      <c r="Y70" s="6"/>
      <c r="Z70" s="6"/>
    </row>
    <row r="71" ht="15.75" customHeight="1">
      <c r="A71" s="1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4"/>
      <c r="X71" s="6"/>
      <c r="Y71" s="6"/>
      <c r="Z71" s="6"/>
    </row>
    <row r="72" ht="15.75" customHeight="1">
      <c r="A72" s="109" t="s">
        <v>53</v>
      </c>
      <c r="B72" s="110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6"/>
      <c r="Y72" s="6"/>
      <c r="Z72" s="6"/>
    </row>
    <row r="73" ht="15.75" customHeight="1">
      <c r="A73" s="11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112" t="s">
        <v>54</v>
      </c>
      <c r="O73" s="113">
        <f>1500*0.05/2</f>
        <v>37.5</v>
      </c>
      <c r="P73" s="113"/>
      <c r="Q73" s="113"/>
      <c r="R73" s="113"/>
      <c r="S73" s="113"/>
      <c r="T73" s="113"/>
      <c r="U73" s="114"/>
      <c r="V73" s="6"/>
      <c r="W73" s="14"/>
      <c r="X73" s="6"/>
      <c r="Y73" s="6"/>
      <c r="Z73" s="6"/>
    </row>
    <row r="74" ht="15.0" customHeight="1">
      <c r="A74" s="115" t="s">
        <v>55</v>
      </c>
      <c r="I74" s="116"/>
      <c r="J74" s="116"/>
      <c r="K74" s="116"/>
      <c r="L74" s="6"/>
      <c r="M74" s="6"/>
      <c r="N74" s="117"/>
      <c r="O74" s="118"/>
      <c r="P74" s="118"/>
      <c r="Q74" s="118"/>
      <c r="R74" s="118"/>
      <c r="S74" s="118"/>
      <c r="T74" s="119"/>
      <c r="U74" s="120"/>
      <c r="V74" s="6"/>
      <c r="W74" s="14"/>
      <c r="X74" s="6"/>
      <c r="Y74" s="6"/>
      <c r="Z74" s="6"/>
    </row>
    <row r="75" ht="15.75" customHeight="1">
      <c r="A75" s="21"/>
      <c r="I75" s="116"/>
      <c r="J75" s="116"/>
      <c r="K75" s="116"/>
      <c r="L75" s="6"/>
      <c r="M75" s="6"/>
      <c r="N75" s="121" t="s">
        <v>56</v>
      </c>
      <c r="O75" s="122">
        <f>(1+0.11/2)^1/100</f>
        <v>0.01055</v>
      </c>
      <c r="P75" s="118"/>
      <c r="Q75" s="118"/>
      <c r="R75" s="118"/>
      <c r="S75" s="118"/>
      <c r="T75" s="118"/>
      <c r="U75" s="120"/>
      <c r="V75" s="6"/>
      <c r="W75" s="14"/>
      <c r="X75" s="6"/>
      <c r="Y75" s="6"/>
      <c r="Z75" s="6"/>
    </row>
    <row r="76" ht="15.75" customHeight="1">
      <c r="A76" s="21"/>
      <c r="I76" s="116"/>
      <c r="J76" s="116"/>
      <c r="K76" s="116"/>
      <c r="L76" s="6"/>
      <c r="M76" s="6"/>
      <c r="N76" s="121" t="s">
        <v>57</v>
      </c>
      <c r="O76" s="118">
        <f>O73</f>
        <v>37.5</v>
      </c>
      <c r="P76" s="118">
        <f>pv(O75, 20,-1 )</f>
        <v>17.94601222</v>
      </c>
      <c r="Q76" s="123">
        <v>1500.0</v>
      </c>
      <c r="R76" s="118">
        <f>PV(O75,20,0,-1)</f>
        <v>0.8106695711</v>
      </c>
      <c r="S76" s="118"/>
      <c r="T76" s="119"/>
      <c r="U76" s="120"/>
      <c r="V76" s="6"/>
      <c r="W76" s="14"/>
      <c r="X76" s="6"/>
      <c r="Y76" s="6"/>
      <c r="Z76" s="6"/>
    </row>
    <row r="77" ht="15.75" customHeight="1">
      <c r="A77" s="1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117"/>
      <c r="O77" s="118"/>
      <c r="P77" s="118"/>
      <c r="Q77" s="118"/>
      <c r="R77" s="118"/>
      <c r="S77" s="118"/>
      <c r="T77" s="124"/>
      <c r="U77" s="125"/>
      <c r="V77" s="6"/>
      <c r="W77" s="14"/>
      <c r="X77" s="6"/>
      <c r="Y77" s="6"/>
      <c r="Z77" s="6"/>
    </row>
    <row r="78" ht="15.75" customHeight="1">
      <c r="A78" s="126" t="s">
        <v>58</v>
      </c>
      <c r="I78" s="127"/>
      <c r="J78" s="127"/>
      <c r="K78" s="127"/>
      <c r="L78" s="6"/>
      <c r="M78" s="6"/>
      <c r="N78" s="117"/>
      <c r="O78" s="118"/>
      <c r="P78" s="118"/>
      <c r="Q78" s="118"/>
      <c r="R78" s="118"/>
      <c r="S78" s="128"/>
      <c r="T78" s="128"/>
      <c r="U78" s="120"/>
      <c r="V78" s="6"/>
      <c r="W78" s="14"/>
      <c r="X78" s="6"/>
      <c r="Y78" s="6"/>
      <c r="Z78" s="6"/>
    </row>
    <row r="79" ht="15.75" customHeight="1">
      <c r="A79" s="1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117"/>
      <c r="O79" s="118"/>
      <c r="P79" s="118"/>
      <c r="Q79" s="118"/>
      <c r="R79" s="118"/>
      <c r="S79" s="118"/>
      <c r="T79" s="118"/>
      <c r="U79" s="120"/>
      <c r="V79" s="6"/>
      <c r="W79" s="14"/>
      <c r="X79" s="6"/>
      <c r="Y79" s="6"/>
      <c r="Z79" s="6"/>
    </row>
    <row r="80" ht="15.75" customHeight="1">
      <c r="A80" s="111" t="s">
        <v>59</v>
      </c>
      <c r="L80" s="6"/>
      <c r="M80" s="6"/>
      <c r="N80" s="129"/>
      <c r="O80" s="130"/>
      <c r="P80" s="130"/>
      <c r="Q80" s="130"/>
      <c r="R80" s="130"/>
      <c r="S80" s="131" t="s">
        <v>60</v>
      </c>
      <c r="T80" s="132">
        <f>O76*P76+Q76*R76</f>
        <v>1888.979815</v>
      </c>
      <c r="U80" s="77"/>
      <c r="V80" s="6"/>
      <c r="W80" s="14"/>
      <c r="X80" s="6"/>
      <c r="Y80" s="6"/>
      <c r="Z80" s="6"/>
    </row>
    <row r="81" ht="30.0" customHeight="1">
      <c r="A81" s="133" t="s">
        <v>61</v>
      </c>
      <c r="I81" s="134"/>
      <c r="J81" s="134"/>
      <c r="K81" s="134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4"/>
      <c r="X81" s="6"/>
      <c r="Y81" s="6"/>
      <c r="Z81" s="6"/>
    </row>
    <row r="82" ht="15.75" customHeight="1">
      <c r="A82" s="21"/>
      <c r="I82" s="134"/>
      <c r="J82" s="134"/>
      <c r="K82" s="134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4"/>
      <c r="X82" s="6"/>
      <c r="Y82" s="6"/>
      <c r="Z82" s="6"/>
    </row>
    <row r="83" ht="15.75" customHeight="1">
      <c r="A83" s="1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4"/>
      <c r="X83" s="6"/>
      <c r="Y83" s="6"/>
      <c r="Z83" s="6"/>
    </row>
    <row r="84" ht="15.75" customHeight="1">
      <c r="A84" s="1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4"/>
      <c r="X84" s="6"/>
      <c r="Y84" s="6"/>
      <c r="Z84" s="6"/>
    </row>
    <row r="85" ht="15.75" customHeight="1">
      <c r="A85" s="11"/>
      <c r="B85" s="6"/>
      <c r="C85" s="6"/>
      <c r="D85" s="6"/>
      <c r="E85" s="6"/>
      <c r="F85" s="6"/>
      <c r="G85" s="6"/>
      <c r="H85" s="135" t="s">
        <v>62</v>
      </c>
      <c r="I85" s="136">
        <f>900*(0.09/2)</f>
        <v>40.5</v>
      </c>
      <c r="J85" s="137" t="s">
        <v>63</v>
      </c>
      <c r="K85" s="136"/>
      <c r="L85" s="136"/>
      <c r="M85" s="136"/>
      <c r="N85" s="136"/>
      <c r="O85" s="138"/>
      <c r="P85" s="136"/>
      <c r="Q85" s="136"/>
      <c r="R85" s="136"/>
      <c r="S85" s="136"/>
      <c r="T85" s="138"/>
      <c r="U85" s="139"/>
      <c r="V85" s="6"/>
      <c r="W85" s="14"/>
      <c r="X85" s="6"/>
      <c r="Y85" s="6"/>
      <c r="Z85" s="6"/>
    </row>
    <row r="86" ht="15.75" customHeight="1">
      <c r="A86" s="11"/>
      <c r="B86" s="6"/>
      <c r="C86" s="6"/>
      <c r="D86" s="6"/>
      <c r="E86" s="6"/>
      <c r="F86" s="6"/>
      <c r="G86" s="6"/>
      <c r="H86" s="65" t="s">
        <v>64</v>
      </c>
      <c r="I86" s="7">
        <v>900.0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40"/>
      <c r="V86" s="6"/>
      <c r="W86" s="14"/>
      <c r="X86" s="6"/>
      <c r="Y86" s="6"/>
      <c r="Z86" s="6"/>
    </row>
    <row r="87" ht="15.75" customHeight="1">
      <c r="A87" s="11"/>
      <c r="B87" s="6"/>
      <c r="C87" s="6"/>
      <c r="D87" s="6"/>
      <c r="E87" s="6"/>
      <c r="F87" s="6"/>
      <c r="G87" s="6"/>
      <c r="H87" s="65" t="s">
        <v>65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40"/>
      <c r="V87" s="6"/>
      <c r="W87" s="14"/>
      <c r="X87" s="6"/>
      <c r="Y87" s="6"/>
      <c r="Z87" s="6"/>
    </row>
    <row r="88" ht="15.75" customHeight="1">
      <c r="A88" s="11"/>
      <c r="B88" s="6"/>
      <c r="C88" s="6"/>
      <c r="D88" s="6"/>
      <c r="E88" s="6"/>
      <c r="F88" s="6"/>
      <c r="G88" s="6"/>
      <c r="H88" s="65" t="s">
        <v>66</v>
      </c>
      <c r="I88" s="7">
        <v>600.0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40"/>
      <c r="V88" s="6"/>
      <c r="W88" s="14"/>
      <c r="X88" s="6"/>
      <c r="Y88" s="6"/>
      <c r="Z88" s="6"/>
    </row>
    <row r="89" ht="15.75" customHeight="1">
      <c r="A89" s="11"/>
      <c r="B89" s="6"/>
      <c r="C89" s="6"/>
      <c r="D89" s="6"/>
      <c r="E89" s="6"/>
      <c r="F89" s="6"/>
      <c r="G89" s="6"/>
      <c r="H89" s="70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40"/>
      <c r="V89" s="6"/>
      <c r="W89" s="14"/>
      <c r="X89" s="6"/>
      <c r="Y89" s="6"/>
      <c r="Z89" s="6"/>
    </row>
    <row r="90" ht="15.75" customHeight="1">
      <c r="A90" s="11"/>
      <c r="B90" s="6"/>
      <c r="C90" s="6"/>
      <c r="D90" s="141"/>
      <c r="E90" s="6"/>
      <c r="F90" s="6"/>
      <c r="G90" s="6"/>
      <c r="H90" s="142" t="s">
        <v>67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40"/>
      <c r="V90" s="6"/>
      <c r="W90" s="14"/>
      <c r="X90" s="6"/>
      <c r="Y90" s="6"/>
      <c r="Z90" s="6"/>
    </row>
    <row r="91" ht="15.75" customHeight="1">
      <c r="A91" s="11"/>
      <c r="B91" s="6"/>
      <c r="C91" s="6"/>
      <c r="D91" s="141"/>
      <c r="E91" s="6"/>
      <c r="F91" s="6"/>
      <c r="G91" s="6"/>
      <c r="H91" s="7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4" t="s">
        <v>68</v>
      </c>
      <c r="T91" s="145">
        <f>0.2185</f>
        <v>0.2185</v>
      </c>
      <c r="U91" s="77"/>
      <c r="V91" s="6"/>
      <c r="W91" s="14"/>
      <c r="X91" s="6"/>
      <c r="Y91" s="6"/>
      <c r="Z91" s="6"/>
    </row>
    <row r="92" ht="15.75" customHeight="1">
      <c r="A92" s="78"/>
      <c r="B92" s="79"/>
      <c r="C92" s="79"/>
      <c r="D92" s="146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80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5">
    <mergeCell ref="H2:I2"/>
    <mergeCell ref="H3:I3"/>
    <mergeCell ref="Q15:R15"/>
    <mergeCell ref="Q27:R27"/>
    <mergeCell ref="R49:S49"/>
    <mergeCell ref="T54:U54"/>
    <mergeCell ref="T65:U65"/>
    <mergeCell ref="T70:U70"/>
    <mergeCell ref="B1:C1"/>
    <mergeCell ref="E1:F1"/>
    <mergeCell ref="H1:I1"/>
    <mergeCell ref="B2:C2"/>
    <mergeCell ref="E2:F2"/>
    <mergeCell ref="B3:C3"/>
    <mergeCell ref="E3:F3"/>
    <mergeCell ref="A7:H8"/>
    <mergeCell ref="A19:H20"/>
    <mergeCell ref="A35:H35"/>
    <mergeCell ref="A38:H38"/>
    <mergeCell ref="A43:H45"/>
    <mergeCell ref="A53:H53"/>
    <mergeCell ref="A54:H54"/>
    <mergeCell ref="A74:H76"/>
    <mergeCell ref="A78:H78"/>
    <mergeCell ref="A80:K80"/>
    <mergeCell ref="T80:U80"/>
    <mergeCell ref="A81:H82"/>
    <mergeCell ref="T91:U91"/>
    <mergeCell ref="A55:H55"/>
    <mergeCell ref="A56:H56"/>
    <mergeCell ref="A57:H57"/>
    <mergeCell ref="A59:H59"/>
    <mergeCell ref="A60:H60"/>
    <mergeCell ref="A61:H62"/>
    <mergeCell ref="A72:B7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>
      <c r="A1" s="6"/>
      <c r="B1" s="6"/>
      <c r="C1" s="7">
        <v>1.0</v>
      </c>
      <c r="D1" s="6">
        <f>Rep!$I$85</f>
        <v>40.5</v>
      </c>
      <c r="E1" s="7">
        <f t="shared" ref="E1:E19" si="1">((1+(C1/100))^9)-1</f>
        <v>0.09368527268</v>
      </c>
      <c r="F1" s="6">
        <f t="shared" ref="F1:F19" si="2">C1/100*(1+(C1/100))^9</f>
        <v>0.01093685273</v>
      </c>
      <c r="G1" s="6">
        <f t="shared" ref="G1:G19" si="3">900*(1+(C1/100))^-9</f>
        <v>822.9058418</v>
      </c>
      <c r="H1" s="6">
        <f t="shared" ref="H1:H19" si="4">-600</f>
        <v>-600</v>
      </c>
      <c r="I1" s="6">
        <f t="shared" ref="I1:I19" si="5">D1*(E1/F1)+G1+H1</f>
        <v>569.8295536</v>
      </c>
      <c r="J1" s="6"/>
      <c r="K1" s="7" t="s">
        <v>69</v>
      </c>
      <c r="L1" s="6"/>
      <c r="M1" s="6"/>
      <c r="N1" s="6"/>
      <c r="O1" s="6"/>
    </row>
    <row r="2">
      <c r="A2" s="7">
        <v>0.01</v>
      </c>
      <c r="B2" s="6"/>
      <c r="C2" s="7">
        <v>2.0</v>
      </c>
      <c r="D2" s="6">
        <f>Rep!$I$85</f>
        <v>40.5</v>
      </c>
      <c r="E2" s="7">
        <f t="shared" si="1"/>
        <v>0.1950925686</v>
      </c>
      <c r="F2" s="6">
        <f t="shared" si="2"/>
        <v>0.02390185137</v>
      </c>
      <c r="G2" s="6">
        <f t="shared" si="3"/>
        <v>753.0797393</v>
      </c>
      <c r="H2" s="6">
        <f t="shared" si="4"/>
        <v>-600</v>
      </c>
      <c r="I2" s="6">
        <f t="shared" si="5"/>
        <v>483.6503259</v>
      </c>
      <c r="J2" s="6"/>
      <c r="K2" s="6"/>
      <c r="L2" s="6"/>
      <c r="M2" s="6"/>
      <c r="N2" s="6"/>
      <c r="O2" s="6"/>
    </row>
    <row r="3">
      <c r="A3" s="7">
        <v>0.02</v>
      </c>
      <c r="B3" s="6"/>
      <c r="C3" s="7">
        <v>3.0</v>
      </c>
      <c r="D3" s="6">
        <f>Rep!$I$85</f>
        <v>40.5</v>
      </c>
      <c r="E3" s="7">
        <f t="shared" si="1"/>
        <v>0.3047731838</v>
      </c>
      <c r="F3" s="6">
        <f t="shared" si="2"/>
        <v>0.03914319551</v>
      </c>
      <c r="G3" s="6">
        <f t="shared" si="3"/>
        <v>689.7750591</v>
      </c>
      <c r="H3" s="6">
        <f t="shared" si="4"/>
        <v>-600</v>
      </c>
      <c r="I3" s="6">
        <f t="shared" si="5"/>
        <v>405.1124704</v>
      </c>
      <c r="J3" s="6"/>
      <c r="K3" s="7" t="s">
        <v>70</v>
      </c>
      <c r="L3" s="6">
        <f>0.1</f>
        <v>0.1</v>
      </c>
      <c r="M3" s="6">
        <f>I10/(I10-I11)</f>
        <v>0.3842988762</v>
      </c>
      <c r="N3" s="6">
        <f>11-10</f>
        <v>1</v>
      </c>
      <c r="O3" s="6">
        <f>L3+M3*0.01</f>
        <v>0.1038429888</v>
      </c>
    </row>
    <row r="4">
      <c r="A4" s="7">
        <v>0.03</v>
      </c>
      <c r="B4" s="6"/>
      <c r="C4" s="7">
        <v>4.0</v>
      </c>
      <c r="D4" s="6">
        <f>Rep!$I$85</f>
        <v>40.5</v>
      </c>
      <c r="E4" s="7">
        <f t="shared" si="1"/>
        <v>0.4233118124</v>
      </c>
      <c r="F4" s="6">
        <f t="shared" si="2"/>
        <v>0.0569324725</v>
      </c>
      <c r="G4" s="6">
        <f t="shared" si="3"/>
        <v>632.328062</v>
      </c>
      <c r="H4" s="6">
        <f t="shared" si="4"/>
        <v>-600</v>
      </c>
      <c r="I4" s="6">
        <f t="shared" si="5"/>
        <v>333.4589922</v>
      </c>
      <c r="J4" s="6"/>
      <c r="K4" s="6"/>
      <c r="L4" s="6"/>
      <c r="M4" s="6"/>
      <c r="N4" s="6"/>
      <c r="O4" s="6"/>
    </row>
    <row r="5">
      <c r="A5" s="7">
        <v>0.04</v>
      </c>
      <c r="B5" s="6"/>
      <c r="C5" s="7">
        <v>5.0</v>
      </c>
      <c r="D5" s="6">
        <f>Rep!$I$85</f>
        <v>40.5</v>
      </c>
      <c r="E5" s="7">
        <f t="shared" si="1"/>
        <v>0.551328216</v>
      </c>
      <c r="F5" s="6">
        <f t="shared" si="2"/>
        <v>0.0775664108</v>
      </c>
      <c r="G5" s="6">
        <f t="shared" si="3"/>
        <v>580.1480246</v>
      </c>
      <c r="H5" s="6">
        <f t="shared" si="4"/>
        <v>-600</v>
      </c>
      <c r="I5" s="6">
        <f t="shared" si="5"/>
        <v>268.0148025</v>
      </c>
      <c r="J5" s="6"/>
      <c r="K5" s="7" t="s">
        <v>71</v>
      </c>
      <c r="L5" s="6">
        <f>O3*2</f>
        <v>0.2076859775</v>
      </c>
      <c r="M5" s="6"/>
      <c r="N5" s="6"/>
      <c r="O5" s="6"/>
    </row>
    <row r="6">
      <c r="A6" s="7">
        <v>0.05</v>
      </c>
      <c r="B6" s="6"/>
      <c r="C6" s="7">
        <v>6.0</v>
      </c>
      <c r="D6" s="6">
        <f>Rep!$I$85</f>
        <v>40.5</v>
      </c>
      <c r="E6" s="7">
        <f t="shared" si="1"/>
        <v>0.689478959</v>
      </c>
      <c r="F6" s="6">
        <f t="shared" si="2"/>
        <v>0.1013687375</v>
      </c>
      <c r="G6" s="6">
        <f t="shared" si="3"/>
        <v>532.7086172</v>
      </c>
      <c r="H6" s="6">
        <f t="shared" si="4"/>
        <v>-600</v>
      </c>
      <c r="I6" s="6">
        <f t="shared" si="5"/>
        <v>208.1771543</v>
      </c>
      <c r="J6" s="6"/>
      <c r="K6" s="7" t="s">
        <v>72</v>
      </c>
      <c r="L6" s="6"/>
      <c r="M6" s="6"/>
      <c r="N6" s="6">
        <f>((1+O3)^2)-1</f>
        <v>0.2184693438</v>
      </c>
      <c r="O6" s="6"/>
    </row>
    <row r="7">
      <c r="A7" s="7">
        <v>0.06</v>
      </c>
      <c r="B7" s="6"/>
      <c r="C7" s="7">
        <v>7.0</v>
      </c>
      <c r="D7" s="6">
        <f>Rep!$I$85</f>
        <v>40.5</v>
      </c>
      <c r="E7" s="7">
        <f t="shared" si="1"/>
        <v>0.8384592124</v>
      </c>
      <c r="F7" s="6">
        <f t="shared" si="2"/>
        <v>0.1286921449</v>
      </c>
      <c r="G7" s="6">
        <f t="shared" si="3"/>
        <v>489.5403683</v>
      </c>
      <c r="H7" s="6">
        <f t="shared" si="4"/>
        <v>-600</v>
      </c>
      <c r="I7" s="6">
        <f t="shared" si="5"/>
        <v>153.4072744</v>
      </c>
      <c r="J7" s="6"/>
      <c r="K7" s="6"/>
      <c r="L7" s="6"/>
      <c r="M7" s="6"/>
      <c r="N7" s="6"/>
      <c r="O7" s="6"/>
    </row>
    <row r="8">
      <c r="A8" s="7">
        <v>0.07</v>
      </c>
      <c r="B8" s="6"/>
      <c r="C8" s="7">
        <v>8.0</v>
      </c>
      <c r="D8" s="6">
        <f>Rep!$I$85</f>
        <v>40.5</v>
      </c>
      <c r="E8" s="7">
        <f t="shared" si="1"/>
        <v>0.9990046271</v>
      </c>
      <c r="F8" s="6">
        <f t="shared" si="2"/>
        <v>0.1599203702</v>
      </c>
      <c r="G8" s="6">
        <f t="shared" si="3"/>
        <v>450.2240704</v>
      </c>
      <c r="H8" s="6">
        <f t="shared" si="4"/>
        <v>-600</v>
      </c>
      <c r="I8" s="6">
        <f t="shared" si="5"/>
        <v>103.2230308</v>
      </c>
      <c r="J8" s="6"/>
      <c r="K8" s="6"/>
      <c r="L8" s="6"/>
      <c r="M8" s="6"/>
      <c r="N8" s="6"/>
      <c r="O8" s="6"/>
    </row>
    <row r="9">
      <c r="A9" s="7">
        <v>0.08</v>
      </c>
      <c r="B9" s="6"/>
      <c r="C9" s="7">
        <v>9.0</v>
      </c>
      <c r="D9" s="6">
        <f>Rep!$I$85</f>
        <v>40.5</v>
      </c>
      <c r="E9" s="7">
        <f t="shared" si="1"/>
        <v>1.171893279</v>
      </c>
      <c r="F9" s="6">
        <f t="shared" si="2"/>
        <v>0.1954703951</v>
      </c>
      <c r="G9" s="6">
        <f t="shared" si="3"/>
        <v>414.3850016</v>
      </c>
      <c r="H9" s="6">
        <f t="shared" si="4"/>
        <v>-600</v>
      </c>
      <c r="I9" s="6">
        <f t="shared" si="5"/>
        <v>57.19250078</v>
      </c>
      <c r="J9" s="6"/>
      <c r="K9" s="6"/>
      <c r="L9" s="6"/>
      <c r="M9" s="6"/>
      <c r="N9" s="6"/>
      <c r="O9" s="6"/>
    </row>
    <row r="10">
      <c r="A10" s="6"/>
      <c r="B10" s="6"/>
      <c r="C10" s="7">
        <v>10.0</v>
      </c>
      <c r="D10" s="6">
        <f>Rep!$I$85</f>
        <v>40.5</v>
      </c>
      <c r="E10" s="7">
        <f t="shared" si="1"/>
        <v>1.357947691</v>
      </c>
      <c r="F10" s="6">
        <f t="shared" si="2"/>
        <v>0.2357947691</v>
      </c>
      <c r="G10" s="6">
        <f t="shared" si="3"/>
        <v>381.6878565</v>
      </c>
      <c r="H10" s="6">
        <f t="shared" si="4"/>
        <v>-600</v>
      </c>
      <c r="I10" s="6">
        <f t="shared" si="5"/>
        <v>14.92832109</v>
      </c>
      <c r="J10" s="6"/>
      <c r="K10" s="6"/>
      <c r="L10" s="6"/>
      <c r="M10" s="6"/>
      <c r="N10" s="6"/>
      <c r="O10" s="6"/>
    </row>
    <row r="11">
      <c r="A11" s="6"/>
      <c r="B11" s="6"/>
      <c r="C11" s="7">
        <v>11.0</v>
      </c>
      <c r="D11" s="6">
        <f>Rep!$I$85</f>
        <v>40.5</v>
      </c>
      <c r="E11" s="7">
        <f t="shared" si="1"/>
        <v>1.558036924</v>
      </c>
      <c r="F11" s="6">
        <f t="shared" si="2"/>
        <v>0.2813840617</v>
      </c>
      <c r="G11" s="6">
        <f t="shared" si="3"/>
        <v>351.8322943</v>
      </c>
      <c r="H11" s="6">
        <f t="shared" si="4"/>
        <v>-600</v>
      </c>
      <c r="I11" s="6">
        <f t="shared" si="5"/>
        <v>-23.91728064</v>
      </c>
      <c r="J11" s="6"/>
      <c r="K11" s="6"/>
      <c r="L11" s="6"/>
      <c r="M11" s="6"/>
      <c r="N11" s="6"/>
      <c r="O11" s="6"/>
    </row>
    <row r="12">
      <c r="A12" s="6"/>
      <c r="B12" s="6"/>
      <c r="C12" s="7">
        <v>12.0</v>
      </c>
      <c r="D12" s="6">
        <f>Rep!$I$85</f>
        <v>40.5</v>
      </c>
      <c r="E12" s="7">
        <f t="shared" si="1"/>
        <v>1.773078757</v>
      </c>
      <c r="F12" s="6">
        <f t="shared" si="2"/>
        <v>0.3327694509</v>
      </c>
      <c r="G12" s="6">
        <f t="shared" si="3"/>
        <v>324.5490225</v>
      </c>
      <c r="H12" s="6">
        <f t="shared" si="4"/>
        <v>-600</v>
      </c>
      <c r="I12" s="6">
        <f t="shared" si="5"/>
        <v>-59.65686095</v>
      </c>
      <c r="J12" s="6"/>
      <c r="K12" s="6"/>
      <c r="L12" s="6"/>
      <c r="M12" s="6"/>
      <c r="N12" s="6"/>
      <c r="O12" s="6"/>
    </row>
    <row r="13">
      <c r="A13" s="6"/>
      <c r="B13" s="6"/>
      <c r="C13" s="7">
        <v>13.0</v>
      </c>
      <c r="D13" s="6">
        <f>Rep!$I$85</f>
        <v>40.5</v>
      </c>
      <c r="E13" s="7">
        <f t="shared" si="1"/>
        <v>2.004041938</v>
      </c>
      <c r="F13" s="6">
        <f t="shared" si="2"/>
        <v>0.3905254519</v>
      </c>
      <c r="G13" s="6">
        <f t="shared" si="3"/>
        <v>299.59635</v>
      </c>
      <c r="H13" s="6">
        <f t="shared" si="4"/>
        <v>-600</v>
      </c>
      <c r="I13" s="6">
        <f t="shared" si="5"/>
        <v>-92.57161728</v>
      </c>
      <c r="J13" s="6"/>
      <c r="K13" s="6"/>
      <c r="L13" s="6"/>
      <c r="M13" s="6"/>
      <c r="N13" s="6"/>
      <c r="O13" s="6"/>
    </row>
    <row r="14">
      <c r="A14" s="6"/>
      <c r="B14" s="6"/>
      <c r="C14" s="7">
        <v>14.0</v>
      </c>
      <c r="D14" s="6">
        <f>Rep!$I$85</f>
        <v>40.5</v>
      </c>
      <c r="E14" s="7">
        <f t="shared" si="1"/>
        <v>2.251948521</v>
      </c>
      <c r="F14" s="6">
        <f t="shared" si="2"/>
        <v>0.455272793</v>
      </c>
      <c r="G14" s="6">
        <f t="shared" si="3"/>
        <v>276.7571486</v>
      </c>
      <c r="H14" s="6">
        <f t="shared" si="4"/>
        <v>-600</v>
      </c>
      <c r="I14" s="6">
        <f t="shared" si="5"/>
        <v>-122.914792</v>
      </c>
      <c r="J14" s="6"/>
      <c r="K14" s="6"/>
      <c r="L14" s="6"/>
      <c r="M14" s="6"/>
      <c r="N14" s="6"/>
      <c r="O14" s="6"/>
    </row>
    <row r="15">
      <c r="A15" s="6"/>
      <c r="B15" s="6"/>
      <c r="C15" s="7">
        <v>15.0</v>
      </c>
      <c r="D15" s="6">
        <f>Rep!$I$85</f>
        <v>40.5</v>
      </c>
      <c r="E15" s="7">
        <f t="shared" si="1"/>
        <v>2.517876292</v>
      </c>
      <c r="F15" s="6">
        <f t="shared" si="2"/>
        <v>0.5276814438</v>
      </c>
      <c r="G15" s="6">
        <f t="shared" si="3"/>
        <v>255.8361708</v>
      </c>
      <c r="H15" s="6">
        <f t="shared" si="4"/>
        <v>-600</v>
      </c>
      <c r="I15" s="6">
        <f t="shared" si="5"/>
        <v>-150.9146804</v>
      </c>
      <c r="J15" s="6"/>
      <c r="K15" s="6"/>
      <c r="L15" s="6"/>
      <c r="M15" s="6"/>
      <c r="N15" s="6"/>
      <c r="O15" s="6"/>
    </row>
    <row r="16">
      <c r="A16" s="6"/>
      <c r="B16" s="6"/>
      <c r="C16" s="7">
        <v>16.0</v>
      </c>
      <c r="D16" s="6">
        <f>Rep!$I$85</f>
        <v>40.5</v>
      </c>
      <c r="E16" s="7">
        <f t="shared" si="1"/>
        <v>2.802961275</v>
      </c>
      <c r="F16" s="6">
        <f t="shared" si="2"/>
        <v>0.608473804</v>
      </c>
      <c r="G16" s="6">
        <f t="shared" si="3"/>
        <v>236.657682</v>
      </c>
      <c r="H16" s="6">
        <f t="shared" si="4"/>
        <v>-600</v>
      </c>
      <c r="I16" s="6">
        <f t="shared" si="5"/>
        <v>-176.7772911</v>
      </c>
      <c r="J16" s="6"/>
      <c r="K16" s="6"/>
      <c r="L16" s="6"/>
      <c r="M16" s="6"/>
      <c r="N16" s="6"/>
      <c r="O16" s="6"/>
    </row>
    <row r="17">
      <c r="A17" s="6"/>
      <c r="B17" s="6"/>
      <c r="C17" s="7">
        <v>17.0</v>
      </c>
      <c r="D17" s="6">
        <f>Rep!$I$85</f>
        <v>40.5</v>
      </c>
      <c r="E17" s="7">
        <f t="shared" si="1"/>
        <v>3.108400333</v>
      </c>
      <c r="F17" s="6">
        <f t="shared" si="2"/>
        <v>0.6984280566</v>
      </c>
      <c r="G17" s="6">
        <f t="shared" si="3"/>
        <v>219.0633646</v>
      </c>
      <c r="H17" s="6">
        <f t="shared" si="4"/>
        <v>-600</v>
      </c>
      <c r="I17" s="6">
        <f t="shared" si="5"/>
        <v>-200.6887025</v>
      </c>
      <c r="J17" s="6"/>
      <c r="K17" s="6"/>
      <c r="L17" s="6"/>
      <c r="M17" s="6"/>
      <c r="N17" s="6"/>
      <c r="O17" s="6"/>
    </row>
    <row r="18">
      <c r="A18" s="6"/>
      <c r="B18" s="6"/>
      <c r="C18" s="7">
        <v>18.0</v>
      </c>
      <c r="D18" s="6">
        <f>Rep!$I$85</f>
        <v>40.5</v>
      </c>
      <c r="E18" s="7">
        <f t="shared" si="1"/>
        <v>3.435453859</v>
      </c>
      <c r="F18" s="6">
        <f t="shared" si="2"/>
        <v>0.7983816946</v>
      </c>
      <c r="G18" s="6">
        <f t="shared" si="3"/>
        <v>202.9104639</v>
      </c>
      <c r="H18" s="6">
        <f t="shared" si="4"/>
        <v>-600</v>
      </c>
      <c r="I18" s="6">
        <f t="shared" si="5"/>
        <v>-222.8171521</v>
      </c>
      <c r="J18" s="6"/>
      <c r="K18" s="6"/>
      <c r="L18" s="6"/>
      <c r="M18" s="6"/>
      <c r="N18" s="6"/>
      <c r="O18" s="6"/>
    </row>
    <row r="19">
      <c r="A19" s="6"/>
      <c r="B19" s="6"/>
      <c r="C19" s="7">
        <v>19.0</v>
      </c>
      <c r="D19" s="6">
        <f>Rep!$I$85</f>
        <v>40.5</v>
      </c>
      <c r="E19" s="7">
        <f t="shared" si="1"/>
        <v>3.785448563</v>
      </c>
      <c r="F19" s="6">
        <f t="shared" si="2"/>
        <v>0.909235227</v>
      </c>
      <c r="G19" s="6">
        <f t="shared" si="3"/>
        <v>188.0701439</v>
      </c>
      <c r="H19" s="6">
        <f t="shared" si="4"/>
        <v>-600</v>
      </c>
      <c r="I19" s="6">
        <f t="shared" si="5"/>
        <v>-243.3148902</v>
      </c>
      <c r="J19" s="6"/>
      <c r="K19" s="6"/>
      <c r="L19" s="6"/>
      <c r="M19" s="6"/>
      <c r="N19" s="6"/>
      <c r="O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5.0"/>
    <col customWidth="1" min="3" max="4" width="10.0"/>
    <col customWidth="1" min="5" max="5" width="10.88"/>
    <col customWidth="1" min="6" max="26" width="10.0"/>
  </cols>
  <sheetData>
    <row r="1">
      <c r="A1" s="147" t="str">
        <f>Rep!G1</f>
        <v>Matricule:</v>
      </c>
      <c r="B1" s="147">
        <f>Rep!H1</f>
        <v>2013658</v>
      </c>
      <c r="C1" s="147">
        <f>Rep!H2</f>
        <v>2025123</v>
      </c>
      <c r="D1" s="147">
        <f>Rep!H3</f>
        <v>1744525</v>
      </c>
      <c r="H1" s="148">
        <f>Rep!S15</f>
        <v>4211.596756</v>
      </c>
      <c r="I1" s="148">
        <f>Rep!S27</f>
        <v>21833.6347</v>
      </c>
      <c r="J1" s="148">
        <f>Rep!S39</f>
        <v>40547.4606</v>
      </c>
      <c r="K1" s="148">
        <f>Rep!R49</f>
        <v>19463.84452</v>
      </c>
      <c r="L1" s="148">
        <f>Rep!T54</f>
        <v>2500</v>
      </c>
      <c r="M1" s="148">
        <f>Rep!T65</f>
        <v>56387.18259</v>
      </c>
      <c r="N1" s="148">
        <f>Rep!T70</f>
        <v>306853.0704</v>
      </c>
      <c r="O1" s="148">
        <f>Rep!T80</f>
        <v>1888.979815</v>
      </c>
      <c r="P1" s="122">
        <f>Rep!T91</f>
        <v>0.2185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2021-02-04T14:53:40Z</dcterms:created>
  <dc:creator>User</dc:creator>
</cp:coreProperties>
</file>