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ives" sheetId="1" r:id="rId4"/>
    <sheet state="visible" name="Modèle" sheetId="2" r:id="rId5"/>
    <sheet state="visible" name="Sheet1" sheetId="3" r:id="rId6"/>
    <sheet state="hidden" name="Answersheet" sheetId="4" r:id="rId7"/>
  </sheets>
  <definedNames/>
  <calcPr/>
  <extLst>
    <ext uri="GoogleSheetsCustomDataVersion1">
      <go:sheetsCustomData xmlns:go="http://customooxmlschemas.google.com/" r:id="rId8" roundtripDataSignature="AMtx7mhNHaN4FY0bIkpXmf+Kyi2+/H3Uvw=="/>
    </ext>
  </extLst>
</workbook>
</file>

<file path=xl/sharedStrings.xml><?xml version="1.0" encoding="utf-8"?>
<sst xmlns="http://schemas.openxmlformats.org/spreadsheetml/2006/main" count="128" uniqueCount="110">
  <si>
    <t>DIRECTIVES IMPORTANTES</t>
  </si>
  <si>
    <t>Étapes du TP</t>
  </si>
  <si>
    <t>1- Télécharger sur votre ordinateur le fichier Excel</t>
  </si>
  <si>
    <t>2- Renomer le fichier avec votre numéro de matricule - TP4 - Gr.lab</t>
  </si>
  <si>
    <t xml:space="preserve">exemple: </t>
  </si>
  <si>
    <t>1827096 - TP4 - Gr.5.xlsx</t>
  </si>
  <si>
    <t>Dans le doute, copier/coller l'exemple et modifer le.</t>
  </si>
  <si>
    <t>Ne pas vous tromper pas dans votre matricule, espaces, caractères, numéro de groupe, etc.</t>
  </si>
  <si>
    <t>3- Effectuer et compléter le TP</t>
  </si>
  <si>
    <t>Effectuer vos calculs à l'aide d'Excel seulement, pas de calculatrice. Excel garde toutes les décimales même si elles ne sont pas montrées.</t>
  </si>
  <si>
    <t>Mettre les réponses dans les cases en jaunes seulement</t>
  </si>
  <si>
    <t>Ne mettre que des chiffres dans les cellules jaunes</t>
  </si>
  <si>
    <t>C'est possible que pour certaines questions, il n'y ai pas de réponse. Dans ce cas, mettre 0 dans la cellule en jaune.</t>
  </si>
  <si>
    <t>NE PAS MODIFIER LE FICHIER (ajouter des lignes ou des colonnes, fusionner, etc.)</t>
  </si>
  <si>
    <t>Ne pas changer le format de la réponse</t>
  </si>
  <si>
    <r>
      <rPr>
        <rFont val="Arial"/>
        <color theme="1"/>
        <sz val="11.0"/>
      </rPr>
      <t xml:space="preserve">Respecter les signes dans le </t>
    </r>
    <r>
      <rPr>
        <rFont val="Arial"/>
        <b/>
        <color theme="1"/>
        <sz val="11.0"/>
      </rPr>
      <t>tableau</t>
    </r>
    <r>
      <rPr>
        <rFont val="Arial"/>
        <color theme="1"/>
        <sz val="11.0"/>
      </rPr>
      <t xml:space="preserve"> du calcul de la VAN</t>
    </r>
  </si>
  <si>
    <t>4- Déposer le dans la BONNE boite de dépôt; bon groupe, bon TP.</t>
  </si>
  <si>
    <t>3 points sur 20 sont donnés pour suivre la démarche parfaitement</t>
  </si>
  <si>
    <t>Amusez vous bien !!!!</t>
  </si>
  <si>
    <t>NOM :</t>
  </si>
  <si>
    <t>FALICOFF</t>
  </si>
  <si>
    <t>Prén. :</t>
  </si>
  <si>
    <t>Maximiliano</t>
  </si>
  <si>
    <t>Matricule</t>
  </si>
  <si>
    <t>Gr.</t>
  </si>
  <si>
    <t>SIMARD</t>
  </si>
  <si>
    <t>Samuel</t>
  </si>
  <si>
    <t>MITRI</t>
  </si>
  <si>
    <t>ELIE</t>
  </si>
  <si>
    <t>SSH-3201 - Économique de l’ingénieur TP 5</t>
  </si>
  <si>
    <t>Hiver 2021</t>
  </si>
  <si>
    <t>Vous travaillez depuis maintenant 2 ans pour l’entreprise UVlights inc. qui se spécialise en équipements de sterilisation. Voyant qu’il y a présentement une belle opportunité de marché Post covid-19, une idée a germé et vous aimeriez l’exploiter. Ces 5 derniers mois, elle a investi 16 500 $ en recherche et développement et vous êtes en train d’analyser les données d’analyse de marché que vous aviez commandée auprès d’une firme spécialisée. UVlights inc. vient de recevoir la facture de 10 000 $ pour le travail effectué et elle a 30 jours pour faire le payement.</t>
  </si>
  <si>
    <t>a)</t>
  </si>
  <si>
    <t>b)</t>
  </si>
  <si>
    <t>Terrain</t>
  </si>
  <si>
    <t>Batîsse</t>
  </si>
  <si>
    <t>Notaire + droit</t>
  </si>
  <si>
    <t>Total</t>
  </si>
  <si>
    <t>Unite vendues 1-4</t>
  </si>
  <si>
    <t>Unite vendues 5-8</t>
  </si>
  <si>
    <t>Débours</t>
  </si>
  <si>
    <t>Pour réaliser ce projet d'une durée de 8 ans, elle devra faire l’acquisition d’un nouvel immeuble avec terrain. Après plusieurs recherches, vous avez trouvé une usine à proximité de son usine principale. En regardant le compte de taxes, l’on constate que le terrain est évalué à 649 000 $ et que la bâtisse est évaluée à 253 000 $. Après plusieurs négociations, vous considérez que vous seriez capable d’en faire faire l’acquisition pour 1 052 000 $.</t>
  </si>
  <si>
    <t>Valeur récupération</t>
  </si>
  <si>
    <t>Équipement</t>
  </si>
  <si>
    <r>
      <rPr>
        <rFont val="Calibri"/>
        <color rgb="FF000000"/>
        <sz val="12.0"/>
      </rPr>
      <t>À noter que des frais notariés de 4 750$ et des droits de mutation de 21 450 $ devront également être déboursés pour conclure cette transaction. (</t>
    </r>
    <r>
      <rPr>
        <rFont val="Calibri"/>
        <b/>
        <color rgb="FF000000"/>
        <sz val="12.0"/>
      </rPr>
      <t>À inclure dans les frais d'acquisition)</t>
    </r>
  </si>
  <si>
    <t xml:space="preserve">Débours </t>
  </si>
  <si>
    <t>Valeur de récupération</t>
  </si>
  <si>
    <t xml:space="preserve">Équipement </t>
  </si>
  <si>
    <t xml:space="preserve">Au bout de 8 ans, l’immeuble aura une valeur de revente estimée de 120 000 $ et le terrain devrait prendre 3% de valeur par année. À la fin des 8 années, le terrain sera vendu à sa valeur marchande. </t>
  </si>
  <si>
    <t>Immeuble</t>
  </si>
  <si>
    <t>FMN 1</t>
  </si>
  <si>
    <t>FMN 8</t>
  </si>
  <si>
    <t>c)</t>
  </si>
  <si>
    <r>
      <rPr>
        <rFont val="Calibri"/>
        <color rgb="FF000000"/>
        <sz val="12.0"/>
      </rPr>
      <t xml:space="preserve">De plus, elle devra investir dans du nouvel équipement évaluer à 327 000 $, installation et formations de base incluses. Cet équipement possèderait une vie utile de 25 ans. À la fin de sa vie utile, la valeur de revente sera de 35 000 $. On considère que ce type d’équipement perd toujours la même valeur à  chaque année. </t>
    </r>
    <r>
      <rPr>
        <rFont val="Calibri"/>
        <b/>
        <color rgb="FF000000"/>
        <sz val="12.0"/>
      </rPr>
      <t>(amortissement linéaire)</t>
    </r>
  </si>
  <si>
    <t xml:space="preserve">Année </t>
  </si>
  <si>
    <t>Données</t>
  </si>
  <si>
    <t>Ventes en unité</t>
  </si>
  <si>
    <t xml:space="preserve">Charges fixes </t>
  </si>
  <si>
    <t>Contribution marginale par u</t>
  </si>
  <si>
    <t>Contribution marginael tot</t>
  </si>
  <si>
    <t>Après plusieurs discussions en comité, avec le département des ventes, le département de marketing et la firme de consultation, il est clair que la quantité que l’on pourrait vendre de notre produit représentent la variable la plus incertaine de ce projet. À cet effet, le comité a établi 5 valeurs de cette variable et révèle la distribution de probabilités suivante : </t>
  </si>
  <si>
    <t>Flux monétaires nets d'exploitation</t>
  </si>
  <si>
    <t>Investissements</t>
  </si>
  <si>
    <t xml:space="preserve">Fond de roulement </t>
  </si>
  <si>
    <t xml:space="preserve">Années 1 à 4 (fin d’année) </t>
  </si>
  <si>
    <t xml:space="preserve">Années 5 à 8 (fin d’année) </t>
  </si>
  <si>
    <t>Ventes annuelles prévues</t>
  </si>
  <si>
    <t>Probabilité</t>
  </si>
  <si>
    <t>Valeurs de récupération</t>
  </si>
  <si>
    <t xml:space="preserve">Immeuble </t>
  </si>
  <si>
    <t xml:space="preserve">Terrain </t>
  </si>
  <si>
    <t>Flux monétaires</t>
  </si>
  <si>
    <t>Facteur d'actualisation</t>
  </si>
  <si>
    <t>Flux monétaires actualisés</t>
  </si>
  <si>
    <r>
      <rPr>
        <rFont val="Calibri"/>
        <color rgb="FF000000"/>
        <sz val="12.0"/>
      </rPr>
      <t xml:space="preserve">À cause de l’augmentation de la production, Il faudra dédier en début de projet un fonds de roulement de 20 000 $ et l’augmenter de 30 000 $ </t>
    </r>
    <r>
      <rPr>
        <rFont val="Calibri"/>
        <b/>
        <color rgb="FF000000"/>
        <sz val="12.0"/>
      </rPr>
      <t>au début de la cinquième année.</t>
    </r>
    <r>
      <rPr>
        <rFont val="Calibri"/>
        <color rgb="FF000000"/>
        <sz val="12.0"/>
      </rPr>
      <t xml:space="preserve"> Le fonds de roulement sera récupéré à la fin du projet. </t>
    </r>
  </si>
  <si>
    <t>Valeur actuelle nette</t>
  </si>
  <si>
    <t>d)</t>
  </si>
  <si>
    <t>g)</t>
  </si>
  <si>
    <t>Années</t>
  </si>
  <si>
    <t>Flux monétaire</t>
  </si>
  <si>
    <t>Cumul</t>
  </si>
  <si>
    <t xml:space="preserve">Le comité a déterminé que l’on pouvait s’attendre à une contribution marginale unitaire (marge sur coût variable unitaire) avant impôt est de 26 $. Les charges d’exploitation fixes avant impôts, autres que l’amortissement comptable, devrait-être de 123 000 $ par année pour les quatres premières années et passeront par la suite à 242 000 $ par année pour les années restantes du projet. </t>
  </si>
  <si>
    <t>Annuité équivalente</t>
  </si>
  <si>
    <t>e)</t>
  </si>
  <si>
    <t>Indice de Rentabilité</t>
  </si>
  <si>
    <t>Le taux de rendement acceptable minimum (TRAM) avant impôt est de 9%.</t>
  </si>
  <si>
    <t>f)</t>
  </si>
  <si>
    <t>Partie 1</t>
  </si>
  <si>
    <t>ans</t>
  </si>
  <si>
    <t>nb de jours</t>
  </si>
  <si>
    <t xml:space="preserve">Travail à faire : </t>
  </si>
  <si>
    <t>valeur récupération == valeur de revente</t>
  </si>
  <si>
    <t>a)  Calculer le coût d'acquisition et la valeur de récupération de l'équipement, du bâtiment et du terrain.</t>
  </si>
  <si>
    <t>TRI</t>
  </si>
  <si>
    <t>b)  Calculer les flux monétaires nets d'exploitation pour l'année 1 et 8</t>
  </si>
  <si>
    <t xml:space="preserve">c)  Calculer la valeur actualisée nette (VAN) du projet </t>
  </si>
  <si>
    <t xml:space="preserve">d)  Calculer l’annuitée équivalente du projet </t>
  </si>
  <si>
    <t>h)</t>
  </si>
  <si>
    <t xml:space="preserve">e)  Calculer l’indice de rentabilité du projet </t>
  </si>
  <si>
    <t>MP</t>
  </si>
  <si>
    <t>f)  Calculer le taux de rendement interne (TRI) (par interpolation) du projet (soyez précis et prenez 1% entre les deux taux)</t>
  </si>
  <si>
    <t>an</t>
  </si>
  <si>
    <t xml:space="preserve">g)  Calculer le délai de récupération avec rendement </t>
  </si>
  <si>
    <t>fmn</t>
  </si>
  <si>
    <t xml:space="preserve">h)  Calculer le TRIM en considérant un taux de réinvestissement de 10% </t>
  </si>
  <si>
    <t>fact act</t>
  </si>
  <si>
    <t>val act</t>
  </si>
  <si>
    <t>mf</t>
  </si>
  <si>
    <t>a) trouver l'évaluation au total et le pourcentage du terrain et de la batisse</t>
  </si>
  <si>
    <t>TRIM</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</si>
</sst>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_ * #,##0_)\ &quot;$&quot;_ ;_ * \(#,##0\)\ &quot;$&quot;_ ;_ * &quot;-&quot;??_)\ &quot;$&quot;_ ;_ @_ "/>
    <numFmt numFmtId="165" formatCode="&quot;$&quot;#,##0.00"/>
    <numFmt numFmtId="166" formatCode="#,##0&quot; u&quot;"/>
    <numFmt numFmtId="167" formatCode="_ * #,##0.00_)\ &quot;$&quot;_ ;_ * \(#,##0.00\)\ &quot;$&quot;_ ;_ * &quot;-&quot;??_)\ &quot;$&quot;_ ;_ @_ "/>
    <numFmt numFmtId="168" formatCode="#,##0\ &quot;$&quot;_-;[Red]#,##0\ &quot;$&quot;\-"/>
    <numFmt numFmtId="169" formatCode="0.0000"/>
    <numFmt numFmtId="170" formatCode="#,##0&quot; u.&quot;"/>
    <numFmt numFmtId="171" formatCode="#,##0\ &quot;$&quot;"/>
    <numFmt numFmtId="172" formatCode="_ * #,##0.00000_)_ ;_ * \(#,##0.00000\)_ ;_ * &quot;-&quot;??_)_ ;_ @_ "/>
    <numFmt numFmtId="173" formatCode="_ * #,##0.00_)\ _$_ ;_ * \(#,##0.00\)\ _$_ ;_ * &quot;-&quot;??_)\ _$_ ;_ @_ "/>
    <numFmt numFmtId="174" formatCode="#,##0&quot; ans&quot;"/>
    <numFmt numFmtId="175" formatCode="#,##0&quot; jours&quot;"/>
    <numFmt numFmtId="176" formatCode="_ * #,##0.00_)_ ;_ * \(#,##0.00\)_ ;_ * &quot;-&quot;??_)_ ;_ @_ "/>
  </numFmts>
  <fonts count="12">
    <font>
      <sz val="11.0"/>
      <color theme="1"/>
      <name val="Arial"/>
    </font>
    <font>
      <b/>
      <sz val="24.0"/>
      <color theme="1"/>
      <name val="Arial"/>
    </font>
    <font>
      <b/>
      <sz val="22.0"/>
      <color theme="1"/>
      <name val="Arial"/>
    </font>
    <font/>
    <font>
      <b/>
      <u/>
      <sz val="11.0"/>
      <color theme="1"/>
      <name val="Arial"/>
    </font>
    <font>
      <sz val="12.0"/>
      <color theme="1"/>
      <name val="Calibri"/>
    </font>
    <font>
      <b/>
      <sz val="12.0"/>
      <color theme="1"/>
      <name val="Calibri"/>
    </font>
    <font>
      <sz val="12.0"/>
      <color rgb="FF000000"/>
      <name val="Calibri"/>
    </font>
    <font>
      <b/>
      <sz val="12.0"/>
      <color theme="1"/>
      <name val="Arial"/>
    </font>
    <font>
      <sz val="12.0"/>
      <color theme="1"/>
    </font>
    <font>
      <sz val="11.0"/>
      <color rgb="FF7E3794"/>
      <name val="Calibri"/>
    </font>
    <font>
      <color theme="1"/>
      <name val="Calibri"/>
    </font>
  </fonts>
  <fills count="8">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FFFFFF"/>
        <bgColor rgb="FFFFFFFF"/>
      </patternFill>
    </fill>
    <fill>
      <patternFill patternType="solid">
        <fgColor rgb="FFD8D8D8"/>
        <bgColor rgb="FFD8D8D8"/>
      </patternFill>
    </fill>
    <fill>
      <patternFill patternType="solid">
        <fgColor rgb="FFF2F2F2"/>
        <bgColor rgb="FFF2F2F2"/>
      </patternFill>
    </fill>
    <fill>
      <patternFill patternType="solid">
        <fgColor rgb="FFDADADA"/>
        <bgColor rgb="FFDADADA"/>
      </patternFill>
    </fill>
  </fills>
  <borders count="61">
    <border/>
    <border>
      <left/>
      <top/>
    </border>
    <border>
      <top/>
    </border>
    <border>
      <right/>
      <top/>
    </border>
    <border>
      <left/>
      <bottom/>
    </border>
    <border>
      <bottom/>
    </border>
    <border>
      <right/>
      <bottom/>
    </border>
    <border>
      <left/>
      <right/>
      <top/>
      <bottom/>
    </border>
    <border>
      <left/>
      <top/>
      <bottom/>
    </border>
    <border>
      <top/>
      <bottom/>
    </border>
    <border>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bottom style="medium">
        <color rgb="FF000000"/>
      </bottom>
    </border>
    <border>
      <left style="medium">
        <color rgb="FF000000"/>
      </left>
      <right/>
      <top/>
      <bottom style="medium">
        <color rgb="FF000000"/>
      </bottom>
    </border>
    <border>
      <left/>
      <right style="medium">
        <color rgb="FF000000"/>
      </right>
      <top/>
      <bottom style="medium">
        <color rgb="FF000000"/>
      </bottom>
    </border>
    <border>
      <bottom style="medium">
        <color rgb="FF000000"/>
      </bottom>
    </border>
    <border>
      <right style="medium">
        <color rgb="FF000000"/>
      </right>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bottom/>
    </border>
    <border>
      <right style="thick">
        <color rgb="FF000000"/>
      </right>
    </border>
    <border>
      <right style="thick">
        <color rgb="FF000000"/>
      </right>
      <top style="medium">
        <color rgb="FF000000"/>
      </top>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right style="thin">
        <color rgb="FF000000"/>
      </righ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rder>
    <border>
      <right style="medium">
        <color rgb="FF000000"/>
      </right>
      <top style="thin">
        <color rgb="FF000000"/>
      </top>
    </border>
    <border>
      <left style="thin">
        <color rgb="FF000000"/>
      </left>
      <right style="medium">
        <color rgb="FF000000"/>
      </right>
      <top style="thin">
        <color rgb="FF000000"/>
      </top>
      <bottom/>
    </border>
    <border>
      <left style="thin">
        <color rgb="FF000000"/>
      </left>
      <right style="medium">
        <color rgb="FF000000"/>
      </right>
      <top/>
      <bottom style="thin">
        <color rgb="FF000000"/>
      </bottom>
    </border>
    <border>
      <right style="thin">
        <color rgb="FF000000"/>
      </right>
      <top style="thin">
        <color rgb="FF000000"/>
      </top>
    </border>
    <border>
      <left style="thin">
        <color rgb="FF000000"/>
      </left>
      <right style="thick">
        <color rgb="FF000000"/>
      </right>
      <top/>
      <bottom/>
    </border>
    <border>
      <right style="thin">
        <color rgb="FF000000"/>
      </right>
    </border>
    <border>
      <left style="thin">
        <color rgb="FF000000"/>
      </left>
      <right style="thick">
        <color rgb="FF000000"/>
      </right>
      <top/>
      <bottom style="medium">
        <color rgb="FF000000"/>
      </bottom>
    </border>
    <border>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top style="medium">
        <color rgb="FF000000"/>
      </top>
      <bottom style="medium">
        <color rgb="FF000000"/>
      </bottom>
    </border>
    <border>
      <left style="medium">
        <color rgb="FF000000"/>
      </left>
      <right style="thin">
        <color rgb="FF000000"/>
      </right>
      <top style="thin">
        <color rgb="FF000000"/>
      </top>
      <bottom style="medium">
        <color rgb="FF000000"/>
      </bottom>
    </border>
    <border>
      <left/>
      <right style="medium">
        <color rgb="FF000000"/>
      </right>
      <top style="medium">
        <color rgb="FF000000"/>
      </top>
      <bottom style="medium">
        <color rgb="FF000000"/>
      </bottom>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0" numFmtId="0" xfId="0" applyFont="1"/>
    <xf borderId="0" fillId="0" fontId="0" numFmtId="0" xfId="0" applyAlignment="1" applyFont="1">
      <alignment vertical="center"/>
    </xf>
    <xf borderId="1" fillId="2" fontId="2" numFmtId="0" xfId="0" applyAlignment="1" applyBorder="1" applyFill="1" applyFont="1">
      <alignment horizontal="center"/>
    </xf>
    <xf borderId="2" fillId="0" fontId="3" numFmtId="0" xfId="0" applyBorder="1" applyFont="1"/>
    <xf borderId="3" fillId="0" fontId="3" numFmtId="0" xfId="0" applyBorder="1" applyFont="1"/>
    <xf borderId="0" fillId="0" fontId="0" numFmtId="0" xfId="0" applyAlignment="1" applyFont="1">
      <alignment horizontal="center" vertical="center"/>
    </xf>
    <xf borderId="4" fillId="0" fontId="3" numFmtId="0" xfId="0" applyBorder="1" applyFont="1"/>
    <xf borderId="5" fillId="0" fontId="3" numFmtId="0" xfId="0" applyBorder="1" applyFont="1"/>
    <xf borderId="6" fillId="0" fontId="3" numFmtId="0" xfId="0" applyBorder="1" applyFont="1"/>
    <xf borderId="0" fillId="0" fontId="2" numFmtId="0" xfId="0" applyAlignment="1" applyFont="1">
      <alignment horizontal="center"/>
    </xf>
    <xf borderId="0" fillId="0" fontId="0" numFmtId="0" xfId="0" applyAlignment="1" applyFont="1">
      <alignment horizontal="left"/>
    </xf>
    <xf borderId="7" fillId="2" fontId="0" numFmtId="0" xfId="0" applyBorder="1" applyFont="1"/>
    <xf borderId="8" fillId="3" fontId="4" numFmtId="0" xfId="0" applyAlignment="1" applyBorder="1" applyFill="1" applyFont="1">
      <alignment horizontal="center"/>
    </xf>
    <xf borderId="9" fillId="0" fontId="3" numFmtId="0" xfId="0" applyBorder="1" applyFont="1"/>
    <xf borderId="10" fillId="0" fontId="3" numFmtId="0" xfId="0" applyBorder="1" applyFont="1"/>
    <xf borderId="0" fillId="0" fontId="5" numFmtId="0" xfId="0" applyFont="1"/>
    <xf borderId="11" fillId="0" fontId="6" numFmtId="49" xfId="0" applyBorder="1" applyFont="1" applyNumberFormat="1"/>
    <xf borderId="11" fillId="0" fontId="7" numFmtId="49" xfId="0" applyAlignment="1" applyBorder="1" applyFont="1" applyNumberFormat="1">
      <alignment readingOrder="0"/>
    </xf>
    <xf borderId="12" fillId="0" fontId="6" numFmtId="0" xfId="0" applyBorder="1" applyFont="1"/>
    <xf borderId="11" fillId="0" fontId="5" numFmtId="49" xfId="0" applyAlignment="1" applyBorder="1" applyFont="1" applyNumberFormat="1">
      <alignment horizontal="center" readingOrder="0"/>
    </xf>
    <xf borderId="13" fillId="0" fontId="3" numFmtId="0" xfId="0" applyBorder="1" applyFont="1"/>
    <xf borderId="12" fillId="0" fontId="6" numFmtId="49" xfId="0" applyBorder="1" applyFont="1" applyNumberFormat="1"/>
    <xf borderId="12" fillId="0" fontId="5" numFmtId="0" xfId="0" applyAlignment="1" applyBorder="1" applyFont="1">
      <alignment readingOrder="0"/>
    </xf>
    <xf borderId="12" fillId="0" fontId="6" numFmtId="0" xfId="0" applyAlignment="1" applyBorder="1" applyFont="1">
      <alignment horizontal="right"/>
    </xf>
    <xf borderId="12" fillId="0" fontId="6" numFmtId="0" xfId="0" applyAlignment="1" applyBorder="1" applyFont="1">
      <alignment horizontal="right" readingOrder="0"/>
    </xf>
    <xf borderId="14" fillId="0" fontId="8" numFmtId="0" xfId="0" applyAlignment="1" applyBorder="1" applyFont="1">
      <alignment horizontal="center" vertical="center"/>
    </xf>
    <xf borderId="14" fillId="0" fontId="3" numFmtId="0" xfId="0" applyBorder="1" applyFont="1"/>
    <xf borderId="0" fillId="0" fontId="8" numFmtId="0" xfId="0" applyAlignment="1" applyFont="1">
      <alignment vertical="center"/>
    </xf>
    <xf borderId="0" fillId="0" fontId="6" numFmtId="0" xfId="0" applyFont="1"/>
    <xf borderId="0" fillId="0" fontId="7" numFmtId="0" xfId="0" applyAlignment="1" applyFont="1">
      <alignment horizontal="left" shrinkToFit="0" vertical="center" wrapText="1"/>
    </xf>
    <xf borderId="0" fillId="0" fontId="5" numFmtId="164" xfId="0" applyFont="1" applyNumberFormat="1"/>
    <xf borderId="0" fillId="0" fontId="5" numFmtId="0" xfId="0" applyAlignment="1" applyFont="1">
      <alignment readingOrder="0"/>
    </xf>
    <xf borderId="15" fillId="0" fontId="5" numFmtId="0" xfId="0" applyAlignment="1" applyBorder="1" applyFont="1">
      <alignment readingOrder="0"/>
    </xf>
    <xf borderId="16" fillId="0" fontId="5" numFmtId="0" xfId="0" applyAlignment="1" applyBorder="1" applyFont="1">
      <alignment readingOrder="0"/>
    </xf>
    <xf borderId="16" fillId="0" fontId="5" numFmtId="0" xfId="0" applyBorder="1" applyFont="1"/>
    <xf borderId="17" fillId="0" fontId="5" numFmtId="0" xfId="0" applyAlignment="1" applyBorder="1" applyFont="1">
      <alignment readingOrder="0"/>
    </xf>
    <xf borderId="17" fillId="0" fontId="5" numFmtId="0" xfId="0" applyBorder="1" applyFont="1"/>
    <xf borderId="0" fillId="0" fontId="6" numFmtId="0" xfId="0" applyAlignment="1" applyFont="1">
      <alignment horizontal="center"/>
    </xf>
    <xf borderId="18" fillId="0" fontId="5" numFmtId="165" xfId="0" applyBorder="1" applyFont="1" applyNumberFormat="1"/>
    <xf borderId="0" fillId="0" fontId="5" numFmtId="165" xfId="0" applyAlignment="1" applyFont="1" applyNumberFormat="1">
      <alignment readingOrder="0"/>
    </xf>
    <xf borderId="0" fillId="0" fontId="5" numFmtId="10" xfId="0" applyFont="1" applyNumberFormat="1"/>
    <xf borderId="0" fillId="0" fontId="5" numFmtId="165" xfId="0" applyFont="1" applyNumberFormat="1"/>
    <xf borderId="19" fillId="0" fontId="5" numFmtId="165" xfId="0" applyBorder="1" applyFont="1" applyNumberFormat="1"/>
    <xf borderId="18" fillId="0" fontId="5" numFmtId="0" xfId="0" applyAlignment="1" applyBorder="1" applyFont="1">
      <alignment readingOrder="0"/>
    </xf>
    <xf borderId="19" fillId="0" fontId="5" numFmtId="0" xfId="0" applyBorder="1" applyFont="1"/>
    <xf borderId="0" fillId="0" fontId="5" numFmtId="166" xfId="0" applyAlignment="1" applyFont="1" applyNumberFormat="1">
      <alignment horizontal="center"/>
    </xf>
    <xf borderId="18" fillId="0" fontId="5" numFmtId="0" xfId="0" applyBorder="1" applyFont="1"/>
    <xf borderId="0" fillId="0" fontId="5" numFmtId="164" xfId="0" applyAlignment="1" applyFont="1" applyNumberFormat="1">
      <alignment horizontal="center"/>
    </xf>
    <xf borderId="18" fillId="0" fontId="5" numFmtId="165" xfId="0" applyAlignment="1" applyBorder="1" applyFont="1" applyNumberFormat="1">
      <alignment readingOrder="0"/>
    </xf>
    <xf borderId="0" fillId="0" fontId="6" numFmtId="0" xfId="0" applyAlignment="1" applyFont="1">
      <alignment horizontal="right"/>
    </xf>
    <xf borderId="0" fillId="4" fontId="5" numFmtId="165" xfId="0" applyAlignment="1" applyFill="1" applyFont="1" applyNumberFormat="1">
      <alignment horizontal="left"/>
    </xf>
    <xf borderId="19" fillId="0" fontId="5" numFmtId="165" xfId="0" applyAlignment="1" applyBorder="1" applyFont="1" applyNumberFormat="1">
      <alignment readingOrder="0"/>
    </xf>
    <xf borderId="18" fillId="0" fontId="6" numFmtId="165" xfId="0" applyAlignment="1" applyBorder="1" applyFont="1" applyNumberFormat="1">
      <alignment horizontal="right"/>
    </xf>
    <xf borderId="0" fillId="0" fontId="6" numFmtId="165" xfId="0" applyFont="1" applyNumberFormat="1"/>
    <xf borderId="0" fillId="0" fontId="7" numFmtId="164" xfId="0" applyFont="1" applyNumberFormat="1"/>
    <xf borderId="18" fillId="0" fontId="6" numFmtId="165" xfId="0" applyBorder="1" applyFont="1" applyNumberFormat="1"/>
    <xf borderId="0" fillId="0" fontId="5" numFmtId="0" xfId="0" applyAlignment="1" applyFont="1">
      <alignment horizontal="center"/>
    </xf>
    <xf borderId="18" fillId="0" fontId="6" numFmtId="0" xfId="0" applyBorder="1" applyFont="1"/>
    <xf borderId="0" fillId="0" fontId="5" numFmtId="167" xfId="0" applyFont="1" applyNumberFormat="1"/>
    <xf borderId="0" fillId="0" fontId="5" numFmtId="9" xfId="0" applyFont="1" applyNumberFormat="1"/>
    <xf borderId="0" fillId="0" fontId="9" numFmtId="0" xfId="0" applyFont="1"/>
    <xf borderId="0" fillId="0" fontId="7" numFmtId="0" xfId="0" applyAlignment="1" applyFont="1">
      <alignment horizontal="left" readingOrder="0" shrinkToFit="0" vertical="center" wrapText="1"/>
    </xf>
    <xf borderId="20" fillId="0" fontId="6" numFmtId="0" xfId="0" applyAlignment="1" applyBorder="1" applyFont="1">
      <alignment horizontal="center"/>
    </xf>
    <xf borderId="21" fillId="0" fontId="6" numFmtId="0" xfId="0" applyBorder="1" applyFont="1"/>
    <xf borderId="15" fillId="0" fontId="6" numFmtId="0" xfId="0" applyBorder="1" applyFont="1"/>
    <xf borderId="22" fillId="2" fontId="5" numFmtId="164" xfId="0" applyBorder="1" applyFont="1" applyNumberFormat="1"/>
    <xf borderId="23" fillId="2" fontId="5" numFmtId="167" xfId="0" applyBorder="1" applyFont="1" applyNumberFormat="1"/>
    <xf borderId="24" fillId="2" fontId="5" numFmtId="164" xfId="0" applyBorder="1" applyFont="1" applyNumberFormat="1"/>
    <xf borderId="25" fillId="2" fontId="5" numFmtId="167" xfId="0" applyBorder="1" applyFont="1" applyNumberFormat="1"/>
    <xf borderId="20" fillId="0" fontId="6" numFmtId="0" xfId="0" applyBorder="1" applyFont="1"/>
    <xf borderId="26" fillId="0" fontId="6" numFmtId="0" xfId="0" applyBorder="1" applyFont="1"/>
    <xf borderId="27" fillId="2" fontId="5" numFmtId="164" xfId="0" applyBorder="1" applyFont="1" applyNumberFormat="1"/>
    <xf borderId="28" fillId="2" fontId="5" numFmtId="167" xfId="0" applyBorder="1" applyFont="1" applyNumberFormat="1"/>
    <xf borderId="29" fillId="0" fontId="5" numFmtId="0" xfId="0" applyBorder="1" applyFont="1"/>
    <xf borderId="30" fillId="0" fontId="5" numFmtId="0" xfId="0" applyBorder="1" applyFont="1"/>
    <xf borderId="27" fillId="2" fontId="5" numFmtId="164" xfId="0" applyAlignment="1" applyBorder="1" applyFont="1" applyNumberFormat="1">
      <alignment readingOrder="0"/>
    </xf>
    <xf borderId="28" fillId="2" fontId="5" numFmtId="164" xfId="0" applyAlignment="1" applyBorder="1" applyFont="1" applyNumberFormat="1">
      <alignment readingOrder="0"/>
    </xf>
    <xf borderId="0" fillId="0" fontId="5" numFmtId="0" xfId="0" applyAlignment="1" applyFont="1">
      <alignment horizontal="center" vertical="center"/>
    </xf>
    <xf borderId="20" fillId="0" fontId="6" numFmtId="0" xfId="0" applyAlignment="1" applyBorder="1" applyFont="1">
      <alignment horizontal="left"/>
    </xf>
    <xf borderId="31" fillId="0" fontId="3" numFmtId="0" xfId="0" applyBorder="1" applyFont="1"/>
    <xf borderId="32" fillId="5" fontId="6" numFmtId="0" xfId="0" applyAlignment="1" applyBorder="1" applyFill="1" applyFont="1">
      <alignment horizontal="center"/>
    </xf>
    <xf borderId="31" fillId="0" fontId="6" numFmtId="0" xfId="0" applyAlignment="1" applyBorder="1" applyFont="1">
      <alignment horizontal="center"/>
    </xf>
    <xf borderId="21" fillId="0" fontId="6" numFmtId="0" xfId="0" applyAlignment="1" applyBorder="1" applyFont="1">
      <alignment horizontal="center"/>
    </xf>
    <xf borderId="32" fillId="5" fontId="5" numFmtId="9" xfId="0" applyAlignment="1" applyBorder="1" applyFont="1" applyNumberFormat="1">
      <alignment horizontal="center"/>
    </xf>
    <xf borderId="20" fillId="0" fontId="5" numFmtId="166" xfId="0" applyAlignment="1" applyBorder="1" applyFont="1" applyNumberFormat="1">
      <alignment horizontal="center"/>
    </xf>
    <xf borderId="31" fillId="0" fontId="5" numFmtId="166" xfId="0" applyAlignment="1" applyBorder="1" applyFont="1" applyNumberFormat="1">
      <alignment horizontal="center"/>
    </xf>
    <xf borderId="18" fillId="0" fontId="6" numFmtId="0" xfId="0" applyAlignment="1" applyBorder="1" applyFont="1">
      <alignment horizontal="left"/>
    </xf>
    <xf borderId="33" fillId="5" fontId="5" numFmtId="168" xfId="0" applyAlignment="1" applyBorder="1" applyFont="1" applyNumberFormat="1">
      <alignment horizontal="center"/>
    </xf>
    <xf borderId="18" fillId="0" fontId="5" numFmtId="164" xfId="0" applyAlignment="1" applyBorder="1" applyFont="1" applyNumberFormat="1">
      <alignment horizontal="center"/>
    </xf>
    <xf borderId="0" fillId="0" fontId="5" numFmtId="164" xfId="0" applyAlignment="1" applyFont="1" applyNumberFormat="1">
      <alignment horizontal="center" readingOrder="0"/>
    </xf>
    <xf borderId="7" fillId="6" fontId="5" numFmtId="164" xfId="0" applyAlignment="1" applyBorder="1" applyFill="1" applyFont="1" applyNumberFormat="1">
      <alignment horizontal="center"/>
    </xf>
    <xf borderId="19" fillId="0" fontId="5" numFmtId="164" xfId="0" applyAlignment="1" applyBorder="1" applyFont="1" applyNumberFormat="1">
      <alignment horizontal="center"/>
    </xf>
    <xf borderId="0" fillId="0" fontId="5" numFmtId="164" xfId="0" applyAlignment="1" applyFont="1" applyNumberFormat="1">
      <alignment readingOrder="0"/>
    </xf>
    <xf borderId="34" fillId="0" fontId="5" numFmtId="164" xfId="0" applyAlignment="1" applyBorder="1" applyFont="1" applyNumberFormat="1">
      <alignment horizontal="center" readingOrder="0"/>
    </xf>
    <xf borderId="34" fillId="0" fontId="5" numFmtId="164" xfId="0" applyBorder="1" applyFont="1" applyNumberFormat="1"/>
    <xf borderId="31" fillId="0" fontId="5" numFmtId="0" xfId="0" applyBorder="1" applyFont="1"/>
    <xf borderId="32" fillId="7" fontId="5" numFmtId="0" xfId="0" applyBorder="1" applyFill="1" applyFont="1"/>
    <xf borderId="20" fillId="0" fontId="5" numFmtId="164" xfId="0" applyBorder="1" applyFont="1" applyNumberFormat="1"/>
    <xf borderId="31" fillId="0" fontId="7" numFmtId="164" xfId="0" applyBorder="1" applyFont="1" applyNumberFormat="1"/>
    <xf borderId="35" fillId="0" fontId="7" numFmtId="164" xfId="0" applyBorder="1" applyFont="1" applyNumberFormat="1"/>
    <xf borderId="33" fillId="5" fontId="5" numFmtId="0" xfId="0" applyAlignment="1" applyBorder="1" applyFont="1">
      <alignment horizontal="center"/>
    </xf>
    <xf borderId="18" fillId="0" fontId="5" numFmtId="164" xfId="0" applyAlignment="1" applyBorder="1" applyFont="1" applyNumberFormat="1">
      <alignment horizontal="right"/>
    </xf>
    <xf borderId="0" fillId="0" fontId="6" numFmtId="164" xfId="0" applyAlignment="1" applyFont="1" applyNumberFormat="1">
      <alignment horizontal="center"/>
    </xf>
    <xf borderId="36" fillId="0" fontId="7" numFmtId="0" xfId="0" applyAlignment="1" applyBorder="1" applyFont="1">
      <alignment horizontal="center" vertical="center"/>
    </xf>
    <xf borderId="37" fillId="0" fontId="3" numFmtId="0" xfId="0" applyBorder="1" applyFont="1"/>
    <xf borderId="38" fillId="0" fontId="5" numFmtId="0" xfId="0" applyAlignment="1" applyBorder="1" applyFont="1">
      <alignment horizontal="left" vertical="center"/>
    </xf>
    <xf borderId="39" fillId="0" fontId="3" numFmtId="0" xfId="0" applyBorder="1" applyFont="1"/>
    <xf borderId="40" fillId="0" fontId="5" numFmtId="164" xfId="0" applyBorder="1" applyFont="1" applyNumberFormat="1"/>
    <xf borderId="41" fillId="0" fontId="5" numFmtId="0" xfId="0" applyBorder="1" applyFont="1"/>
    <xf borderId="0" fillId="0" fontId="5" numFmtId="169" xfId="0" applyAlignment="1" applyFont="1" applyNumberFormat="1">
      <alignment horizontal="center"/>
    </xf>
    <xf borderId="42" fillId="0" fontId="7" numFmtId="0" xfId="0" applyAlignment="1" applyBorder="1" applyFont="1">
      <alignment horizontal="center" shrinkToFit="0" vertical="center" wrapText="1"/>
    </xf>
    <xf borderId="43" fillId="0" fontId="5" numFmtId="0" xfId="0" applyAlignment="1" applyBorder="1" applyFont="1">
      <alignment horizontal="center" vertical="center"/>
    </xf>
    <xf borderId="42" fillId="0" fontId="6" numFmtId="0" xfId="0" applyAlignment="1" applyBorder="1" applyFont="1">
      <alignment horizontal="left"/>
    </xf>
    <xf borderId="44" fillId="7" fontId="5" numFmtId="9" xfId="0" applyAlignment="1" applyBorder="1" applyFont="1" applyNumberFormat="1">
      <alignment horizontal="center"/>
    </xf>
    <xf borderId="42" fillId="0" fontId="5" numFmtId="164" xfId="0" applyAlignment="1" applyBorder="1" applyFont="1" applyNumberFormat="1">
      <alignment horizontal="center"/>
    </xf>
    <xf borderId="14" fillId="0" fontId="5" numFmtId="164" xfId="0" applyBorder="1" applyFont="1" applyNumberFormat="1"/>
    <xf borderId="18" fillId="0" fontId="3" numFmtId="0" xfId="0" applyBorder="1" applyFont="1"/>
    <xf borderId="19" fillId="0" fontId="3" numFmtId="0" xfId="0" applyBorder="1" applyFont="1"/>
    <xf borderId="33" fillId="7" fontId="5" numFmtId="9" xfId="0" applyAlignment="1" applyBorder="1" applyFont="1" applyNumberFormat="1">
      <alignment horizontal="center"/>
    </xf>
    <xf borderId="19" fillId="0" fontId="5" numFmtId="164" xfId="0" applyBorder="1" applyFont="1" applyNumberFormat="1"/>
    <xf borderId="38" fillId="0" fontId="3" numFmtId="0" xfId="0" applyBorder="1" applyFont="1"/>
    <xf borderId="41" fillId="0" fontId="3" numFmtId="0" xfId="0" applyBorder="1" applyFont="1"/>
    <xf borderId="18" fillId="0" fontId="7" numFmtId="170" xfId="0" applyAlignment="1" applyBorder="1" applyFont="1" applyNumberFormat="1">
      <alignment vertical="center"/>
    </xf>
    <xf borderId="19" fillId="0" fontId="5" numFmtId="9" xfId="0" applyAlignment="1" applyBorder="1" applyFont="1" applyNumberFormat="1">
      <alignment horizontal="center"/>
    </xf>
    <xf borderId="0" fillId="0" fontId="5" numFmtId="164" xfId="0" applyAlignment="1" applyFont="1" applyNumberFormat="1">
      <alignment horizontal="right"/>
    </xf>
    <xf borderId="0" fillId="0" fontId="6" numFmtId="0" xfId="0" applyAlignment="1" applyFont="1">
      <alignment readingOrder="0"/>
    </xf>
    <xf borderId="38" fillId="0" fontId="6" numFmtId="0" xfId="0" applyAlignment="1" applyBorder="1" applyFont="1">
      <alignment horizontal="left"/>
    </xf>
    <xf borderId="40" fillId="0" fontId="3" numFmtId="0" xfId="0" applyBorder="1" applyFont="1"/>
    <xf borderId="45" fillId="7" fontId="5" numFmtId="9" xfId="0" applyAlignment="1" applyBorder="1" applyFont="1" applyNumberFormat="1">
      <alignment horizontal="center"/>
    </xf>
    <xf borderId="44" fillId="7" fontId="5" numFmtId="171" xfId="0" applyAlignment="1" applyBorder="1" applyFont="1" applyNumberFormat="1">
      <alignment horizontal="center"/>
    </xf>
    <xf borderId="42" fillId="0" fontId="6" numFmtId="164" xfId="0" applyAlignment="1" applyBorder="1" applyFont="1" applyNumberFormat="1">
      <alignment horizontal="center"/>
    </xf>
    <xf borderId="14" fillId="0" fontId="6" numFmtId="164" xfId="0" applyAlignment="1" applyBorder="1" applyFont="1" applyNumberFormat="1">
      <alignment horizontal="center"/>
    </xf>
    <xf borderId="46" fillId="0" fontId="6" numFmtId="164" xfId="0" applyAlignment="1" applyBorder="1" applyFont="1" applyNumberFormat="1">
      <alignment horizontal="center"/>
    </xf>
    <xf borderId="0" fillId="0" fontId="6" numFmtId="164" xfId="0" applyFont="1" applyNumberFormat="1"/>
    <xf borderId="26" fillId="0" fontId="5" numFmtId="0" xfId="0" applyBorder="1" applyFont="1"/>
    <xf borderId="30" fillId="0" fontId="5" numFmtId="9" xfId="0" applyBorder="1" applyFont="1" applyNumberFormat="1"/>
    <xf borderId="26" fillId="0" fontId="7" numFmtId="170" xfId="0" applyAlignment="1" applyBorder="1" applyFont="1" applyNumberFormat="1">
      <alignment vertical="center"/>
    </xf>
    <xf borderId="30" fillId="0" fontId="5" numFmtId="9" xfId="0" applyAlignment="1" applyBorder="1" applyFont="1" applyNumberFormat="1">
      <alignment horizontal="center"/>
    </xf>
    <xf borderId="47" fillId="7" fontId="5" numFmtId="9" xfId="0" applyAlignment="1" applyBorder="1" applyFont="1" applyNumberFormat="1">
      <alignment horizontal="center"/>
    </xf>
    <xf borderId="0" fillId="0" fontId="7" numFmtId="169" xfId="0" applyAlignment="1" applyFont="1" applyNumberFormat="1">
      <alignment horizontal="center" readingOrder="0" shrinkToFit="0" vertical="bottom" wrapText="0"/>
    </xf>
    <xf borderId="48" fillId="0" fontId="7" numFmtId="169" xfId="0" applyAlignment="1" applyBorder="1" applyFont="1" applyNumberFormat="1">
      <alignment horizontal="center" readingOrder="0" shrinkToFit="0" vertical="bottom" wrapText="0"/>
    </xf>
    <xf borderId="0" fillId="0" fontId="5" numFmtId="169" xfId="0" applyFont="1" applyNumberFormat="1"/>
    <xf borderId="26" fillId="0" fontId="6" numFmtId="0" xfId="0" applyAlignment="1" applyBorder="1" applyFont="1">
      <alignment horizontal="left"/>
    </xf>
    <xf borderId="29" fillId="0" fontId="3" numFmtId="0" xfId="0" applyBorder="1" applyFont="1"/>
    <xf borderId="49" fillId="7" fontId="5" numFmtId="9" xfId="0" applyAlignment="1" applyBorder="1" applyFont="1" applyNumberFormat="1">
      <alignment horizontal="center"/>
    </xf>
    <xf borderId="40" fillId="0" fontId="6" numFmtId="164" xfId="0" applyAlignment="1" applyBorder="1" applyFont="1" applyNumberFormat="1">
      <alignment horizontal="center"/>
    </xf>
    <xf borderId="39" fillId="0" fontId="6" numFmtId="164" xfId="0" applyAlignment="1" applyBorder="1" applyFont="1" applyNumberFormat="1">
      <alignment horizontal="center"/>
    </xf>
    <xf borderId="20" fillId="2" fontId="6" numFmtId="164" xfId="0" applyAlignment="1" applyBorder="1" applyFont="1" applyNumberFormat="1">
      <alignment horizontal="center" readingOrder="0" vertical="center"/>
    </xf>
    <xf borderId="21" fillId="0" fontId="3" numFmtId="0" xfId="0" applyBorder="1" applyFont="1"/>
    <xf borderId="0" fillId="0" fontId="6" numFmtId="0" xfId="0" applyAlignment="1" applyFont="1">
      <alignment horizontal="left"/>
    </xf>
    <xf borderId="0" fillId="0" fontId="6" numFmtId="164" xfId="0" applyAlignment="1" applyFont="1" applyNumberFormat="1">
      <alignment horizontal="center" vertical="center"/>
    </xf>
    <xf borderId="15" fillId="0" fontId="6" numFmtId="0" xfId="0" applyAlignment="1" applyBorder="1" applyFont="1">
      <alignment horizontal="left"/>
    </xf>
    <xf borderId="16" fillId="0" fontId="3" numFmtId="0" xfId="0" applyBorder="1" applyFont="1"/>
    <xf borderId="50" fillId="0" fontId="6" numFmtId="172" xfId="0" applyAlignment="1" applyBorder="1" applyFont="1" applyNumberFormat="1">
      <alignment horizontal="center" vertical="center"/>
    </xf>
    <xf borderId="51" fillId="0" fontId="6" numFmtId="0" xfId="0" applyBorder="1" applyFont="1"/>
    <xf borderId="52" fillId="0" fontId="6" numFmtId="0" xfId="0" applyBorder="1" applyFont="1"/>
    <xf borderId="53" fillId="0" fontId="6" numFmtId="0" xfId="0" applyBorder="1" applyFont="1"/>
    <xf borderId="54" fillId="2" fontId="6" numFmtId="167" xfId="0" applyAlignment="1" applyBorder="1" applyFont="1" applyNumberFormat="1">
      <alignment horizontal="center" readingOrder="0" vertical="center"/>
    </xf>
    <xf borderId="55" fillId="0" fontId="3" numFmtId="0" xfId="0" applyBorder="1" applyFont="1"/>
    <xf borderId="0" fillId="0" fontId="5" numFmtId="49" xfId="0" applyAlignment="1" applyFont="1" applyNumberFormat="1">
      <alignment readingOrder="0"/>
    </xf>
    <xf borderId="56" fillId="0" fontId="6" numFmtId="0" xfId="0" applyAlignment="1" applyBorder="1" applyFont="1">
      <alignment horizontal="center"/>
    </xf>
    <xf borderId="12" fillId="0" fontId="7" numFmtId="164" xfId="0" applyAlignment="1" applyBorder="1" applyFont="1" applyNumberFormat="1">
      <alignment readingOrder="0" shrinkToFit="0" vertical="bottom" wrapText="0"/>
    </xf>
    <xf borderId="57" fillId="0" fontId="7" numFmtId="164" xfId="0" applyAlignment="1" applyBorder="1" applyFont="1" applyNumberFormat="1">
      <alignment readingOrder="0" shrinkToFit="0" vertical="bottom" wrapText="0"/>
    </xf>
    <xf borderId="0" fillId="0" fontId="6" numFmtId="167" xfId="0" applyAlignment="1" applyFont="1" applyNumberFormat="1">
      <alignment horizontal="center" vertical="center"/>
    </xf>
    <xf borderId="16" fillId="0" fontId="6" numFmtId="164" xfId="0" applyBorder="1" applyFont="1" applyNumberFormat="1"/>
    <xf borderId="17" fillId="0" fontId="6" numFmtId="167" xfId="0" applyAlignment="1" applyBorder="1" applyFont="1" applyNumberFormat="1">
      <alignment horizontal="center" vertical="center"/>
    </xf>
    <xf borderId="19" fillId="0" fontId="6" numFmtId="167" xfId="0" applyAlignment="1" applyBorder="1" applyFont="1" applyNumberFormat="1">
      <alignment horizontal="center" vertical="center"/>
    </xf>
    <xf borderId="58" fillId="2" fontId="6" numFmtId="173" xfId="0" applyAlignment="1" applyBorder="1" applyFont="1" applyNumberFormat="1">
      <alignment horizontal="center" vertical="center"/>
    </xf>
    <xf borderId="0" fillId="0" fontId="5" numFmtId="49" xfId="0" applyFont="1" applyNumberFormat="1"/>
    <xf borderId="0" fillId="0" fontId="7" numFmtId="0" xfId="0" applyAlignment="1" applyFont="1">
      <alignment horizontal="left" vertical="center"/>
    </xf>
    <xf borderId="15" fillId="0" fontId="5" numFmtId="0" xfId="0" applyAlignment="1" applyBorder="1" applyFont="1">
      <alignment horizontal="left" readingOrder="0"/>
    </xf>
    <xf borderId="16" fillId="0" fontId="5" numFmtId="10" xfId="0" applyAlignment="1" applyBorder="1" applyFont="1" applyNumberFormat="1">
      <alignment horizontal="left" readingOrder="0"/>
    </xf>
    <xf borderId="16" fillId="0" fontId="5" numFmtId="10" xfId="0" applyAlignment="1" applyBorder="1" applyFont="1" applyNumberFormat="1">
      <alignment readingOrder="0"/>
    </xf>
    <xf borderId="16" fillId="0" fontId="5" numFmtId="0" xfId="0" applyAlignment="1" applyBorder="1" applyFont="1">
      <alignment horizontal="center"/>
    </xf>
    <xf borderId="59" fillId="0" fontId="6" numFmtId="0" xfId="0" applyAlignment="1" applyBorder="1" applyFont="1">
      <alignment horizontal="center"/>
    </xf>
    <xf borderId="18" fillId="0" fontId="5" numFmtId="0" xfId="0" applyAlignment="1" applyBorder="1" applyFont="1">
      <alignment horizontal="left" readingOrder="0"/>
    </xf>
    <xf borderId="0" fillId="0" fontId="7" numFmtId="0" xfId="0" applyAlignment="1" applyFont="1">
      <alignment horizontal="right" readingOrder="0" shrinkToFit="0" vertical="bottom" wrapText="0"/>
    </xf>
    <xf borderId="15" fillId="0" fontId="6" numFmtId="0" xfId="0" applyAlignment="1" applyBorder="1" applyFont="1">
      <alignment horizontal="center"/>
    </xf>
    <xf borderId="17" fillId="0" fontId="6" numFmtId="164" xfId="0" applyAlignment="1" applyBorder="1" applyFont="1" applyNumberFormat="1">
      <alignment horizontal="center"/>
    </xf>
    <xf borderId="27" fillId="2" fontId="6" numFmtId="174" xfId="0" applyAlignment="1" applyBorder="1" applyFont="1" applyNumberFormat="1">
      <alignment readingOrder="0"/>
    </xf>
    <xf borderId="28" fillId="2" fontId="6" numFmtId="175" xfId="0" applyAlignment="1" applyBorder="1" applyFont="1" applyNumberFormat="1">
      <alignment readingOrder="0"/>
    </xf>
    <xf borderId="0" fillId="0" fontId="5" numFmtId="0" xfId="0" applyAlignment="1" applyFont="1">
      <alignment horizontal="left"/>
    </xf>
    <xf borderId="60" fillId="2" fontId="6" numFmtId="10" xfId="0" applyBorder="1" applyFont="1" applyNumberFormat="1"/>
    <xf borderId="15" fillId="0" fontId="6" numFmtId="0" xfId="0" applyAlignment="1" applyBorder="1" applyFont="1">
      <alignment readingOrder="0"/>
    </xf>
    <xf borderId="16" fillId="0" fontId="5" numFmtId="164" xfId="0" applyAlignment="1" applyBorder="1" applyFont="1" applyNumberFormat="1">
      <alignment horizontal="center"/>
    </xf>
    <xf borderId="16" fillId="0" fontId="6" numFmtId="9" xfId="0" applyAlignment="1" applyBorder="1" applyFont="1" applyNumberFormat="1">
      <alignment horizontal="center" vertical="center"/>
    </xf>
    <xf borderId="0" fillId="0" fontId="5" numFmtId="0" xfId="0" applyAlignment="1" applyFont="1">
      <alignment horizontal="left" shrinkToFit="0" vertical="center" wrapText="1"/>
    </xf>
    <xf borderId="0" fillId="0" fontId="6" numFmtId="9" xfId="0" applyAlignment="1" applyFont="1" applyNumberFormat="1">
      <alignment horizontal="center" vertical="center"/>
    </xf>
    <xf borderId="18" fillId="0" fontId="6" numFmtId="0" xfId="0" applyAlignment="1" applyBorder="1" applyFont="1">
      <alignment readingOrder="0"/>
    </xf>
    <xf borderId="0" fillId="0" fontId="5" numFmtId="0" xfId="0" applyAlignment="1" applyFont="1">
      <alignment horizontal="center" readingOrder="0"/>
    </xf>
    <xf borderId="0" fillId="0" fontId="6" numFmtId="0" xfId="0" applyAlignment="1" applyFont="1">
      <alignment horizontal="center" readingOrder="0" vertical="center"/>
    </xf>
    <xf borderId="19" fillId="0" fontId="6" numFmtId="0" xfId="0" applyBorder="1" applyFont="1"/>
    <xf borderId="0" fillId="0" fontId="5" numFmtId="176" xfId="0" applyFont="1" applyNumberFormat="1"/>
    <xf borderId="19" fillId="0" fontId="5" numFmtId="176" xfId="0" applyBorder="1" applyFont="1" applyNumberFormat="1"/>
    <xf borderId="0" fillId="0" fontId="10" numFmtId="0" xfId="0" applyFont="1"/>
    <xf borderId="0" fillId="0" fontId="6" numFmtId="0" xfId="0" applyAlignment="1" applyFont="1">
      <alignment horizontal="left" readingOrder="0"/>
    </xf>
    <xf borderId="0" fillId="0" fontId="6" numFmtId="10" xfId="0" applyFont="1" applyNumberFormat="1"/>
    <xf borderId="0" fillId="0" fontId="0" numFmtId="2" xfId="0" applyFont="1" applyNumberFormat="1"/>
    <xf borderId="0" fillId="0" fontId="0" numFmtId="49" xfId="0" applyFont="1" applyNumberFormat="1"/>
    <xf borderId="0" fillId="0" fontId="11" numFmtId="0" xfId="0" applyFont="1"/>
    <xf borderId="0" fillId="0" fontId="11" numFmtId="164" xfId="0" applyFont="1" applyNumberFormat="1"/>
    <xf borderId="0" fillId="0" fontId="11" numFmtId="167" xfId="0" applyFont="1" applyNumberFormat="1"/>
    <xf borderId="0" fillId="0" fontId="11" numFmtId="169" xfId="0" applyFont="1" applyNumberFormat="1"/>
    <xf borderId="0" fillId="0" fontId="11" numFmtId="173" xfId="0" applyFont="1" applyNumberFormat="1"/>
    <xf borderId="0" fillId="0" fontId="0" numFmtId="10" xfId="0" applyFont="1" applyNumberFormat="1"/>
    <xf borderId="0" fillId="0" fontId="11" numFmtId="174" xfId="0" applyFont="1" applyNumberFormat="1"/>
    <xf borderId="0" fillId="0" fontId="11" numFmtId="175" xfId="0" applyFont="1" applyNumberFormat="1"/>
    <xf borderId="0" fillId="0" fontId="1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0"/>
  </cols>
  <sheetData>
    <row r="1" ht="14.25" customHeight="1">
      <c r="A1" s="1" t="s">
        <v>0</v>
      </c>
    </row>
    <row r="2" ht="14.25" customHeight="1"/>
    <row r="3" ht="14.25" customHeight="1"/>
    <row r="4" ht="14.25" customHeight="1">
      <c r="A4" s="2" t="s">
        <v>1</v>
      </c>
    </row>
    <row r="5" ht="14.25" customHeight="1">
      <c r="A5" s="2" t="s">
        <v>2</v>
      </c>
    </row>
    <row r="6" ht="14.25" customHeight="1">
      <c r="A6" s="2" t="s">
        <v>3</v>
      </c>
    </row>
    <row r="7" ht="13.5" customHeight="1">
      <c r="A7" s="3" t="s">
        <v>4</v>
      </c>
      <c r="B7" s="4" t="s">
        <v>5</v>
      </c>
      <c r="C7" s="5"/>
      <c r="D7" s="5"/>
      <c r="E7" s="5"/>
      <c r="F7" s="6"/>
      <c r="G7" s="7" t="s">
        <v>6</v>
      </c>
    </row>
    <row r="8" ht="13.5" customHeight="1">
      <c r="B8" s="8"/>
      <c r="C8" s="9"/>
      <c r="D8" s="9"/>
      <c r="E8" s="9"/>
      <c r="F8" s="10"/>
    </row>
    <row r="9" ht="14.25" customHeight="1">
      <c r="A9" s="11" t="s">
        <v>7</v>
      </c>
    </row>
    <row r="10" ht="14.25" customHeight="1"/>
    <row r="11" ht="14.25" customHeight="1"/>
    <row r="12" ht="14.25" customHeight="1">
      <c r="A12" s="2" t="s">
        <v>8</v>
      </c>
    </row>
    <row r="13" ht="14.25" customHeight="1">
      <c r="A13" s="12" t="s">
        <v>9</v>
      </c>
    </row>
    <row r="14" ht="14.25" customHeight="1">
      <c r="A14" s="12" t="s">
        <v>10</v>
      </c>
      <c r="F14" s="13"/>
    </row>
    <row r="15" ht="14.25" customHeight="1">
      <c r="A15" s="12" t="s">
        <v>11</v>
      </c>
      <c r="F15" s="13"/>
    </row>
    <row r="16" ht="14.25" customHeight="1">
      <c r="A16" s="12" t="s">
        <v>12</v>
      </c>
    </row>
    <row r="17" ht="14.25" customHeight="1">
      <c r="A17" s="12" t="s">
        <v>13</v>
      </c>
    </row>
    <row r="18" ht="14.25" customHeight="1">
      <c r="A18" s="12" t="s">
        <v>14</v>
      </c>
    </row>
    <row r="19" ht="14.25" customHeight="1">
      <c r="A19" s="12" t="s">
        <v>15</v>
      </c>
    </row>
    <row r="20" ht="14.25" customHeight="1">
      <c r="A20" s="2"/>
    </row>
    <row r="21" ht="14.25" customHeight="1">
      <c r="A21" s="2" t="s">
        <v>16</v>
      </c>
    </row>
    <row r="22" ht="14.25" customHeight="1">
      <c r="A22" s="2"/>
    </row>
    <row r="23" ht="14.25" customHeight="1">
      <c r="A23" s="14" t="s">
        <v>17</v>
      </c>
      <c r="B23" s="15"/>
      <c r="C23" s="15"/>
      <c r="D23" s="15"/>
      <c r="E23" s="15"/>
      <c r="F23" s="16"/>
    </row>
    <row r="24" ht="14.25" customHeight="1"/>
    <row r="25" ht="14.25" customHeight="1">
      <c r="A25" s="2" t="s">
        <v>18</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G2"/>
    <mergeCell ref="A7:A8"/>
    <mergeCell ref="B7:F8"/>
    <mergeCell ref="G7:J8"/>
    <mergeCell ref="A9:O10"/>
    <mergeCell ref="A23:F2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88"/>
    <col customWidth="1" min="3" max="3" width="11.0"/>
    <col customWidth="1" min="4" max="4" width="12.38"/>
    <col customWidth="1" min="5" max="5" width="11.0"/>
    <col customWidth="1" min="6" max="6" width="11.88"/>
    <col customWidth="1" min="7" max="7" width="10.88"/>
    <col customWidth="1" min="8" max="8" width="12.5"/>
    <col customWidth="1" min="9" max="10" width="10.88"/>
    <col customWidth="1" min="11" max="11" width="17.63"/>
    <col customWidth="1" min="12" max="12" width="13.5"/>
    <col customWidth="1" min="13" max="13" width="21.0"/>
    <col customWidth="1" min="14" max="14" width="13.0"/>
    <col customWidth="1" min="15" max="15" width="11.0"/>
    <col customWidth="1" min="16" max="16" width="15.0"/>
    <col customWidth="1" min="17" max="17" width="12.0"/>
    <col customWidth="1" min="18" max="18" width="15.38"/>
    <col customWidth="1" min="19" max="19" width="16.25"/>
    <col customWidth="1" min="20" max="20" width="10.88"/>
    <col customWidth="1" min="21" max="21" width="12.0"/>
    <col customWidth="1" min="22" max="22" width="12.38"/>
    <col customWidth="1" min="23" max="23" width="11.0"/>
    <col customWidth="1" min="24" max="27" width="10.88"/>
  </cols>
  <sheetData>
    <row r="1" ht="15.75" customHeight="1">
      <c r="A1" s="17"/>
      <c r="B1" s="18" t="s">
        <v>19</v>
      </c>
      <c r="C1" s="19" t="s">
        <v>20</v>
      </c>
      <c r="D1" s="20" t="s">
        <v>21</v>
      </c>
      <c r="E1" s="21" t="s">
        <v>22</v>
      </c>
      <c r="F1" s="22"/>
      <c r="G1" s="23" t="s">
        <v>23</v>
      </c>
      <c r="H1" s="24">
        <v>2013658.0</v>
      </c>
      <c r="I1" s="25" t="s">
        <v>24</v>
      </c>
      <c r="J1" s="26">
        <v>6.0</v>
      </c>
      <c r="K1" s="17"/>
      <c r="L1" s="17"/>
      <c r="M1" s="17"/>
      <c r="N1" s="17"/>
      <c r="O1" s="17"/>
      <c r="P1" s="17"/>
      <c r="Q1" s="17"/>
      <c r="R1" s="17"/>
      <c r="S1" s="17"/>
      <c r="T1" s="17"/>
      <c r="U1" s="17"/>
      <c r="V1" s="17"/>
      <c r="W1" s="17"/>
      <c r="X1" s="17"/>
      <c r="Y1" s="17"/>
      <c r="Z1" s="17"/>
      <c r="AA1" s="17"/>
    </row>
    <row r="2" ht="15.75" customHeight="1">
      <c r="A2" s="17"/>
      <c r="B2" s="18" t="s">
        <v>19</v>
      </c>
      <c r="C2" s="19" t="s">
        <v>25</v>
      </c>
      <c r="D2" s="20" t="s">
        <v>21</v>
      </c>
      <c r="E2" s="21" t="s">
        <v>26</v>
      </c>
      <c r="F2" s="22"/>
      <c r="G2" s="23" t="s">
        <v>23</v>
      </c>
      <c r="H2" s="24">
        <v>2025123.0</v>
      </c>
      <c r="I2" s="25" t="s">
        <v>24</v>
      </c>
      <c r="J2" s="26">
        <v>6.0</v>
      </c>
      <c r="K2" s="17"/>
      <c r="L2" s="17"/>
      <c r="M2" s="17"/>
      <c r="N2" s="17"/>
      <c r="O2" s="17"/>
      <c r="P2" s="17"/>
      <c r="Q2" s="17"/>
      <c r="R2" s="17"/>
      <c r="S2" s="17"/>
      <c r="T2" s="17"/>
      <c r="U2" s="17"/>
      <c r="V2" s="17"/>
      <c r="W2" s="17"/>
      <c r="X2" s="17"/>
      <c r="Y2" s="17"/>
      <c r="Z2" s="17"/>
      <c r="AA2" s="17"/>
    </row>
    <row r="3" ht="15.75" customHeight="1">
      <c r="A3" s="17"/>
      <c r="B3" s="18" t="s">
        <v>19</v>
      </c>
      <c r="C3" s="19" t="s">
        <v>27</v>
      </c>
      <c r="D3" s="20" t="s">
        <v>21</v>
      </c>
      <c r="E3" s="21" t="s">
        <v>28</v>
      </c>
      <c r="F3" s="22"/>
      <c r="G3" s="23" t="s">
        <v>23</v>
      </c>
      <c r="H3" s="24">
        <v>1744525.0</v>
      </c>
      <c r="I3" s="25" t="s">
        <v>24</v>
      </c>
      <c r="J3" s="26">
        <v>5.0</v>
      </c>
      <c r="K3" s="17"/>
      <c r="L3" s="17"/>
      <c r="M3" s="17"/>
      <c r="N3" s="17"/>
      <c r="O3" s="17"/>
      <c r="P3" s="17"/>
      <c r="Q3" s="17"/>
      <c r="R3" s="17"/>
      <c r="S3" s="17"/>
      <c r="T3" s="17"/>
      <c r="U3" s="17"/>
      <c r="V3" s="17"/>
      <c r="W3" s="17"/>
      <c r="X3" s="17"/>
      <c r="Y3" s="17"/>
      <c r="Z3" s="17"/>
      <c r="AA3" s="17"/>
    </row>
    <row r="4" ht="15.75" customHeight="1">
      <c r="A4" s="17"/>
      <c r="B4" s="27" t="s">
        <v>29</v>
      </c>
      <c r="C4" s="28"/>
      <c r="D4" s="28"/>
      <c r="E4" s="28"/>
      <c r="F4" s="28"/>
      <c r="G4" s="27" t="s">
        <v>30</v>
      </c>
      <c r="H4" s="28"/>
      <c r="I4" s="29"/>
      <c r="J4" s="17"/>
      <c r="K4" s="30"/>
      <c r="L4" s="17"/>
      <c r="M4" s="17"/>
      <c r="N4" s="17"/>
      <c r="O4" s="17"/>
      <c r="P4" s="17"/>
      <c r="Q4" s="17"/>
      <c r="R4" s="17"/>
      <c r="S4" s="17"/>
      <c r="T4" s="17"/>
      <c r="U4" s="17"/>
      <c r="V4" s="17"/>
      <c r="W4" s="17"/>
      <c r="X4" s="17"/>
      <c r="Y4" s="17"/>
      <c r="Z4" s="17"/>
      <c r="AA4" s="17"/>
    </row>
    <row r="5" ht="15.75" customHeight="1">
      <c r="A5" s="17"/>
      <c r="B5" s="31" t="s">
        <v>31</v>
      </c>
      <c r="I5" s="17"/>
      <c r="J5" s="17"/>
      <c r="K5" s="17"/>
      <c r="L5" s="17"/>
      <c r="M5" s="17"/>
      <c r="N5" s="17"/>
      <c r="O5" s="17"/>
      <c r="P5" s="17"/>
      <c r="Q5" s="17"/>
      <c r="R5" s="17"/>
      <c r="S5" s="17"/>
      <c r="T5" s="17"/>
      <c r="U5" s="17"/>
      <c r="V5" s="17"/>
      <c r="W5" s="17"/>
      <c r="X5" s="17"/>
      <c r="Y5" s="17"/>
      <c r="Z5" s="17"/>
      <c r="AA5" s="17"/>
    </row>
    <row r="6" ht="13.5" customHeight="1">
      <c r="A6" s="17"/>
      <c r="I6" s="17"/>
      <c r="J6" s="17"/>
      <c r="K6" s="30" t="s">
        <v>32</v>
      </c>
      <c r="L6" s="17"/>
      <c r="M6" s="17"/>
      <c r="N6" s="17"/>
      <c r="O6" s="17"/>
      <c r="P6" s="17"/>
      <c r="Q6" s="17"/>
      <c r="R6" s="32"/>
      <c r="S6" s="30" t="s">
        <v>33</v>
      </c>
      <c r="T6" s="17"/>
      <c r="U6" s="17"/>
      <c r="V6" s="17"/>
      <c r="W6" s="17"/>
      <c r="X6" s="17"/>
      <c r="Y6" s="17"/>
      <c r="Z6" s="17"/>
      <c r="AA6" s="17"/>
    </row>
    <row r="7" ht="13.5" customHeight="1">
      <c r="A7" s="17"/>
      <c r="I7" s="17"/>
      <c r="J7" s="33"/>
      <c r="K7" s="34"/>
      <c r="L7" s="35" t="s">
        <v>34</v>
      </c>
      <c r="M7" s="35"/>
      <c r="N7" s="35" t="s">
        <v>35</v>
      </c>
      <c r="O7" s="36"/>
      <c r="P7" s="35" t="s">
        <v>36</v>
      </c>
      <c r="Q7" s="37" t="s">
        <v>37</v>
      </c>
      <c r="R7" s="17"/>
      <c r="S7" s="34" t="s">
        <v>38</v>
      </c>
      <c r="T7" s="36">
        <f>C41*D41+C42*D42+C43*D43+C44*D44</f>
        <v>14200</v>
      </c>
      <c r="U7" s="36"/>
      <c r="V7" s="38"/>
      <c r="W7" s="17"/>
      <c r="X7" s="17"/>
      <c r="Y7" s="17"/>
      <c r="Z7" s="39"/>
      <c r="AA7" s="39"/>
    </row>
    <row r="8" ht="13.5" customHeight="1">
      <c r="A8" s="17"/>
      <c r="I8" s="17"/>
      <c r="J8" s="17"/>
      <c r="K8" s="40"/>
      <c r="L8" s="41">
        <v>649000.0</v>
      </c>
      <c r="M8" s="42">
        <f>L8/Q8</f>
        <v>0.7195121951</v>
      </c>
      <c r="N8" s="41">
        <v>253000.0</v>
      </c>
      <c r="O8" s="42">
        <f>N8/Q8</f>
        <v>0.2804878049</v>
      </c>
      <c r="P8" s="43"/>
      <c r="Q8" s="44">
        <f>L8+N8</f>
        <v>902000</v>
      </c>
      <c r="R8" s="17"/>
      <c r="S8" s="45" t="s">
        <v>39</v>
      </c>
      <c r="T8" s="17">
        <f>E41*F41+E42*F42+E43*F43+E44*F44+E45*F45</f>
        <v>16300</v>
      </c>
      <c r="U8" s="17"/>
      <c r="V8" s="46"/>
      <c r="W8" s="17"/>
      <c r="X8" s="17"/>
      <c r="Y8" s="17"/>
      <c r="Z8" s="47"/>
      <c r="AA8" s="47"/>
    </row>
    <row r="9" ht="13.5" customHeight="1">
      <c r="A9" s="17"/>
      <c r="I9" s="17"/>
      <c r="J9" s="17"/>
      <c r="K9" s="40"/>
      <c r="L9" s="43"/>
      <c r="M9" s="17"/>
      <c r="N9" s="43"/>
      <c r="O9" s="17"/>
      <c r="P9" s="43"/>
      <c r="Q9" s="44"/>
      <c r="R9" s="17"/>
      <c r="S9" s="48"/>
      <c r="T9" s="17"/>
      <c r="U9" s="17"/>
      <c r="V9" s="46"/>
      <c r="W9" s="17"/>
      <c r="X9" s="17"/>
      <c r="Y9" s="17"/>
      <c r="Z9" s="49"/>
      <c r="AA9" s="49"/>
    </row>
    <row r="10" ht="13.5" customHeight="1">
      <c r="A10" s="17"/>
      <c r="I10" s="17"/>
      <c r="J10" s="41"/>
      <c r="K10" s="50" t="s">
        <v>40</v>
      </c>
      <c r="L10" s="43">
        <f>M8*Q11</f>
        <v>775778.0488</v>
      </c>
      <c r="M10" s="17"/>
      <c r="N10" s="43">
        <f>O8*Q11</f>
        <v>302421.9512</v>
      </c>
      <c r="O10" s="51"/>
      <c r="P10" s="52">
        <f>4750+21450</f>
        <v>26200</v>
      </c>
      <c r="Q10" s="53">
        <v>1052000.0</v>
      </c>
      <c r="R10" s="17"/>
      <c r="S10" s="48"/>
      <c r="T10" s="17"/>
      <c r="U10" s="17"/>
      <c r="V10" s="46"/>
      <c r="W10" s="17"/>
      <c r="X10" s="17"/>
      <c r="Y10" s="17"/>
      <c r="Z10" s="32"/>
      <c r="AA10" s="32"/>
    </row>
    <row r="11" ht="15.75" customHeight="1">
      <c r="A11" s="17"/>
      <c r="I11" s="17"/>
      <c r="J11" s="43"/>
      <c r="K11" s="54"/>
      <c r="L11" s="55"/>
      <c r="M11" s="17"/>
      <c r="N11" s="43"/>
      <c r="O11" s="17"/>
      <c r="P11" s="43"/>
      <c r="Q11" s="44">
        <f>Q10+P10</f>
        <v>1078200</v>
      </c>
      <c r="R11" s="17"/>
      <c r="S11" s="48"/>
      <c r="T11" s="17"/>
      <c r="U11" s="17"/>
      <c r="V11" s="46"/>
      <c r="W11" s="17"/>
      <c r="X11" s="17"/>
      <c r="Y11" s="17"/>
      <c r="Z11" s="32"/>
      <c r="AA11" s="32"/>
    </row>
    <row r="12" ht="15.75" customHeight="1">
      <c r="A12" s="17"/>
      <c r="I12" s="17"/>
      <c r="J12" s="43"/>
      <c r="K12" s="40"/>
      <c r="L12" s="43"/>
      <c r="M12" s="17"/>
      <c r="N12" s="43"/>
      <c r="O12" s="32"/>
      <c r="P12" s="43"/>
      <c r="Q12" s="44"/>
      <c r="R12" s="17"/>
      <c r="S12" s="48"/>
      <c r="T12" s="17"/>
      <c r="U12" s="17"/>
      <c r="V12" s="46"/>
      <c r="W12" s="17"/>
      <c r="X12" s="17"/>
      <c r="Y12" s="17"/>
      <c r="Z12" s="56"/>
      <c r="AA12" s="56"/>
    </row>
    <row r="13" ht="15.75" customHeight="1">
      <c r="A13" s="17"/>
      <c r="B13" s="31" t="s">
        <v>41</v>
      </c>
      <c r="I13" s="17"/>
      <c r="J13" s="43"/>
      <c r="K13" s="50" t="s">
        <v>42</v>
      </c>
      <c r="L13" s="43">
        <f>L10*(1.03^8)</f>
        <v>982732.422</v>
      </c>
      <c r="M13" s="17"/>
      <c r="N13" s="41">
        <v>120000.0</v>
      </c>
      <c r="O13" s="17"/>
      <c r="P13" s="43"/>
      <c r="Q13" s="44"/>
      <c r="R13" s="17"/>
      <c r="S13" s="48"/>
      <c r="T13" s="17"/>
      <c r="U13" s="17"/>
      <c r="V13" s="46"/>
      <c r="W13" s="17"/>
      <c r="X13" s="17"/>
      <c r="Y13" s="17"/>
      <c r="Z13" s="56"/>
      <c r="AA13" s="39"/>
    </row>
    <row r="14" ht="15.75" customHeight="1">
      <c r="A14" s="17"/>
      <c r="I14" s="17"/>
      <c r="J14" s="43"/>
      <c r="K14" s="57"/>
      <c r="L14" s="43"/>
      <c r="M14" s="32"/>
      <c r="N14" s="43"/>
      <c r="O14" s="17"/>
      <c r="P14" s="43"/>
      <c r="Q14" s="44"/>
      <c r="R14" s="17"/>
      <c r="S14" s="48"/>
      <c r="T14" s="17"/>
      <c r="U14" s="17"/>
      <c r="V14" s="46"/>
      <c r="W14" s="17"/>
      <c r="X14" s="17"/>
      <c r="Y14" s="17"/>
      <c r="Z14" s="56"/>
      <c r="AA14" s="58"/>
    </row>
    <row r="15" ht="15.75" customHeight="1">
      <c r="A15" s="17"/>
      <c r="I15" s="17"/>
      <c r="J15" s="43"/>
      <c r="K15" s="59"/>
      <c r="L15" s="60"/>
      <c r="M15" s="17"/>
      <c r="N15" s="43"/>
      <c r="O15" s="17"/>
      <c r="P15" s="43"/>
      <c r="Q15" s="44"/>
      <c r="R15" s="17"/>
      <c r="S15" s="48"/>
      <c r="T15" s="17"/>
      <c r="U15" s="17"/>
      <c r="V15" s="46"/>
      <c r="W15" s="17"/>
      <c r="X15" s="17"/>
      <c r="Y15" s="17"/>
      <c r="Z15" s="56"/>
      <c r="AA15" s="56"/>
    </row>
    <row r="16" ht="15.75" customHeight="1">
      <c r="A16" s="17"/>
      <c r="I16" s="17"/>
      <c r="J16" s="43"/>
      <c r="K16" s="59"/>
      <c r="L16" s="61"/>
      <c r="M16" s="17"/>
      <c r="N16" s="43"/>
      <c r="O16" s="17"/>
      <c r="P16" s="33" t="s">
        <v>43</v>
      </c>
      <c r="Q16" s="44"/>
      <c r="R16" s="62"/>
      <c r="S16" s="48"/>
      <c r="T16" s="17"/>
      <c r="U16" s="17"/>
      <c r="V16" s="46"/>
      <c r="W16" s="17"/>
      <c r="X16" s="17"/>
      <c r="Y16" s="17"/>
      <c r="Z16" s="56"/>
      <c r="AA16" s="56"/>
    </row>
    <row r="17" ht="15.75" customHeight="1">
      <c r="A17" s="17"/>
      <c r="I17" s="17"/>
      <c r="J17" s="17"/>
      <c r="K17" s="48"/>
      <c r="L17" s="17"/>
      <c r="M17" s="17"/>
      <c r="N17" s="43"/>
      <c r="O17" s="17"/>
      <c r="P17" s="17"/>
      <c r="Q17" s="44"/>
      <c r="R17" s="17"/>
      <c r="S17" s="48"/>
      <c r="T17" s="17"/>
      <c r="U17" s="17"/>
      <c r="V17" s="46"/>
      <c r="W17" s="17"/>
      <c r="X17" s="17"/>
      <c r="Y17" s="17"/>
      <c r="Z17" s="56"/>
      <c r="AA17" s="56"/>
    </row>
    <row r="18" ht="15.75" customHeight="1">
      <c r="A18" s="17"/>
      <c r="I18" s="17"/>
      <c r="J18" s="17"/>
      <c r="K18" s="48"/>
      <c r="L18" s="17"/>
      <c r="M18" s="17"/>
      <c r="N18" s="17"/>
      <c r="O18" s="17"/>
      <c r="P18" s="17"/>
      <c r="Q18" s="46"/>
      <c r="R18" s="17"/>
      <c r="S18" s="48"/>
      <c r="T18" s="17"/>
      <c r="U18" s="17"/>
      <c r="V18" s="46"/>
      <c r="W18" s="17"/>
      <c r="X18" s="17"/>
      <c r="Y18" s="17"/>
      <c r="Z18" s="56"/>
      <c r="AA18" s="56"/>
    </row>
    <row r="19" ht="15.75" customHeight="1">
      <c r="A19" s="17"/>
      <c r="B19" s="63" t="s">
        <v>44</v>
      </c>
      <c r="I19" s="17"/>
      <c r="J19" s="17"/>
      <c r="K19" s="48"/>
      <c r="L19" s="17"/>
      <c r="M19" s="17"/>
      <c r="N19" s="17"/>
      <c r="O19" s="33" t="s">
        <v>40</v>
      </c>
      <c r="P19" s="41">
        <v>327000.0</v>
      </c>
      <c r="Q19" s="46"/>
      <c r="R19" s="17"/>
      <c r="S19" s="48"/>
      <c r="T19" s="17"/>
      <c r="U19" s="17"/>
      <c r="V19" s="46"/>
      <c r="W19" s="17"/>
      <c r="X19" s="17"/>
      <c r="Y19" s="17"/>
      <c r="Z19" s="17"/>
      <c r="AA19" s="17"/>
    </row>
    <row r="20" ht="15.75" customHeight="1">
      <c r="A20" s="17"/>
      <c r="I20" s="17"/>
      <c r="J20" s="17"/>
      <c r="K20" s="48"/>
      <c r="L20" s="64" t="s">
        <v>45</v>
      </c>
      <c r="M20" s="65" t="s">
        <v>46</v>
      </c>
      <c r="N20" s="17"/>
      <c r="O20" s="17"/>
      <c r="P20" s="43"/>
      <c r="Q20" s="46"/>
      <c r="R20" s="17"/>
      <c r="S20" s="48"/>
      <c r="T20" s="17"/>
      <c r="U20" s="17"/>
      <c r="V20" s="46"/>
      <c r="W20" s="17"/>
      <c r="X20" s="17"/>
      <c r="Y20" s="17"/>
      <c r="Z20" s="17"/>
      <c r="AA20" s="17"/>
    </row>
    <row r="21" ht="13.5" customHeight="1">
      <c r="A21" s="17"/>
      <c r="I21" s="17"/>
      <c r="J21" s="17"/>
      <c r="K21" s="66" t="s">
        <v>47</v>
      </c>
      <c r="L21" s="67">
        <f>P19</f>
        <v>327000</v>
      </c>
      <c r="M21" s="68">
        <f>P22</f>
        <v>11680</v>
      </c>
      <c r="N21" s="17"/>
      <c r="O21" s="17"/>
      <c r="P21" s="43"/>
      <c r="Q21" s="46"/>
      <c r="R21" s="17"/>
      <c r="S21" s="48"/>
      <c r="T21" s="17"/>
      <c r="U21" s="17"/>
      <c r="V21" s="46"/>
      <c r="W21" s="17"/>
      <c r="X21" s="17"/>
      <c r="Y21" s="17"/>
      <c r="Z21" s="17"/>
      <c r="AA21" s="17"/>
    </row>
    <row r="22" ht="15.75" customHeight="1">
      <c r="A22" s="17"/>
      <c r="B22" s="31" t="s">
        <v>48</v>
      </c>
      <c r="I22" s="17"/>
      <c r="J22" s="17"/>
      <c r="K22" s="59" t="s">
        <v>49</v>
      </c>
      <c r="L22" s="69">
        <f>N10</f>
        <v>302421.9512</v>
      </c>
      <c r="M22" s="70">
        <f>N13</f>
        <v>120000</v>
      </c>
      <c r="N22" s="17"/>
      <c r="O22" s="33" t="s">
        <v>42</v>
      </c>
      <c r="P22" s="43">
        <f>(P19-35000)/25</f>
        <v>11680</v>
      </c>
      <c r="Q22" s="46"/>
      <c r="R22" s="17"/>
      <c r="S22" s="71" t="s">
        <v>50</v>
      </c>
      <c r="T22" s="65" t="s">
        <v>51</v>
      </c>
      <c r="U22" s="17"/>
      <c r="V22" s="46"/>
      <c r="W22" s="17"/>
      <c r="X22" s="17"/>
      <c r="Y22" s="17"/>
      <c r="Z22" s="17"/>
      <c r="AA22" s="17"/>
    </row>
    <row r="23" ht="15.75" customHeight="1">
      <c r="A23" s="17"/>
      <c r="I23" s="17"/>
      <c r="J23" s="17"/>
      <c r="K23" s="72" t="s">
        <v>34</v>
      </c>
      <c r="L23" s="73">
        <f>L10</f>
        <v>775778.0488</v>
      </c>
      <c r="M23" s="74">
        <f>L13</f>
        <v>982732.422</v>
      </c>
      <c r="N23" s="75"/>
      <c r="O23" s="75"/>
      <c r="P23" s="75"/>
      <c r="Q23" s="76"/>
      <c r="R23" s="17"/>
      <c r="S23" s="77">
        <v>246200.0</v>
      </c>
      <c r="T23" s="78">
        <v>181800.0</v>
      </c>
      <c r="U23" s="75"/>
      <c r="V23" s="76"/>
      <c r="W23" s="17"/>
      <c r="X23" s="17"/>
      <c r="Y23" s="17"/>
      <c r="Z23" s="17"/>
      <c r="AA23" s="17"/>
    </row>
    <row r="24" ht="15.75" customHeight="1">
      <c r="A24" s="17"/>
      <c r="I24" s="17"/>
      <c r="J24" s="17"/>
      <c r="K24" s="17"/>
      <c r="L24" s="17"/>
      <c r="M24" s="17"/>
      <c r="N24" s="17"/>
      <c r="O24" s="17"/>
      <c r="P24" s="17"/>
      <c r="Q24" s="17"/>
      <c r="R24" s="17"/>
      <c r="S24" s="17"/>
      <c r="T24" s="17"/>
      <c r="U24" s="17"/>
      <c r="V24" s="17"/>
      <c r="W24" s="17"/>
      <c r="X24" s="17"/>
      <c r="Y24" s="17"/>
      <c r="Z24" s="17"/>
      <c r="AA24" s="17"/>
    </row>
    <row r="25" ht="15.75" customHeight="1">
      <c r="A25" s="17"/>
      <c r="I25" s="17"/>
      <c r="J25" s="17"/>
      <c r="K25" s="30" t="s">
        <v>52</v>
      </c>
      <c r="L25" s="30"/>
      <c r="M25" s="30"/>
      <c r="N25" s="17"/>
      <c r="O25" s="79"/>
      <c r="P25" s="17"/>
      <c r="Q25" s="17"/>
      <c r="R25" s="17"/>
      <c r="S25" s="17"/>
      <c r="T25" s="17"/>
      <c r="U25" s="17"/>
      <c r="V25" s="17"/>
      <c r="W25" s="17"/>
      <c r="X25" s="17"/>
      <c r="Y25" s="17"/>
      <c r="Z25" s="17"/>
      <c r="AA25" s="17"/>
    </row>
    <row r="26" ht="15.75" customHeight="1">
      <c r="A26" s="17"/>
      <c r="B26" s="63" t="s">
        <v>53</v>
      </c>
      <c r="I26" s="17"/>
      <c r="J26" s="17"/>
      <c r="K26" s="80" t="s">
        <v>54</v>
      </c>
      <c r="L26" s="81"/>
      <c r="M26" s="82" t="s">
        <v>55</v>
      </c>
      <c r="N26" s="64">
        <v>0.0</v>
      </c>
      <c r="O26" s="83">
        <v>1.0</v>
      </c>
      <c r="P26" s="83">
        <v>2.0</v>
      </c>
      <c r="Q26" s="83">
        <v>3.0</v>
      </c>
      <c r="R26" s="83">
        <v>4.0</v>
      </c>
      <c r="S26" s="83">
        <v>5.0</v>
      </c>
      <c r="T26" s="83">
        <v>6.0</v>
      </c>
      <c r="U26" s="83">
        <v>7.0</v>
      </c>
      <c r="V26" s="84">
        <v>8.0</v>
      </c>
      <c r="W26" s="39"/>
      <c r="X26" s="39"/>
      <c r="Y26" s="17"/>
      <c r="Z26" s="17"/>
      <c r="AA26" s="17"/>
    </row>
    <row r="27" ht="13.5" customHeight="1">
      <c r="A27" s="17"/>
      <c r="I27" s="17"/>
      <c r="J27" s="17"/>
      <c r="K27" s="80" t="s">
        <v>56</v>
      </c>
      <c r="L27" s="81"/>
      <c r="M27" s="85"/>
      <c r="N27" s="86"/>
      <c r="O27" s="87">
        <f>T7</f>
        <v>14200</v>
      </c>
      <c r="P27" s="87">
        <f t="shared" ref="P27:R27" si="1">O27</f>
        <v>14200</v>
      </c>
      <c r="Q27" s="87">
        <f t="shared" si="1"/>
        <v>14200</v>
      </c>
      <c r="R27" s="87">
        <f t="shared" si="1"/>
        <v>14200</v>
      </c>
      <c r="S27" s="87">
        <f>T8</f>
        <v>16300</v>
      </c>
      <c r="T27" s="87">
        <f t="shared" ref="T27:V27" si="2">S27</f>
        <v>16300</v>
      </c>
      <c r="U27" s="87">
        <f t="shared" si="2"/>
        <v>16300</v>
      </c>
      <c r="V27" s="87">
        <f t="shared" si="2"/>
        <v>16300</v>
      </c>
      <c r="W27" s="47"/>
      <c r="X27" s="47"/>
      <c r="Y27" s="17"/>
      <c r="Z27" s="17"/>
      <c r="AA27" s="17"/>
    </row>
    <row r="28" ht="13.5" customHeight="1">
      <c r="A28" s="17"/>
      <c r="I28" s="17"/>
      <c r="J28" s="17"/>
      <c r="K28" s="88" t="s">
        <v>57</v>
      </c>
      <c r="M28" s="89"/>
      <c r="N28" s="90"/>
      <c r="O28" s="91">
        <v>123000.0</v>
      </c>
      <c r="P28" s="49">
        <f t="shared" ref="P28:R28" si="3">O28</f>
        <v>123000</v>
      </c>
      <c r="Q28" s="49">
        <f t="shared" si="3"/>
        <v>123000</v>
      </c>
      <c r="R28" s="49">
        <f t="shared" si="3"/>
        <v>123000</v>
      </c>
      <c r="S28" s="92">
        <f>242000</f>
        <v>242000</v>
      </c>
      <c r="T28" s="49">
        <f t="shared" ref="T28:U28" si="4">S28</f>
        <v>242000</v>
      </c>
      <c r="U28" s="49">
        <f t="shared" si="4"/>
        <v>242000</v>
      </c>
      <c r="V28" s="93">
        <f>S28</f>
        <v>242000</v>
      </c>
      <c r="W28" s="49"/>
      <c r="X28" s="49"/>
      <c r="Y28" s="17"/>
      <c r="Z28" s="17"/>
      <c r="AA28" s="17"/>
    </row>
    <row r="29" ht="13.5" customHeight="1">
      <c r="A29" s="17"/>
      <c r="I29" s="17"/>
      <c r="J29" s="17"/>
      <c r="K29" s="88" t="s">
        <v>58</v>
      </c>
      <c r="M29" s="89"/>
      <c r="N29" s="90"/>
      <c r="O29" s="94">
        <v>26.0</v>
      </c>
      <c r="P29" s="91">
        <v>26.0</v>
      </c>
      <c r="Q29" s="91">
        <v>26.0</v>
      </c>
      <c r="R29" s="91">
        <v>26.0</v>
      </c>
      <c r="S29" s="91">
        <v>26.0</v>
      </c>
      <c r="T29" s="91">
        <v>26.0</v>
      </c>
      <c r="U29" s="91">
        <v>26.0</v>
      </c>
      <c r="V29" s="95">
        <v>26.0</v>
      </c>
      <c r="W29" s="32"/>
      <c r="X29" s="32"/>
      <c r="Y29" s="17"/>
      <c r="Z29" s="17"/>
      <c r="AA29" s="17"/>
    </row>
    <row r="30" ht="15.75" customHeight="1">
      <c r="A30" s="17"/>
      <c r="I30" s="17"/>
      <c r="J30" s="17"/>
      <c r="K30" s="88" t="s">
        <v>59</v>
      </c>
      <c r="M30" s="89"/>
      <c r="N30" s="90"/>
      <c r="O30" s="32">
        <f t="shared" ref="O30:V30" si="5">O27*O29</f>
        <v>369200</v>
      </c>
      <c r="P30" s="32">
        <f t="shared" si="5"/>
        <v>369200</v>
      </c>
      <c r="Q30" s="32">
        <f t="shared" si="5"/>
        <v>369200</v>
      </c>
      <c r="R30" s="32">
        <f t="shared" si="5"/>
        <v>369200</v>
      </c>
      <c r="S30" s="32">
        <f t="shared" si="5"/>
        <v>423800</v>
      </c>
      <c r="T30" s="32">
        <f t="shared" si="5"/>
        <v>423800</v>
      </c>
      <c r="U30" s="32">
        <f t="shared" si="5"/>
        <v>423800</v>
      </c>
      <c r="V30" s="96">
        <f t="shared" si="5"/>
        <v>423800</v>
      </c>
      <c r="W30" s="32"/>
      <c r="X30" s="32"/>
      <c r="Y30" s="17"/>
      <c r="Z30" s="17"/>
      <c r="AA30" s="17"/>
    </row>
    <row r="31" ht="15.75" customHeight="1">
      <c r="A31" s="17"/>
      <c r="B31" s="31" t="s">
        <v>60</v>
      </c>
      <c r="I31" s="17"/>
      <c r="J31" s="17"/>
      <c r="K31" s="71" t="s">
        <v>61</v>
      </c>
      <c r="L31" s="97"/>
      <c r="M31" s="98"/>
      <c r="N31" s="99"/>
      <c r="O31" s="100">
        <f t="shared" ref="O31:V31" si="6">O30-O28</f>
        <v>246200</v>
      </c>
      <c r="P31" s="100">
        <f t="shared" si="6"/>
        <v>246200</v>
      </c>
      <c r="Q31" s="100">
        <f t="shared" si="6"/>
        <v>246200</v>
      </c>
      <c r="R31" s="100">
        <f t="shared" si="6"/>
        <v>246200</v>
      </c>
      <c r="S31" s="100">
        <f t="shared" si="6"/>
        <v>181800</v>
      </c>
      <c r="T31" s="100">
        <f t="shared" si="6"/>
        <v>181800</v>
      </c>
      <c r="U31" s="100">
        <f t="shared" si="6"/>
        <v>181800</v>
      </c>
      <c r="V31" s="101">
        <f t="shared" si="6"/>
        <v>181800</v>
      </c>
      <c r="W31" s="56"/>
      <c r="X31" s="56"/>
      <c r="Y31" s="17"/>
      <c r="Z31" s="17"/>
      <c r="AA31" s="17"/>
    </row>
    <row r="32" ht="13.5" customHeight="1">
      <c r="A32" s="17"/>
      <c r="I32" s="17"/>
      <c r="J32" s="17"/>
      <c r="K32" s="88" t="s">
        <v>62</v>
      </c>
      <c r="M32" s="102"/>
      <c r="N32" s="90"/>
      <c r="O32" s="32"/>
      <c r="P32" s="32"/>
      <c r="Q32" s="32"/>
      <c r="R32" s="32"/>
      <c r="S32" s="32"/>
      <c r="T32" s="32"/>
      <c r="U32" s="32"/>
      <c r="V32" s="46"/>
      <c r="W32" s="17"/>
      <c r="X32" s="17"/>
      <c r="Y32" s="17"/>
      <c r="Z32" s="17"/>
      <c r="AA32" s="17"/>
    </row>
    <row r="33" ht="13.5" customHeight="1">
      <c r="A33" s="17"/>
      <c r="I33" s="17"/>
      <c r="J33" s="17"/>
      <c r="K33" s="88" t="s">
        <v>47</v>
      </c>
      <c r="M33" s="102"/>
      <c r="N33" s="103">
        <f t="shared" ref="N33:N35" si="7">-L21</f>
        <v>-327000</v>
      </c>
      <c r="O33" s="32"/>
      <c r="P33" s="32"/>
      <c r="Q33" s="32"/>
      <c r="R33" s="32"/>
      <c r="S33" s="32"/>
      <c r="T33" s="32"/>
      <c r="U33" s="32"/>
      <c r="V33" s="46"/>
      <c r="W33" s="17"/>
      <c r="X33" s="17"/>
      <c r="Y33" s="17"/>
      <c r="Z33" s="17"/>
      <c r="AA33" s="17"/>
    </row>
    <row r="34" ht="13.5" customHeight="1">
      <c r="A34" s="17"/>
      <c r="I34" s="17"/>
      <c r="J34" s="17"/>
      <c r="K34" s="88" t="s">
        <v>49</v>
      </c>
      <c r="M34" s="102"/>
      <c r="N34" s="103">
        <f t="shared" si="7"/>
        <v>-302421.9512</v>
      </c>
      <c r="O34" s="32"/>
      <c r="P34" s="32"/>
      <c r="Q34" s="32"/>
      <c r="R34" s="32"/>
      <c r="S34" s="32"/>
      <c r="T34" s="32"/>
      <c r="U34" s="32"/>
      <c r="V34" s="46"/>
      <c r="W34" s="17"/>
      <c r="X34" s="17"/>
      <c r="Y34" s="17"/>
      <c r="Z34" s="17"/>
      <c r="AA34" s="17"/>
    </row>
    <row r="35" ht="13.5" customHeight="1">
      <c r="A35" s="17"/>
      <c r="I35" s="17"/>
      <c r="J35" s="17"/>
      <c r="K35" s="88" t="s">
        <v>34</v>
      </c>
      <c r="M35" s="102"/>
      <c r="N35" s="103">
        <f t="shared" si="7"/>
        <v>-775778.0488</v>
      </c>
      <c r="O35" s="32"/>
      <c r="P35" s="32"/>
      <c r="Q35" s="32"/>
      <c r="R35" s="32"/>
      <c r="S35" s="32"/>
      <c r="T35" s="32"/>
      <c r="U35" s="32"/>
      <c r="V35" s="46"/>
      <c r="W35" s="17"/>
      <c r="X35" s="17"/>
      <c r="Y35" s="17"/>
      <c r="Z35" s="17"/>
      <c r="AA35" s="17"/>
    </row>
    <row r="36" ht="15.75" customHeight="1">
      <c r="A36" s="17"/>
      <c r="B36" s="17"/>
      <c r="C36" s="17"/>
      <c r="D36" s="17"/>
      <c r="E36" s="17"/>
      <c r="F36" s="17"/>
      <c r="G36" s="17"/>
      <c r="H36" s="17"/>
      <c r="I36" s="17"/>
      <c r="J36" s="17"/>
      <c r="K36" s="88" t="s">
        <v>63</v>
      </c>
      <c r="M36" s="102"/>
      <c r="N36" s="103">
        <f>-20000</f>
        <v>-20000</v>
      </c>
      <c r="O36" s="32"/>
      <c r="P36" s="32"/>
      <c r="Q36" s="32"/>
      <c r="R36" s="94">
        <v>-30000.0</v>
      </c>
      <c r="S36" s="32"/>
      <c r="T36" s="32"/>
      <c r="U36" s="32"/>
      <c r="V36" s="46"/>
      <c r="W36" s="17"/>
      <c r="X36" s="17"/>
      <c r="Y36" s="17"/>
      <c r="Z36" s="104"/>
      <c r="AA36" s="17"/>
    </row>
    <row r="37" ht="15.75" customHeight="1">
      <c r="A37" s="17"/>
      <c r="B37" s="17"/>
      <c r="C37" s="105" t="s">
        <v>64</v>
      </c>
      <c r="D37" s="106"/>
      <c r="E37" s="105" t="s">
        <v>65</v>
      </c>
      <c r="F37" s="106"/>
      <c r="G37" s="17"/>
      <c r="H37" s="17"/>
      <c r="I37" s="17"/>
      <c r="J37" s="17"/>
      <c r="K37" s="107"/>
      <c r="L37" s="108"/>
      <c r="M37" s="102"/>
      <c r="N37" s="48"/>
      <c r="O37" s="17"/>
      <c r="P37" s="17"/>
      <c r="Q37" s="17"/>
      <c r="R37" s="17"/>
      <c r="S37" s="109"/>
      <c r="T37" s="17"/>
      <c r="U37" s="109"/>
      <c r="V37" s="110"/>
      <c r="W37" s="17"/>
      <c r="X37" s="17"/>
      <c r="Y37" s="17"/>
      <c r="Z37" s="111"/>
      <c r="AA37" s="17"/>
    </row>
    <row r="38" ht="15.75" customHeight="1">
      <c r="A38" s="17"/>
      <c r="B38" s="17"/>
      <c r="C38" s="112" t="s">
        <v>66</v>
      </c>
      <c r="D38" s="113" t="s">
        <v>67</v>
      </c>
      <c r="E38" s="112" t="s">
        <v>66</v>
      </c>
      <c r="F38" s="113" t="s">
        <v>67</v>
      </c>
      <c r="G38" s="17"/>
      <c r="H38" s="17"/>
      <c r="I38" s="17"/>
      <c r="J38" s="17"/>
      <c r="K38" s="114" t="s">
        <v>68</v>
      </c>
      <c r="L38" s="28"/>
      <c r="M38" s="115"/>
      <c r="N38" s="116"/>
      <c r="O38" s="117"/>
      <c r="P38" s="117"/>
      <c r="Q38" s="117"/>
      <c r="R38" s="117"/>
      <c r="S38" s="117"/>
      <c r="T38" s="117"/>
      <c r="U38" s="117"/>
      <c r="V38" s="46"/>
      <c r="W38" s="17"/>
      <c r="X38" s="17"/>
      <c r="Y38" s="17"/>
      <c r="Z38" s="104"/>
      <c r="AA38" s="17"/>
    </row>
    <row r="39" ht="13.5" customHeight="1">
      <c r="A39" s="17"/>
      <c r="B39" s="17"/>
      <c r="C39" s="118"/>
      <c r="D39" s="119"/>
      <c r="E39" s="118"/>
      <c r="F39" s="119"/>
      <c r="G39" s="17"/>
      <c r="H39" s="17"/>
      <c r="I39" s="17"/>
      <c r="J39" s="17"/>
      <c r="K39" s="88" t="s">
        <v>43</v>
      </c>
      <c r="M39" s="120"/>
      <c r="N39" s="90"/>
      <c r="O39" s="32"/>
      <c r="P39" s="32"/>
      <c r="Q39" s="32"/>
      <c r="R39" s="32"/>
      <c r="S39" s="32"/>
      <c r="T39" s="32"/>
      <c r="U39" s="32"/>
      <c r="V39" s="121">
        <f t="shared" ref="V39:V41" si="8">M21</f>
        <v>11680</v>
      </c>
      <c r="W39" s="17"/>
      <c r="X39" s="17"/>
      <c r="Y39" s="17"/>
      <c r="Z39" s="17"/>
      <c r="AA39" s="17"/>
    </row>
    <row r="40" ht="15.75" customHeight="1">
      <c r="A40" s="17"/>
      <c r="B40" s="17"/>
      <c r="C40" s="122"/>
      <c r="D40" s="123"/>
      <c r="E40" s="122"/>
      <c r="F40" s="123"/>
      <c r="G40" s="17"/>
      <c r="H40" s="17"/>
      <c r="I40" s="17"/>
      <c r="J40" s="17"/>
      <c r="K40" s="88" t="s">
        <v>69</v>
      </c>
      <c r="M40" s="120"/>
      <c r="N40" s="90"/>
      <c r="O40" s="32"/>
      <c r="P40" s="32"/>
      <c r="Q40" s="32"/>
      <c r="R40" s="32"/>
      <c r="S40" s="32"/>
      <c r="T40" s="32"/>
      <c r="U40" s="32"/>
      <c r="V40" s="121">
        <f t="shared" si="8"/>
        <v>120000</v>
      </c>
      <c r="W40" s="17"/>
      <c r="X40" s="17"/>
      <c r="Y40" s="17"/>
      <c r="Z40" s="17"/>
      <c r="AA40" s="17"/>
    </row>
    <row r="41" ht="15.75" customHeight="1">
      <c r="A41" s="17"/>
      <c r="B41" s="17"/>
      <c r="C41" s="124">
        <v>12000.0</v>
      </c>
      <c r="D41" s="125">
        <v>0.35</v>
      </c>
      <c r="E41" s="124">
        <v>12000.0</v>
      </c>
      <c r="F41" s="125">
        <v>0.1</v>
      </c>
      <c r="G41" s="17"/>
      <c r="H41" s="17"/>
      <c r="I41" s="17"/>
      <c r="J41" s="17"/>
      <c r="K41" s="88" t="s">
        <v>70</v>
      </c>
      <c r="M41" s="120"/>
      <c r="N41" s="90"/>
      <c r="O41" s="32"/>
      <c r="P41" s="32"/>
      <c r="Q41" s="32"/>
      <c r="R41" s="32"/>
      <c r="S41" s="32"/>
      <c r="T41" s="32"/>
      <c r="U41" s="32"/>
      <c r="V41" s="121">
        <f t="shared" si="8"/>
        <v>982732.422</v>
      </c>
      <c r="W41" s="17"/>
      <c r="X41" s="17"/>
      <c r="Y41" s="17"/>
      <c r="Z41" s="17"/>
      <c r="AA41" s="17"/>
    </row>
    <row r="42" ht="15.75" customHeight="1">
      <c r="A42" s="17"/>
      <c r="B42" s="17"/>
      <c r="C42" s="124">
        <v>14000.0</v>
      </c>
      <c r="D42" s="125">
        <v>0.4</v>
      </c>
      <c r="E42" s="124">
        <v>14000.0</v>
      </c>
      <c r="F42" s="125">
        <v>0.35</v>
      </c>
      <c r="G42" s="17"/>
      <c r="H42" s="17"/>
      <c r="I42" s="17"/>
      <c r="J42" s="17"/>
      <c r="K42" s="88" t="s">
        <v>63</v>
      </c>
      <c r="M42" s="120"/>
      <c r="N42" s="90"/>
      <c r="O42" s="32"/>
      <c r="P42" s="32"/>
      <c r="Q42" s="32"/>
      <c r="R42" s="32"/>
      <c r="S42" s="32"/>
      <c r="T42" s="32"/>
      <c r="U42" s="126"/>
      <c r="V42" s="121">
        <f>ABS(R36+N36)</f>
        <v>50000</v>
      </c>
      <c r="W42" s="17"/>
      <c r="X42" s="17"/>
      <c r="Y42" s="17"/>
      <c r="Z42" s="17"/>
      <c r="AA42" s="17"/>
    </row>
    <row r="43" ht="15.75" customHeight="1">
      <c r="A43" s="17"/>
      <c r="B43" s="17"/>
      <c r="C43" s="124">
        <v>16000.0</v>
      </c>
      <c r="D43" s="125">
        <v>0.15</v>
      </c>
      <c r="E43" s="124">
        <v>16000.0</v>
      </c>
      <c r="F43" s="125">
        <v>0.3</v>
      </c>
      <c r="G43" s="127"/>
      <c r="H43" s="17"/>
      <c r="I43" s="17"/>
      <c r="J43" s="17"/>
      <c r="K43" s="128"/>
      <c r="L43" s="129"/>
      <c r="M43" s="130"/>
      <c r="N43" s="90"/>
      <c r="O43" s="32"/>
      <c r="P43" s="32"/>
      <c r="Q43" s="32"/>
      <c r="R43" s="32"/>
      <c r="S43" s="32"/>
      <c r="T43" s="32"/>
      <c r="U43" s="126"/>
      <c r="V43" s="46"/>
      <c r="W43" s="17"/>
      <c r="X43" s="17"/>
      <c r="Y43" s="17"/>
      <c r="Z43" s="17"/>
      <c r="AA43" s="17"/>
    </row>
    <row r="44" ht="15.75" customHeight="1">
      <c r="A44" s="17"/>
      <c r="B44" s="17"/>
      <c r="C44" s="124">
        <v>20000.0</v>
      </c>
      <c r="D44" s="125">
        <v>0.1</v>
      </c>
      <c r="E44" s="124">
        <v>20000.0</v>
      </c>
      <c r="F44" s="125">
        <v>0.15</v>
      </c>
      <c r="G44" s="127"/>
      <c r="H44" s="17"/>
      <c r="I44" s="17"/>
      <c r="J44" s="17"/>
      <c r="K44" s="114" t="s">
        <v>71</v>
      </c>
      <c r="L44" s="28"/>
      <c r="M44" s="131"/>
      <c r="N44" s="132">
        <f>Sum(N33:N36)</f>
        <v>-1425200</v>
      </c>
      <c r="O44" s="133">
        <f t="shared" ref="O44:Q44" si="9">O31</f>
        <v>246200</v>
      </c>
      <c r="P44" s="133">
        <f t="shared" si="9"/>
        <v>246200</v>
      </c>
      <c r="Q44" s="133">
        <f t="shared" si="9"/>
        <v>246200</v>
      </c>
      <c r="R44" s="133">
        <f>R31+R36</f>
        <v>216200</v>
      </c>
      <c r="S44" s="133">
        <f t="shared" ref="S44:U44" si="10">S31</f>
        <v>181800</v>
      </c>
      <c r="T44" s="133">
        <f t="shared" si="10"/>
        <v>181800</v>
      </c>
      <c r="U44" s="133">
        <f t="shared" si="10"/>
        <v>181800</v>
      </c>
      <c r="V44" s="134">
        <f>V31+Sum(V39:V42)</f>
        <v>1346212.422</v>
      </c>
      <c r="W44" s="135"/>
      <c r="X44" s="135"/>
      <c r="Y44" s="17"/>
      <c r="Z44" s="17"/>
      <c r="AA44" s="17"/>
    </row>
    <row r="45" ht="15.75" customHeight="1">
      <c r="A45" s="17"/>
      <c r="B45" s="17"/>
      <c r="C45" s="136"/>
      <c r="D45" s="137"/>
      <c r="E45" s="138">
        <v>24000.0</v>
      </c>
      <c r="F45" s="139">
        <v>0.1</v>
      </c>
      <c r="G45" s="17"/>
      <c r="H45" s="17"/>
      <c r="I45" s="17"/>
      <c r="J45" s="17"/>
      <c r="K45" s="88" t="s">
        <v>72</v>
      </c>
      <c r="M45" s="140"/>
      <c r="N45" s="141">
        <v>1.0</v>
      </c>
      <c r="O45" s="141">
        <v>0.9174</v>
      </c>
      <c r="P45" s="141">
        <v>0.8417</v>
      </c>
      <c r="Q45" s="141">
        <v>0.7722</v>
      </c>
      <c r="R45" s="141">
        <v>0.7084</v>
      </c>
      <c r="S45" s="141">
        <v>0.6499</v>
      </c>
      <c r="T45" s="141">
        <v>0.5963</v>
      </c>
      <c r="U45" s="141">
        <v>0.547</v>
      </c>
      <c r="V45" s="142">
        <v>0.5019</v>
      </c>
      <c r="W45" s="143"/>
      <c r="X45" s="143"/>
      <c r="Y45" s="17"/>
      <c r="Z45" s="17"/>
      <c r="AA45" s="17"/>
    </row>
    <row r="46" ht="15.75" customHeight="1">
      <c r="A46" s="17"/>
      <c r="B46" s="17"/>
      <c r="C46" s="17"/>
      <c r="D46" s="17"/>
      <c r="E46" s="17"/>
      <c r="F46" s="61"/>
      <c r="G46" s="17"/>
      <c r="H46" s="17"/>
      <c r="I46" s="17"/>
      <c r="J46" s="17"/>
      <c r="K46" s="144" t="s">
        <v>73</v>
      </c>
      <c r="L46" s="145"/>
      <c r="M46" s="146"/>
      <c r="N46" s="147">
        <f t="shared" ref="N46:V46" si="11">N44*N45</f>
        <v>-1425200</v>
      </c>
      <c r="O46" s="147">
        <f t="shared" si="11"/>
        <v>225863.88</v>
      </c>
      <c r="P46" s="147">
        <f t="shared" si="11"/>
        <v>207226.54</v>
      </c>
      <c r="Q46" s="147">
        <f t="shared" si="11"/>
        <v>190115.64</v>
      </c>
      <c r="R46" s="147">
        <f t="shared" si="11"/>
        <v>153156.08</v>
      </c>
      <c r="S46" s="147">
        <f t="shared" si="11"/>
        <v>118151.82</v>
      </c>
      <c r="T46" s="147">
        <f t="shared" si="11"/>
        <v>108407.34</v>
      </c>
      <c r="U46" s="147">
        <f t="shared" si="11"/>
        <v>99444.6</v>
      </c>
      <c r="V46" s="148">
        <f t="shared" si="11"/>
        <v>675664.0146</v>
      </c>
      <c r="W46" s="104"/>
      <c r="X46" s="104"/>
      <c r="Y46" s="17"/>
      <c r="Z46" s="17"/>
      <c r="AA46" s="17"/>
    </row>
    <row r="47" ht="15.75" customHeight="1">
      <c r="A47" s="17"/>
      <c r="B47" s="63" t="s">
        <v>74</v>
      </c>
      <c r="I47" s="17"/>
      <c r="J47" s="17"/>
      <c r="K47" s="80" t="s">
        <v>75</v>
      </c>
      <c r="L47" s="81"/>
      <c r="M47" s="149">
        <f>Sum(N46:V46)</f>
        <v>352829.9146</v>
      </c>
      <c r="N47" s="150"/>
      <c r="O47" s="17"/>
      <c r="P47" s="17"/>
      <c r="Q47" s="17"/>
      <c r="R47" s="17"/>
      <c r="S47" s="17"/>
      <c r="T47" s="17"/>
      <c r="U47" s="17"/>
      <c r="V47" s="17"/>
      <c r="W47" s="17"/>
      <c r="X47" s="17"/>
      <c r="Y47" s="17"/>
      <c r="Z47" s="17"/>
      <c r="AA47" s="17"/>
    </row>
    <row r="48" ht="13.5" customHeight="1">
      <c r="A48" s="17"/>
      <c r="I48" s="17"/>
      <c r="J48" s="17"/>
      <c r="K48" s="17"/>
      <c r="L48" s="17"/>
      <c r="M48" s="17"/>
      <c r="N48" s="17"/>
      <c r="O48" s="17"/>
      <c r="P48" s="17"/>
      <c r="Q48" s="17"/>
      <c r="R48" s="17"/>
      <c r="S48" s="17"/>
      <c r="T48" s="17"/>
      <c r="U48" s="17"/>
      <c r="V48" s="17"/>
      <c r="W48" s="17"/>
      <c r="X48" s="17"/>
      <c r="Y48" s="17"/>
      <c r="Z48" s="17"/>
      <c r="AA48" s="17"/>
    </row>
    <row r="49" ht="13.5" customHeight="1">
      <c r="A49" s="17"/>
      <c r="I49" s="17"/>
      <c r="J49" s="17"/>
      <c r="K49" s="151" t="s">
        <v>76</v>
      </c>
      <c r="M49" s="152"/>
      <c r="N49" s="152"/>
      <c r="O49" s="17"/>
      <c r="P49" s="17"/>
      <c r="Q49" s="30" t="s">
        <v>77</v>
      </c>
      <c r="R49" s="17"/>
      <c r="S49" s="17"/>
      <c r="T49" s="17"/>
      <c r="U49" s="17"/>
      <c r="V49" s="17"/>
      <c r="W49" s="17"/>
      <c r="X49" s="17"/>
      <c r="Y49" s="17"/>
      <c r="Z49" s="17"/>
      <c r="AA49" s="17"/>
    </row>
    <row r="50" ht="15.75" customHeight="1">
      <c r="A50" s="17"/>
      <c r="I50" s="17"/>
      <c r="J50" s="17"/>
      <c r="K50" s="153"/>
      <c r="L50" s="154"/>
      <c r="M50" s="155"/>
      <c r="N50" s="106"/>
      <c r="O50" s="17"/>
      <c r="P50" s="17"/>
      <c r="Q50" s="156" t="s">
        <v>78</v>
      </c>
      <c r="R50" s="157" t="s">
        <v>79</v>
      </c>
      <c r="S50" s="158" t="s">
        <v>80</v>
      </c>
      <c r="T50" s="17"/>
      <c r="U50" s="17"/>
      <c r="V50" s="17"/>
      <c r="W50" s="17"/>
      <c r="X50" s="17"/>
      <c r="Y50" s="17"/>
      <c r="Z50" s="17"/>
      <c r="AA50" s="17"/>
    </row>
    <row r="51" ht="15.75" customHeight="1">
      <c r="A51" s="17"/>
      <c r="B51" s="31" t="s">
        <v>81</v>
      </c>
      <c r="I51" s="17"/>
      <c r="J51" s="17"/>
      <c r="K51" s="72" t="s">
        <v>82</v>
      </c>
      <c r="L51" s="145"/>
      <c r="M51" s="159">
        <f>pmt(0.09, 9, -M47)</f>
        <v>58851.60708</v>
      </c>
      <c r="N51" s="160"/>
      <c r="O51" s="161"/>
      <c r="P51" s="17"/>
      <c r="Q51" s="162">
        <v>0.0</v>
      </c>
      <c r="R51" s="163">
        <v>-1425200.0</v>
      </c>
      <c r="S51" s="164">
        <f>R51</f>
        <v>-1425200</v>
      </c>
      <c r="T51" s="17"/>
      <c r="U51" s="17"/>
      <c r="V51" s="17"/>
      <c r="W51" s="17"/>
      <c r="X51" s="17"/>
      <c r="Y51" s="17"/>
      <c r="Z51" s="17"/>
      <c r="AA51" s="17"/>
    </row>
    <row r="52" ht="13.5" customHeight="1">
      <c r="A52" s="17"/>
      <c r="I52" s="17"/>
      <c r="J52" s="17"/>
      <c r="K52" s="151"/>
      <c r="L52" s="39"/>
      <c r="M52" s="165"/>
      <c r="N52" s="165"/>
      <c r="O52" s="17"/>
      <c r="P52" s="17"/>
      <c r="Q52" s="162">
        <v>1.0</v>
      </c>
      <c r="R52" s="163">
        <v>225872.0</v>
      </c>
      <c r="S52" s="164">
        <f t="shared" ref="S52:S59" si="12">S51+R52</f>
        <v>-1199328</v>
      </c>
      <c r="T52" s="17"/>
      <c r="U52" s="17"/>
      <c r="V52" s="17"/>
      <c r="W52" s="17"/>
      <c r="X52" s="17"/>
      <c r="Y52" s="17"/>
      <c r="Z52" s="17"/>
      <c r="AA52" s="17"/>
    </row>
    <row r="53" ht="13.5" customHeight="1">
      <c r="A53" s="17"/>
      <c r="I53" s="17"/>
      <c r="J53" s="17"/>
      <c r="K53" s="30" t="s">
        <v>83</v>
      </c>
      <c r="L53" s="30"/>
      <c r="M53" s="165"/>
      <c r="N53" s="165"/>
      <c r="O53" s="17"/>
      <c r="P53" s="17"/>
      <c r="Q53" s="162">
        <v>2.0</v>
      </c>
      <c r="R53" s="163">
        <v>207222.0</v>
      </c>
      <c r="S53" s="164">
        <f t="shared" si="12"/>
        <v>-992106</v>
      </c>
      <c r="T53" s="17"/>
      <c r="U53" s="17"/>
      <c r="V53" s="17"/>
      <c r="W53" s="17"/>
      <c r="X53" s="17"/>
      <c r="Y53" s="17"/>
      <c r="Z53" s="17"/>
      <c r="AA53" s="17"/>
    </row>
    <row r="54" ht="13.5" customHeight="1">
      <c r="A54" s="17"/>
      <c r="I54" s="17"/>
      <c r="J54" s="17"/>
      <c r="K54" s="66"/>
      <c r="L54" s="36"/>
      <c r="M54" s="166"/>
      <c r="N54" s="167"/>
      <c r="O54" s="17"/>
      <c r="P54" s="17"/>
      <c r="Q54" s="162">
        <v>3.0</v>
      </c>
      <c r="R54" s="163">
        <v>190112.0</v>
      </c>
      <c r="S54" s="164">
        <f t="shared" si="12"/>
        <v>-801994</v>
      </c>
      <c r="T54" s="17"/>
      <c r="U54" s="17"/>
      <c r="V54" s="17"/>
      <c r="W54" s="17"/>
      <c r="X54" s="17"/>
      <c r="Y54" s="17"/>
      <c r="Z54" s="17"/>
      <c r="AA54" s="17"/>
    </row>
    <row r="55" ht="15.75" customHeight="1">
      <c r="A55" s="17"/>
      <c r="I55" s="17"/>
      <c r="J55" s="17"/>
      <c r="K55" s="59"/>
      <c r="L55" s="30"/>
      <c r="M55" s="165"/>
      <c r="N55" s="168"/>
      <c r="O55" s="17"/>
      <c r="P55" s="17"/>
      <c r="Q55" s="162">
        <v>4.0</v>
      </c>
      <c r="R55" s="163">
        <v>153162.0</v>
      </c>
      <c r="S55" s="164">
        <f t="shared" si="12"/>
        <v>-648832</v>
      </c>
      <c r="T55" s="17"/>
      <c r="U55" s="17"/>
      <c r="V55" s="17"/>
      <c r="W55" s="17"/>
      <c r="X55" s="17"/>
      <c r="Y55" s="17"/>
      <c r="Z55" s="17"/>
      <c r="AA55" s="17"/>
    </row>
    <row r="56" ht="15.75" customHeight="1">
      <c r="A56" s="17"/>
      <c r="I56" s="17"/>
      <c r="J56" s="17"/>
      <c r="K56" s="64" t="s">
        <v>84</v>
      </c>
      <c r="L56" s="81"/>
      <c r="M56" s="169">
        <f>(M47/ABS((SUM(N33:N36)+R36*(1+0.09)^-4)))+1</f>
        <v>1.243927714</v>
      </c>
      <c r="N56" s="150"/>
      <c r="O56" s="170"/>
      <c r="P56" s="17"/>
      <c r="Q56" s="162">
        <v>5.0</v>
      </c>
      <c r="R56" s="163">
        <v>118158.0</v>
      </c>
      <c r="S56" s="164">
        <f t="shared" si="12"/>
        <v>-530674</v>
      </c>
      <c r="T56" s="17"/>
      <c r="U56" s="17"/>
      <c r="V56" s="17"/>
      <c r="W56" s="17"/>
      <c r="X56" s="17"/>
      <c r="Y56" s="17"/>
      <c r="Z56" s="17"/>
      <c r="AA56" s="17"/>
    </row>
    <row r="57" ht="15.75" customHeight="1">
      <c r="A57" s="17"/>
      <c r="B57" s="17"/>
      <c r="C57" s="17"/>
      <c r="D57" s="17"/>
      <c r="E57" s="17"/>
      <c r="F57" s="17"/>
      <c r="G57" s="17"/>
      <c r="H57" s="17"/>
      <c r="I57" s="17"/>
      <c r="J57" s="17"/>
      <c r="K57" s="17"/>
      <c r="L57" s="17"/>
      <c r="M57" s="17"/>
      <c r="N57" s="17"/>
      <c r="O57" s="17"/>
      <c r="P57" s="17"/>
      <c r="Q57" s="162">
        <v>6.0</v>
      </c>
      <c r="R57" s="163">
        <v>108401.0</v>
      </c>
      <c r="S57" s="164">
        <f t="shared" si="12"/>
        <v>-422273</v>
      </c>
      <c r="T57" s="17"/>
      <c r="U57" s="17"/>
      <c r="V57" s="17"/>
      <c r="W57" s="17"/>
      <c r="X57" s="17"/>
      <c r="Y57" s="17"/>
      <c r="Z57" s="17"/>
      <c r="AA57" s="17"/>
    </row>
    <row r="58" ht="15.75" customHeight="1">
      <c r="A58" s="17"/>
      <c r="B58" s="171" t="s">
        <v>85</v>
      </c>
      <c r="I58" s="17"/>
      <c r="J58" s="17"/>
      <c r="K58" s="151" t="s">
        <v>86</v>
      </c>
      <c r="L58" s="151"/>
      <c r="M58" s="58"/>
      <c r="N58" s="58"/>
      <c r="O58" s="17"/>
      <c r="P58" s="17"/>
      <c r="Q58" s="162">
        <v>7.0</v>
      </c>
      <c r="R58" s="163">
        <v>99451.0</v>
      </c>
      <c r="S58" s="164">
        <f t="shared" si="12"/>
        <v>-322822</v>
      </c>
      <c r="T58" s="17"/>
      <c r="U58" s="17"/>
      <c r="V58" s="17"/>
      <c r="W58" s="17"/>
      <c r="X58" s="17"/>
      <c r="Y58" s="17"/>
      <c r="Z58" s="17"/>
      <c r="AA58" s="17"/>
    </row>
    <row r="59" ht="15.75" customHeight="1">
      <c r="A59" s="17"/>
      <c r="B59" s="17"/>
      <c r="C59" s="17"/>
      <c r="D59" s="17"/>
      <c r="E59" s="17"/>
      <c r="F59" s="17"/>
      <c r="G59" s="17"/>
      <c r="H59" s="17"/>
      <c r="I59" s="17"/>
      <c r="J59" s="17"/>
      <c r="K59" s="172"/>
      <c r="L59" s="173"/>
      <c r="M59" s="174"/>
      <c r="N59" s="175"/>
      <c r="O59" s="38"/>
      <c r="P59" s="17"/>
      <c r="Q59" s="176">
        <v>8.0</v>
      </c>
      <c r="R59" s="163">
        <v>690415.0</v>
      </c>
      <c r="S59" s="164">
        <f t="shared" si="12"/>
        <v>367593</v>
      </c>
      <c r="T59" s="17"/>
      <c r="U59" s="17"/>
      <c r="V59" s="17"/>
      <c r="W59" s="17"/>
      <c r="X59" s="17"/>
      <c r="Y59" s="17"/>
      <c r="Z59" s="17"/>
      <c r="AA59" s="17"/>
    </row>
    <row r="60" ht="15.75" customHeight="1">
      <c r="A60" s="17"/>
      <c r="B60" s="30" t="s">
        <v>87</v>
      </c>
      <c r="C60" s="17"/>
      <c r="D60" s="17"/>
      <c r="E60" s="17"/>
      <c r="F60" s="17"/>
      <c r="G60" s="17"/>
      <c r="H60" s="17"/>
      <c r="I60" s="17"/>
      <c r="J60" s="17"/>
      <c r="K60" s="177"/>
      <c r="L60" s="178"/>
      <c r="M60" s="178"/>
      <c r="N60" s="39"/>
      <c r="O60" s="121"/>
      <c r="P60" s="61"/>
      <c r="Q60" s="179" t="s">
        <v>88</v>
      </c>
      <c r="R60" s="180" t="s">
        <v>89</v>
      </c>
      <c r="S60" s="32"/>
      <c r="T60" s="17"/>
      <c r="U60" s="17"/>
      <c r="V60" s="17"/>
      <c r="W60" s="17"/>
      <c r="X60" s="17"/>
      <c r="Y60" s="17"/>
      <c r="Z60" s="17"/>
      <c r="AA60" s="17"/>
    </row>
    <row r="61" ht="15.75" customHeight="1">
      <c r="A61" s="17"/>
      <c r="B61" s="17"/>
      <c r="C61" s="17"/>
      <c r="D61" s="17"/>
      <c r="E61" s="17"/>
      <c r="F61" s="17"/>
      <c r="G61" s="17"/>
      <c r="H61" s="17"/>
      <c r="I61" s="17"/>
      <c r="J61" s="17"/>
      <c r="K61" s="88"/>
      <c r="L61" s="151"/>
      <c r="M61" s="61"/>
      <c r="N61" s="39"/>
      <c r="O61" s="121"/>
      <c r="P61" s="61"/>
      <c r="Q61" s="181">
        <v>7.0</v>
      </c>
      <c r="R61" s="182">
        <f>ABS((S58/R59)*365)</f>
        <v>170.6655128</v>
      </c>
      <c r="S61" s="32"/>
      <c r="T61" s="170"/>
      <c r="U61" s="17"/>
      <c r="V61" s="17"/>
      <c r="W61" s="17"/>
      <c r="X61" s="17"/>
      <c r="Y61" s="17"/>
      <c r="Z61" s="17"/>
      <c r="AA61" s="17"/>
    </row>
    <row r="62" ht="15.75" customHeight="1">
      <c r="A62" s="17"/>
      <c r="B62" s="30" t="s">
        <v>90</v>
      </c>
      <c r="C62" s="17"/>
      <c r="D62" s="17"/>
      <c r="E62" s="17"/>
      <c r="F62" s="17"/>
      <c r="G62" s="17"/>
      <c r="H62" s="17"/>
      <c r="I62" s="17"/>
      <c r="J62" s="17"/>
      <c r="K62" s="88"/>
      <c r="L62" s="151"/>
      <c r="M62" s="17"/>
      <c r="N62" s="17"/>
      <c r="O62" s="46"/>
      <c r="P62" s="42"/>
      <c r="Q62" s="17"/>
      <c r="R62" s="17"/>
      <c r="S62" s="30"/>
      <c r="T62" s="17"/>
      <c r="U62" s="17"/>
      <c r="V62" s="17"/>
      <c r="W62" s="17"/>
      <c r="X62" s="17"/>
      <c r="Y62" s="17"/>
      <c r="Z62" s="17"/>
      <c r="AA62" s="17"/>
    </row>
    <row r="63" ht="16.5" customHeight="1">
      <c r="A63" s="17"/>
      <c r="B63" s="17"/>
      <c r="C63" s="17"/>
      <c r="D63" s="17"/>
      <c r="E63" s="127" t="s">
        <v>91</v>
      </c>
      <c r="F63" s="17"/>
      <c r="G63" s="17"/>
      <c r="H63" s="17"/>
      <c r="I63" s="17"/>
      <c r="J63" s="17"/>
      <c r="K63" s="88"/>
      <c r="L63" s="151"/>
      <c r="M63" s="17"/>
      <c r="N63" s="58"/>
      <c r="O63" s="46"/>
      <c r="P63" s="32"/>
      <c r="Q63" s="17"/>
      <c r="R63" s="17"/>
      <c r="S63" s="17"/>
      <c r="T63" s="17"/>
      <c r="U63" s="17"/>
      <c r="V63" s="17"/>
      <c r="W63" s="17"/>
      <c r="X63" s="17"/>
      <c r="Y63" s="17"/>
      <c r="Z63" s="17"/>
      <c r="AA63" s="17"/>
    </row>
    <row r="64" ht="15.75" customHeight="1">
      <c r="A64" s="17"/>
      <c r="B64" s="183" t="s">
        <v>92</v>
      </c>
      <c r="I64" s="17"/>
      <c r="J64" s="17"/>
      <c r="K64" s="136"/>
      <c r="L64" s="75"/>
      <c r="M64" s="75"/>
      <c r="N64" s="64" t="s">
        <v>93</v>
      </c>
      <c r="O64" s="184">
        <f>irr(N46:V46)</f>
        <v>0.04530007628</v>
      </c>
      <c r="P64" s="170"/>
      <c r="Q64" s="17"/>
      <c r="R64" s="17"/>
      <c r="S64" s="17"/>
      <c r="T64" s="17"/>
      <c r="U64" s="17"/>
      <c r="V64" s="17"/>
      <c r="W64" s="17"/>
      <c r="X64" s="17"/>
      <c r="Y64" s="17"/>
      <c r="Z64" s="17"/>
      <c r="AA64" s="17"/>
    </row>
    <row r="65" ht="15.75" customHeight="1">
      <c r="A65" s="17"/>
      <c r="B65" s="183" t="s">
        <v>94</v>
      </c>
      <c r="I65" s="17"/>
      <c r="J65" s="17"/>
      <c r="K65" s="17"/>
      <c r="L65" s="17"/>
      <c r="M65" s="17"/>
      <c r="N65" s="58"/>
      <c r="O65" s="42"/>
      <c r="P65" s="17"/>
      <c r="Q65" s="17"/>
      <c r="R65" s="17"/>
      <c r="S65" s="17"/>
      <c r="T65" s="17"/>
      <c r="U65" s="17"/>
      <c r="V65" s="17"/>
      <c r="W65" s="17"/>
      <c r="X65" s="17"/>
      <c r="Y65" s="17"/>
      <c r="Z65" s="17"/>
      <c r="AA65" s="17"/>
    </row>
    <row r="66" ht="15.75" customHeight="1">
      <c r="A66" s="17"/>
      <c r="B66" s="183" t="s">
        <v>95</v>
      </c>
      <c r="I66" s="17"/>
      <c r="J66" s="17"/>
      <c r="K66" s="17"/>
      <c r="L66" s="17"/>
      <c r="M66" s="17"/>
      <c r="N66" s="17"/>
      <c r="O66" s="17"/>
      <c r="P66" s="17"/>
      <c r="Q66" s="17"/>
      <c r="R66" s="17"/>
      <c r="S66" s="17"/>
      <c r="T66" s="17"/>
      <c r="U66" s="17"/>
      <c r="V66" s="17"/>
      <c r="W66" s="17"/>
      <c r="X66" s="17"/>
      <c r="Y66" s="17"/>
      <c r="Z66" s="17"/>
      <c r="AA66" s="17"/>
    </row>
    <row r="67" ht="15.75" customHeight="1">
      <c r="A67" s="17"/>
      <c r="B67" s="183" t="s">
        <v>96</v>
      </c>
      <c r="I67" s="17"/>
      <c r="J67" s="17"/>
      <c r="K67" s="30" t="s">
        <v>97</v>
      </c>
      <c r="L67" s="17"/>
      <c r="M67" s="17"/>
      <c r="N67" s="17"/>
      <c r="O67" s="17"/>
      <c r="P67" s="17"/>
      <c r="Q67" s="17"/>
      <c r="R67" s="17"/>
      <c r="S67" s="17"/>
      <c r="T67" s="17"/>
      <c r="U67" s="17"/>
      <c r="V67" s="17"/>
      <c r="W67" s="17"/>
      <c r="X67" s="17"/>
      <c r="Y67" s="17"/>
      <c r="Z67" s="17"/>
      <c r="AA67" s="17"/>
    </row>
    <row r="68" ht="15.75" customHeight="1">
      <c r="A68" s="17"/>
      <c r="B68" s="183" t="s">
        <v>98</v>
      </c>
      <c r="I68" s="17"/>
      <c r="J68" s="17"/>
      <c r="K68" s="185" t="s">
        <v>99</v>
      </c>
      <c r="L68" s="186">
        <f>N44</f>
        <v>-1425200</v>
      </c>
      <c r="M68" s="187"/>
      <c r="N68" s="36"/>
      <c r="O68" s="36"/>
      <c r="P68" s="36"/>
      <c r="Q68" s="36"/>
      <c r="R68" s="36"/>
      <c r="S68" s="36"/>
      <c r="T68" s="36"/>
      <c r="U68" s="36"/>
      <c r="V68" s="36"/>
      <c r="W68" s="38"/>
      <c r="X68" s="17"/>
      <c r="Y68" s="17"/>
      <c r="Z68" s="17"/>
      <c r="AA68" s="17"/>
    </row>
    <row r="69" ht="15.75" customHeight="1">
      <c r="A69" s="17"/>
      <c r="B69" s="188" t="s">
        <v>100</v>
      </c>
      <c r="I69" s="17"/>
      <c r="J69" s="17"/>
      <c r="K69" s="59"/>
      <c r="L69" s="58"/>
      <c r="M69" s="189"/>
      <c r="N69" s="17"/>
      <c r="O69" s="17"/>
      <c r="P69" s="17"/>
      <c r="Q69" s="17"/>
      <c r="R69" s="17"/>
      <c r="S69" s="17"/>
      <c r="T69" s="17"/>
      <c r="U69" s="17"/>
      <c r="V69" s="17"/>
      <c r="W69" s="46"/>
      <c r="X69" s="17"/>
      <c r="Y69" s="17"/>
      <c r="Z69" s="17"/>
      <c r="AA69" s="17"/>
    </row>
    <row r="70" ht="15.75" customHeight="1">
      <c r="A70" s="17"/>
      <c r="I70" s="17"/>
      <c r="J70" s="17"/>
      <c r="K70" s="190" t="s">
        <v>101</v>
      </c>
      <c r="L70" s="191">
        <v>1.0</v>
      </c>
      <c r="M70" s="192">
        <v>2.0</v>
      </c>
      <c r="N70" s="127">
        <v>3.0</v>
      </c>
      <c r="O70" s="127">
        <v>4.0</v>
      </c>
      <c r="P70" s="127">
        <v>5.0</v>
      </c>
      <c r="Q70" s="127">
        <v>6.0</v>
      </c>
      <c r="R70" s="127">
        <v>7.0</v>
      </c>
      <c r="S70" s="127">
        <v>8.0</v>
      </c>
      <c r="T70" s="30"/>
      <c r="U70" s="30"/>
      <c r="V70" s="30"/>
      <c r="W70" s="193"/>
      <c r="X70" s="17"/>
      <c r="Y70" s="17"/>
      <c r="Z70" s="17"/>
      <c r="AA70" s="17"/>
    </row>
    <row r="71" ht="15.75" customHeight="1">
      <c r="A71" s="17"/>
      <c r="B71" s="183" t="s">
        <v>102</v>
      </c>
      <c r="I71" s="17"/>
      <c r="J71" s="17"/>
      <c r="K71" s="45" t="s">
        <v>103</v>
      </c>
      <c r="L71" s="49">
        <f t="shared" ref="L71:S71" si="13">O44</f>
        <v>246200</v>
      </c>
      <c r="M71" s="49">
        <f t="shared" si="13"/>
        <v>246200</v>
      </c>
      <c r="N71" s="49">
        <f t="shared" si="13"/>
        <v>246200</v>
      </c>
      <c r="O71" s="49">
        <f t="shared" si="13"/>
        <v>216200</v>
      </c>
      <c r="P71" s="49">
        <f t="shared" si="13"/>
        <v>181800</v>
      </c>
      <c r="Q71" s="49">
        <f t="shared" si="13"/>
        <v>181800</v>
      </c>
      <c r="R71" s="49">
        <f t="shared" si="13"/>
        <v>181800</v>
      </c>
      <c r="S71" s="49">
        <f t="shared" si="13"/>
        <v>1346212.422</v>
      </c>
      <c r="T71" s="194"/>
      <c r="U71" s="194"/>
      <c r="V71" s="194"/>
      <c r="W71" s="195"/>
      <c r="X71" s="17"/>
      <c r="Y71" s="17"/>
      <c r="Z71" s="17"/>
      <c r="AA71" s="17"/>
    </row>
    <row r="72" ht="15.75" customHeight="1">
      <c r="A72" s="17"/>
      <c r="B72" s="183" t="s">
        <v>104</v>
      </c>
      <c r="I72" s="17"/>
      <c r="J72" s="17"/>
      <c r="K72" s="45" t="s">
        <v>105</v>
      </c>
      <c r="L72" s="58">
        <f t="shared" ref="L72:S72" si="14">(1+0.09)^(8-L70)</f>
        <v>1.828039121</v>
      </c>
      <c r="M72" s="58">
        <f t="shared" si="14"/>
        <v>1.677100111</v>
      </c>
      <c r="N72" s="58">
        <f t="shared" si="14"/>
        <v>1.538623955</v>
      </c>
      <c r="O72" s="58">
        <f t="shared" si="14"/>
        <v>1.41158161</v>
      </c>
      <c r="P72" s="58">
        <f t="shared" si="14"/>
        <v>1.295029</v>
      </c>
      <c r="Q72" s="58">
        <f t="shared" si="14"/>
        <v>1.1881</v>
      </c>
      <c r="R72" s="58">
        <f t="shared" si="14"/>
        <v>1.09</v>
      </c>
      <c r="S72" s="58">
        <f t="shared" si="14"/>
        <v>1</v>
      </c>
      <c r="T72" s="32"/>
      <c r="U72" s="32"/>
      <c r="V72" s="32"/>
      <c r="W72" s="121"/>
      <c r="X72" s="17"/>
      <c r="Y72" s="17"/>
      <c r="Z72" s="17"/>
      <c r="AA72" s="17"/>
    </row>
    <row r="73" ht="15.75" customHeight="1">
      <c r="A73" s="17"/>
      <c r="B73" s="17"/>
      <c r="C73" s="17"/>
      <c r="D73" s="17"/>
      <c r="E73" s="17"/>
      <c r="F73" s="17"/>
      <c r="G73" s="17"/>
      <c r="H73" s="17"/>
      <c r="I73" s="17"/>
      <c r="J73" s="17"/>
      <c r="K73" s="190" t="s">
        <v>106</v>
      </c>
      <c r="L73" s="104">
        <f t="shared" ref="L73:S73" si="15">L71*L72</f>
        <v>450063.2315</v>
      </c>
      <c r="M73" s="104">
        <f t="shared" si="15"/>
        <v>412902.0473</v>
      </c>
      <c r="N73" s="104">
        <f t="shared" si="15"/>
        <v>378809.2177</v>
      </c>
      <c r="O73" s="104">
        <f t="shared" si="15"/>
        <v>305183.9441</v>
      </c>
      <c r="P73" s="104">
        <f t="shared" si="15"/>
        <v>235436.2722</v>
      </c>
      <c r="Q73" s="104">
        <f t="shared" si="15"/>
        <v>215996.58</v>
      </c>
      <c r="R73" s="104">
        <f t="shared" si="15"/>
        <v>198162</v>
      </c>
      <c r="S73" s="104">
        <f t="shared" si="15"/>
        <v>1346212.422</v>
      </c>
      <c r="T73" s="58"/>
      <c r="U73" s="17"/>
      <c r="V73" s="17"/>
      <c r="W73" s="46"/>
      <c r="X73" s="17"/>
      <c r="Y73" s="17"/>
      <c r="Z73" s="17"/>
      <c r="AA73" s="17"/>
    </row>
    <row r="74" ht="15.75" customHeight="1">
      <c r="A74" s="17"/>
      <c r="B74" s="17"/>
      <c r="C74" s="17"/>
      <c r="D74" s="17"/>
      <c r="E74" s="17"/>
      <c r="F74" s="17"/>
      <c r="G74" s="17"/>
      <c r="H74" s="17"/>
      <c r="I74" s="17"/>
      <c r="J74" s="17"/>
      <c r="K74" s="190" t="s">
        <v>107</v>
      </c>
      <c r="L74" s="104">
        <f>SUM(L73:S73)</f>
        <v>3542765.715</v>
      </c>
      <c r="M74" s="17"/>
      <c r="N74" s="17"/>
      <c r="O74" s="17"/>
      <c r="P74" s="17"/>
      <c r="Q74" s="17"/>
      <c r="R74" s="58"/>
      <c r="S74" s="58"/>
      <c r="T74" s="58"/>
      <c r="U74" s="17"/>
      <c r="V74" s="17"/>
      <c r="W74" s="46"/>
      <c r="X74" s="17"/>
      <c r="Y74" s="17"/>
      <c r="Z74" s="17"/>
      <c r="AA74" s="17"/>
    </row>
    <row r="75" ht="15.75" customHeight="1">
      <c r="A75" s="17"/>
      <c r="B75" s="127" t="s">
        <v>108</v>
      </c>
      <c r="C75" s="17"/>
      <c r="D75" s="17"/>
      <c r="E75" s="17"/>
      <c r="F75" s="17"/>
      <c r="G75" s="17"/>
      <c r="H75" s="17"/>
      <c r="I75" s="17"/>
      <c r="J75" s="17"/>
      <c r="K75" s="48"/>
      <c r="L75" s="17"/>
      <c r="M75" s="17"/>
      <c r="N75" s="17"/>
      <c r="O75" s="17"/>
      <c r="P75" s="17"/>
      <c r="Q75" s="17"/>
      <c r="R75" s="17"/>
      <c r="S75" s="17"/>
      <c r="T75" s="17"/>
      <c r="U75" s="17"/>
      <c r="V75" s="17"/>
      <c r="W75" s="46"/>
      <c r="X75" s="17"/>
      <c r="Y75" s="17"/>
      <c r="Z75" s="17"/>
      <c r="AA75" s="17"/>
    </row>
    <row r="76" ht="15.75" customHeight="1">
      <c r="A76" s="17"/>
      <c r="B76" s="17"/>
      <c r="C76" s="17"/>
      <c r="D76" s="17"/>
      <c r="E76" s="17"/>
      <c r="F76" s="17"/>
      <c r="G76" s="17"/>
      <c r="H76" s="17"/>
      <c r="I76" s="17"/>
      <c r="J76" s="17"/>
      <c r="K76" s="48"/>
      <c r="L76" s="17"/>
      <c r="M76" s="42"/>
      <c r="N76" s="17"/>
      <c r="O76" s="17"/>
      <c r="P76" s="17"/>
      <c r="Q76" s="17"/>
      <c r="R76" s="17"/>
      <c r="S76" s="17"/>
      <c r="T76" s="17"/>
      <c r="U76" s="17"/>
      <c r="V76" s="17"/>
      <c r="W76" s="46"/>
      <c r="X76" s="17"/>
      <c r="Y76" s="17"/>
      <c r="Z76" s="17"/>
      <c r="AA76" s="17"/>
    </row>
    <row r="77" ht="16.5" customHeight="1">
      <c r="A77" s="17"/>
      <c r="B77" s="17"/>
      <c r="C77" s="17"/>
      <c r="D77" s="17"/>
      <c r="E77" s="17"/>
      <c r="F77" s="17"/>
      <c r="G77" s="17"/>
      <c r="H77" s="17"/>
      <c r="I77" s="17"/>
      <c r="J77" s="17"/>
      <c r="K77" s="136"/>
      <c r="L77" s="75"/>
      <c r="M77" s="75"/>
      <c r="N77" s="75"/>
      <c r="O77" s="75"/>
      <c r="P77" s="75"/>
      <c r="Q77" s="75"/>
      <c r="R77" s="75"/>
      <c r="S77" s="75"/>
      <c r="T77" s="75"/>
      <c r="U77" s="75"/>
      <c r="V77" s="71" t="s">
        <v>109</v>
      </c>
      <c r="W77" s="184">
        <f>((L74/abs(L68))^(1/9))-1</f>
        <v>0.1064727827</v>
      </c>
      <c r="X77" s="170"/>
      <c r="Y77" s="17"/>
      <c r="Z77" s="17"/>
      <c r="AA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42"/>
      <c r="X78" s="17"/>
      <c r="Y78" s="17"/>
      <c r="Z78" s="17"/>
      <c r="AA78" s="17"/>
    </row>
    <row r="79" ht="15.75" customHeight="1">
      <c r="A79" s="17"/>
      <c r="B79" s="17"/>
      <c r="C79" s="17"/>
      <c r="D79" s="17"/>
      <c r="E79" s="17"/>
      <c r="F79" s="17"/>
      <c r="G79" s="17"/>
      <c r="H79" s="17"/>
      <c r="I79" s="17"/>
      <c r="J79" s="17"/>
      <c r="K79" s="17"/>
      <c r="L79" s="17"/>
      <c r="M79" s="17"/>
      <c r="N79" s="17"/>
      <c r="O79" s="17"/>
      <c r="P79" s="17"/>
      <c r="Q79" s="17"/>
      <c r="R79" s="17"/>
      <c r="S79" s="17"/>
      <c r="T79" s="17"/>
      <c r="U79" s="196"/>
      <c r="V79" s="17"/>
      <c r="W79" s="17"/>
      <c r="X79" s="17"/>
      <c r="Y79" s="17"/>
      <c r="Z79" s="17"/>
      <c r="AA79" s="17"/>
    </row>
    <row r="80" ht="15.75" customHeight="1">
      <c r="A80" s="17"/>
      <c r="B80" s="17"/>
      <c r="C80" s="17"/>
      <c r="D80" s="17"/>
      <c r="E80" s="17"/>
      <c r="F80" s="17"/>
      <c r="G80" s="17"/>
      <c r="H80" s="17"/>
      <c r="I80" s="17"/>
      <c r="J80" s="17"/>
      <c r="K80" s="151"/>
      <c r="L80" s="197"/>
      <c r="M80" s="17"/>
      <c r="N80" s="58"/>
      <c r="O80" s="17"/>
      <c r="P80" s="32"/>
      <c r="Q80" s="17"/>
      <c r="R80" s="17"/>
      <c r="S80" s="17"/>
      <c r="T80" s="17"/>
      <c r="U80" s="17"/>
      <c r="V80" s="17"/>
      <c r="W80" s="17"/>
      <c r="X80" s="17"/>
      <c r="Y80" s="17"/>
      <c r="Z80" s="17"/>
      <c r="AA80" s="17"/>
    </row>
    <row r="81" ht="15.75" customHeight="1">
      <c r="A81" s="17"/>
      <c r="B81" s="17"/>
      <c r="C81" s="17"/>
      <c r="D81" s="17"/>
      <c r="E81" s="17"/>
      <c r="F81" s="17"/>
      <c r="G81" s="17"/>
      <c r="H81" s="17"/>
      <c r="I81" s="17"/>
      <c r="J81" s="17"/>
      <c r="K81" s="17"/>
      <c r="L81" s="17"/>
      <c r="M81" s="17"/>
      <c r="N81" s="39"/>
      <c r="O81" s="198"/>
      <c r="P81" s="170"/>
      <c r="Q81" s="17"/>
      <c r="R81" s="17"/>
      <c r="S81" s="17"/>
      <c r="T81" s="17"/>
      <c r="U81" s="17"/>
      <c r="V81" s="17"/>
      <c r="W81" s="17"/>
      <c r="X81" s="17"/>
      <c r="Y81" s="17"/>
      <c r="Z81" s="17"/>
      <c r="AA81" s="17"/>
    </row>
    <row r="82" ht="15.75" customHeight="1">
      <c r="A82" s="17"/>
      <c r="B82" s="17"/>
      <c r="C82" s="17"/>
      <c r="D82" s="17"/>
      <c r="E82" s="17"/>
      <c r="F82" s="17"/>
      <c r="G82" s="17"/>
      <c r="H82" s="17"/>
      <c r="I82" s="17"/>
      <c r="J82" s="17"/>
      <c r="K82" s="17"/>
      <c r="L82" s="17"/>
      <c r="M82" s="17"/>
      <c r="N82" s="58"/>
      <c r="O82" s="42"/>
      <c r="P82" s="17"/>
      <c r="Q82" s="17"/>
      <c r="R82" s="17"/>
      <c r="S82" s="17"/>
      <c r="T82" s="17"/>
      <c r="U82" s="17"/>
      <c r="V82" s="17"/>
      <c r="W82" s="17"/>
      <c r="X82" s="17"/>
      <c r="Y82" s="17"/>
      <c r="Z82" s="17"/>
      <c r="AA82" s="17"/>
    </row>
    <row r="83" ht="13.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ht="15.0"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ht="15.75" customHeight="1">
      <c r="A94" s="17"/>
      <c r="B94" s="30"/>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mergeCells count="57">
    <mergeCell ref="B26:H30"/>
    <mergeCell ref="B31:H35"/>
    <mergeCell ref="C37:D37"/>
    <mergeCell ref="E37:F37"/>
    <mergeCell ref="C38:C40"/>
    <mergeCell ref="D38:D40"/>
    <mergeCell ref="E38:E40"/>
    <mergeCell ref="F38:F40"/>
    <mergeCell ref="B47:H50"/>
    <mergeCell ref="B51:H56"/>
    <mergeCell ref="B58:H58"/>
    <mergeCell ref="B64:H64"/>
    <mergeCell ref="B65:H65"/>
    <mergeCell ref="B66:H66"/>
    <mergeCell ref="E1:F1"/>
    <mergeCell ref="E2:F2"/>
    <mergeCell ref="E3:F3"/>
    <mergeCell ref="B4:F4"/>
    <mergeCell ref="G4:H4"/>
    <mergeCell ref="B5:H12"/>
    <mergeCell ref="B13:H18"/>
    <mergeCell ref="B19:H21"/>
    <mergeCell ref="B22:H25"/>
    <mergeCell ref="K26:L26"/>
    <mergeCell ref="K27:L27"/>
    <mergeCell ref="K28:L28"/>
    <mergeCell ref="K29:L29"/>
    <mergeCell ref="K30:L30"/>
    <mergeCell ref="K32:L32"/>
    <mergeCell ref="K33:L33"/>
    <mergeCell ref="K34:L34"/>
    <mergeCell ref="K35:L35"/>
    <mergeCell ref="K36:L36"/>
    <mergeCell ref="K37:L37"/>
    <mergeCell ref="K38:L38"/>
    <mergeCell ref="K46:L46"/>
    <mergeCell ref="K47:L47"/>
    <mergeCell ref="M47:N47"/>
    <mergeCell ref="K49:L49"/>
    <mergeCell ref="K50:L50"/>
    <mergeCell ref="M50:N50"/>
    <mergeCell ref="K51:L51"/>
    <mergeCell ref="M51:N51"/>
    <mergeCell ref="K56:L56"/>
    <mergeCell ref="M56:N56"/>
    <mergeCell ref="K39:L39"/>
    <mergeCell ref="K40:L40"/>
    <mergeCell ref="K41:L41"/>
    <mergeCell ref="K42:L42"/>
    <mergeCell ref="K43:L43"/>
    <mergeCell ref="K44:L44"/>
    <mergeCell ref="K45:L45"/>
    <mergeCell ref="B67:H67"/>
    <mergeCell ref="B68:H68"/>
    <mergeCell ref="B69:H70"/>
    <mergeCell ref="B71:H71"/>
    <mergeCell ref="B72:H7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7" width="11.0"/>
  </cols>
  <sheetData>
    <row r="1" ht="14.25" customHeight="1">
      <c r="A1" s="199" t="str">
        <f>'Modèle'!C1</f>
        <v>FALICOFF</v>
      </c>
      <c r="B1" s="200" t="str">
        <f>'Modèle'!E1</f>
        <v>Maximiliano</v>
      </c>
      <c r="C1" s="201">
        <f>'Modèle'!H1</f>
        <v>2013658</v>
      </c>
      <c r="D1" s="201">
        <f>'Modèle'!J1</f>
        <v>6</v>
      </c>
      <c r="E1" s="202">
        <f>'Modèle'!L21</f>
        <v>327000</v>
      </c>
      <c r="F1" s="202">
        <f>'Modèle'!L22</f>
        <v>302421.9512</v>
      </c>
      <c r="G1" s="202">
        <f>'Modèle'!L23</f>
        <v>775778.0488</v>
      </c>
      <c r="H1" s="203">
        <f>'Modèle'!M21</f>
        <v>11680</v>
      </c>
      <c r="I1" s="203">
        <f>'Modèle'!M22</f>
        <v>120000</v>
      </c>
      <c r="J1" s="203">
        <f>'Modèle'!M23</f>
        <v>982732.422</v>
      </c>
      <c r="K1" s="202">
        <f>'Modèle'!S23</f>
        <v>246200</v>
      </c>
      <c r="L1" s="202">
        <f>'Modèle'!T23</f>
        <v>181800</v>
      </c>
      <c r="M1" s="202">
        <f>'Modèle'!N44</f>
        <v>-1425200</v>
      </c>
      <c r="N1" s="202">
        <f>'Modèle'!O44</f>
        <v>246200</v>
      </c>
      <c r="O1" s="202">
        <f>'Modèle'!P44</f>
        <v>246200</v>
      </c>
      <c r="P1" s="202">
        <f>'Modèle'!Q44</f>
        <v>246200</v>
      </c>
      <c r="Q1" s="202">
        <f>'Modèle'!R44</f>
        <v>216200</v>
      </c>
      <c r="R1" s="202">
        <f>'Modèle'!S44</f>
        <v>181800</v>
      </c>
      <c r="S1" s="202">
        <f>'Modèle'!T44</f>
        <v>181800</v>
      </c>
      <c r="T1" s="202">
        <f>'Modèle'!U44</f>
        <v>181800</v>
      </c>
      <c r="U1" s="202">
        <f>'Modèle'!V44</f>
        <v>1346212.422</v>
      </c>
      <c r="V1" s="204">
        <f>'Modèle'!N45</f>
        <v>1</v>
      </c>
      <c r="W1" s="204">
        <f>'Modèle'!O45</f>
        <v>0.9174</v>
      </c>
      <c r="X1" s="204">
        <f>'Modèle'!P45</f>
        <v>0.8417</v>
      </c>
      <c r="Y1" s="204">
        <f>'Modèle'!Q45</f>
        <v>0.7722</v>
      </c>
      <c r="Z1" s="204">
        <f>'Modèle'!R45</f>
        <v>0.7084</v>
      </c>
      <c r="AA1" s="204">
        <f>'Modèle'!S45</f>
        <v>0.6499</v>
      </c>
      <c r="AB1" s="204">
        <f>'Modèle'!T45</f>
        <v>0.5963</v>
      </c>
      <c r="AC1" s="204">
        <f>'Modèle'!U45</f>
        <v>0.547</v>
      </c>
      <c r="AD1" s="204">
        <f>'Modèle'!V45</f>
        <v>0.5019</v>
      </c>
      <c r="AE1" s="202">
        <f>'Modèle'!M47</f>
        <v>352829.9146</v>
      </c>
      <c r="AF1" s="203">
        <f>'Modèle'!M51</f>
        <v>58851.60708</v>
      </c>
      <c r="AG1" s="205">
        <f>'Modèle'!M56</f>
        <v>1.243927714</v>
      </c>
      <c r="AH1" s="206">
        <f>'Modèle'!O64</f>
        <v>0.04530007628</v>
      </c>
      <c r="AI1" s="207">
        <f>'Modèle'!Q61</f>
        <v>7</v>
      </c>
      <c r="AJ1" s="208">
        <f>'Modèle'!R61</f>
        <v>170.6655128</v>
      </c>
      <c r="AK1" s="206">
        <f>'Modèle'!W77</f>
        <v>0.1064727827</v>
      </c>
    </row>
    <row r="2" ht="14.25" customHeight="1">
      <c r="A2" s="199" t="str">
        <f>'Modèle'!C2</f>
        <v>SIMARD</v>
      </c>
      <c r="B2" s="200" t="str">
        <f>'Modèle'!E2</f>
        <v>Samuel</v>
      </c>
      <c r="C2" s="201">
        <f>'Modèle'!H2</f>
        <v>2025123</v>
      </c>
      <c r="D2" s="201">
        <f>'Modèle'!J2</f>
        <v>6</v>
      </c>
      <c r="E2" s="202">
        <f t="shared" ref="E2:AK2" si="1">E1</f>
        <v>327000</v>
      </c>
      <c r="F2" s="202">
        <f t="shared" si="1"/>
        <v>302421.9512</v>
      </c>
      <c r="G2" s="202">
        <f t="shared" si="1"/>
        <v>775778.0488</v>
      </c>
      <c r="H2" s="203">
        <f t="shared" si="1"/>
        <v>11680</v>
      </c>
      <c r="I2" s="203">
        <f t="shared" si="1"/>
        <v>120000</v>
      </c>
      <c r="J2" s="203">
        <f t="shared" si="1"/>
        <v>982732.422</v>
      </c>
      <c r="K2" s="202">
        <f t="shared" si="1"/>
        <v>246200</v>
      </c>
      <c r="L2" s="202">
        <f t="shared" si="1"/>
        <v>181800</v>
      </c>
      <c r="M2" s="202">
        <f t="shared" si="1"/>
        <v>-1425200</v>
      </c>
      <c r="N2" s="202">
        <f t="shared" si="1"/>
        <v>246200</v>
      </c>
      <c r="O2" s="202">
        <f t="shared" si="1"/>
        <v>246200</v>
      </c>
      <c r="P2" s="202">
        <f t="shared" si="1"/>
        <v>246200</v>
      </c>
      <c r="Q2" s="202">
        <f t="shared" si="1"/>
        <v>216200</v>
      </c>
      <c r="R2" s="202">
        <f t="shared" si="1"/>
        <v>181800</v>
      </c>
      <c r="S2" s="202">
        <f t="shared" si="1"/>
        <v>181800</v>
      </c>
      <c r="T2" s="202">
        <f t="shared" si="1"/>
        <v>181800</v>
      </c>
      <c r="U2" s="202">
        <f t="shared" si="1"/>
        <v>1346212.422</v>
      </c>
      <c r="V2" s="204">
        <f t="shared" si="1"/>
        <v>1</v>
      </c>
      <c r="W2" s="204">
        <f t="shared" si="1"/>
        <v>0.9174</v>
      </c>
      <c r="X2" s="204">
        <f t="shared" si="1"/>
        <v>0.8417</v>
      </c>
      <c r="Y2" s="204">
        <f t="shared" si="1"/>
        <v>0.7722</v>
      </c>
      <c r="Z2" s="204">
        <f t="shared" si="1"/>
        <v>0.7084</v>
      </c>
      <c r="AA2" s="204">
        <f t="shared" si="1"/>
        <v>0.6499</v>
      </c>
      <c r="AB2" s="204">
        <f t="shared" si="1"/>
        <v>0.5963</v>
      </c>
      <c r="AC2" s="204">
        <f t="shared" si="1"/>
        <v>0.547</v>
      </c>
      <c r="AD2" s="204">
        <f t="shared" si="1"/>
        <v>0.5019</v>
      </c>
      <c r="AE2" s="202">
        <f t="shared" si="1"/>
        <v>352829.9146</v>
      </c>
      <c r="AF2" s="203">
        <f t="shared" si="1"/>
        <v>58851.60708</v>
      </c>
      <c r="AG2" s="205">
        <f t="shared" si="1"/>
        <v>1.243927714</v>
      </c>
      <c r="AH2" s="209">
        <f t="shared" si="1"/>
        <v>0.04530007628</v>
      </c>
      <c r="AI2" s="207">
        <f t="shared" si="1"/>
        <v>7</v>
      </c>
      <c r="AJ2" s="208">
        <f t="shared" si="1"/>
        <v>170.6655128</v>
      </c>
      <c r="AK2" s="209">
        <f t="shared" si="1"/>
        <v>0.1064727827</v>
      </c>
    </row>
    <row r="3" ht="14.25" customHeight="1">
      <c r="A3" s="199" t="str">
        <f>'Modèle'!C3</f>
        <v>MITRI</v>
      </c>
      <c r="B3" s="200" t="str">
        <f>'Modèle'!E3</f>
        <v>ELIE</v>
      </c>
      <c r="C3" s="201">
        <f>'Modèle'!H3</f>
        <v>1744525</v>
      </c>
      <c r="D3" s="201">
        <f>'Modèle'!J3</f>
        <v>5</v>
      </c>
      <c r="E3" s="202">
        <f t="shared" ref="E3:AK3" si="2">E2</f>
        <v>327000</v>
      </c>
      <c r="F3" s="202">
        <f t="shared" si="2"/>
        <v>302421.9512</v>
      </c>
      <c r="G3" s="202">
        <f t="shared" si="2"/>
        <v>775778.0488</v>
      </c>
      <c r="H3" s="203">
        <f t="shared" si="2"/>
        <v>11680</v>
      </c>
      <c r="I3" s="203">
        <f t="shared" si="2"/>
        <v>120000</v>
      </c>
      <c r="J3" s="203">
        <f t="shared" si="2"/>
        <v>982732.422</v>
      </c>
      <c r="K3" s="202">
        <f t="shared" si="2"/>
        <v>246200</v>
      </c>
      <c r="L3" s="202">
        <f t="shared" si="2"/>
        <v>181800</v>
      </c>
      <c r="M3" s="202">
        <f t="shared" si="2"/>
        <v>-1425200</v>
      </c>
      <c r="N3" s="202">
        <f t="shared" si="2"/>
        <v>246200</v>
      </c>
      <c r="O3" s="202">
        <f t="shared" si="2"/>
        <v>246200</v>
      </c>
      <c r="P3" s="202">
        <f t="shared" si="2"/>
        <v>246200</v>
      </c>
      <c r="Q3" s="202">
        <f t="shared" si="2"/>
        <v>216200</v>
      </c>
      <c r="R3" s="202">
        <f t="shared" si="2"/>
        <v>181800</v>
      </c>
      <c r="S3" s="202">
        <f t="shared" si="2"/>
        <v>181800</v>
      </c>
      <c r="T3" s="202">
        <f t="shared" si="2"/>
        <v>181800</v>
      </c>
      <c r="U3" s="202">
        <f t="shared" si="2"/>
        <v>1346212.422</v>
      </c>
      <c r="V3" s="204">
        <f t="shared" si="2"/>
        <v>1</v>
      </c>
      <c r="W3" s="204">
        <f t="shared" si="2"/>
        <v>0.9174</v>
      </c>
      <c r="X3" s="204">
        <f t="shared" si="2"/>
        <v>0.8417</v>
      </c>
      <c r="Y3" s="204">
        <f t="shared" si="2"/>
        <v>0.7722</v>
      </c>
      <c r="Z3" s="204">
        <f t="shared" si="2"/>
        <v>0.7084</v>
      </c>
      <c r="AA3" s="204">
        <f t="shared" si="2"/>
        <v>0.6499</v>
      </c>
      <c r="AB3" s="204">
        <f t="shared" si="2"/>
        <v>0.5963</v>
      </c>
      <c r="AC3" s="204">
        <f t="shared" si="2"/>
        <v>0.547</v>
      </c>
      <c r="AD3" s="204">
        <f t="shared" si="2"/>
        <v>0.5019</v>
      </c>
      <c r="AE3" s="202">
        <f t="shared" si="2"/>
        <v>352829.9146</v>
      </c>
      <c r="AF3" s="203">
        <f t="shared" si="2"/>
        <v>58851.60708</v>
      </c>
      <c r="AG3" s="205">
        <f t="shared" si="2"/>
        <v>1.243927714</v>
      </c>
      <c r="AH3" s="209">
        <f t="shared" si="2"/>
        <v>0.04530007628</v>
      </c>
      <c r="AI3" s="207">
        <f t="shared" si="2"/>
        <v>7</v>
      </c>
      <c r="AJ3" s="208">
        <f t="shared" si="2"/>
        <v>170.6655128</v>
      </c>
      <c r="AK3" s="209">
        <f t="shared" si="2"/>
        <v>0.1064727827</v>
      </c>
    </row>
    <row r="4" ht="14.25" customHeight="1">
      <c r="A4" s="199"/>
      <c r="B4" s="200"/>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2020-03-12T19:48:50Z</dcterms:created>
  <dc:creator>Anas Ramdani</dc:creator>
</cp:coreProperties>
</file>