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filestore\m\MJF74\Documents\thesis\mof release figure\"/>
    </mc:Choice>
  </mc:AlternateContent>
  <bookViews>
    <workbookView xWindow="0" yWindow="0" windowWidth="28575" windowHeight="16500" activeTab="1"/>
  </bookViews>
  <sheets>
    <sheet name="End point" sheetId="1" r:id="rId1"/>
    <sheet name="Error Calcs" sheetId="3" r:id="rId2"/>
  </sheets>
  <externalReferences>
    <externalReference r:id="rId3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3" l="1"/>
  <c r="E38" i="3"/>
  <c r="K38" i="3"/>
  <c r="Q38" i="3"/>
  <c r="S9" i="3"/>
  <c r="E39" i="3"/>
  <c r="K39" i="3"/>
  <c r="Q39" i="3"/>
  <c r="S10" i="3"/>
  <c r="E40" i="3"/>
  <c r="K40" i="3"/>
  <c r="Q40" i="3"/>
  <c r="S11" i="3"/>
  <c r="E41" i="3"/>
  <c r="K41" i="3"/>
  <c r="Q41" i="3"/>
  <c r="S12" i="3"/>
  <c r="E42" i="3"/>
  <c r="K42" i="3"/>
  <c r="Q42" i="3"/>
  <c r="S13" i="3"/>
  <c r="E43" i="3"/>
  <c r="K43" i="3"/>
  <c r="Q43" i="3"/>
  <c r="S14" i="3"/>
  <c r="E44" i="3"/>
  <c r="K44" i="3"/>
  <c r="Q44" i="3"/>
  <c r="S15" i="3"/>
  <c r="E45" i="3"/>
  <c r="K45" i="3"/>
  <c r="Q45" i="3"/>
  <c r="S16" i="3"/>
  <c r="E46" i="3"/>
  <c r="K46" i="3"/>
  <c r="Q46" i="3"/>
  <c r="S17" i="3"/>
  <c r="E47" i="3"/>
  <c r="K47" i="3"/>
  <c r="Q47" i="3"/>
  <c r="S18" i="3"/>
  <c r="E48" i="3"/>
  <c r="K48" i="3"/>
  <c r="Q48" i="3"/>
  <c r="S19" i="3"/>
  <c r="E49" i="3"/>
  <c r="K49" i="3"/>
  <c r="Q49" i="3"/>
  <c r="S20" i="3"/>
  <c r="E50" i="3"/>
  <c r="K50" i="3"/>
  <c r="Q50" i="3"/>
  <c r="S21" i="3"/>
  <c r="E51" i="3"/>
  <c r="K51" i="3"/>
  <c r="Q51" i="3"/>
  <c r="S22" i="3"/>
  <c r="E52" i="3"/>
  <c r="K52" i="3"/>
  <c r="Q52" i="3"/>
  <c r="S23" i="3"/>
  <c r="E53" i="3"/>
  <c r="K53" i="3"/>
  <c r="Q53" i="3"/>
  <c r="S24" i="3"/>
  <c r="E54" i="3"/>
  <c r="K54" i="3"/>
  <c r="Q54" i="3"/>
  <c r="S25" i="3"/>
  <c r="E55" i="3"/>
  <c r="K55" i="3"/>
  <c r="Q55" i="3"/>
  <c r="S26" i="3"/>
  <c r="E56" i="3"/>
  <c r="K56" i="3"/>
  <c r="Q56" i="3"/>
  <c r="S27" i="3"/>
  <c r="E57" i="3"/>
  <c r="K57" i="3"/>
  <c r="Q57" i="3"/>
  <c r="Q59" i="3"/>
  <c r="AF73" i="3"/>
  <c r="AG73" i="3"/>
  <c r="AH73" i="3"/>
  <c r="AI73" i="3"/>
  <c r="AJ73" i="3"/>
  <c r="AK73" i="3"/>
  <c r="AE64" i="3"/>
  <c r="AF64" i="3"/>
  <c r="AL73" i="3"/>
  <c r="AF70" i="3"/>
  <c r="AG70" i="3"/>
  <c r="AH70" i="3"/>
  <c r="AI70" i="3"/>
  <c r="AJ70" i="3"/>
  <c r="AK70" i="3"/>
  <c r="AL70" i="3"/>
  <c r="AM73" i="3"/>
  <c r="AN73" i="3"/>
  <c r="AO73" i="3"/>
  <c r="AM70" i="3"/>
  <c r="AN70" i="3"/>
  <c r="AO70" i="3"/>
  <c r="AE65" i="3"/>
  <c r="Q8" i="3"/>
  <c r="C38" i="3"/>
  <c r="I38" i="3"/>
  <c r="O38" i="3"/>
  <c r="Q9" i="3"/>
  <c r="C39" i="3"/>
  <c r="I39" i="3"/>
  <c r="O39" i="3"/>
  <c r="Q10" i="3"/>
  <c r="C40" i="3"/>
  <c r="I40" i="3"/>
  <c r="O40" i="3"/>
  <c r="Q11" i="3"/>
  <c r="C41" i="3"/>
  <c r="I41" i="3"/>
  <c r="O41" i="3"/>
  <c r="Q12" i="3"/>
  <c r="C42" i="3"/>
  <c r="I42" i="3"/>
  <c r="O42" i="3"/>
  <c r="Q13" i="3"/>
  <c r="C43" i="3"/>
  <c r="I43" i="3"/>
  <c r="O43" i="3"/>
  <c r="Q14" i="3"/>
  <c r="C44" i="3"/>
  <c r="I44" i="3"/>
  <c r="O44" i="3"/>
  <c r="Q15" i="3"/>
  <c r="C45" i="3"/>
  <c r="I45" i="3"/>
  <c r="O45" i="3"/>
  <c r="Q16" i="3"/>
  <c r="C46" i="3"/>
  <c r="I46" i="3"/>
  <c r="O46" i="3"/>
  <c r="Q17" i="3"/>
  <c r="C47" i="3"/>
  <c r="I47" i="3"/>
  <c r="O47" i="3"/>
  <c r="Q18" i="3"/>
  <c r="C48" i="3"/>
  <c r="I48" i="3"/>
  <c r="O48" i="3"/>
  <c r="Q19" i="3"/>
  <c r="C49" i="3"/>
  <c r="I49" i="3"/>
  <c r="O49" i="3"/>
  <c r="Q20" i="3"/>
  <c r="C50" i="3"/>
  <c r="I50" i="3"/>
  <c r="O50" i="3"/>
  <c r="Q21" i="3"/>
  <c r="C51" i="3"/>
  <c r="I51" i="3"/>
  <c r="O51" i="3"/>
  <c r="Q22" i="3"/>
  <c r="C52" i="3"/>
  <c r="I52" i="3"/>
  <c r="O52" i="3"/>
  <c r="Q23" i="3"/>
  <c r="C53" i="3"/>
  <c r="I53" i="3"/>
  <c r="O53" i="3"/>
  <c r="Q24" i="3"/>
  <c r="C54" i="3"/>
  <c r="I54" i="3"/>
  <c r="O54" i="3"/>
  <c r="Q25" i="3"/>
  <c r="C55" i="3"/>
  <c r="I55" i="3"/>
  <c r="O55" i="3"/>
  <c r="Q26" i="3"/>
  <c r="C56" i="3"/>
  <c r="I56" i="3"/>
  <c r="O56" i="3"/>
  <c r="Q27" i="3"/>
  <c r="C57" i="3"/>
  <c r="I57" i="3"/>
  <c r="O57" i="3"/>
  <c r="O59" i="3"/>
  <c r="R8" i="3"/>
  <c r="D38" i="3"/>
  <c r="J38" i="3"/>
  <c r="P38" i="3"/>
  <c r="R9" i="3"/>
  <c r="D39" i="3"/>
  <c r="J39" i="3"/>
  <c r="P39" i="3"/>
  <c r="R10" i="3"/>
  <c r="D40" i="3"/>
  <c r="J40" i="3"/>
  <c r="P40" i="3"/>
  <c r="R11" i="3"/>
  <c r="D41" i="3"/>
  <c r="J41" i="3"/>
  <c r="P41" i="3"/>
  <c r="R12" i="3"/>
  <c r="D42" i="3"/>
  <c r="J42" i="3"/>
  <c r="P42" i="3"/>
  <c r="R13" i="3"/>
  <c r="D43" i="3"/>
  <c r="J43" i="3"/>
  <c r="P43" i="3"/>
  <c r="R14" i="3"/>
  <c r="D44" i="3"/>
  <c r="J44" i="3"/>
  <c r="P44" i="3"/>
  <c r="R15" i="3"/>
  <c r="D45" i="3"/>
  <c r="J45" i="3"/>
  <c r="P45" i="3"/>
  <c r="R16" i="3"/>
  <c r="D46" i="3"/>
  <c r="J46" i="3"/>
  <c r="P46" i="3"/>
  <c r="R17" i="3"/>
  <c r="D47" i="3"/>
  <c r="J47" i="3"/>
  <c r="P47" i="3"/>
  <c r="R18" i="3"/>
  <c r="D48" i="3"/>
  <c r="J48" i="3"/>
  <c r="P48" i="3"/>
  <c r="R19" i="3"/>
  <c r="D49" i="3"/>
  <c r="J49" i="3"/>
  <c r="P49" i="3"/>
  <c r="R20" i="3"/>
  <c r="D50" i="3"/>
  <c r="J50" i="3"/>
  <c r="P50" i="3"/>
  <c r="R21" i="3"/>
  <c r="D51" i="3"/>
  <c r="J51" i="3"/>
  <c r="P51" i="3"/>
  <c r="R22" i="3"/>
  <c r="D52" i="3"/>
  <c r="J52" i="3"/>
  <c r="P52" i="3"/>
  <c r="R23" i="3"/>
  <c r="D53" i="3"/>
  <c r="J53" i="3"/>
  <c r="P53" i="3"/>
  <c r="R24" i="3"/>
  <c r="D54" i="3"/>
  <c r="J54" i="3"/>
  <c r="P54" i="3"/>
  <c r="R25" i="3"/>
  <c r="D55" i="3"/>
  <c r="J55" i="3"/>
  <c r="P55" i="3"/>
  <c r="R26" i="3"/>
  <c r="D56" i="3"/>
  <c r="J56" i="3"/>
  <c r="P56" i="3"/>
  <c r="R27" i="3"/>
  <c r="D57" i="3"/>
  <c r="J57" i="3"/>
  <c r="P57" i="3"/>
  <c r="P59" i="3"/>
  <c r="T8" i="3"/>
  <c r="F38" i="3"/>
  <c r="L38" i="3"/>
  <c r="R38" i="3"/>
  <c r="T9" i="3"/>
  <c r="F39" i="3"/>
  <c r="L39" i="3"/>
  <c r="R39" i="3"/>
  <c r="T10" i="3"/>
  <c r="F40" i="3"/>
  <c r="L40" i="3"/>
  <c r="R40" i="3"/>
  <c r="T11" i="3"/>
  <c r="F41" i="3"/>
  <c r="L41" i="3"/>
  <c r="R41" i="3"/>
  <c r="T12" i="3"/>
  <c r="F42" i="3"/>
  <c r="L42" i="3"/>
  <c r="R42" i="3"/>
  <c r="T13" i="3"/>
  <c r="F43" i="3"/>
  <c r="L43" i="3"/>
  <c r="R43" i="3"/>
  <c r="T14" i="3"/>
  <c r="F44" i="3"/>
  <c r="L44" i="3"/>
  <c r="R44" i="3"/>
  <c r="T15" i="3"/>
  <c r="F45" i="3"/>
  <c r="L45" i="3"/>
  <c r="R45" i="3"/>
  <c r="T16" i="3"/>
  <c r="F46" i="3"/>
  <c r="L46" i="3"/>
  <c r="R46" i="3"/>
  <c r="T17" i="3"/>
  <c r="F47" i="3"/>
  <c r="L47" i="3"/>
  <c r="R47" i="3"/>
  <c r="T18" i="3"/>
  <c r="F48" i="3"/>
  <c r="L48" i="3"/>
  <c r="R48" i="3"/>
  <c r="T19" i="3"/>
  <c r="F49" i="3"/>
  <c r="L49" i="3"/>
  <c r="R49" i="3"/>
  <c r="T20" i="3"/>
  <c r="F50" i="3"/>
  <c r="L50" i="3"/>
  <c r="R50" i="3"/>
  <c r="T21" i="3"/>
  <c r="F51" i="3"/>
  <c r="L51" i="3"/>
  <c r="R51" i="3"/>
  <c r="T22" i="3"/>
  <c r="F52" i="3"/>
  <c r="L52" i="3"/>
  <c r="R52" i="3"/>
  <c r="T23" i="3"/>
  <c r="F53" i="3"/>
  <c r="L53" i="3"/>
  <c r="R53" i="3"/>
  <c r="T24" i="3"/>
  <c r="F54" i="3"/>
  <c r="L54" i="3"/>
  <c r="R54" i="3"/>
  <c r="T25" i="3"/>
  <c r="F55" i="3"/>
  <c r="L55" i="3"/>
  <c r="R55" i="3"/>
  <c r="T26" i="3"/>
  <c r="F56" i="3"/>
  <c r="L56" i="3"/>
  <c r="R56" i="3"/>
  <c r="T27" i="3"/>
  <c r="F57" i="3"/>
  <c r="L57" i="3"/>
  <c r="R57" i="3"/>
  <c r="R59" i="3"/>
  <c r="U8" i="3"/>
  <c r="G38" i="3"/>
  <c r="M38" i="3"/>
  <c r="S38" i="3"/>
  <c r="U9" i="3"/>
  <c r="G39" i="3"/>
  <c r="M39" i="3"/>
  <c r="S39" i="3"/>
  <c r="U10" i="3"/>
  <c r="G40" i="3"/>
  <c r="M40" i="3"/>
  <c r="S40" i="3"/>
  <c r="U11" i="3"/>
  <c r="G41" i="3"/>
  <c r="M41" i="3"/>
  <c r="S41" i="3"/>
  <c r="U12" i="3"/>
  <c r="G42" i="3"/>
  <c r="M42" i="3"/>
  <c r="S42" i="3"/>
  <c r="U13" i="3"/>
  <c r="G43" i="3"/>
  <c r="M43" i="3"/>
  <c r="S43" i="3"/>
  <c r="U14" i="3"/>
  <c r="G44" i="3"/>
  <c r="M44" i="3"/>
  <c r="S44" i="3"/>
  <c r="U15" i="3"/>
  <c r="G45" i="3"/>
  <c r="M45" i="3"/>
  <c r="S45" i="3"/>
  <c r="U16" i="3"/>
  <c r="G46" i="3"/>
  <c r="M46" i="3"/>
  <c r="S46" i="3"/>
  <c r="U17" i="3"/>
  <c r="G47" i="3"/>
  <c r="M47" i="3"/>
  <c r="S47" i="3"/>
  <c r="U18" i="3"/>
  <c r="G48" i="3"/>
  <c r="M48" i="3"/>
  <c r="S48" i="3"/>
  <c r="U19" i="3"/>
  <c r="G49" i="3"/>
  <c r="M49" i="3"/>
  <c r="S49" i="3"/>
  <c r="U20" i="3"/>
  <c r="G50" i="3"/>
  <c r="M50" i="3"/>
  <c r="S50" i="3"/>
  <c r="U21" i="3"/>
  <c r="G51" i="3"/>
  <c r="M51" i="3"/>
  <c r="S51" i="3"/>
  <c r="U22" i="3"/>
  <c r="G52" i="3"/>
  <c r="M52" i="3"/>
  <c r="S52" i="3"/>
  <c r="U23" i="3"/>
  <c r="G53" i="3"/>
  <c r="M53" i="3"/>
  <c r="S53" i="3"/>
  <c r="U24" i="3"/>
  <c r="G54" i="3"/>
  <c r="M54" i="3"/>
  <c r="S54" i="3"/>
  <c r="U25" i="3"/>
  <c r="G55" i="3"/>
  <c r="M55" i="3"/>
  <c r="S55" i="3"/>
  <c r="U26" i="3"/>
  <c r="G56" i="3"/>
  <c r="M56" i="3"/>
  <c r="S56" i="3"/>
  <c r="U27" i="3"/>
  <c r="G57" i="3"/>
  <c r="M57" i="3"/>
  <c r="S57" i="3"/>
  <c r="S59" i="3"/>
  <c r="P8" i="3"/>
  <c r="B38" i="3"/>
  <c r="H38" i="3"/>
  <c r="N38" i="3"/>
  <c r="P9" i="3"/>
  <c r="B39" i="3"/>
  <c r="H39" i="3"/>
  <c r="N39" i="3"/>
  <c r="P10" i="3"/>
  <c r="B40" i="3"/>
  <c r="H40" i="3"/>
  <c r="N40" i="3"/>
  <c r="P11" i="3"/>
  <c r="B41" i="3"/>
  <c r="H41" i="3"/>
  <c r="N41" i="3"/>
  <c r="P12" i="3"/>
  <c r="B42" i="3"/>
  <c r="H42" i="3"/>
  <c r="N42" i="3"/>
  <c r="P13" i="3"/>
  <c r="B43" i="3"/>
  <c r="H43" i="3"/>
  <c r="N43" i="3"/>
  <c r="P14" i="3"/>
  <c r="B44" i="3"/>
  <c r="H44" i="3"/>
  <c r="N44" i="3"/>
  <c r="P15" i="3"/>
  <c r="B45" i="3"/>
  <c r="H45" i="3"/>
  <c r="N45" i="3"/>
  <c r="P16" i="3"/>
  <c r="B46" i="3"/>
  <c r="H46" i="3"/>
  <c r="N46" i="3"/>
  <c r="P17" i="3"/>
  <c r="B47" i="3"/>
  <c r="H47" i="3"/>
  <c r="N47" i="3"/>
  <c r="P18" i="3"/>
  <c r="B48" i="3"/>
  <c r="H48" i="3"/>
  <c r="N48" i="3"/>
  <c r="P19" i="3"/>
  <c r="B49" i="3"/>
  <c r="H49" i="3"/>
  <c r="N49" i="3"/>
  <c r="P20" i="3"/>
  <c r="B50" i="3"/>
  <c r="H50" i="3"/>
  <c r="N50" i="3"/>
  <c r="P21" i="3"/>
  <c r="B51" i="3"/>
  <c r="H51" i="3"/>
  <c r="N51" i="3"/>
  <c r="P22" i="3"/>
  <c r="B52" i="3"/>
  <c r="H52" i="3"/>
  <c r="N52" i="3"/>
  <c r="P23" i="3"/>
  <c r="B53" i="3"/>
  <c r="H53" i="3"/>
  <c r="N53" i="3"/>
  <c r="P24" i="3"/>
  <c r="B54" i="3"/>
  <c r="H54" i="3"/>
  <c r="N54" i="3"/>
  <c r="P25" i="3"/>
  <c r="B55" i="3"/>
  <c r="H55" i="3"/>
  <c r="N55" i="3"/>
  <c r="P26" i="3"/>
  <c r="B56" i="3"/>
  <c r="H56" i="3"/>
  <c r="N56" i="3"/>
  <c r="P27" i="3"/>
  <c r="B57" i="3"/>
  <c r="H57" i="3"/>
  <c r="N57" i="3"/>
  <c r="N59" i="3"/>
  <c r="P7" i="3"/>
  <c r="B37" i="3"/>
  <c r="H37" i="3"/>
  <c r="N37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P76" i="3"/>
  <c r="Q7" i="3"/>
  <c r="C37" i="3"/>
  <c r="I37" i="3"/>
  <c r="O37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P101" i="3"/>
  <c r="R7" i="3"/>
  <c r="D37" i="3"/>
  <c r="J37" i="3"/>
  <c r="P37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P126" i="3"/>
  <c r="P150" i="3"/>
  <c r="P77" i="3"/>
  <c r="P102" i="3"/>
  <c r="P127" i="3"/>
  <c r="P151" i="3"/>
  <c r="P78" i="3"/>
  <c r="P103" i="3"/>
  <c r="P128" i="3"/>
  <c r="P152" i="3"/>
  <c r="P79" i="3"/>
  <c r="P104" i="3"/>
  <c r="P129" i="3"/>
  <c r="P153" i="3"/>
  <c r="P80" i="3"/>
  <c r="P105" i="3"/>
  <c r="P130" i="3"/>
  <c r="P154" i="3"/>
  <c r="P81" i="3"/>
  <c r="P106" i="3"/>
  <c r="P131" i="3"/>
  <c r="P155" i="3"/>
  <c r="P82" i="3"/>
  <c r="P107" i="3"/>
  <c r="P132" i="3"/>
  <c r="P156" i="3"/>
  <c r="P83" i="3"/>
  <c r="P108" i="3"/>
  <c r="P133" i="3"/>
  <c r="P157" i="3"/>
  <c r="P84" i="3"/>
  <c r="P109" i="3"/>
  <c r="P134" i="3"/>
  <c r="P158" i="3"/>
  <c r="P85" i="3"/>
  <c r="P110" i="3"/>
  <c r="P135" i="3"/>
  <c r="P159" i="3"/>
  <c r="P86" i="3"/>
  <c r="P111" i="3"/>
  <c r="P136" i="3"/>
  <c r="P160" i="3"/>
  <c r="P87" i="3"/>
  <c r="P112" i="3"/>
  <c r="P137" i="3"/>
  <c r="P161" i="3"/>
  <c r="P88" i="3"/>
  <c r="P113" i="3"/>
  <c r="P138" i="3"/>
  <c r="P162" i="3"/>
  <c r="P89" i="3"/>
  <c r="P114" i="3"/>
  <c r="P139" i="3"/>
  <c r="P163" i="3"/>
  <c r="P90" i="3"/>
  <c r="P115" i="3"/>
  <c r="P140" i="3"/>
  <c r="P164" i="3"/>
  <c r="P91" i="3"/>
  <c r="P116" i="3"/>
  <c r="P141" i="3"/>
  <c r="P165" i="3"/>
  <c r="P92" i="3"/>
  <c r="P117" i="3"/>
  <c r="P142" i="3"/>
  <c r="P166" i="3"/>
  <c r="P93" i="3"/>
  <c r="P118" i="3"/>
  <c r="P143" i="3"/>
  <c r="P167" i="3"/>
  <c r="P94" i="3"/>
  <c r="P119" i="3"/>
  <c r="P144" i="3"/>
  <c r="P168" i="3"/>
  <c r="P95" i="3"/>
  <c r="P120" i="3"/>
  <c r="P145" i="3"/>
  <c r="P169" i="3"/>
  <c r="Q76" i="3"/>
  <c r="Q77" i="3"/>
  <c r="Q101" i="3"/>
  <c r="Q102" i="3"/>
  <c r="Q126" i="3"/>
  <c r="Q127" i="3"/>
  <c r="Q151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69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R16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P8" i="1"/>
  <c r="B38" i="1"/>
  <c r="H38" i="1"/>
  <c r="N38" i="1"/>
  <c r="P9" i="1"/>
  <c r="B39" i="1"/>
  <c r="H39" i="1"/>
  <c r="N39" i="1"/>
  <c r="P10" i="1"/>
  <c r="B40" i="1"/>
  <c r="H40" i="1"/>
  <c r="N40" i="1"/>
  <c r="P11" i="1"/>
  <c r="B41" i="1"/>
  <c r="H41" i="1"/>
  <c r="N41" i="1"/>
  <c r="P12" i="1"/>
  <c r="B42" i="1"/>
  <c r="H42" i="1"/>
  <c r="N42" i="1"/>
  <c r="P13" i="1"/>
  <c r="B43" i="1"/>
  <c r="H43" i="1"/>
  <c r="N43" i="1"/>
  <c r="P14" i="1"/>
  <c r="B44" i="1"/>
  <c r="H44" i="1"/>
  <c r="N44" i="1"/>
  <c r="P15" i="1"/>
  <c r="B45" i="1"/>
  <c r="H45" i="1"/>
  <c r="N45" i="1"/>
  <c r="P16" i="1"/>
  <c r="B46" i="1"/>
  <c r="H46" i="1"/>
  <c r="N46" i="1"/>
  <c r="P17" i="1"/>
  <c r="B47" i="1"/>
  <c r="H47" i="1"/>
  <c r="N47" i="1"/>
  <c r="P18" i="1"/>
  <c r="B48" i="1"/>
  <c r="H48" i="1"/>
  <c r="N48" i="1"/>
  <c r="P19" i="1"/>
  <c r="B49" i="1"/>
  <c r="H49" i="1"/>
  <c r="N49" i="1"/>
  <c r="P20" i="1"/>
  <c r="B50" i="1"/>
  <c r="H50" i="1"/>
  <c r="N50" i="1"/>
  <c r="P21" i="1"/>
  <c r="B51" i="1"/>
  <c r="H51" i="1"/>
  <c r="N51" i="1"/>
  <c r="P22" i="1"/>
  <c r="B52" i="1"/>
  <c r="H52" i="1"/>
  <c r="N52" i="1"/>
  <c r="P23" i="1"/>
  <c r="B53" i="1"/>
  <c r="H53" i="1"/>
  <c r="N53" i="1"/>
  <c r="P24" i="1"/>
  <c r="B54" i="1"/>
  <c r="H54" i="1"/>
  <c r="N54" i="1"/>
  <c r="P25" i="1"/>
  <c r="B55" i="1"/>
  <c r="H55" i="1"/>
  <c r="N55" i="1"/>
  <c r="P26" i="1"/>
  <c r="B56" i="1"/>
  <c r="H56" i="1"/>
  <c r="N56" i="1"/>
  <c r="P27" i="1"/>
  <c r="B57" i="1"/>
  <c r="H57" i="1"/>
  <c r="N57" i="1"/>
  <c r="N59" i="1"/>
  <c r="Q8" i="1"/>
  <c r="C38" i="1"/>
  <c r="I38" i="1"/>
  <c r="O38" i="1"/>
  <c r="Q9" i="1"/>
  <c r="C39" i="1"/>
  <c r="I39" i="1"/>
  <c r="O39" i="1"/>
  <c r="Q10" i="1"/>
  <c r="C40" i="1"/>
  <c r="I40" i="1"/>
  <c r="O40" i="1"/>
  <c r="Q11" i="1"/>
  <c r="C41" i="1"/>
  <c r="I41" i="1"/>
  <c r="O41" i="1"/>
  <c r="Q12" i="1"/>
  <c r="C42" i="1"/>
  <c r="I42" i="1"/>
  <c r="O42" i="1"/>
  <c r="Q13" i="1"/>
  <c r="C43" i="1"/>
  <c r="I43" i="1"/>
  <c r="O43" i="1"/>
  <c r="Q14" i="1"/>
  <c r="C44" i="1"/>
  <c r="I44" i="1"/>
  <c r="O44" i="1"/>
  <c r="Q15" i="1"/>
  <c r="C45" i="1"/>
  <c r="I45" i="1"/>
  <c r="O45" i="1"/>
  <c r="Q16" i="1"/>
  <c r="C46" i="1"/>
  <c r="I46" i="1"/>
  <c r="O46" i="1"/>
  <c r="Q17" i="1"/>
  <c r="C47" i="1"/>
  <c r="I47" i="1"/>
  <c r="O47" i="1"/>
  <c r="Q18" i="1"/>
  <c r="C48" i="1"/>
  <c r="I48" i="1"/>
  <c r="O48" i="1"/>
  <c r="Q19" i="1"/>
  <c r="C49" i="1"/>
  <c r="I49" i="1"/>
  <c r="O49" i="1"/>
  <c r="Q20" i="1"/>
  <c r="C50" i="1"/>
  <c r="I50" i="1"/>
  <c r="O50" i="1"/>
  <c r="Q21" i="1"/>
  <c r="C51" i="1"/>
  <c r="I51" i="1"/>
  <c r="O51" i="1"/>
  <c r="Q22" i="1"/>
  <c r="C52" i="1"/>
  <c r="I52" i="1"/>
  <c r="O52" i="1"/>
  <c r="Q23" i="1"/>
  <c r="C53" i="1"/>
  <c r="I53" i="1"/>
  <c r="O53" i="1"/>
  <c r="Q24" i="1"/>
  <c r="C54" i="1"/>
  <c r="I54" i="1"/>
  <c r="O54" i="1"/>
  <c r="Q25" i="1"/>
  <c r="C55" i="1"/>
  <c r="I55" i="1"/>
  <c r="O55" i="1"/>
  <c r="Q26" i="1"/>
  <c r="C56" i="1"/>
  <c r="I56" i="1"/>
  <c r="O56" i="1"/>
  <c r="Q27" i="1"/>
  <c r="C57" i="1"/>
  <c r="I57" i="1"/>
  <c r="O57" i="1"/>
  <c r="O59" i="1"/>
  <c r="R8" i="1"/>
  <c r="D38" i="1"/>
  <c r="J38" i="1"/>
  <c r="P38" i="1"/>
  <c r="R9" i="1"/>
  <c r="D39" i="1"/>
  <c r="J39" i="1"/>
  <c r="P39" i="1"/>
  <c r="R10" i="1"/>
  <c r="D40" i="1"/>
  <c r="J40" i="1"/>
  <c r="P40" i="1"/>
  <c r="R11" i="1"/>
  <c r="D41" i="1"/>
  <c r="J41" i="1"/>
  <c r="P41" i="1"/>
  <c r="R12" i="1"/>
  <c r="D42" i="1"/>
  <c r="J42" i="1"/>
  <c r="P42" i="1"/>
  <c r="R13" i="1"/>
  <c r="D43" i="1"/>
  <c r="J43" i="1"/>
  <c r="P43" i="1"/>
  <c r="R14" i="1"/>
  <c r="D44" i="1"/>
  <c r="J44" i="1"/>
  <c r="P44" i="1"/>
  <c r="R15" i="1"/>
  <c r="D45" i="1"/>
  <c r="J45" i="1"/>
  <c r="P45" i="1"/>
  <c r="R16" i="1"/>
  <c r="D46" i="1"/>
  <c r="J46" i="1"/>
  <c r="P46" i="1"/>
  <c r="R17" i="1"/>
  <c r="D47" i="1"/>
  <c r="J47" i="1"/>
  <c r="P47" i="1"/>
  <c r="R18" i="1"/>
  <c r="D48" i="1"/>
  <c r="J48" i="1"/>
  <c r="P48" i="1"/>
  <c r="R19" i="1"/>
  <c r="D49" i="1"/>
  <c r="J49" i="1"/>
  <c r="P49" i="1"/>
  <c r="R20" i="1"/>
  <c r="D50" i="1"/>
  <c r="J50" i="1"/>
  <c r="P50" i="1"/>
  <c r="R21" i="1"/>
  <c r="D51" i="1"/>
  <c r="J51" i="1"/>
  <c r="P51" i="1"/>
  <c r="R22" i="1"/>
  <c r="D52" i="1"/>
  <c r="J52" i="1"/>
  <c r="P52" i="1"/>
  <c r="R23" i="1"/>
  <c r="D53" i="1"/>
  <c r="J53" i="1"/>
  <c r="P53" i="1"/>
  <c r="R24" i="1"/>
  <c r="D54" i="1"/>
  <c r="J54" i="1"/>
  <c r="P54" i="1"/>
  <c r="R25" i="1"/>
  <c r="D55" i="1"/>
  <c r="J55" i="1"/>
  <c r="P55" i="1"/>
  <c r="R26" i="1"/>
  <c r="D56" i="1"/>
  <c r="J56" i="1"/>
  <c r="P56" i="1"/>
  <c r="R27" i="1"/>
  <c r="D57" i="1"/>
  <c r="J57" i="1"/>
  <c r="P57" i="1"/>
  <c r="P59" i="1"/>
  <c r="S8" i="1"/>
  <c r="E38" i="1"/>
  <c r="K38" i="1"/>
  <c r="Q38" i="1"/>
  <c r="S9" i="1"/>
  <c r="E39" i="1"/>
  <c r="K39" i="1"/>
  <c r="Q39" i="1"/>
  <c r="S10" i="1"/>
  <c r="E40" i="1"/>
  <c r="K40" i="1"/>
  <c r="Q40" i="1"/>
  <c r="S11" i="1"/>
  <c r="E41" i="1"/>
  <c r="K41" i="1"/>
  <c r="Q41" i="1"/>
  <c r="S12" i="1"/>
  <c r="E42" i="1"/>
  <c r="K42" i="1"/>
  <c r="Q42" i="1"/>
  <c r="S13" i="1"/>
  <c r="E43" i="1"/>
  <c r="K43" i="1"/>
  <c r="Q43" i="1"/>
  <c r="S14" i="1"/>
  <c r="E44" i="1"/>
  <c r="K44" i="1"/>
  <c r="Q44" i="1"/>
  <c r="S15" i="1"/>
  <c r="E45" i="1"/>
  <c r="K45" i="1"/>
  <c r="Q45" i="1"/>
  <c r="S16" i="1"/>
  <c r="E46" i="1"/>
  <c r="K46" i="1"/>
  <c r="Q46" i="1"/>
  <c r="S17" i="1"/>
  <c r="E47" i="1"/>
  <c r="K47" i="1"/>
  <c r="Q47" i="1"/>
  <c r="S18" i="1"/>
  <c r="E48" i="1"/>
  <c r="K48" i="1"/>
  <c r="Q48" i="1"/>
  <c r="S19" i="1"/>
  <c r="E49" i="1"/>
  <c r="K49" i="1"/>
  <c r="Q49" i="1"/>
  <c r="S20" i="1"/>
  <c r="E50" i="1"/>
  <c r="K50" i="1"/>
  <c r="Q50" i="1"/>
  <c r="S21" i="1"/>
  <c r="E51" i="1"/>
  <c r="K51" i="1"/>
  <c r="Q51" i="1"/>
  <c r="S22" i="1"/>
  <c r="E52" i="1"/>
  <c r="K52" i="1"/>
  <c r="Q52" i="1"/>
  <c r="S23" i="1"/>
  <c r="E53" i="1"/>
  <c r="K53" i="1"/>
  <c r="Q53" i="1"/>
  <c r="S24" i="1"/>
  <c r="E54" i="1"/>
  <c r="K54" i="1"/>
  <c r="Q54" i="1"/>
  <c r="S25" i="1"/>
  <c r="E55" i="1"/>
  <c r="K55" i="1"/>
  <c r="Q55" i="1"/>
  <c r="S26" i="1"/>
  <c r="E56" i="1"/>
  <c r="K56" i="1"/>
  <c r="Q56" i="1"/>
  <c r="S27" i="1"/>
  <c r="E57" i="1"/>
  <c r="K57" i="1"/>
  <c r="Q57" i="1"/>
  <c r="Q59" i="1"/>
  <c r="T8" i="1"/>
  <c r="F38" i="1"/>
  <c r="L38" i="1"/>
  <c r="R38" i="1"/>
  <c r="T9" i="1"/>
  <c r="F39" i="1"/>
  <c r="L39" i="1"/>
  <c r="R39" i="1"/>
  <c r="T10" i="1"/>
  <c r="F40" i="1"/>
  <c r="L40" i="1"/>
  <c r="R40" i="1"/>
  <c r="T11" i="1"/>
  <c r="F41" i="1"/>
  <c r="L41" i="1"/>
  <c r="R41" i="1"/>
  <c r="T12" i="1"/>
  <c r="F42" i="1"/>
  <c r="L42" i="1"/>
  <c r="R42" i="1"/>
  <c r="T13" i="1"/>
  <c r="F43" i="1"/>
  <c r="L43" i="1"/>
  <c r="R43" i="1"/>
  <c r="T14" i="1"/>
  <c r="F44" i="1"/>
  <c r="L44" i="1"/>
  <c r="R44" i="1"/>
  <c r="T15" i="1"/>
  <c r="F45" i="1"/>
  <c r="L45" i="1"/>
  <c r="R45" i="1"/>
  <c r="T16" i="1"/>
  <c r="F46" i="1"/>
  <c r="L46" i="1"/>
  <c r="R46" i="1"/>
  <c r="T17" i="1"/>
  <c r="F47" i="1"/>
  <c r="L47" i="1"/>
  <c r="R47" i="1"/>
  <c r="T18" i="1"/>
  <c r="F48" i="1"/>
  <c r="L48" i="1"/>
  <c r="R48" i="1"/>
  <c r="T19" i="1"/>
  <c r="F49" i="1"/>
  <c r="L49" i="1"/>
  <c r="R49" i="1"/>
  <c r="T20" i="1"/>
  <c r="F50" i="1"/>
  <c r="L50" i="1"/>
  <c r="R50" i="1"/>
  <c r="T21" i="1"/>
  <c r="F51" i="1"/>
  <c r="L51" i="1"/>
  <c r="R51" i="1"/>
  <c r="T22" i="1"/>
  <c r="F52" i="1"/>
  <c r="L52" i="1"/>
  <c r="R52" i="1"/>
  <c r="T23" i="1"/>
  <c r="F53" i="1"/>
  <c r="L53" i="1"/>
  <c r="R53" i="1"/>
  <c r="T24" i="1"/>
  <c r="F54" i="1"/>
  <c r="L54" i="1"/>
  <c r="R54" i="1"/>
  <c r="T25" i="1"/>
  <c r="F55" i="1"/>
  <c r="L55" i="1"/>
  <c r="R55" i="1"/>
  <c r="T26" i="1"/>
  <c r="F56" i="1"/>
  <c r="L56" i="1"/>
  <c r="R56" i="1"/>
  <c r="T27" i="1"/>
  <c r="F57" i="1"/>
  <c r="L57" i="1"/>
  <c r="R57" i="1"/>
  <c r="R59" i="1"/>
  <c r="U8" i="1"/>
  <c r="G38" i="1"/>
  <c r="M38" i="1"/>
  <c r="S38" i="1"/>
  <c r="U9" i="1"/>
  <c r="G39" i="1"/>
  <c r="M39" i="1"/>
  <c r="S39" i="1"/>
  <c r="U10" i="1"/>
  <c r="G40" i="1"/>
  <c r="M40" i="1"/>
  <c r="S40" i="1"/>
  <c r="U11" i="1"/>
  <c r="G41" i="1"/>
  <c r="M41" i="1"/>
  <c r="S41" i="1"/>
  <c r="U12" i="1"/>
  <c r="G42" i="1"/>
  <c r="M42" i="1"/>
  <c r="S42" i="1"/>
  <c r="U13" i="1"/>
  <c r="G43" i="1"/>
  <c r="M43" i="1"/>
  <c r="S43" i="1"/>
  <c r="U14" i="1"/>
  <c r="G44" i="1"/>
  <c r="M44" i="1"/>
  <c r="S44" i="1"/>
  <c r="U15" i="1"/>
  <c r="G45" i="1"/>
  <c r="M45" i="1"/>
  <c r="S45" i="1"/>
  <c r="U16" i="1"/>
  <c r="G46" i="1"/>
  <c r="M46" i="1"/>
  <c r="S46" i="1"/>
  <c r="U17" i="1"/>
  <c r="G47" i="1"/>
  <c r="M47" i="1"/>
  <c r="S47" i="1"/>
  <c r="U18" i="1"/>
  <c r="G48" i="1"/>
  <c r="M48" i="1"/>
  <c r="S48" i="1"/>
  <c r="U19" i="1"/>
  <c r="G49" i="1"/>
  <c r="M49" i="1"/>
  <c r="S49" i="1"/>
  <c r="U20" i="1"/>
  <c r="G50" i="1"/>
  <c r="M50" i="1"/>
  <c r="S50" i="1"/>
  <c r="U21" i="1"/>
  <c r="G51" i="1"/>
  <c r="M51" i="1"/>
  <c r="S51" i="1"/>
  <c r="U22" i="1"/>
  <c r="G52" i="1"/>
  <c r="M52" i="1"/>
  <c r="S52" i="1"/>
  <c r="U23" i="1"/>
  <c r="G53" i="1"/>
  <c r="M53" i="1"/>
  <c r="S53" i="1"/>
  <c r="U24" i="1"/>
  <c r="G54" i="1"/>
  <c r="M54" i="1"/>
  <c r="S54" i="1"/>
  <c r="U25" i="1"/>
  <c r="G55" i="1"/>
  <c r="M55" i="1"/>
  <c r="S55" i="1"/>
  <c r="U26" i="1"/>
  <c r="G56" i="1"/>
  <c r="M56" i="1"/>
  <c r="S56" i="1"/>
  <c r="U27" i="1"/>
  <c r="G57" i="1"/>
  <c r="M57" i="1"/>
  <c r="S57" i="1"/>
  <c r="S59" i="1"/>
  <c r="U72" i="3"/>
  <c r="V72" i="3"/>
  <c r="O72" i="3"/>
  <c r="P72" i="3"/>
  <c r="U71" i="3"/>
  <c r="V71" i="3"/>
  <c r="O71" i="3"/>
  <c r="P71" i="3"/>
  <c r="U70" i="3"/>
  <c r="V70" i="3"/>
  <c r="O70" i="3"/>
  <c r="P70" i="3"/>
  <c r="A49" i="3"/>
  <c r="A48" i="3"/>
  <c r="A47" i="3"/>
  <c r="A46" i="3"/>
  <c r="T84" i="3"/>
  <c r="T109" i="3"/>
  <c r="T134" i="3"/>
  <c r="T158" i="3"/>
  <c r="T203" i="3"/>
  <c r="A45" i="3"/>
  <c r="A44" i="3"/>
  <c r="A43" i="3"/>
  <c r="A42" i="3"/>
  <c r="T80" i="3"/>
  <c r="T105" i="3"/>
  <c r="T130" i="3"/>
  <c r="T154" i="3"/>
  <c r="T199" i="3"/>
  <c r="A41" i="3"/>
  <c r="A40" i="3"/>
  <c r="A39" i="3"/>
  <c r="C27" i="3"/>
  <c r="A57" i="3"/>
  <c r="C26" i="3"/>
  <c r="A56" i="3"/>
  <c r="Y55" i="3"/>
  <c r="C25" i="3"/>
  <c r="A55" i="3"/>
  <c r="C24" i="3"/>
  <c r="A54" i="3"/>
  <c r="T92" i="3"/>
  <c r="T117" i="3"/>
  <c r="T142" i="3"/>
  <c r="T166" i="3"/>
  <c r="T211" i="3"/>
  <c r="C23" i="3"/>
  <c r="A53" i="3"/>
  <c r="C22" i="3"/>
  <c r="A52" i="3"/>
  <c r="C21" i="3"/>
  <c r="A51" i="3"/>
  <c r="C20" i="3"/>
  <c r="A50" i="3"/>
  <c r="AD42" i="3"/>
  <c r="Y41" i="3"/>
  <c r="W126" i="3"/>
  <c r="AF38" i="3"/>
  <c r="AA38" i="3"/>
  <c r="C8" i="3"/>
  <c r="A38" i="3"/>
  <c r="U7" i="3"/>
  <c r="G37" i="3"/>
  <c r="M37" i="3"/>
  <c r="S37" i="3"/>
  <c r="T7" i="3"/>
  <c r="F37" i="3"/>
  <c r="L37" i="3"/>
  <c r="R37" i="3"/>
  <c r="U100" i="3"/>
  <c r="S7" i="3"/>
  <c r="E37" i="3"/>
  <c r="C7" i="3"/>
  <c r="A37" i="3"/>
  <c r="N75" i="3"/>
  <c r="N100" i="3"/>
  <c r="N125" i="3"/>
  <c r="V42" i="3"/>
  <c r="T76" i="3"/>
  <c r="T101" i="3"/>
  <c r="T126" i="3"/>
  <c r="T150" i="3"/>
  <c r="T195" i="3"/>
  <c r="N76" i="3"/>
  <c r="N101" i="3"/>
  <c r="N126" i="3"/>
  <c r="N150" i="3"/>
  <c r="N173" i="3"/>
  <c r="Y39" i="3"/>
  <c r="AA40" i="3"/>
  <c r="AG41" i="3"/>
  <c r="AG43" i="3"/>
  <c r="Y43" i="3"/>
  <c r="T75" i="3"/>
  <c r="T100" i="3"/>
  <c r="T125" i="3"/>
  <c r="T149" i="3"/>
  <c r="T194" i="3"/>
  <c r="N149" i="3"/>
  <c r="N172" i="3"/>
  <c r="AA37" i="3"/>
  <c r="K37" i="3"/>
  <c r="Q37" i="3"/>
  <c r="Z38" i="3"/>
  <c r="X38" i="3"/>
  <c r="AD39" i="3"/>
  <c r="V39" i="3"/>
  <c r="Z40" i="3"/>
  <c r="AF40" i="3"/>
  <c r="X40" i="3"/>
  <c r="Z42" i="3"/>
  <c r="AF42" i="3"/>
  <c r="X42" i="3"/>
  <c r="Z44" i="3"/>
  <c r="AF46" i="3"/>
  <c r="X46" i="3"/>
  <c r="Z48" i="3"/>
  <c r="AF48" i="3"/>
  <c r="X48" i="3"/>
  <c r="AG56" i="3"/>
  <c r="Y56" i="3"/>
  <c r="V57" i="3"/>
  <c r="AD57" i="3"/>
  <c r="AC38" i="3"/>
  <c r="U38" i="3"/>
  <c r="AF39" i="3"/>
  <c r="X39" i="3"/>
  <c r="Z37" i="3"/>
  <c r="AF37" i="3"/>
  <c r="X37" i="3"/>
  <c r="AA39" i="3"/>
  <c r="U40" i="3"/>
  <c r="AG40" i="3"/>
  <c r="Y40" i="3"/>
  <c r="AA41" i="3"/>
  <c r="AA43" i="3"/>
  <c r="AA45" i="3"/>
  <c r="AA47" i="3"/>
  <c r="AA49" i="3"/>
  <c r="Z50" i="3"/>
  <c r="AF50" i="3"/>
  <c r="X50" i="3"/>
  <c r="U51" i="3"/>
  <c r="AG51" i="3"/>
  <c r="Y51" i="3"/>
  <c r="V52" i="3"/>
  <c r="AD52" i="3"/>
  <c r="AA53" i="3"/>
  <c r="T54" i="3"/>
  <c r="AF54" i="3"/>
  <c r="X54" i="3"/>
  <c r="AG55" i="3"/>
  <c r="AA57" i="3"/>
  <c r="AG38" i="3"/>
  <c r="Y38" i="3"/>
  <c r="AC37" i="3"/>
  <c r="U37" i="3"/>
  <c r="AD38" i="3"/>
  <c r="V38" i="3"/>
  <c r="Z41" i="3"/>
  <c r="AC39" i="3"/>
  <c r="AC43" i="3"/>
  <c r="U43" i="3"/>
  <c r="AC45" i="3"/>
  <c r="U45" i="3"/>
  <c r="AG45" i="3"/>
  <c r="Y45" i="3"/>
  <c r="AG47" i="3"/>
  <c r="Y47" i="3"/>
  <c r="AC49" i="3"/>
  <c r="U49" i="3"/>
  <c r="AG49" i="3"/>
  <c r="Y49" i="3"/>
  <c r="T89" i="3"/>
  <c r="T114" i="3"/>
  <c r="T139" i="3"/>
  <c r="T163" i="3"/>
  <c r="T208" i="3"/>
  <c r="N89" i="3"/>
  <c r="N114" i="3"/>
  <c r="N139" i="3"/>
  <c r="N163" i="3"/>
  <c r="N186" i="3"/>
  <c r="AA51" i="3"/>
  <c r="Z52" i="3"/>
  <c r="U53" i="3"/>
  <c r="AC53" i="3"/>
  <c r="AG53" i="3"/>
  <c r="Y53" i="3"/>
  <c r="AD54" i="3"/>
  <c r="V54" i="3"/>
  <c r="Z56" i="3"/>
  <c r="X56" i="3"/>
  <c r="AB39" i="3"/>
  <c r="T39" i="3"/>
  <c r="AD48" i="3"/>
  <c r="V48" i="3"/>
  <c r="AA44" i="3"/>
  <c r="AA48" i="3"/>
  <c r="T93" i="3"/>
  <c r="T118" i="3"/>
  <c r="T143" i="3"/>
  <c r="T167" i="3"/>
  <c r="T212" i="3"/>
  <c r="N93" i="3"/>
  <c r="N118" i="3"/>
  <c r="N143" i="3"/>
  <c r="N167" i="3"/>
  <c r="N190" i="3"/>
  <c r="AC42" i="3"/>
  <c r="U42" i="3"/>
  <c r="AG42" i="3"/>
  <c r="Y42" i="3"/>
  <c r="AG44" i="3"/>
  <c r="Y44" i="3"/>
  <c r="AC46" i="3"/>
  <c r="U46" i="3"/>
  <c r="AC48" i="3"/>
  <c r="U48" i="3"/>
  <c r="AF41" i="3"/>
  <c r="X41" i="3"/>
  <c r="Z43" i="3"/>
  <c r="AF43" i="3"/>
  <c r="X43" i="3"/>
  <c r="AF45" i="3"/>
  <c r="X45" i="3"/>
  <c r="Z49" i="3"/>
  <c r="AF49" i="3"/>
  <c r="X49" i="3"/>
  <c r="AC50" i="3"/>
  <c r="U50" i="3"/>
  <c r="AG50" i="3"/>
  <c r="Y50" i="3"/>
  <c r="AD51" i="3"/>
  <c r="V51" i="3"/>
  <c r="T90" i="3"/>
  <c r="T115" i="3"/>
  <c r="T140" i="3"/>
  <c r="T164" i="3"/>
  <c r="T209" i="3"/>
  <c r="N90" i="3"/>
  <c r="N115" i="3"/>
  <c r="N140" i="3"/>
  <c r="N164" i="3"/>
  <c r="N187" i="3"/>
  <c r="Z53" i="3"/>
  <c r="AB54" i="3"/>
  <c r="AF53" i="3"/>
  <c r="X53" i="3"/>
  <c r="AD55" i="3"/>
  <c r="V55" i="3"/>
  <c r="T94" i="3"/>
  <c r="T119" i="3"/>
  <c r="T144" i="3"/>
  <c r="T168" i="3"/>
  <c r="T213" i="3"/>
  <c r="N94" i="3"/>
  <c r="N119" i="3"/>
  <c r="N144" i="3"/>
  <c r="N168" i="3"/>
  <c r="AA56" i="3"/>
  <c r="AF57" i="3"/>
  <c r="X57" i="3"/>
  <c r="T77" i="3"/>
  <c r="T102" i="3"/>
  <c r="T127" i="3"/>
  <c r="T151" i="3"/>
  <c r="T196" i="3"/>
  <c r="N77" i="3"/>
  <c r="N102" i="3"/>
  <c r="N127" i="3"/>
  <c r="N151" i="3"/>
  <c r="N174" i="3"/>
  <c r="N87" i="3"/>
  <c r="N112" i="3"/>
  <c r="N137" i="3"/>
  <c r="N161" i="3"/>
  <c r="N184" i="3"/>
  <c r="T87" i="3"/>
  <c r="T112" i="3"/>
  <c r="T137" i="3"/>
  <c r="T161" i="3"/>
  <c r="T206" i="3"/>
  <c r="AA42" i="3"/>
  <c r="AG57" i="3"/>
  <c r="Y57" i="3"/>
  <c r="T78" i="3"/>
  <c r="T103" i="3"/>
  <c r="T128" i="3"/>
  <c r="T152" i="3"/>
  <c r="T197" i="3"/>
  <c r="N78" i="3"/>
  <c r="N103" i="3"/>
  <c r="N128" i="3"/>
  <c r="N152" i="3"/>
  <c r="N175" i="3"/>
  <c r="N92" i="3"/>
  <c r="N117" i="3"/>
  <c r="N142" i="3"/>
  <c r="N166" i="3"/>
  <c r="N189" i="3"/>
  <c r="AA46" i="3"/>
  <c r="Z39" i="3"/>
  <c r="AD41" i="3"/>
  <c r="V41" i="3"/>
  <c r="AD43" i="3"/>
  <c r="V43" i="3"/>
  <c r="AD47" i="3"/>
  <c r="V47" i="3"/>
  <c r="AD49" i="3"/>
  <c r="V49" i="3"/>
  <c r="T88" i="3"/>
  <c r="T113" i="3"/>
  <c r="T138" i="3"/>
  <c r="T162" i="3"/>
  <c r="T207" i="3"/>
  <c r="N88" i="3"/>
  <c r="N113" i="3"/>
  <c r="N138" i="3"/>
  <c r="N162" i="3"/>
  <c r="N185" i="3"/>
  <c r="AA50" i="3"/>
  <c r="Z51" i="3"/>
  <c r="AF51" i="3"/>
  <c r="X51" i="3"/>
  <c r="AC52" i="3"/>
  <c r="U52" i="3"/>
  <c r="AG52" i="3"/>
  <c r="Y52" i="3"/>
  <c r="AD53" i="3"/>
  <c r="V53" i="3"/>
  <c r="U56" i="3"/>
  <c r="AC56" i="3"/>
  <c r="T81" i="3"/>
  <c r="T106" i="3"/>
  <c r="T131" i="3"/>
  <c r="T155" i="3"/>
  <c r="T200" i="3"/>
  <c r="N81" i="3"/>
  <c r="N106" i="3"/>
  <c r="N131" i="3"/>
  <c r="N155" i="3"/>
  <c r="N178" i="3"/>
  <c r="T85" i="3"/>
  <c r="T110" i="3"/>
  <c r="T135" i="3"/>
  <c r="T159" i="3"/>
  <c r="T204" i="3"/>
  <c r="N85" i="3"/>
  <c r="N110" i="3"/>
  <c r="N135" i="3"/>
  <c r="N159" i="3"/>
  <c r="N182" i="3"/>
  <c r="Z54" i="3"/>
  <c r="T79" i="3"/>
  <c r="T104" i="3"/>
  <c r="T129" i="3"/>
  <c r="T153" i="3"/>
  <c r="T198" i="3"/>
  <c r="N79" i="3"/>
  <c r="N104" i="3"/>
  <c r="N129" i="3"/>
  <c r="N153" i="3"/>
  <c r="N176" i="3"/>
  <c r="T82" i="3"/>
  <c r="T107" i="3"/>
  <c r="T132" i="3"/>
  <c r="T156" i="3"/>
  <c r="T201" i="3"/>
  <c r="N82" i="3"/>
  <c r="N107" i="3"/>
  <c r="N132" i="3"/>
  <c r="N156" i="3"/>
  <c r="N179" i="3"/>
  <c r="T86" i="3"/>
  <c r="T111" i="3"/>
  <c r="T136" i="3"/>
  <c r="T160" i="3"/>
  <c r="T205" i="3"/>
  <c r="N86" i="3"/>
  <c r="N111" i="3"/>
  <c r="N136" i="3"/>
  <c r="N160" i="3"/>
  <c r="N183" i="3"/>
  <c r="N80" i="3"/>
  <c r="N105" i="3"/>
  <c r="N130" i="3"/>
  <c r="N154" i="3"/>
  <c r="N177" i="3"/>
  <c r="N84" i="3"/>
  <c r="N109" i="3"/>
  <c r="N134" i="3"/>
  <c r="N158" i="3"/>
  <c r="N181" i="3"/>
  <c r="AF56" i="1"/>
  <c r="AC41" i="1"/>
  <c r="AC57" i="1"/>
  <c r="AA52" i="1"/>
  <c r="AA56" i="1"/>
  <c r="AE54" i="3"/>
  <c r="W54" i="3"/>
  <c r="AE50" i="3"/>
  <c r="W50" i="3"/>
  <c r="AE55" i="3"/>
  <c r="W55" i="3"/>
  <c r="AE56" i="3"/>
  <c r="W56" i="3"/>
  <c r="AB53" i="3"/>
  <c r="T53" i="3"/>
  <c r="AE44" i="3"/>
  <c r="W44" i="3"/>
  <c r="AB41" i="3"/>
  <c r="T41" i="3"/>
  <c r="AE57" i="3"/>
  <c r="W57" i="3"/>
  <c r="AE53" i="3"/>
  <c r="W53" i="3"/>
  <c r="AB50" i="3"/>
  <c r="T50" i="3"/>
  <c r="AE47" i="3"/>
  <c r="W47" i="3"/>
  <c r="W43" i="3"/>
  <c r="AE39" i="3"/>
  <c r="W39" i="3"/>
  <c r="AB37" i="3"/>
  <c r="T37" i="3"/>
  <c r="AB56" i="3"/>
  <c r="T56" i="3"/>
  <c r="AB42" i="3"/>
  <c r="T42" i="3"/>
  <c r="AB40" i="3"/>
  <c r="T40" i="3"/>
  <c r="AB38" i="3"/>
  <c r="T38" i="3"/>
  <c r="AE42" i="3"/>
  <c r="AE52" i="3"/>
  <c r="W52" i="3"/>
  <c r="AB49" i="3"/>
  <c r="T49" i="3"/>
  <c r="AB45" i="3"/>
  <c r="T45" i="3"/>
  <c r="AE48" i="3"/>
  <c r="W48" i="3"/>
  <c r="AE45" i="3"/>
  <c r="W45" i="3"/>
  <c r="AB48" i="3"/>
  <c r="T48" i="3"/>
  <c r="AB44" i="3"/>
  <c r="T44" i="3"/>
  <c r="AE46" i="3"/>
  <c r="W46" i="3"/>
  <c r="AB55" i="3"/>
  <c r="T55" i="3"/>
  <c r="AB51" i="3"/>
  <c r="T51" i="3"/>
  <c r="T47" i="3"/>
  <c r="AB43" i="3"/>
  <c r="T43" i="3"/>
  <c r="AB52" i="3"/>
  <c r="T52" i="3"/>
  <c r="W40" i="3"/>
  <c r="AE40" i="3"/>
  <c r="AE38" i="3"/>
  <c r="W38" i="3"/>
  <c r="C27" i="1"/>
  <c r="A57" i="1"/>
  <c r="T95" i="1"/>
  <c r="T120" i="1"/>
  <c r="T145" i="1"/>
  <c r="T169" i="1"/>
  <c r="T214" i="1"/>
  <c r="AE56" i="1"/>
  <c r="C26" i="1"/>
  <c r="A56" i="1"/>
  <c r="N95" i="1"/>
  <c r="N120" i="1"/>
  <c r="N145" i="1"/>
  <c r="N169" i="1"/>
  <c r="AF55" i="1"/>
  <c r="AA55" i="1"/>
  <c r="AD55" i="1"/>
  <c r="AC55" i="1"/>
  <c r="C25" i="1"/>
  <c r="A55" i="1"/>
  <c r="AG54" i="1"/>
  <c r="AF54" i="1"/>
  <c r="Z54" i="1"/>
  <c r="AD53" i="1"/>
  <c r="AC53" i="1"/>
  <c r="C24" i="1"/>
  <c r="A54" i="1"/>
  <c r="C23" i="1"/>
  <c r="A53" i="1"/>
  <c r="A48" i="1"/>
  <c r="A49" i="1"/>
  <c r="Z50" i="1"/>
  <c r="AD50" i="1"/>
  <c r="AA50" i="1"/>
  <c r="AF50" i="1"/>
  <c r="AC51" i="1"/>
  <c r="AD51" i="1"/>
  <c r="AF51" i="1"/>
  <c r="AD52" i="1"/>
  <c r="AE52" i="1"/>
  <c r="AG49" i="1"/>
  <c r="AF49" i="1"/>
  <c r="C22" i="1"/>
  <c r="A52" i="1"/>
  <c r="C21" i="1"/>
  <c r="A51" i="1"/>
  <c r="C20" i="1"/>
  <c r="A50" i="1"/>
  <c r="U72" i="1"/>
  <c r="V72" i="1"/>
  <c r="O72" i="1"/>
  <c r="P72" i="1"/>
  <c r="U71" i="1"/>
  <c r="V71" i="1"/>
  <c r="O71" i="1"/>
  <c r="P71" i="1"/>
  <c r="U57" i="1"/>
  <c r="U70" i="1"/>
  <c r="V70" i="1"/>
  <c r="W56" i="1"/>
  <c r="O70" i="1"/>
  <c r="P70" i="1"/>
  <c r="T53" i="1"/>
  <c r="T87" i="1"/>
  <c r="T112" i="1"/>
  <c r="T137" i="1"/>
  <c r="T161" i="1"/>
  <c r="T206" i="1"/>
  <c r="A47" i="1"/>
  <c r="N85" i="1"/>
  <c r="N110" i="1"/>
  <c r="N135" i="1"/>
  <c r="A46" i="1"/>
  <c r="A45" i="1"/>
  <c r="A44" i="1"/>
  <c r="A43" i="1"/>
  <c r="A42" i="1"/>
  <c r="A41" i="1"/>
  <c r="T79" i="1"/>
  <c r="T104" i="1"/>
  <c r="T129" i="1"/>
  <c r="T153" i="1"/>
  <c r="T198" i="1"/>
  <c r="A40" i="1"/>
  <c r="A39" i="1"/>
  <c r="T77" i="1"/>
  <c r="AD46" i="1"/>
  <c r="V46" i="1"/>
  <c r="AF43" i="1"/>
  <c r="AF42" i="1"/>
  <c r="AG41" i="1"/>
  <c r="AF41" i="1"/>
  <c r="X41" i="1"/>
  <c r="Z38" i="1"/>
  <c r="C8" i="1"/>
  <c r="A38" i="1"/>
  <c r="U7" i="1"/>
  <c r="G37" i="1"/>
  <c r="M37" i="1"/>
  <c r="S37" i="1"/>
  <c r="AG37" i="1"/>
  <c r="T7" i="1"/>
  <c r="F37" i="1"/>
  <c r="L37" i="1"/>
  <c r="R37" i="1"/>
  <c r="S7" i="1"/>
  <c r="E37" i="1"/>
  <c r="R7" i="1"/>
  <c r="D37" i="1"/>
  <c r="J37" i="1"/>
  <c r="P37" i="1"/>
  <c r="Q7" i="1"/>
  <c r="C37" i="1"/>
  <c r="I37" i="1"/>
  <c r="O37" i="1"/>
  <c r="P7" i="1"/>
  <c r="B37" i="1"/>
  <c r="Z37" i="1"/>
  <c r="C7" i="1"/>
  <c r="A37" i="1"/>
  <c r="U55" i="1"/>
  <c r="V52" i="1"/>
  <c r="X51" i="1"/>
  <c r="Y49" i="1"/>
  <c r="Y41" i="1"/>
  <c r="T85" i="1"/>
  <c r="T110" i="1"/>
  <c r="T135" i="1"/>
  <c r="T159" i="1"/>
  <c r="T204" i="1"/>
  <c r="N159" i="1"/>
  <c r="N182" i="1"/>
  <c r="T102" i="1"/>
  <c r="T127" i="1"/>
  <c r="T151" i="1"/>
  <c r="T196" i="1"/>
  <c r="N77" i="1"/>
  <c r="N102" i="1"/>
  <c r="N127" i="1"/>
  <c r="N151" i="1"/>
  <c r="N174" i="1"/>
  <c r="T81" i="1"/>
  <c r="T106" i="1"/>
  <c r="T131" i="1"/>
  <c r="T155" i="1"/>
  <c r="T200" i="1"/>
  <c r="N81" i="1"/>
  <c r="N106" i="1"/>
  <c r="N131" i="1"/>
  <c r="N155" i="1"/>
  <c r="N178" i="1"/>
  <c r="N79" i="1"/>
  <c r="N104" i="1"/>
  <c r="N129" i="1"/>
  <c r="N153" i="1"/>
  <c r="N176" i="1"/>
  <c r="N87" i="1"/>
  <c r="N112" i="1"/>
  <c r="N137" i="1"/>
  <c r="N161" i="1"/>
  <c r="N184" i="1"/>
  <c r="T84" i="1"/>
  <c r="T109" i="1"/>
  <c r="T134" i="1"/>
  <c r="T158" i="1"/>
  <c r="T203" i="1"/>
  <c r="N84" i="1"/>
  <c r="N109" i="1"/>
  <c r="N134" i="1"/>
  <c r="N158" i="1"/>
  <c r="N181" i="1"/>
  <c r="T78" i="1"/>
  <c r="T103" i="1"/>
  <c r="T128" i="1"/>
  <c r="T152" i="1"/>
  <c r="T197" i="1"/>
  <c r="N78" i="1"/>
  <c r="N103" i="1"/>
  <c r="N128" i="1"/>
  <c r="N152" i="1"/>
  <c r="N175" i="1"/>
  <c r="T86" i="1"/>
  <c r="T111" i="1"/>
  <c r="T136" i="1"/>
  <c r="T160" i="1"/>
  <c r="T205" i="1"/>
  <c r="N86" i="1"/>
  <c r="N111" i="1"/>
  <c r="N136" i="1"/>
  <c r="N160" i="1"/>
  <c r="N183" i="1"/>
  <c r="T82" i="1"/>
  <c r="T107" i="1"/>
  <c r="T132" i="1"/>
  <c r="T156" i="1"/>
  <c r="T201" i="1"/>
  <c r="N82" i="1"/>
  <c r="N107" i="1"/>
  <c r="N132" i="1"/>
  <c r="N156" i="1"/>
  <c r="N179" i="1"/>
  <c r="T94" i="1"/>
  <c r="T119" i="1"/>
  <c r="T144" i="1"/>
  <c r="T168" i="1"/>
  <c r="T213" i="1"/>
  <c r="N94" i="1"/>
  <c r="N119" i="1"/>
  <c r="N144" i="1"/>
  <c r="N168" i="1"/>
  <c r="T75" i="1"/>
  <c r="T100" i="1"/>
  <c r="T125" i="1"/>
  <c r="T149" i="1"/>
  <c r="T194" i="1"/>
  <c r="N75" i="1"/>
  <c r="N100" i="1"/>
  <c r="N125" i="1"/>
  <c r="N149" i="1"/>
  <c r="N172" i="1"/>
  <c r="Y38" i="1"/>
  <c r="W126" i="1"/>
  <c r="V51" i="1"/>
  <c r="T92" i="1"/>
  <c r="T117" i="1"/>
  <c r="T142" i="1"/>
  <c r="T166" i="1"/>
  <c r="T211" i="1"/>
  <c r="N92" i="1"/>
  <c r="N117" i="1"/>
  <c r="N142" i="1"/>
  <c r="N166" i="1"/>
  <c r="N189" i="1"/>
  <c r="T93" i="1"/>
  <c r="T118" i="1"/>
  <c r="T143" i="1"/>
  <c r="T167" i="1"/>
  <c r="T212" i="1"/>
  <c r="N93" i="1"/>
  <c r="N118" i="1"/>
  <c r="N143" i="1"/>
  <c r="N167" i="1"/>
  <c r="N190" i="1"/>
  <c r="N90" i="1"/>
  <c r="N115" i="1"/>
  <c r="N140" i="1"/>
  <c r="N164" i="1"/>
  <c r="N187" i="1"/>
  <c r="T90" i="1"/>
  <c r="T115" i="1"/>
  <c r="T140" i="1"/>
  <c r="T164" i="1"/>
  <c r="T209" i="1"/>
  <c r="T88" i="1"/>
  <c r="T113" i="1"/>
  <c r="T138" i="1"/>
  <c r="T162" i="1"/>
  <c r="T207" i="1"/>
  <c r="N88" i="1"/>
  <c r="N113" i="1"/>
  <c r="N138" i="1"/>
  <c r="N162" i="1"/>
  <c r="N185" i="1"/>
  <c r="AD40" i="1"/>
  <c r="V40" i="1"/>
  <c r="AG44" i="1"/>
  <c r="Y44" i="1"/>
  <c r="N80" i="1"/>
  <c r="N105" i="1"/>
  <c r="N130" i="1"/>
  <c r="N154" i="1"/>
  <c r="N177" i="1"/>
  <c r="T80" i="1"/>
  <c r="T105" i="1"/>
  <c r="T130" i="1"/>
  <c r="T154" i="1"/>
  <c r="T199" i="1"/>
  <c r="T49" i="1"/>
  <c r="AF44" i="3"/>
  <c r="X44" i="3"/>
  <c r="Y46" i="3"/>
  <c r="AG46" i="3"/>
  <c r="AD50" i="3"/>
  <c r="V50" i="3"/>
  <c r="AG40" i="1"/>
  <c r="Y40" i="1"/>
  <c r="AD44" i="1"/>
  <c r="V44" i="1"/>
  <c r="AD57" i="1"/>
  <c r="V57" i="1"/>
  <c r="U75" i="3"/>
  <c r="W37" i="3"/>
  <c r="AE37" i="3"/>
  <c r="AC44" i="3"/>
  <c r="U44" i="3"/>
  <c r="Z46" i="3"/>
  <c r="Z47" i="3"/>
  <c r="AF55" i="3"/>
  <c r="X55" i="3"/>
  <c r="AG39" i="1"/>
  <c r="Y39" i="1"/>
  <c r="AC47" i="1"/>
  <c r="U47" i="1"/>
  <c r="X57" i="1"/>
  <c r="AF57" i="1"/>
  <c r="W127" i="3"/>
  <c r="Z45" i="3"/>
  <c r="AF47" i="3"/>
  <c r="X47" i="3"/>
  <c r="T57" i="3"/>
  <c r="AB57" i="3"/>
  <c r="W127" i="1"/>
  <c r="AC40" i="1"/>
  <c r="U40" i="1"/>
  <c r="Z41" i="1"/>
  <c r="AE41" i="1"/>
  <c r="W41" i="1"/>
  <c r="AD42" i="1"/>
  <c r="V42" i="1"/>
  <c r="AC44" i="1"/>
  <c r="U44" i="1"/>
  <c r="Z45" i="1"/>
  <c r="AF45" i="1"/>
  <c r="X45" i="1"/>
  <c r="T46" i="1"/>
  <c r="AB47" i="1"/>
  <c r="T47" i="1"/>
  <c r="AF47" i="1"/>
  <c r="X47" i="1"/>
  <c r="T83" i="1"/>
  <c r="T108" i="1"/>
  <c r="T133" i="1"/>
  <c r="T157" i="1"/>
  <c r="T202" i="1"/>
  <c r="N83" i="1"/>
  <c r="N108" i="1"/>
  <c r="N133" i="1"/>
  <c r="N157" i="1"/>
  <c r="N180" i="1"/>
  <c r="AF48" i="1"/>
  <c r="X48" i="1"/>
  <c r="AD37" i="1"/>
  <c r="V37" i="1"/>
  <c r="O125" i="1"/>
  <c r="T38" i="1"/>
  <c r="AD38" i="1"/>
  <c r="V38" i="1"/>
  <c r="Q126" i="1"/>
  <c r="AF38" i="1"/>
  <c r="X38" i="1"/>
  <c r="AD39" i="1"/>
  <c r="V39" i="1"/>
  <c r="AF39" i="1"/>
  <c r="X39" i="1"/>
  <c r="AA40" i="1"/>
  <c r="Z43" i="1"/>
  <c r="AD43" i="1"/>
  <c r="V43" i="1"/>
  <c r="AA44" i="1"/>
  <c r="AD47" i="1"/>
  <c r="V47" i="1"/>
  <c r="AG47" i="1"/>
  <c r="Y47" i="1"/>
  <c r="AF37" i="1"/>
  <c r="X37" i="1"/>
  <c r="U100" i="1"/>
  <c r="AF40" i="1"/>
  <c r="X40" i="1"/>
  <c r="AD41" i="1"/>
  <c r="V41" i="1"/>
  <c r="AC42" i="1"/>
  <c r="U42" i="1"/>
  <c r="AF44" i="1"/>
  <c r="X44" i="1"/>
  <c r="AC46" i="1"/>
  <c r="U46" i="1"/>
  <c r="AA46" i="1"/>
  <c r="AA47" i="1"/>
  <c r="AC48" i="1"/>
  <c r="U48" i="1"/>
  <c r="AE54" i="1"/>
  <c r="W54" i="1"/>
  <c r="AC37" i="1"/>
  <c r="U37" i="1"/>
  <c r="O100" i="1"/>
  <c r="N76" i="1"/>
  <c r="N101" i="1"/>
  <c r="N126" i="1"/>
  <c r="N150" i="1"/>
  <c r="N173" i="1"/>
  <c r="T76" i="1"/>
  <c r="T101" i="1"/>
  <c r="T126" i="1"/>
  <c r="T150" i="1"/>
  <c r="T195" i="1"/>
  <c r="AA38" i="1"/>
  <c r="AA39" i="1"/>
  <c r="Z42" i="1"/>
  <c r="AA42" i="1"/>
  <c r="AG42" i="1"/>
  <c r="Y42" i="1"/>
  <c r="Y43" i="1"/>
  <c r="AG43" i="1"/>
  <c r="AA45" i="1"/>
  <c r="AG46" i="1"/>
  <c r="Y46" i="1"/>
  <c r="Z48" i="1"/>
  <c r="AB49" i="1"/>
  <c r="AE48" i="1"/>
  <c r="W48" i="1"/>
  <c r="AG48" i="1"/>
  <c r="Y48" i="1"/>
  <c r="T89" i="1"/>
  <c r="T114" i="1"/>
  <c r="T139" i="1"/>
  <c r="T163" i="1"/>
  <c r="T208" i="1"/>
  <c r="N89" i="1"/>
  <c r="N114" i="1"/>
  <c r="N139" i="1"/>
  <c r="N163" i="1"/>
  <c r="N186" i="1"/>
  <c r="AA51" i="1"/>
  <c r="AA53" i="1"/>
  <c r="AC54" i="1"/>
  <c r="U54" i="1"/>
  <c r="AB55" i="1"/>
  <c r="T55" i="1"/>
  <c r="AA37" i="1"/>
  <c r="K37" i="1"/>
  <c r="Q37" i="1"/>
  <c r="Y37" i="1"/>
  <c r="U125" i="1"/>
  <c r="Z39" i="1"/>
  <c r="Z40" i="1"/>
  <c r="U41" i="1"/>
  <c r="X42" i="1"/>
  <c r="X43" i="1"/>
  <c r="Z44" i="1"/>
  <c r="AC45" i="1"/>
  <c r="U45" i="1"/>
  <c r="AF46" i="1"/>
  <c r="X46" i="1"/>
  <c r="X50" i="1"/>
  <c r="X56" i="1"/>
  <c r="X54" i="1"/>
  <c r="AG51" i="1"/>
  <c r="Y51" i="1"/>
  <c r="AD54" i="1"/>
  <c r="V54" i="1"/>
  <c r="X55" i="1"/>
  <c r="AD56" i="1"/>
  <c r="V56" i="1"/>
  <c r="AC38" i="1"/>
  <c r="U38" i="1"/>
  <c r="AE38" i="1"/>
  <c r="W38" i="1"/>
  <c r="AG38" i="1"/>
  <c r="AC39" i="1"/>
  <c r="U39" i="1"/>
  <c r="W39" i="1"/>
  <c r="AE39" i="1"/>
  <c r="AC43" i="1"/>
  <c r="U43" i="1"/>
  <c r="AE43" i="1"/>
  <c r="W43" i="1"/>
  <c r="AD45" i="1"/>
  <c r="V45" i="1"/>
  <c r="AG45" i="1"/>
  <c r="Y45" i="1"/>
  <c r="Z47" i="1"/>
  <c r="V53" i="1"/>
  <c r="V55" i="1"/>
  <c r="V50" i="1"/>
  <c r="AD48" i="1"/>
  <c r="V48" i="1"/>
  <c r="AC49" i="1"/>
  <c r="U49" i="1"/>
  <c r="AA49" i="1"/>
  <c r="AG52" i="1"/>
  <c r="Y52" i="1"/>
  <c r="AF52" i="1"/>
  <c r="X52" i="1"/>
  <c r="W52" i="1"/>
  <c r="AG50" i="1"/>
  <c r="Y50" i="1"/>
  <c r="W50" i="1"/>
  <c r="AE50" i="1"/>
  <c r="AC50" i="1"/>
  <c r="U50" i="1"/>
  <c r="Z49" i="1"/>
  <c r="AC52" i="1"/>
  <c r="U52" i="1"/>
  <c r="Z51" i="1"/>
  <c r="AG53" i="1"/>
  <c r="Y53" i="1"/>
  <c r="AG57" i="1"/>
  <c r="Y57" i="1"/>
  <c r="AA54" i="1"/>
  <c r="W51" i="3"/>
  <c r="AE51" i="3"/>
  <c r="H37" i="1"/>
  <c r="N37" i="1"/>
  <c r="AB38" i="1"/>
  <c r="Z52" i="1"/>
  <c r="U51" i="1"/>
  <c r="U53" i="1"/>
  <c r="AF53" i="1"/>
  <c r="X53" i="1"/>
  <c r="Y54" i="1"/>
  <c r="Z56" i="1"/>
  <c r="AG56" i="1"/>
  <c r="Y56" i="1"/>
  <c r="W42" i="3"/>
  <c r="AE49" i="3"/>
  <c r="W49" i="3"/>
  <c r="AE43" i="3"/>
  <c r="W41" i="3"/>
  <c r="AE41" i="3"/>
  <c r="AA41" i="1"/>
  <c r="AA43" i="1"/>
  <c r="Z46" i="1"/>
  <c r="AD49" i="1"/>
  <c r="V49" i="1"/>
  <c r="X49" i="1"/>
  <c r="T91" i="1"/>
  <c r="T116" i="1"/>
  <c r="T141" i="1"/>
  <c r="T165" i="1"/>
  <c r="T210" i="1"/>
  <c r="N91" i="1"/>
  <c r="N116" i="1"/>
  <c r="N141" i="1"/>
  <c r="N165" i="1"/>
  <c r="N188" i="1"/>
  <c r="AB53" i="1"/>
  <c r="AG55" i="1"/>
  <c r="Y55" i="1"/>
  <c r="AC56" i="1"/>
  <c r="U56" i="1"/>
  <c r="Z57" i="1"/>
  <c r="AA57" i="1"/>
  <c r="AA48" i="1"/>
  <c r="Z55" i="1"/>
  <c r="Z53" i="1"/>
  <c r="Y48" i="3"/>
  <c r="AG48" i="3"/>
  <c r="V56" i="3"/>
  <c r="AD56" i="3"/>
  <c r="AF56" i="3"/>
  <c r="T95" i="3"/>
  <c r="T120" i="3"/>
  <c r="T145" i="3"/>
  <c r="T169" i="3"/>
  <c r="T214" i="3"/>
  <c r="N95" i="3"/>
  <c r="N120" i="3"/>
  <c r="N145" i="3"/>
  <c r="N169" i="3"/>
  <c r="U76" i="3"/>
  <c r="W76" i="3"/>
  <c r="AC41" i="3"/>
  <c r="U41" i="3"/>
  <c r="U54" i="3"/>
  <c r="AC54" i="3"/>
  <c r="AA54" i="3"/>
  <c r="Z55" i="3"/>
  <c r="Z57" i="3"/>
  <c r="AD44" i="3"/>
  <c r="V44" i="3"/>
  <c r="U77" i="3"/>
  <c r="U78" i="3"/>
  <c r="AD37" i="3"/>
  <c r="V37" i="3"/>
  <c r="U39" i="3"/>
  <c r="AG39" i="3"/>
  <c r="AC40" i="3"/>
  <c r="V40" i="3"/>
  <c r="AD40" i="3"/>
  <c r="AC51" i="3"/>
  <c r="AA52" i="3"/>
  <c r="N91" i="3"/>
  <c r="N116" i="3"/>
  <c r="N141" i="3"/>
  <c r="N165" i="3"/>
  <c r="N188" i="3"/>
  <c r="T91" i="3"/>
  <c r="T116" i="3"/>
  <c r="T141" i="3"/>
  <c r="T165" i="3"/>
  <c r="T210" i="3"/>
  <c r="U125" i="3"/>
  <c r="Y37" i="3"/>
  <c r="AG37" i="3"/>
  <c r="U101" i="3"/>
  <c r="U102" i="3"/>
  <c r="W101" i="3"/>
  <c r="V46" i="3"/>
  <c r="AD46" i="3"/>
  <c r="AA55" i="3"/>
  <c r="N83" i="3"/>
  <c r="N108" i="3"/>
  <c r="N133" i="3"/>
  <c r="N157" i="3"/>
  <c r="N180" i="3"/>
  <c r="T83" i="3"/>
  <c r="T108" i="3"/>
  <c r="T133" i="3"/>
  <c r="T157" i="3"/>
  <c r="T202" i="3"/>
  <c r="U103" i="3"/>
  <c r="Q60" i="1"/>
  <c r="Q61" i="1"/>
  <c r="P60" i="3"/>
  <c r="P61" i="3"/>
  <c r="N60" i="1"/>
  <c r="N61" i="1"/>
  <c r="Q150" i="3"/>
  <c r="Q173" i="3"/>
  <c r="O60" i="3"/>
  <c r="O61" i="3"/>
  <c r="W76" i="1"/>
  <c r="AE45" i="1"/>
  <c r="W45" i="1"/>
  <c r="AB43" i="1"/>
  <c r="T43" i="1"/>
  <c r="T37" i="1"/>
  <c r="O75" i="1"/>
  <c r="O76" i="1"/>
  <c r="Q76" i="1"/>
  <c r="AB41" i="1"/>
  <c r="T41" i="1"/>
  <c r="W102" i="3"/>
  <c r="AC55" i="3"/>
  <c r="U55" i="3"/>
  <c r="W51" i="1"/>
  <c r="AE51" i="1"/>
  <c r="Q60" i="3"/>
  <c r="Q61" i="3"/>
  <c r="AB52" i="1"/>
  <c r="T52" i="1"/>
  <c r="AE49" i="1"/>
  <c r="W49" i="1"/>
  <c r="O101" i="1"/>
  <c r="O102" i="1"/>
  <c r="Q101" i="1"/>
  <c r="AB44" i="1"/>
  <c r="T44" i="1"/>
  <c r="O103" i="1"/>
  <c r="O104" i="1"/>
  <c r="AE53" i="1"/>
  <c r="W53" i="1"/>
  <c r="AB42" i="1"/>
  <c r="T42" i="1"/>
  <c r="AE47" i="1"/>
  <c r="W47" i="1"/>
  <c r="AE40" i="1"/>
  <c r="W40" i="1"/>
  <c r="AB46" i="3"/>
  <c r="AB47" i="3"/>
  <c r="T46" i="3"/>
  <c r="AE55" i="1"/>
  <c r="W55" i="1"/>
  <c r="AB51" i="1"/>
  <c r="T51" i="1"/>
  <c r="AB40" i="1"/>
  <c r="T40" i="1"/>
  <c r="T48" i="1"/>
  <c r="AB48" i="1"/>
  <c r="AB45" i="1"/>
  <c r="T45" i="1"/>
  <c r="W128" i="1"/>
  <c r="U126" i="3"/>
  <c r="X52" i="3"/>
  <c r="AF52" i="3"/>
  <c r="S60" i="3"/>
  <c r="S61" i="3"/>
  <c r="AC57" i="3"/>
  <c r="U57" i="3"/>
  <c r="AG54" i="3"/>
  <c r="Y54" i="3"/>
  <c r="W77" i="3"/>
  <c r="W150" i="3"/>
  <c r="AB54" i="1"/>
  <c r="T54" i="1"/>
  <c r="AB57" i="1"/>
  <c r="T57" i="1"/>
  <c r="AB56" i="1"/>
  <c r="T56" i="1"/>
  <c r="AE42" i="1"/>
  <c r="W42" i="1"/>
  <c r="S60" i="1"/>
  <c r="S61" i="1"/>
  <c r="AE37" i="1"/>
  <c r="W37" i="1"/>
  <c r="U75" i="1"/>
  <c r="R60" i="1"/>
  <c r="R61" i="1"/>
  <c r="Q127" i="1"/>
  <c r="AB46" i="1"/>
  <c r="AC47" i="3"/>
  <c r="U47" i="3"/>
  <c r="U126" i="1"/>
  <c r="AE44" i="1"/>
  <c r="W44" i="1"/>
  <c r="P60" i="1"/>
  <c r="P61" i="1"/>
  <c r="AD45" i="3"/>
  <c r="V45" i="3"/>
  <c r="AB50" i="1"/>
  <c r="T50" i="1"/>
  <c r="AE57" i="1"/>
  <c r="W57" i="1"/>
  <c r="U79" i="3"/>
  <c r="AB37" i="1"/>
  <c r="O60" i="1"/>
  <c r="O61" i="1"/>
  <c r="AB39" i="1"/>
  <c r="T39" i="1"/>
  <c r="AE46" i="1"/>
  <c r="W46" i="1"/>
  <c r="U101" i="1"/>
  <c r="U102" i="1"/>
  <c r="W101" i="1"/>
  <c r="O126" i="1"/>
  <c r="W128" i="3"/>
  <c r="U103" i="1"/>
  <c r="N62" i="1"/>
  <c r="N63" i="1"/>
  <c r="O127" i="1"/>
  <c r="N60" i="3"/>
  <c r="N61" i="3"/>
  <c r="W78" i="3"/>
  <c r="W151" i="3"/>
  <c r="W129" i="1"/>
  <c r="Q77" i="1"/>
  <c r="Q150" i="1"/>
  <c r="Q173" i="1"/>
  <c r="W103" i="3"/>
  <c r="Q63" i="1"/>
  <c r="Q62" i="1"/>
  <c r="W129" i="3"/>
  <c r="W102" i="1"/>
  <c r="U80" i="3"/>
  <c r="U127" i="1"/>
  <c r="R60" i="3"/>
  <c r="R61" i="3"/>
  <c r="Q102" i="1"/>
  <c r="U76" i="1"/>
  <c r="U104" i="3"/>
  <c r="Q128" i="1"/>
  <c r="Q174" i="3"/>
  <c r="O77" i="1"/>
  <c r="U127" i="3"/>
  <c r="O105" i="1"/>
  <c r="W77" i="1"/>
  <c r="W150" i="1"/>
  <c r="Q62" i="3"/>
  <c r="Q63" i="3"/>
  <c r="W151" i="1"/>
  <c r="W78" i="1"/>
  <c r="U128" i="1"/>
  <c r="Q129" i="1"/>
  <c r="Q103" i="1"/>
  <c r="W130" i="3"/>
  <c r="W104" i="3"/>
  <c r="W79" i="3"/>
  <c r="W152" i="3"/>
  <c r="N63" i="3"/>
  <c r="N62" i="3"/>
  <c r="U105" i="3"/>
  <c r="Q174" i="1"/>
  <c r="Q78" i="1"/>
  <c r="Q151" i="1"/>
  <c r="O128" i="1"/>
  <c r="U128" i="3"/>
  <c r="W103" i="1"/>
  <c r="U104" i="1"/>
  <c r="W130" i="1"/>
  <c r="O106" i="1"/>
  <c r="Q175" i="3"/>
  <c r="U77" i="1"/>
  <c r="O78" i="1"/>
  <c r="U81" i="3"/>
  <c r="W104" i="1"/>
  <c r="O79" i="1"/>
  <c r="U105" i="1"/>
  <c r="U129" i="3"/>
  <c r="W105" i="3"/>
  <c r="Q104" i="1"/>
  <c r="U78" i="1"/>
  <c r="Q79" i="1"/>
  <c r="Q152" i="1"/>
  <c r="Q175" i="1"/>
  <c r="U82" i="3"/>
  <c r="Q176" i="3"/>
  <c r="O129" i="1"/>
  <c r="W131" i="3"/>
  <c r="Q130" i="1"/>
  <c r="O107" i="1"/>
  <c r="W80" i="3"/>
  <c r="W153" i="3"/>
  <c r="U129" i="1"/>
  <c r="W131" i="1"/>
  <c r="U106" i="3"/>
  <c r="W152" i="1"/>
  <c r="W79" i="1"/>
  <c r="W106" i="3"/>
  <c r="W105" i="1"/>
  <c r="W132" i="1"/>
  <c r="U130" i="1"/>
  <c r="O108" i="1"/>
  <c r="O130" i="1"/>
  <c r="W153" i="1"/>
  <c r="W80" i="1"/>
  <c r="W132" i="3"/>
  <c r="O80" i="1"/>
  <c r="Q177" i="3"/>
  <c r="U79" i="1"/>
  <c r="U106" i="1"/>
  <c r="Q176" i="1"/>
  <c r="Q80" i="1"/>
  <c r="Q153" i="1"/>
  <c r="U130" i="3"/>
  <c r="U107" i="3"/>
  <c r="W81" i="3"/>
  <c r="W154" i="3"/>
  <c r="Q131" i="1"/>
  <c r="U83" i="3"/>
  <c r="Q105" i="1"/>
  <c r="Q106" i="1"/>
  <c r="O131" i="1"/>
  <c r="U131" i="1"/>
  <c r="W133" i="3"/>
  <c r="W82" i="3"/>
  <c r="W155" i="3"/>
  <c r="W106" i="1"/>
  <c r="Q132" i="1"/>
  <c r="U108" i="3"/>
  <c r="Q178" i="3"/>
  <c r="W81" i="1"/>
  <c r="W154" i="1"/>
  <c r="O109" i="1"/>
  <c r="U131" i="3"/>
  <c r="U80" i="1"/>
  <c r="U84" i="3"/>
  <c r="Q81" i="1"/>
  <c r="Q177" i="1"/>
  <c r="Q154" i="1"/>
  <c r="U107" i="1"/>
  <c r="O81" i="1"/>
  <c r="W133" i="1"/>
  <c r="W107" i="3"/>
  <c r="W108" i="3"/>
  <c r="O82" i="1"/>
  <c r="O110" i="1"/>
  <c r="U109" i="3"/>
  <c r="Q155" i="1"/>
  <c r="Q82" i="1"/>
  <c r="Q178" i="1"/>
  <c r="W83" i="3"/>
  <c r="W156" i="3"/>
  <c r="W134" i="3"/>
  <c r="U132" i="1"/>
  <c r="U85" i="3"/>
  <c r="W82" i="1"/>
  <c r="W155" i="1"/>
  <c r="U132" i="3"/>
  <c r="W107" i="1"/>
  <c r="O132" i="1"/>
  <c r="W134" i="1"/>
  <c r="U108" i="1"/>
  <c r="U81" i="1"/>
  <c r="Q179" i="3"/>
  <c r="Q133" i="1"/>
  <c r="Q107" i="1"/>
  <c r="O133" i="1"/>
  <c r="Q134" i="1"/>
  <c r="Q180" i="3"/>
  <c r="U109" i="1"/>
  <c r="U133" i="1"/>
  <c r="Q179" i="1"/>
  <c r="Q83" i="1"/>
  <c r="Q156" i="1"/>
  <c r="U110" i="3"/>
  <c r="O83" i="1"/>
  <c r="W84" i="3"/>
  <c r="W157" i="3"/>
  <c r="U133" i="3"/>
  <c r="W83" i="1"/>
  <c r="W156" i="1"/>
  <c r="W135" i="3"/>
  <c r="O111" i="1"/>
  <c r="Q108" i="1"/>
  <c r="U82" i="1"/>
  <c r="W135" i="1"/>
  <c r="W108" i="1"/>
  <c r="U86" i="3"/>
  <c r="W109" i="3"/>
  <c r="U83" i="1"/>
  <c r="U110" i="1"/>
  <c r="U87" i="3"/>
  <c r="W136" i="1"/>
  <c r="Q109" i="1"/>
  <c r="W84" i="1"/>
  <c r="W157" i="1"/>
  <c r="Q135" i="1"/>
  <c r="O84" i="1"/>
  <c r="U134" i="3"/>
  <c r="Q181" i="3"/>
  <c r="W110" i="3"/>
  <c r="O112" i="1"/>
  <c r="W109" i="1"/>
  <c r="W136" i="3"/>
  <c r="W85" i="3"/>
  <c r="W158" i="3"/>
  <c r="U111" i="3"/>
  <c r="Q180" i="1"/>
  <c r="Q157" i="1"/>
  <c r="Q84" i="1"/>
  <c r="U134" i="1"/>
  <c r="O134" i="1"/>
  <c r="O135" i="1"/>
  <c r="U112" i="3"/>
  <c r="W86" i="3"/>
  <c r="W159" i="3"/>
  <c r="O85" i="1"/>
  <c r="Q110" i="1"/>
  <c r="Q85" i="1"/>
  <c r="Q181" i="1"/>
  <c r="Q158" i="1"/>
  <c r="W111" i="3"/>
  <c r="Q182" i="3"/>
  <c r="W85" i="1"/>
  <c r="W158" i="1"/>
  <c r="W137" i="1"/>
  <c r="U84" i="1"/>
  <c r="U135" i="3"/>
  <c r="U111" i="1"/>
  <c r="U135" i="1"/>
  <c r="W137" i="3"/>
  <c r="W110" i="1"/>
  <c r="O113" i="1"/>
  <c r="Q136" i="1"/>
  <c r="U88" i="3"/>
  <c r="Q137" i="1"/>
  <c r="U89" i="3"/>
  <c r="U112" i="1"/>
  <c r="W86" i="1"/>
  <c r="W159" i="1"/>
  <c r="W112" i="3"/>
  <c r="Q111" i="1"/>
  <c r="W87" i="3"/>
  <c r="W160" i="3"/>
  <c r="O114" i="1"/>
  <c r="U85" i="1"/>
  <c r="Q183" i="3"/>
  <c r="O86" i="1"/>
  <c r="U113" i="3"/>
  <c r="W111" i="1"/>
  <c r="W138" i="1"/>
  <c r="W138" i="3"/>
  <c r="U136" i="1"/>
  <c r="U136" i="3"/>
  <c r="Q182" i="1"/>
  <c r="Q159" i="1"/>
  <c r="Q86" i="1"/>
  <c r="O136" i="1"/>
  <c r="W88" i="3"/>
  <c r="W161" i="3"/>
  <c r="O137" i="1"/>
  <c r="U137" i="1"/>
  <c r="O87" i="1"/>
  <c r="U113" i="1"/>
  <c r="Q112" i="1"/>
  <c r="U137" i="3"/>
  <c r="W139" i="3"/>
  <c r="U114" i="3"/>
  <c r="Q184" i="3"/>
  <c r="U90" i="3"/>
  <c r="W112" i="1"/>
  <c r="O115" i="1"/>
  <c r="Q87" i="1"/>
  <c r="Q160" i="1"/>
  <c r="Q183" i="1"/>
  <c r="W139" i="1"/>
  <c r="U86" i="1"/>
  <c r="W113" i="3"/>
  <c r="W87" i="1"/>
  <c r="W160" i="1"/>
  <c r="Q138" i="1"/>
  <c r="Q139" i="1"/>
  <c r="W88" i="1"/>
  <c r="W161" i="1"/>
  <c r="Q184" i="1"/>
  <c r="Q161" i="1"/>
  <c r="Q88" i="1"/>
  <c r="W113" i="1"/>
  <c r="U91" i="3"/>
  <c r="U138" i="3"/>
  <c r="Q113" i="1"/>
  <c r="U114" i="1"/>
  <c r="O88" i="1"/>
  <c r="O138" i="1"/>
  <c r="O116" i="1"/>
  <c r="W114" i="3"/>
  <c r="W140" i="1"/>
  <c r="Q185" i="3"/>
  <c r="W140" i="3"/>
  <c r="U138" i="1"/>
  <c r="U87" i="1"/>
  <c r="U115" i="3"/>
  <c r="W89" i="3"/>
  <c r="W162" i="3"/>
  <c r="Q114" i="1"/>
  <c r="U92" i="3"/>
  <c r="U88" i="1"/>
  <c r="U139" i="1"/>
  <c r="W141" i="3"/>
  <c r="Q186" i="3"/>
  <c r="O117" i="1"/>
  <c r="O89" i="1"/>
  <c r="U116" i="3"/>
  <c r="W141" i="1"/>
  <c r="W89" i="1"/>
  <c r="W162" i="1"/>
  <c r="W90" i="3"/>
  <c r="W163" i="3"/>
  <c r="O139" i="1"/>
  <c r="Q185" i="1"/>
  <c r="Q89" i="1"/>
  <c r="Q162" i="1"/>
  <c r="W115" i="3"/>
  <c r="U115" i="1"/>
  <c r="U139" i="3"/>
  <c r="W114" i="1"/>
  <c r="Q140" i="1"/>
  <c r="O140" i="1"/>
  <c r="U117" i="3"/>
  <c r="U89" i="1"/>
  <c r="Q141" i="1"/>
  <c r="W115" i="1"/>
  <c r="W142" i="1"/>
  <c r="Q187" i="3"/>
  <c r="U140" i="1"/>
  <c r="Q115" i="1"/>
  <c r="U140" i="3"/>
  <c r="W116" i="3"/>
  <c r="Q186" i="1"/>
  <c r="Q163" i="1"/>
  <c r="Q90" i="1"/>
  <c r="W90" i="1"/>
  <c r="W163" i="1"/>
  <c r="W142" i="3"/>
  <c r="O90" i="1"/>
  <c r="U93" i="3"/>
  <c r="U116" i="1"/>
  <c r="W91" i="3"/>
  <c r="W164" i="3"/>
  <c r="O118" i="1"/>
  <c r="O119" i="1"/>
  <c r="O91" i="1"/>
  <c r="W91" i="1"/>
  <c r="W164" i="1"/>
  <c r="U141" i="3"/>
  <c r="Q142" i="1"/>
  <c r="W143" i="1"/>
  <c r="U118" i="3"/>
  <c r="W92" i="3"/>
  <c r="W165" i="3"/>
  <c r="Q116" i="1"/>
  <c r="U141" i="1"/>
  <c r="Q188" i="3"/>
  <c r="U90" i="1"/>
  <c r="U117" i="1"/>
  <c r="W143" i="3"/>
  <c r="U94" i="3"/>
  <c r="Q187" i="1"/>
  <c r="Q91" i="1"/>
  <c r="Q164" i="1"/>
  <c r="W117" i="3"/>
  <c r="W116" i="1"/>
  <c r="O141" i="1"/>
  <c r="R144" i="3"/>
  <c r="Q188" i="1"/>
  <c r="Q165" i="1"/>
  <c r="Q92" i="1"/>
  <c r="U118" i="1"/>
  <c r="U119" i="3"/>
  <c r="U142" i="3"/>
  <c r="Q117" i="1"/>
  <c r="W144" i="1"/>
  <c r="O92" i="1"/>
  <c r="W118" i="3"/>
  <c r="U91" i="1"/>
  <c r="U142" i="1"/>
  <c r="Q143" i="1"/>
  <c r="O120" i="1"/>
  <c r="P119" i="1"/>
  <c r="O142" i="1"/>
  <c r="Q189" i="3"/>
  <c r="W117" i="1"/>
  <c r="U95" i="3"/>
  <c r="V94" i="3"/>
  <c r="W144" i="3"/>
  <c r="W93" i="3"/>
  <c r="W166" i="3"/>
  <c r="W92" i="1"/>
  <c r="W165" i="1"/>
  <c r="U120" i="3"/>
  <c r="V119" i="3"/>
  <c r="R119" i="3"/>
  <c r="W145" i="3"/>
  <c r="X144" i="3"/>
  <c r="P120" i="1"/>
  <c r="P100" i="1"/>
  <c r="P103" i="1"/>
  <c r="P104" i="1"/>
  <c r="P101" i="1"/>
  <c r="P102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Q144" i="1"/>
  <c r="U92" i="1"/>
  <c r="W119" i="3"/>
  <c r="W145" i="1"/>
  <c r="X144" i="1"/>
  <c r="U143" i="3"/>
  <c r="U119" i="1"/>
  <c r="W94" i="3"/>
  <c r="W167" i="3"/>
  <c r="W118" i="1"/>
  <c r="O93" i="1"/>
  <c r="Q118" i="1"/>
  <c r="W166" i="1"/>
  <c r="W93" i="1"/>
  <c r="V95" i="3"/>
  <c r="V77" i="3"/>
  <c r="V78" i="3"/>
  <c r="V75" i="3"/>
  <c r="V76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Q190" i="3"/>
  <c r="O143" i="1"/>
  <c r="U143" i="1"/>
  <c r="Q93" i="1"/>
  <c r="Q166" i="1"/>
  <c r="Q189" i="1"/>
  <c r="R145" i="3"/>
  <c r="R127" i="3"/>
  <c r="R126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Q190" i="1"/>
  <c r="R189" i="1"/>
  <c r="U144" i="1"/>
  <c r="R94" i="3"/>
  <c r="S168" i="3"/>
  <c r="W94" i="1"/>
  <c r="W167" i="1"/>
  <c r="O94" i="1"/>
  <c r="W95" i="3"/>
  <c r="W168" i="3"/>
  <c r="W119" i="1"/>
  <c r="U144" i="3"/>
  <c r="R12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Q94" i="1"/>
  <c r="Q167" i="1"/>
  <c r="O144" i="1"/>
  <c r="Q119" i="1"/>
  <c r="U120" i="1"/>
  <c r="V119" i="1"/>
  <c r="U93" i="1"/>
  <c r="X14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R190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W120" i="3"/>
  <c r="R189" i="3"/>
  <c r="X14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Q145" i="1"/>
  <c r="V120" i="3"/>
  <c r="V100" i="3"/>
  <c r="V102" i="3"/>
  <c r="V101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R14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X12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V120" i="1"/>
  <c r="V100" i="1"/>
  <c r="V102" i="1"/>
  <c r="V101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U145" i="3"/>
  <c r="P100" i="3"/>
  <c r="W169" i="3"/>
  <c r="X95" i="3"/>
  <c r="Y169" i="3"/>
  <c r="X76" i="3"/>
  <c r="Y150" i="3"/>
  <c r="X77" i="3"/>
  <c r="X78" i="3"/>
  <c r="Y152" i="3"/>
  <c r="X79" i="3"/>
  <c r="Y153" i="3"/>
  <c r="X80" i="3"/>
  <c r="Y154" i="3"/>
  <c r="X81" i="3"/>
  <c r="X82" i="3"/>
  <c r="Y156" i="3"/>
  <c r="X83" i="3"/>
  <c r="Y157" i="3"/>
  <c r="X84" i="3"/>
  <c r="Y158" i="3"/>
  <c r="X85" i="3"/>
  <c r="X86" i="3"/>
  <c r="Y160" i="3"/>
  <c r="X87" i="3"/>
  <c r="Y161" i="3"/>
  <c r="X88" i="3"/>
  <c r="Y162" i="3"/>
  <c r="X89" i="3"/>
  <c r="X90" i="3"/>
  <c r="Y164" i="3"/>
  <c r="X91" i="3"/>
  <c r="Y165" i="3"/>
  <c r="X92" i="3"/>
  <c r="Y166" i="3"/>
  <c r="X93" i="3"/>
  <c r="U145" i="1"/>
  <c r="V144" i="1"/>
  <c r="O95" i="1"/>
  <c r="P94" i="1"/>
  <c r="R144" i="1"/>
  <c r="U94" i="1"/>
  <c r="P75" i="3"/>
  <c r="O145" i="1"/>
  <c r="P144" i="1"/>
  <c r="O168" i="1"/>
  <c r="Q95" i="1"/>
  <c r="Q168" i="1"/>
  <c r="R94" i="1"/>
  <c r="W120" i="1"/>
  <c r="X119" i="1"/>
  <c r="X168" i="3"/>
  <c r="R95" i="3"/>
  <c r="S169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Q120" i="1"/>
  <c r="W168" i="1"/>
  <c r="W95" i="1"/>
  <c r="X119" i="3"/>
  <c r="R19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X94" i="3"/>
  <c r="Y168" i="3"/>
  <c r="R12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S164" i="3"/>
  <c r="S187" i="3"/>
  <c r="R150" i="3"/>
  <c r="P184" i="3"/>
  <c r="P176" i="3"/>
  <c r="X16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R119" i="1"/>
  <c r="S165" i="3"/>
  <c r="S188" i="3"/>
  <c r="S161" i="3"/>
  <c r="S184" i="3"/>
  <c r="S157" i="3"/>
  <c r="S180" i="3"/>
  <c r="S153" i="3"/>
  <c r="S176" i="3"/>
  <c r="S168" i="1"/>
  <c r="P145" i="1"/>
  <c r="O169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O166" i="1"/>
  <c r="P143" i="1"/>
  <c r="O167" i="1"/>
  <c r="U95" i="1"/>
  <c r="V145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X95" i="1"/>
  <c r="W169" i="1"/>
  <c r="X76" i="1"/>
  <c r="X77" i="1"/>
  <c r="X78" i="1"/>
  <c r="X79" i="1"/>
  <c r="X104" i="1"/>
  <c r="Y153" i="1"/>
  <c r="X80" i="1"/>
  <c r="X81" i="1"/>
  <c r="X82" i="1"/>
  <c r="X83" i="1"/>
  <c r="X108" i="1"/>
  <c r="Y157" i="1"/>
  <c r="X84" i="1"/>
  <c r="X85" i="1"/>
  <c r="X86" i="1"/>
  <c r="X87" i="1"/>
  <c r="X112" i="1"/>
  <c r="Y161" i="1"/>
  <c r="X88" i="1"/>
  <c r="X89" i="1"/>
  <c r="X90" i="1"/>
  <c r="X91" i="1"/>
  <c r="X116" i="1"/>
  <c r="Y165" i="1"/>
  <c r="X92" i="1"/>
  <c r="X93" i="1"/>
  <c r="S160" i="3"/>
  <c r="S183" i="3"/>
  <c r="S152" i="3"/>
  <c r="S175" i="3"/>
  <c r="O188" i="3"/>
  <c r="P125" i="3"/>
  <c r="P172" i="3"/>
  <c r="V145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O172" i="3"/>
  <c r="P173" i="3"/>
  <c r="O176" i="3"/>
  <c r="O184" i="3"/>
  <c r="P188" i="3"/>
  <c r="X94" i="1"/>
  <c r="Y168" i="1"/>
  <c r="S167" i="3"/>
  <c r="S190" i="3"/>
  <c r="S163" i="3"/>
  <c r="S186" i="3"/>
  <c r="S159" i="3"/>
  <c r="S182" i="3"/>
  <c r="S155" i="3"/>
  <c r="S178" i="3"/>
  <c r="S151" i="3"/>
  <c r="S174" i="3"/>
  <c r="R95" i="1"/>
  <c r="S169" i="1"/>
  <c r="Q169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P187" i="3"/>
  <c r="O187" i="3"/>
  <c r="P183" i="3"/>
  <c r="O183" i="3"/>
  <c r="P179" i="3"/>
  <c r="O179" i="3"/>
  <c r="O175" i="3"/>
  <c r="P175" i="3"/>
  <c r="P95" i="1"/>
  <c r="P169" i="1"/>
  <c r="P76" i="1"/>
  <c r="P75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Y167" i="3"/>
  <c r="Y163" i="3"/>
  <c r="Y159" i="3"/>
  <c r="Y155" i="3"/>
  <c r="Y151" i="3"/>
  <c r="S156" i="3"/>
  <c r="S179" i="3"/>
  <c r="R168" i="1"/>
  <c r="O180" i="3"/>
  <c r="P180" i="3"/>
  <c r="S166" i="3"/>
  <c r="S189" i="3"/>
  <c r="S162" i="3"/>
  <c r="S185" i="3"/>
  <c r="S158" i="3"/>
  <c r="S181" i="3"/>
  <c r="S154" i="3"/>
  <c r="S177" i="3"/>
  <c r="S150" i="3"/>
  <c r="S173" i="3"/>
  <c r="X120" i="1"/>
  <c r="X101" i="1"/>
  <c r="X102" i="1"/>
  <c r="X103" i="1"/>
  <c r="X105" i="1"/>
  <c r="X106" i="1"/>
  <c r="X107" i="1"/>
  <c r="X109" i="1"/>
  <c r="X110" i="1"/>
  <c r="X111" i="1"/>
  <c r="X113" i="1"/>
  <c r="X114" i="1"/>
  <c r="X115" i="1"/>
  <c r="X117" i="1"/>
  <c r="X118" i="1"/>
  <c r="P190" i="3"/>
  <c r="O190" i="3"/>
  <c r="O186" i="3"/>
  <c r="P186" i="3"/>
  <c r="O182" i="3"/>
  <c r="P182" i="3"/>
  <c r="O178" i="3"/>
  <c r="P178" i="3"/>
  <c r="P174" i="3"/>
  <c r="O174" i="3"/>
  <c r="P168" i="1"/>
  <c r="V144" i="3"/>
  <c r="O190" i="1"/>
  <c r="P190" i="1"/>
  <c r="P167" i="1"/>
  <c r="O165" i="1"/>
  <c r="S190" i="1"/>
  <c r="S167" i="1"/>
  <c r="S155" i="1"/>
  <c r="S178" i="1"/>
  <c r="V166" i="3"/>
  <c r="U166" i="3"/>
  <c r="V158" i="3"/>
  <c r="U158" i="3"/>
  <c r="O185" i="3"/>
  <c r="O187" i="1"/>
  <c r="P187" i="1"/>
  <c r="P164" i="1"/>
  <c r="O183" i="1"/>
  <c r="P160" i="1"/>
  <c r="P183" i="1"/>
  <c r="O160" i="1"/>
  <c r="P179" i="1"/>
  <c r="O179" i="1"/>
  <c r="P156" i="1"/>
  <c r="O156" i="1"/>
  <c r="O175" i="1"/>
  <c r="P152" i="1"/>
  <c r="P175" i="1"/>
  <c r="O152" i="1"/>
  <c r="S187" i="1"/>
  <c r="S164" i="1"/>
  <c r="S160" i="1"/>
  <c r="S183" i="1"/>
  <c r="S179" i="1"/>
  <c r="S156" i="1"/>
  <c r="S175" i="1"/>
  <c r="S152" i="1"/>
  <c r="P149" i="3"/>
  <c r="Y166" i="1"/>
  <c r="Y162" i="1"/>
  <c r="Y158" i="1"/>
  <c r="Y154" i="1"/>
  <c r="Y150" i="1"/>
  <c r="V167" i="3"/>
  <c r="U167" i="3"/>
  <c r="U163" i="3"/>
  <c r="V163" i="3"/>
  <c r="V159" i="3"/>
  <c r="U159" i="3"/>
  <c r="V155" i="3"/>
  <c r="U155" i="3"/>
  <c r="V151" i="3"/>
  <c r="U151" i="3"/>
  <c r="P177" i="3"/>
  <c r="P181" i="3"/>
  <c r="P185" i="3"/>
  <c r="P189" i="3"/>
  <c r="P186" i="1"/>
  <c r="O186" i="1"/>
  <c r="O163" i="1"/>
  <c r="P163" i="1"/>
  <c r="P178" i="1"/>
  <c r="O178" i="1"/>
  <c r="O155" i="1"/>
  <c r="P155" i="1"/>
  <c r="S163" i="1"/>
  <c r="S186" i="1"/>
  <c r="S151" i="1"/>
  <c r="S174" i="1"/>
  <c r="U162" i="3"/>
  <c r="V162" i="3"/>
  <c r="U150" i="3"/>
  <c r="V150" i="3"/>
  <c r="V95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O181" i="3"/>
  <c r="P189" i="1"/>
  <c r="O189" i="1"/>
  <c r="P166" i="1"/>
  <c r="O164" i="1"/>
  <c r="O162" i="1"/>
  <c r="P162" i="1"/>
  <c r="O185" i="1"/>
  <c r="P185" i="1"/>
  <c r="P181" i="1"/>
  <c r="O158" i="1"/>
  <c r="O181" i="1"/>
  <c r="P158" i="1"/>
  <c r="O154" i="1"/>
  <c r="P177" i="1"/>
  <c r="O177" i="1"/>
  <c r="P154" i="1"/>
  <c r="P172" i="1"/>
  <c r="O172" i="1"/>
  <c r="P149" i="1"/>
  <c r="O149" i="1"/>
  <c r="S189" i="1"/>
  <c r="S166" i="1"/>
  <c r="S185" i="1"/>
  <c r="S162" i="1"/>
  <c r="S181" i="1"/>
  <c r="S158" i="1"/>
  <c r="S177" i="1"/>
  <c r="S154" i="1"/>
  <c r="S173" i="1"/>
  <c r="S150" i="1"/>
  <c r="O149" i="3"/>
  <c r="Y164" i="1"/>
  <c r="Y160" i="1"/>
  <c r="Y156" i="1"/>
  <c r="Y152" i="1"/>
  <c r="Y169" i="1"/>
  <c r="V165" i="3"/>
  <c r="U165" i="3"/>
  <c r="U161" i="3"/>
  <c r="V161" i="3"/>
  <c r="V157" i="3"/>
  <c r="U157" i="3"/>
  <c r="U153" i="3"/>
  <c r="V153" i="3"/>
  <c r="U149" i="3"/>
  <c r="V149" i="3"/>
  <c r="V94" i="1"/>
  <c r="O173" i="3"/>
  <c r="O177" i="3"/>
  <c r="P182" i="1"/>
  <c r="P159" i="1"/>
  <c r="O182" i="1"/>
  <c r="O159" i="1"/>
  <c r="O174" i="1"/>
  <c r="P151" i="1"/>
  <c r="P174" i="1"/>
  <c r="O151" i="1"/>
  <c r="S182" i="1"/>
  <c r="S159" i="1"/>
  <c r="X16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U154" i="3"/>
  <c r="V154" i="3"/>
  <c r="O189" i="3"/>
  <c r="U168" i="3"/>
  <c r="V168" i="3"/>
  <c r="X168" i="1"/>
  <c r="O188" i="1"/>
  <c r="P188" i="1"/>
  <c r="P165" i="1"/>
  <c r="P184" i="1"/>
  <c r="O184" i="1"/>
  <c r="O161" i="1"/>
  <c r="P161" i="1"/>
  <c r="O180" i="1"/>
  <c r="O157" i="1"/>
  <c r="P180" i="1"/>
  <c r="P157" i="1"/>
  <c r="O176" i="1"/>
  <c r="P176" i="1"/>
  <c r="P153" i="1"/>
  <c r="O153" i="1"/>
  <c r="P173" i="1"/>
  <c r="P150" i="1"/>
  <c r="O150" i="1"/>
  <c r="O173" i="1"/>
  <c r="S165" i="1"/>
  <c r="S188" i="1"/>
  <c r="S161" i="1"/>
  <c r="S184" i="1"/>
  <c r="S157" i="1"/>
  <c r="S180" i="1"/>
  <c r="S176" i="1"/>
  <c r="S153" i="1"/>
  <c r="R16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Y167" i="1"/>
  <c r="Y163" i="1"/>
  <c r="Y159" i="1"/>
  <c r="Y155" i="1"/>
  <c r="Y151" i="1"/>
  <c r="U164" i="3"/>
  <c r="V164" i="3"/>
  <c r="V160" i="3"/>
  <c r="U160" i="3"/>
  <c r="V156" i="3"/>
  <c r="U156" i="3"/>
  <c r="U152" i="3"/>
  <c r="V152" i="3"/>
  <c r="U169" i="3"/>
  <c r="V169" i="3"/>
  <c r="V157" i="1"/>
  <c r="U157" i="1"/>
  <c r="U164" i="1"/>
  <c r="V164" i="1"/>
  <c r="V160" i="1"/>
  <c r="U160" i="1"/>
  <c r="U156" i="1"/>
  <c r="V156" i="1"/>
  <c r="V152" i="1"/>
  <c r="U152" i="1"/>
  <c r="V169" i="1"/>
  <c r="U169" i="1"/>
  <c r="U161" i="1"/>
  <c r="V161" i="1"/>
  <c r="V167" i="1"/>
  <c r="U167" i="1"/>
  <c r="V163" i="1"/>
  <c r="U163" i="1"/>
  <c r="U159" i="1"/>
  <c r="V159" i="1"/>
  <c r="U155" i="1"/>
  <c r="V155" i="1"/>
  <c r="V151" i="1"/>
  <c r="U151" i="1"/>
  <c r="U165" i="1"/>
  <c r="V165" i="1"/>
  <c r="U153" i="1"/>
  <c r="V153" i="1"/>
  <c r="V149" i="1"/>
  <c r="U149" i="1"/>
  <c r="U168" i="1"/>
  <c r="V168" i="1"/>
  <c r="U166" i="1"/>
  <c r="V166" i="1"/>
  <c r="V162" i="1"/>
  <c r="U162" i="1"/>
  <c r="V158" i="1"/>
  <c r="U158" i="1"/>
  <c r="U154" i="1"/>
  <c r="V154" i="1"/>
  <c r="U150" i="1"/>
  <c r="V150" i="1"/>
</calcChain>
</file>

<file path=xl/sharedStrings.xml><?xml version="1.0" encoding="utf-8"?>
<sst xmlns="http://schemas.openxmlformats.org/spreadsheetml/2006/main" count="274" uniqueCount="77">
  <si>
    <t>Absorbance</t>
  </si>
  <si>
    <t>Absorbance values are displayed as OD</t>
  </si>
  <si>
    <t>y</t>
  </si>
  <si>
    <t>Actual Time</t>
  </si>
  <si>
    <t>Date</t>
  </si>
  <si>
    <t>Time point</t>
  </si>
  <si>
    <t>Abs@498</t>
  </si>
  <si>
    <t>Time point (h)</t>
  </si>
  <si>
    <t>Raw Data</t>
  </si>
  <si>
    <t>Actual Abs</t>
  </si>
  <si>
    <t>"Concentration" ug/mL</t>
  </si>
  <si>
    <t>(h)</t>
  </si>
  <si>
    <t>Total Amount of Caclein in MOF (mg)</t>
  </si>
  <si>
    <t>Amt of Calcein in MOF (mg)</t>
  </si>
  <si>
    <t>Amt of Calcein in MOF (ug)</t>
  </si>
  <si>
    <t>% total</t>
  </si>
  <si>
    <t>Time</t>
  </si>
  <si>
    <t>Additive</t>
  </si>
  <si>
    <t>Corrected</t>
  </si>
  <si>
    <t>Actual Absorbance</t>
  </si>
  <si>
    <t>y = 0.0633x + 0.0535</t>
  </si>
  <si>
    <t>R² = 0.9981</t>
  </si>
  <si>
    <t>*Based on 150410_calibrationcurve_calceininPBS*</t>
  </si>
  <si>
    <t>Quantity ug</t>
  </si>
  <si>
    <t>% of sample mass from analysis</t>
  </si>
  <si>
    <t>Amt of Calcein in MOF release study (ug)</t>
  </si>
  <si>
    <t>1 mL</t>
  </si>
  <si>
    <t>DF</t>
  </si>
  <si>
    <t>3A</t>
  </si>
  <si>
    <t>3B</t>
  </si>
  <si>
    <t>Avg amongst 3 T.A Repeats</t>
  </si>
  <si>
    <t>Exclude first pt as wash step</t>
  </si>
  <si>
    <t>Sample 1A</t>
  </si>
  <si>
    <t>Sample 1B</t>
  </si>
  <si>
    <t>Sample 1C</t>
  </si>
  <si>
    <t>Sample 3A</t>
  </si>
  <si>
    <t>Sample 3B</t>
  </si>
  <si>
    <t>Sample 3C</t>
  </si>
  <si>
    <t>1C</t>
  </si>
  <si>
    <t>3C</t>
  </si>
  <si>
    <t>1A</t>
  </si>
  <si>
    <t>1B</t>
  </si>
  <si>
    <t>Sample 1: 37C @ 10mg/mL</t>
  </si>
  <si>
    <t>No sample 2</t>
  </si>
  <si>
    <t>Sample 3: 155C/180C/180Cwvacuum @ 10mg/mL</t>
  </si>
  <si>
    <t>TGA</t>
  </si>
  <si>
    <t>Eliminate 1B as outliar</t>
  </si>
  <si>
    <t>Time in days</t>
  </si>
  <si>
    <t>mass MOF</t>
  </si>
  <si>
    <t>sum loaded</t>
  </si>
  <si>
    <t>loading per mg MOF</t>
  </si>
  <si>
    <t>avg</t>
  </si>
  <si>
    <t>std error</t>
  </si>
  <si>
    <t>Std dev</t>
  </si>
  <si>
    <t>Sample 1</t>
  </si>
  <si>
    <t>Sample 3</t>
  </si>
  <si>
    <t>(Drug/(Drug+dry material)</t>
  </si>
  <si>
    <t>For paper</t>
  </si>
  <si>
    <t>Formula of MOF</t>
  </si>
  <si>
    <t>Zr6(μ3-OH)8(OH)8-(TBAPy)2</t>
  </si>
  <si>
    <t>Notes: for each metal cluster, there are 2 ligands.</t>
  </si>
  <si>
    <t>Mole Ratio 1:2</t>
  </si>
  <si>
    <t>Mass Ratio ~1:1.66</t>
  </si>
  <si>
    <t>MT1</t>
  </si>
  <si>
    <t>Amt of Zr (mg) in sample</t>
  </si>
  <si>
    <t>MW of Zr</t>
  </si>
  <si>
    <t>Mol Zr (mol)</t>
  </si>
  <si>
    <t>Atoms Zr</t>
  </si>
  <si>
    <t>"Atoms" MOF</t>
  </si>
  <si>
    <t>Mol MOF</t>
  </si>
  <si>
    <t>Mass MOF (g)</t>
  </si>
  <si>
    <t>Mass MOF (mg)</t>
  </si>
  <si>
    <t>Mass Calcein</t>
  </si>
  <si>
    <t>% Calcein Loading</t>
  </si>
  <si>
    <t>Sample weight</t>
  </si>
  <si>
    <t>Zr %</t>
  </si>
  <si>
    <t>MT3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</si>
</sst>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theme="11"/>
      <name val="Arial"/>
      <family val="2"/>
    </font>
    <font>
      <sz val="10"/>
      <color theme="4" tint="0.3999755851924192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2"/>
    <xf numFmtId="0" fontId="3" fillId="0" borderId="0" xfId="1"/>
    <xf numFmtId="0" fontId="2" fillId="0" borderId="0" xfId="2" applyFont="1" applyBorder="1"/>
    <xf numFmtId="0" fontId="4" fillId="0" borderId="0" xfId="0" applyFont="1" applyAlignment="1">
      <alignment horizontal="center" vertical="center" readingOrder="1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2" fillId="0" borderId="0" xfId="2" applyFont="1"/>
    <xf numFmtId="0" fontId="2" fillId="0" borderId="0" xfId="2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2" applyBorder="1" applyAlignment="1"/>
    <xf numFmtId="0" fontId="2" fillId="0" borderId="2" xfId="2" applyFont="1" applyBorder="1" applyAlignment="1"/>
    <xf numFmtId="0" fontId="2" fillId="0" borderId="0" xfId="0" applyFont="1"/>
    <xf numFmtId="0" fontId="2" fillId="0" borderId="2" xfId="2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Fill="1" applyBorder="1" applyAlignment="1">
      <alignment horizontal="center"/>
    </xf>
    <xf numFmtId="16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2" applyAlignment="1">
      <alignment horizontal="center"/>
    </xf>
    <xf numFmtId="0" fontId="1" fillId="0" borderId="0" xfId="2" applyAlignment="1">
      <alignment horizontal="right"/>
    </xf>
    <xf numFmtId="0" fontId="0" fillId="0" borderId="2" xfId="0" applyBorder="1"/>
    <xf numFmtId="0" fontId="1" fillId="0" borderId="0" xfId="0" applyFont="1" applyFill="1"/>
    <xf numFmtId="0" fontId="0" fillId="0" borderId="0" xfId="0" applyFill="1"/>
    <xf numFmtId="0" fontId="2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5" xfId="0" applyBorder="1"/>
    <xf numFmtId="0" fontId="1" fillId="0" borderId="0" xfId="0" applyFont="1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2" fillId="0" borderId="12" xfId="0" applyFont="1" applyBorder="1"/>
    <xf numFmtId="0" fontId="0" fillId="0" borderId="12" xfId="0" applyBorder="1" applyAlignment="1">
      <alignment horizontal="center"/>
    </xf>
    <xf numFmtId="0" fontId="1" fillId="0" borderId="0" xfId="2" applyBorder="1" applyAlignment="1">
      <alignment horizontal="center"/>
    </xf>
    <xf numFmtId="0" fontId="0" fillId="2" borderId="0" xfId="0" applyFill="1"/>
    <xf numFmtId="0" fontId="2" fillId="0" borderId="2" xfId="0" applyFont="1" applyFill="1" applyBorder="1"/>
    <xf numFmtId="0" fontId="2" fillId="0" borderId="0" xfId="2" applyFont="1" applyBorder="1" applyAlignment="1"/>
    <xf numFmtId="0" fontId="7" fillId="0" borderId="0" xfId="0" applyFont="1"/>
    <xf numFmtId="0" fontId="2" fillId="0" borderId="9" xfId="0" applyFont="1" applyBorder="1" applyAlignment="1">
      <alignment horizontal="center"/>
    </xf>
    <xf numFmtId="0" fontId="5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Fill="1"/>
    <xf numFmtId="0" fontId="2" fillId="0" borderId="1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2" applyBorder="1"/>
    <xf numFmtId="0" fontId="1" fillId="0" borderId="0" xfId="0" applyFont="1" applyAlignment="1">
      <alignment horizontal="right"/>
    </xf>
    <xf numFmtId="0" fontId="2" fillId="0" borderId="15" xfId="2" applyFont="1" applyBorder="1" applyAlignment="1"/>
    <xf numFmtId="0" fontId="1" fillId="0" borderId="12" xfId="2" applyBorder="1" applyAlignment="1"/>
    <xf numFmtId="0" fontId="2" fillId="0" borderId="0" xfId="2" applyFont="1" applyFill="1" applyBorder="1"/>
    <xf numFmtId="0" fontId="0" fillId="0" borderId="12" xfId="0" applyBorder="1"/>
    <xf numFmtId="0" fontId="2" fillId="0" borderId="10" xfId="0" applyFont="1" applyFill="1" applyBorder="1" applyAlignment="1">
      <alignment horizontal="center"/>
    </xf>
    <xf numFmtId="0" fontId="2" fillId="0" borderId="18" xfId="2" applyFont="1" applyBorder="1" applyAlignment="1"/>
    <xf numFmtId="0" fontId="2" fillId="0" borderId="19" xfId="0" applyFont="1" applyBorder="1"/>
    <xf numFmtId="0" fontId="1" fillId="0" borderId="18" xfId="2" applyBorder="1" applyAlignment="1"/>
    <xf numFmtId="0" fontId="1" fillId="0" borderId="0" xfId="0" applyFont="1" applyBorder="1" applyAlignment="1">
      <alignment horizontal="center"/>
    </xf>
    <xf numFmtId="0" fontId="1" fillId="0" borderId="12" xfId="2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2" fillId="0" borderId="15" xfId="0" applyFont="1" applyBorder="1"/>
    <xf numFmtId="0" fontId="0" fillId="0" borderId="20" xfId="0" applyBorder="1"/>
    <xf numFmtId="0" fontId="0" fillId="2" borderId="21" xfId="0" applyFill="1" applyBorder="1"/>
    <xf numFmtId="0" fontId="0" fillId="0" borderId="3" xfId="0" applyFill="1" applyBorder="1"/>
    <xf numFmtId="0" fontId="0" fillId="0" borderId="3" xfId="0" applyFill="1" applyBorder="1" applyAlignment="1"/>
    <xf numFmtId="0" fontId="0" fillId="0" borderId="5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4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Released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(ug)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06470961308402E-2"/>
          <c:y val="0.16384087337689199"/>
          <c:w val="0.87252614949609497"/>
          <c:h val="0.70213667047875505"/>
        </c:manualLayout>
      </c:layout>
      <c:scatterChart>
        <c:scatterStyle val="lineMarker"/>
        <c:varyColors val="0"/>
        <c:ser>
          <c:idx val="1"/>
          <c:order val="0"/>
          <c:tx>
            <c:strRef>
              <c:f>'End point'!$H$36</c:f>
              <c:strCache>
                <c:ptCount val="1"/>
                <c:pt idx="0">
                  <c:v>Sample 1A</c:v>
                </c:pt>
              </c:strCache>
            </c:strRef>
          </c:tx>
          <c:spPr>
            <a:ln w="19050">
              <a:noFill/>
            </a:ln>
          </c:spPr>
          <c:xVal>
            <c:numRef>
              <c:f>'End point'!$A$37:$A$55</c:f>
              <c:numCache>
                <c:formatCode>General</c:formatCode>
                <c:ptCount val="19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</c:numCache>
            </c:numRef>
          </c:xVal>
          <c:yVal>
            <c:numRef>
              <c:f>'End point'!$J$55:$J$55</c:f>
              <c:numCache>
                <c:formatCode>General</c:formatCode>
                <c:ptCount val="1"/>
                <c:pt idx="0">
                  <c:v>31.287519747235386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C-4F2D-B419-02AC388817DB}"/>
            </c:ext>
          </c:extLst>
        </c:ser>
        <c:ser>
          <c:idx val="0"/>
          <c:order val="1"/>
          <c:tx>
            <c:strRef>
              <c:f>'End point'!$I$36</c:f>
              <c:strCache>
                <c:ptCount val="1"/>
                <c:pt idx="0">
                  <c:v>Sample 1B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 point'!$A$37:$A$55</c:f>
              <c:numCache>
                <c:formatCode>General</c:formatCode>
                <c:ptCount val="19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</c:numCache>
            </c:numRef>
          </c:xVal>
          <c:yVal>
            <c:numRef>
              <c:f>'End point'!$I$37:$I$55</c:f>
              <c:numCache>
                <c:formatCode>General</c:formatCode>
                <c:ptCount val="19"/>
                <c:pt idx="0">
                  <c:v>40.8609794628752</c:v>
                </c:pt>
                <c:pt idx="1">
                  <c:v>36.816745655608216</c:v>
                </c:pt>
                <c:pt idx="2">
                  <c:v>39.976303317535546</c:v>
                </c:pt>
                <c:pt idx="3">
                  <c:v>90.49763033175357</c:v>
                </c:pt>
                <c:pt idx="4">
                  <c:v>99.218009478672997</c:v>
                </c:pt>
                <c:pt idx="5">
                  <c:v>79.028436018957365</c:v>
                </c:pt>
                <c:pt idx="6">
                  <c:v>151.12954186413901</c:v>
                </c:pt>
                <c:pt idx="7">
                  <c:v>63.830963665086905</c:v>
                </c:pt>
                <c:pt idx="8">
                  <c:v>49.818325434439181</c:v>
                </c:pt>
                <c:pt idx="9">
                  <c:v>44.889415481832543</c:v>
                </c:pt>
                <c:pt idx="10">
                  <c:v>14.004739336492891</c:v>
                </c:pt>
                <c:pt idx="11">
                  <c:v>34.304897314375992</c:v>
                </c:pt>
                <c:pt idx="12">
                  <c:v>10.434439178515008</c:v>
                </c:pt>
                <c:pt idx="13">
                  <c:v>25.300157977883096</c:v>
                </c:pt>
                <c:pt idx="14">
                  <c:v>34.46287519747235</c:v>
                </c:pt>
                <c:pt idx="15">
                  <c:v>13.341232227488153</c:v>
                </c:pt>
                <c:pt idx="16">
                  <c:v>44.842022116903635</c:v>
                </c:pt>
                <c:pt idx="17">
                  <c:v>45.805687203791472</c:v>
                </c:pt>
                <c:pt idx="18">
                  <c:v>39.186413902053708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C-4F2D-B419-02AC3888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51904"/>
        <c:axId val="239864224"/>
      </c:scatterChart>
      <c:scatterChart>
        <c:scatterStyle val="lineMarker"/>
        <c:varyColors val="0"/>
        <c:ser>
          <c:idx val="2"/>
          <c:order val="2"/>
          <c:tx>
            <c:strRef>
              <c:f>'End point'!$J$36</c:f>
              <c:strCache>
                <c:ptCount val="1"/>
                <c:pt idx="0">
                  <c:v>1C</c:v>
                </c:pt>
              </c:strCache>
            </c:strRef>
          </c:tx>
          <c:spPr>
            <a:ln w="19050">
              <a:noFill/>
            </a:ln>
          </c:spPr>
          <c:xVal>
            <c:numRef>
              <c:f>'End point'!$A$37:$A$56</c:f>
              <c:numCache>
                <c:formatCode>General</c:formatCode>
                <c:ptCount val="20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  <c:pt idx="19">
                  <c:v>522</c:v>
                </c:pt>
              </c:numCache>
            </c:numRef>
          </c:xVal>
          <c:yVal>
            <c:numRef>
              <c:f>'End point'!$M$37:$M$56</c:f>
              <c:numCache>
                <c:formatCode>General</c:formatCode>
                <c:ptCount val="20"/>
                <c:pt idx="0">
                  <c:v>24.431279620853083</c:v>
                </c:pt>
                <c:pt idx="1">
                  <c:v>3.8941548183254349</c:v>
                </c:pt>
                <c:pt idx="2">
                  <c:v>5.4739336492891004</c:v>
                </c:pt>
                <c:pt idx="3">
                  <c:v>11.240126382306478</c:v>
                </c:pt>
                <c:pt idx="4">
                  <c:v>22.235387045813589</c:v>
                </c:pt>
                <c:pt idx="5">
                  <c:v>28.15955766192733</c:v>
                </c:pt>
                <c:pt idx="6">
                  <c:v>48.254344391785153</c:v>
                </c:pt>
                <c:pt idx="7">
                  <c:v>20.65560821484992</c:v>
                </c:pt>
                <c:pt idx="8">
                  <c:v>41.398104265402843</c:v>
                </c:pt>
                <c:pt idx="9">
                  <c:v>30.5608214849921</c:v>
                </c:pt>
                <c:pt idx="10">
                  <c:v>10.023696682464456</c:v>
                </c:pt>
                <c:pt idx="11">
                  <c:v>22.124802527646128</c:v>
                </c:pt>
                <c:pt idx="12">
                  <c:v>8.3807266982622437</c:v>
                </c:pt>
                <c:pt idx="13">
                  <c:v>15.789889415481833</c:v>
                </c:pt>
                <c:pt idx="14">
                  <c:v>20.687203791469194</c:v>
                </c:pt>
                <c:pt idx="15">
                  <c:v>7.1642969984202223</c:v>
                </c:pt>
                <c:pt idx="16">
                  <c:v>19.928909952606634</c:v>
                </c:pt>
                <c:pt idx="17">
                  <c:v>13.799368088467617</c:v>
                </c:pt>
                <c:pt idx="18">
                  <c:v>10.197472353870458</c:v>
                </c:pt>
                <c:pt idx="19">
                  <c:v>3.5781990521327023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C-4F2D-B419-02AC3888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3664"/>
        <c:axId val="239861984"/>
      </c:scatterChart>
      <c:valAx>
        <c:axId val="239851904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864224"/>
        <c:crosses val="autoZero"/>
        <c:crossBetween val="midCat"/>
      </c:valAx>
      <c:valAx>
        <c:axId val="2398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Released (ug) for Samples 1 and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1904"/>
        <c:crosses val="autoZero"/>
        <c:crossBetween val="midCat"/>
      </c:valAx>
      <c:valAx>
        <c:axId val="23986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861984"/>
        <c:crosses val="autoZero"/>
        <c:crossBetween val="midCat"/>
      </c:valAx>
      <c:valAx>
        <c:axId val="2398619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Released (ug) for Sample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863664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186477210099305"/>
          <c:y val="0.15430084490322099"/>
          <c:w val="7.5005156579959695E-2"/>
          <c:h val="0.1637389054283409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304133858268"/>
          <c:y val="4.0193629248288003E-2"/>
          <c:w val="0.74795631014873099"/>
          <c:h val="0.79833339089192801"/>
        </c:manualLayout>
      </c:layout>
      <c:scatterChart>
        <c:scatterStyle val="lineMarker"/>
        <c:varyColors val="0"/>
        <c:ser>
          <c:idx val="0"/>
          <c:order val="0"/>
          <c:tx>
            <c:v>cal@NU-1000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point'!$S$149:$S$169</c:f>
                <c:numCache>
                  <c:formatCode>General</c:formatCode>
                  <c:ptCount val="21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  <c:pt idx="19">
                    <c:v>0.13579980054701127</c:v>
                  </c:pt>
                  <c:pt idx="20">
                    <c:v>0</c:v>
                  </c:pt>
                </c:numCache>
              </c:numRef>
            </c:plus>
            <c:minus>
              <c:numRef>
                <c:f>'End point'!$S$149:$S$169</c:f>
                <c:numCache>
                  <c:formatCode>General</c:formatCode>
                  <c:ptCount val="21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  <c:pt idx="19">
                    <c:v>0.13579980054701127</c:v>
                  </c:pt>
                  <c:pt idx="20">
                    <c:v>0</c:v>
                  </c:pt>
                </c:numCache>
              </c:numRef>
            </c:minus>
            <c:spPr>
              <a:ln w="3175" cmpd="sng"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point'!$R$149:$R$169</c:f>
              <c:numCache>
                <c:formatCode>General</c:formatCode>
                <c:ptCount val="21"/>
                <c:pt idx="1">
                  <c:v>3.6561874301596395</c:v>
                </c:pt>
                <c:pt idx="2">
                  <c:v>7.6793164492649408</c:v>
                </c:pt>
                <c:pt idx="3">
                  <c:v>17.287909690864389</c:v>
                </c:pt>
                <c:pt idx="4">
                  <c:v>27.697659790842639</c:v>
                </c:pt>
                <c:pt idx="5">
                  <c:v>38.439051043741806</c:v>
                </c:pt>
                <c:pt idx="6">
                  <c:v>53.350364943471853</c:v>
                </c:pt>
                <c:pt idx="7">
                  <c:v>60.062965137028698</c:v>
                </c:pt>
                <c:pt idx="8">
                  <c:v>65.105291833916866</c:v>
                </c:pt>
                <c:pt idx="9">
                  <c:v>69.434977095380475</c:v>
                </c:pt>
                <c:pt idx="10">
                  <c:v>70.812447160215228</c:v>
                </c:pt>
                <c:pt idx="11">
                  <c:v>73.971535665441422</c:v>
                </c:pt>
                <c:pt idx="12">
                  <c:v>75.012037508961015</c:v>
                </c:pt>
                <c:pt idx="13">
                  <c:v>77.397970293696446</c:v>
                </c:pt>
                <c:pt idx="14">
                  <c:v>80.676702873189384</c:v>
                </c:pt>
                <c:pt idx="15">
                  <c:v>81.930607938221613</c:v>
                </c:pt>
                <c:pt idx="16">
                  <c:v>86.404387149520204</c:v>
                </c:pt>
                <c:pt idx="17">
                  <c:v>90.806471806789219</c:v>
                </c:pt>
                <c:pt idx="18">
                  <c:v>94.560522662516007</c:v>
                </c:pt>
                <c:pt idx="19">
                  <c:v>95.320149749248955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C-402A-A861-713EC77FCB53}"/>
            </c:ext>
          </c:extLst>
        </c:ser>
        <c:ser>
          <c:idx val="1"/>
          <c:order val="1"/>
          <c:tx>
            <c:v>cal@aNU-1000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point'!$Y$149:$Y$169</c:f>
                <c:numCache>
                  <c:formatCode>General</c:formatCode>
                  <c:ptCount val="21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  <c:pt idx="18">
                    <c:v>0.20876986408725509</c:v>
                  </c:pt>
                  <c:pt idx="19">
                    <c:v>0.27549563002113475</c:v>
                  </c:pt>
                  <c:pt idx="20">
                    <c:v>0</c:v>
                  </c:pt>
                </c:numCache>
              </c:numRef>
            </c:plus>
            <c:minus>
              <c:numRef>
                <c:f>'End point'!$Y$149:$Y$169</c:f>
                <c:numCache>
                  <c:formatCode>General</c:formatCode>
                  <c:ptCount val="21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  <c:pt idx="18">
                    <c:v>0.20876986408725509</c:v>
                  </c:pt>
                  <c:pt idx="19">
                    <c:v>0.27549563002113475</c:v>
                  </c:pt>
                  <c:pt idx="20">
                    <c:v>0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point'!$X$149:$X$169</c:f>
              <c:numCache>
                <c:formatCode>General</c:formatCode>
                <c:ptCount val="21"/>
                <c:pt idx="1">
                  <c:v>0.98594381107288809</c:v>
                </c:pt>
                <c:pt idx="2">
                  <c:v>2.0571907989211446</c:v>
                </c:pt>
                <c:pt idx="3">
                  <c:v>4.9123093101586948</c:v>
                </c:pt>
                <c:pt idx="4">
                  <c:v>9.7231198235338478</c:v>
                </c:pt>
                <c:pt idx="5">
                  <c:v>16.395738073942784</c:v>
                </c:pt>
                <c:pt idx="6">
                  <c:v>29.165705680384313</c:v>
                </c:pt>
                <c:pt idx="7">
                  <c:v>34.459444839761069</c:v>
                </c:pt>
                <c:pt idx="8">
                  <c:v>44.650048456235858</c:v>
                </c:pt>
                <c:pt idx="9">
                  <c:v>53.277023197714001</c:v>
                </c:pt>
                <c:pt idx="10">
                  <c:v>56.278331203534663</c:v>
                </c:pt>
                <c:pt idx="11">
                  <c:v>63.013331576126653</c:v>
                </c:pt>
                <c:pt idx="12">
                  <c:v>65.270494760006471</c:v>
                </c:pt>
                <c:pt idx="13">
                  <c:v>70.370961541489081</c:v>
                </c:pt>
                <c:pt idx="14">
                  <c:v>77.224572609875793</c:v>
                </c:pt>
                <c:pt idx="15">
                  <c:v>79.591787697492322</c:v>
                </c:pt>
                <c:pt idx="16">
                  <c:v>86.854481631152282</c:v>
                </c:pt>
                <c:pt idx="17">
                  <c:v>91.946474497415252</c:v>
                </c:pt>
                <c:pt idx="18">
                  <c:v>95.609951933389254</c:v>
                </c:pt>
                <c:pt idx="19">
                  <c:v>96.405343111829694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C-402A-A861-713EC77F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57248"/>
        <c:axId val="286857808"/>
      </c:scatterChart>
      <c:valAx>
        <c:axId val="286857248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4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GB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(days)</a:t>
                </a:r>
                <a:endParaRPr lang="en-GB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025615045310999"/>
              <c:y val="0.9179737532808399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857808"/>
        <c:crosses val="autoZero"/>
        <c:crossBetween val="midCat"/>
      </c:valAx>
      <c:valAx>
        <c:axId val="28685780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400">
                    <a:latin typeface="Arial" panose="020B0604020202020204" pitchFamily="34" charset="0"/>
                    <a:cs typeface="Arial" panose="020B0604020202020204" pitchFamily="34" charset="0"/>
                  </a:rPr>
                  <a:t>Mass Delivered (</a:t>
                </a:r>
                <a:r>
                  <a:rPr lang="en-GB" sz="1400">
                    <a:latin typeface="Symbol" panose="05050102010706020507" pitchFamily="18" charset="2"/>
                    <a:cs typeface="Arial" panose="020B0604020202020204" pitchFamily="34" charset="0"/>
                  </a:rPr>
                  <a:t>%</a:t>
                </a:r>
                <a:r>
                  <a:rPr lang="en-GB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4881889763779505E-3"/>
              <c:y val="0.1369744094488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857248"/>
        <c:crosses val="autoZero"/>
        <c:crossBetween val="midCat"/>
        <c:majorUnit val="20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304133858268"/>
          <c:y val="4.0193629248288003E-2"/>
          <c:w val="0.69999953682260296"/>
          <c:h val="0.7916894506034799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point'!$Y$149:$Y$169</c:f>
                <c:numCache>
                  <c:formatCode>General</c:formatCode>
                  <c:ptCount val="21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  <c:pt idx="18">
                    <c:v>0.20876986408725509</c:v>
                  </c:pt>
                  <c:pt idx="19">
                    <c:v>0.27549563002113475</c:v>
                  </c:pt>
                  <c:pt idx="20">
                    <c:v>0</c:v>
                  </c:pt>
                </c:numCache>
              </c:numRef>
            </c:plus>
            <c:minus>
              <c:numRef>
                <c:f>'End point'!$Y$149:$Y$169</c:f>
                <c:numCache>
                  <c:formatCode>General</c:formatCode>
                  <c:ptCount val="21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  <c:pt idx="18">
                    <c:v>0.20876986408725509</c:v>
                  </c:pt>
                  <c:pt idx="19">
                    <c:v>0.27549563002113475</c:v>
                  </c:pt>
                  <c:pt idx="20">
                    <c:v>0</c:v>
                  </c:pt>
                </c:numCache>
              </c:numRef>
            </c:minus>
            <c:spPr>
              <a:ln w="1270" cap="rnd" cmpd="sng">
                <a:solidFill>
                  <a:schemeClr val="bg2">
                    <a:lumMod val="75000"/>
                  </a:schemeClr>
                </a:solidFill>
                <a:miter lim="800000"/>
              </a:ln>
            </c:spPr>
          </c:errBars>
          <c:xVal>
            <c:numRef>
              <c:f>'End point'!$N$149:$N$169</c:f>
              <c:numCache>
                <c:formatCode>General</c:formatCode>
                <c:ptCount val="21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  <c:pt idx="19">
                  <c:v>522</c:v>
                </c:pt>
                <c:pt idx="20">
                  <c:v>1107</c:v>
                </c:pt>
              </c:numCache>
            </c:numRef>
          </c:xVal>
          <c:yVal>
            <c:numRef>
              <c:f>'End point'!$X$149:$X$169</c:f>
              <c:numCache>
                <c:formatCode>General</c:formatCode>
                <c:ptCount val="21"/>
                <c:pt idx="1">
                  <c:v>0.98594381107288809</c:v>
                </c:pt>
                <c:pt idx="2">
                  <c:v>2.0571907989211446</c:v>
                </c:pt>
                <c:pt idx="3">
                  <c:v>4.9123093101586948</c:v>
                </c:pt>
                <c:pt idx="4">
                  <c:v>9.7231198235338478</c:v>
                </c:pt>
                <c:pt idx="5">
                  <c:v>16.395738073942784</c:v>
                </c:pt>
                <c:pt idx="6">
                  <c:v>29.165705680384313</c:v>
                </c:pt>
                <c:pt idx="7">
                  <c:v>34.459444839761069</c:v>
                </c:pt>
                <c:pt idx="8">
                  <c:v>44.650048456235858</c:v>
                </c:pt>
                <c:pt idx="9">
                  <c:v>53.277023197714001</c:v>
                </c:pt>
                <c:pt idx="10">
                  <c:v>56.278331203534663</c:v>
                </c:pt>
                <c:pt idx="11">
                  <c:v>63.013331576126653</c:v>
                </c:pt>
                <c:pt idx="12">
                  <c:v>65.270494760006471</c:v>
                </c:pt>
                <c:pt idx="13">
                  <c:v>70.370961541489081</c:v>
                </c:pt>
                <c:pt idx="14">
                  <c:v>77.224572609875793</c:v>
                </c:pt>
                <c:pt idx="15">
                  <c:v>79.591787697492322</c:v>
                </c:pt>
                <c:pt idx="16">
                  <c:v>86.854481631152282</c:v>
                </c:pt>
                <c:pt idx="17">
                  <c:v>91.946474497415252</c:v>
                </c:pt>
                <c:pt idx="18">
                  <c:v>95.609951933389254</c:v>
                </c:pt>
                <c:pt idx="19">
                  <c:v>96.405343111829694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9-4BB2-926C-A780CFBADF10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point'!$S$149:$S$169</c:f>
                <c:numCache>
                  <c:formatCode>General</c:formatCode>
                  <c:ptCount val="21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  <c:pt idx="19">
                    <c:v>0.13579980054701127</c:v>
                  </c:pt>
                  <c:pt idx="20">
                    <c:v>0</c:v>
                  </c:pt>
                </c:numCache>
              </c:numRef>
            </c:plus>
            <c:minus>
              <c:numRef>
                <c:f>'End point'!$S$149:$S$169</c:f>
                <c:numCache>
                  <c:formatCode>General</c:formatCode>
                  <c:ptCount val="21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  <c:pt idx="19">
                    <c:v>0.13579980054701127</c:v>
                  </c:pt>
                  <c:pt idx="20">
                    <c:v>0</c:v>
                  </c:pt>
                </c:numCache>
              </c:numRef>
            </c:minus>
            <c:spPr>
              <a:ln w="3175" cmpd="sng"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point'!$N$149:$N$169</c:f>
              <c:numCache>
                <c:formatCode>General</c:formatCode>
                <c:ptCount val="21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  <c:pt idx="19">
                  <c:v>522</c:v>
                </c:pt>
                <c:pt idx="20">
                  <c:v>1107</c:v>
                </c:pt>
              </c:numCache>
            </c:numRef>
          </c:xVal>
          <c:yVal>
            <c:numRef>
              <c:f>'End point'!$R$149:$R$169</c:f>
              <c:numCache>
                <c:formatCode>General</c:formatCode>
                <c:ptCount val="21"/>
                <c:pt idx="1">
                  <c:v>3.6561874301596395</c:v>
                </c:pt>
                <c:pt idx="2">
                  <c:v>7.6793164492649408</c:v>
                </c:pt>
                <c:pt idx="3">
                  <c:v>17.287909690864389</c:v>
                </c:pt>
                <c:pt idx="4">
                  <c:v>27.697659790842639</c:v>
                </c:pt>
                <c:pt idx="5">
                  <c:v>38.439051043741806</c:v>
                </c:pt>
                <c:pt idx="6">
                  <c:v>53.350364943471853</c:v>
                </c:pt>
                <c:pt idx="7">
                  <c:v>60.062965137028698</c:v>
                </c:pt>
                <c:pt idx="8">
                  <c:v>65.105291833916866</c:v>
                </c:pt>
                <c:pt idx="9">
                  <c:v>69.434977095380475</c:v>
                </c:pt>
                <c:pt idx="10">
                  <c:v>70.812447160215228</c:v>
                </c:pt>
                <c:pt idx="11">
                  <c:v>73.971535665441422</c:v>
                </c:pt>
                <c:pt idx="12">
                  <c:v>75.012037508961015</c:v>
                </c:pt>
                <c:pt idx="13">
                  <c:v>77.397970293696446</c:v>
                </c:pt>
                <c:pt idx="14">
                  <c:v>80.676702873189384</c:v>
                </c:pt>
                <c:pt idx="15">
                  <c:v>81.930607938221613</c:v>
                </c:pt>
                <c:pt idx="16">
                  <c:v>86.404387149520204</c:v>
                </c:pt>
                <c:pt idx="17">
                  <c:v>90.806471806789219</c:v>
                </c:pt>
                <c:pt idx="18">
                  <c:v>94.560522662516007</c:v>
                </c:pt>
                <c:pt idx="19">
                  <c:v>95.320149749248955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9-4BB2-926C-A780CFBA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61168"/>
        <c:axId val="286861728"/>
      </c:scatterChart>
      <c:valAx>
        <c:axId val="286861168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6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GB" sz="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(hours)</a:t>
                </a:r>
                <a:endParaRPr lang="en-GB" sz="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5824218769447"/>
              <c:y val="0.905439870973914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861728"/>
        <c:crosses val="autoZero"/>
        <c:crossBetween val="midCat"/>
        <c:majorUnit val="8"/>
      </c:valAx>
      <c:valAx>
        <c:axId val="286861728"/>
        <c:scaling>
          <c:orientation val="minMax"/>
          <c:max val="11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861168"/>
        <c:crosses val="autoZero"/>
        <c:crossBetween val="midCat"/>
        <c:majorUnit val="20"/>
      </c:valAx>
      <c:spPr>
        <a:noFill/>
        <a:ln w="31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Released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(ug)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06470961308402E-2"/>
          <c:y val="0.16384087337689199"/>
          <c:w val="0.87252614949609497"/>
          <c:h val="0.70213667047875505"/>
        </c:manualLayout>
      </c:layout>
      <c:scatterChart>
        <c:scatterStyle val="lineMarker"/>
        <c:varyColors val="0"/>
        <c:ser>
          <c:idx val="1"/>
          <c:order val="0"/>
          <c:tx>
            <c:strRef>
              <c:f>'Error Calcs'!$H$36</c:f>
              <c:strCache>
                <c:ptCount val="1"/>
                <c:pt idx="0">
                  <c:v>Sample 1A</c:v>
                </c:pt>
              </c:strCache>
            </c:strRef>
          </c:tx>
          <c:spPr>
            <a:ln w="19050">
              <a:noFill/>
            </a:ln>
          </c:spPr>
          <c:xVal>
            <c:numRef>
              <c:f>'Error Calcs'!$A$37:$A$55</c:f>
              <c:numCache>
                <c:formatCode>General</c:formatCode>
                <c:ptCount val="19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</c:numCache>
            </c:numRef>
          </c:xVal>
          <c:yVal>
            <c:numRef>
              <c:f>'Error Calcs'!$J$55</c:f>
              <c:numCache>
                <c:formatCode>General</c:formatCode>
                <c:ptCount val="1"/>
                <c:pt idx="0">
                  <c:v>31.287519747235386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5-4362-A9CB-DDCFB49465F1}"/>
            </c:ext>
          </c:extLst>
        </c:ser>
        <c:ser>
          <c:idx val="0"/>
          <c:order val="1"/>
          <c:tx>
            <c:strRef>
              <c:f>'Error Calcs'!$I$36</c:f>
              <c:strCache>
                <c:ptCount val="1"/>
                <c:pt idx="0">
                  <c:v>Sample 1B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 Calcs'!$A$37:$A$55</c:f>
              <c:numCache>
                <c:formatCode>General</c:formatCode>
                <c:ptCount val="19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</c:numCache>
            </c:numRef>
          </c:xVal>
          <c:yVal>
            <c:numRef>
              <c:f>'Error Calcs'!$I$37:$I$55</c:f>
              <c:numCache>
                <c:formatCode>General</c:formatCode>
                <c:ptCount val="19"/>
                <c:pt idx="0">
                  <c:v>40.8609794628752</c:v>
                </c:pt>
                <c:pt idx="1">
                  <c:v>36.816745655608216</c:v>
                </c:pt>
                <c:pt idx="2">
                  <c:v>39.976303317535546</c:v>
                </c:pt>
                <c:pt idx="3">
                  <c:v>90.49763033175357</c:v>
                </c:pt>
                <c:pt idx="4">
                  <c:v>99.218009478672997</c:v>
                </c:pt>
                <c:pt idx="5">
                  <c:v>79.028436018957365</c:v>
                </c:pt>
                <c:pt idx="6">
                  <c:v>151.12954186413901</c:v>
                </c:pt>
                <c:pt idx="7">
                  <c:v>63.830963665086905</c:v>
                </c:pt>
                <c:pt idx="8">
                  <c:v>49.818325434439181</c:v>
                </c:pt>
                <c:pt idx="9">
                  <c:v>44.889415481832543</c:v>
                </c:pt>
                <c:pt idx="10">
                  <c:v>14.004739336492891</c:v>
                </c:pt>
                <c:pt idx="11">
                  <c:v>34.304897314375992</c:v>
                </c:pt>
                <c:pt idx="12">
                  <c:v>10.434439178515008</c:v>
                </c:pt>
                <c:pt idx="13">
                  <c:v>25.300157977883096</c:v>
                </c:pt>
                <c:pt idx="14">
                  <c:v>34.46287519747235</c:v>
                </c:pt>
                <c:pt idx="15">
                  <c:v>13.341232227488153</c:v>
                </c:pt>
                <c:pt idx="16">
                  <c:v>44.842022116903635</c:v>
                </c:pt>
                <c:pt idx="17">
                  <c:v>45.805687203791472</c:v>
                </c:pt>
                <c:pt idx="18">
                  <c:v>39.186413902053708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5-4362-A9CB-DDCFB494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9472"/>
        <c:axId val="241150032"/>
      </c:scatterChart>
      <c:scatterChart>
        <c:scatterStyle val="lineMarker"/>
        <c:varyColors val="0"/>
        <c:ser>
          <c:idx val="2"/>
          <c:order val="2"/>
          <c:tx>
            <c:strRef>
              <c:f>'Error Calcs'!$J$36</c:f>
              <c:strCache>
                <c:ptCount val="1"/>
                <c:pt idx="0">
                  <c:v>1C</c:v>
                </c:pt>
              </c:strCache>
            </c:strRef>
          </c:tx>
          <c:spPr>
            <a:ln w="19050">
              <a:noFill/>
            </a:ln>
          </c:spPr>
          <c:xVal>
            <c:numRef>
              <c:f>'Error Calcs'!$A$37:$A$56</c:f>
              <c:numCache>
                <c:formatCode>General</c:formatCode>
                <c:ptCount val="20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  <c:pt idx="19">
                  <c:v>522</c:v>
                </c:pt>
              </c:numCache>
            </c:numRef>
          </c:xVal>
          <c:yVal>
            <c:numRef>
              <c:f>'Error Calcs'!$M$37:$M$56</c:f>
              <c:numCache>
                <c:formatCode>General</c:formatCode>
                <c:ptCount val="20"/>
                <c:pt idx="0">
                  <c:v>24.431279620853083</c:v>
                </c:pt>
                <c:pt idx="1">
                  <c:v>3.8941548183254349</c:v>
                </c:pt>
                <c:pt idx="2">
                  <c:v>5.4739336492891004</c:v>
                </c:pt>
                <c:pt idx="3">
                  <c:v>11.240126382306478</c:v>
                </c:pt>
                <c:pt idx="4">
                  <c:v>22.235387045813589</c:v>
                </c:pt>
                <c:pt idx="5">
                  <c:v>28.15955766192733</c:v>
                </c:pt>
                <c:pt idx="6">
                  <c:v>48.254344391785153</c:v>
                </c:pt>
                <c:pt idx="7">
                  <c:v>20.65560821484992</c:v>
                </c:pt>
                <c:pt idx="8">
                  <c:v>41.398104265402843</c:v>
                </c:pt>
                <c:pt idx="9">
                  <c:v>30.5608214849921</c:v>
                </c:pt>
                <c:pt idx="10">
                  <c:v>10.023696682464456</c:v>
                </c:pt>
                <c:pt idx="11">
                  <c:v>22.124802527646128</c:v>
                </c:pt>
                <c:pt idx="12">
                  <c:v>8.3807266982622437</c:v>
                </c:pt>
                <c:pt idx="13">
                  <c:v>15.789889415481833</c:v>
                </c:pt>
                <c:pt idx="14">
                  <c:v>20.687203791469194</c:v>
                </c:pt>
                <c:pt idx="15">
                  <c:v>7.1642969984202223</c:v>
                </c:pt>
                <c:pt idx="16">
                  <c:v>19.928909952606634</c:v>
                </c:pt>
                <c:pt idx="17">
                  <c:v>13.799368088467617</c:v>
                </c:pt>
                <c:pt idx="18">
                  <c:v>10.197472353870458</c:v>
                </c:pt>
                <c:pt idx="19">
                  <c:v>3.5781990521327023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5-4362-A9CB-DDCFB494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50592"/>
        <c:axId val="241151152"/>
      </c:scatterChart>
      <c:valAx>
        <c:axId val="241149472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1150032"/>
        <c:crosses val="autoZero"/>
        <c:crossBetween val="midCat"/>
      </c:valAx>
      <c:valAx>
        <c:axId val="2411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Released (ug) for Samples 1 and 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49472"/>
        <c:crosses val="autoZero"/>
        <c:crossBetween val="midCat"/>
      </c:valAx>
      <c:valAx>
        <c:axId val="2411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151152"/>
        <c:crosses val="autoZero"/>
        <c:crossBetween val="midCat"/>
      </c:valAx>
      <c:valAx>
        <c:axId val="241151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Released (ug) for Sample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150592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186477210099305"/>
          <c:y val="0.15430084490322099"/>
          <c:w val="7.5005156579959695E-2"/>
          <c:h val="0.1637389054283409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Calcein</a:t>
            </a:r>
            <a:r>
              <a:rPr lang="en-GB" baseline="0"/>
              <a:t> Released (as function of total loaded)</a:t>
            </a:r>
            <a:endParaRPr lang="en-GB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23602120692604E-2"/>
          <c:y val="8.8093057670617494E-2"/>
          <c:w val="0.830348953633543"/>
          <c:h val="0.802256503050756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'Error Calcs'!$M$74</c:f>
              <c:strCache>
                <c:ptCount val="1"/>
                <c:pt idx="0">
                  <c:v>1A</c:v>
                </c:pt>
              </c:strCache>
            </c:strRef>
          </c:tx>
          <c:spPr>
            <a:ln w="19050" cap="sq" cmpd="sng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'Error Calcs'!$N$75:$N$90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'Error Calcs'!$O$75:$O$90</c:f>
              <c:numCache>
                <c:formatCode>General</c:formatCode>
                <c:ptCount val="16"/>
                <c:pt idx="0">
                  <c:v>37.227488151658768</c:v>
                </c:pt>
                <c:pt idx="1">
                  <c:v>68.420221169036338</c:v>
                </c:pt>
                <c:pt idx="2">
                  <c:v>103.46761453396525</c:v>
                </c:pt>
                <c:pt idx="3">
                  <c:v>194.69194312796211</c:v>
                </c:pt>
                <c:pt idx="4">
                  <c:v>292.6145339652449</c:v>
                </c:pt>
                <c:pt idx="5">
                  <c:v>399.51026856240134</c:v>
                </c:pt>
                <c:pt idx="6">
                  <c:v>531.11374407582946</c:v>
                </c:pt>
                <c:pt idx="7">
                  <c:v>588.84676145339665</c:v>
                </c:pt>
                <c:pt idx="8">
                  <c:v>636.13744075829402</c:v>
                </c:pt>
                <c:pt idx="9">
                  <c:v>681.12164296998435</c:v>
                </c:pt>
                <c:pt idx="10">
                  <c:v>695.94786729857833</c:v>
                </c:pt>
                <c:pt idx="11">
                  <c:v>728.38862559241716</c:v>
                </c:pt>
                <c:pt idx="12">
                  <c:v>739.15481832543458</c:v>
                </c:pt>
                <c:pt idx="13">
                  <c:v>762.27488151658781</c:v>
                </c:pt>
                <c:pt idx="14">
                  <c:v>795.44233807266994</c:v>
                </c:pt>
                <c:pt idx="15">
                  <c:v>808.07266982622446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0-4A4E-A7A6-79D37F98253C}"/>
            </c:ext>
          </c:extLst>
        </c:ser>
        <c:ser>
          <c:idx val="1"/>
          <c:order val="1"/>
          <c:tx>
            <c:strRef>
              <c:f>'Error Calcs'!$M$97</c:f>
              <c:strCache>
                <c:ptCount val="1"/>
                <c:pt idx="0">
                  <c:v>1B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'Error Calcs'!$N$100:$N$115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'Error Calcs'!$O$100:$O$115</c:f>
              <c:numCache>
                <c:formatCode>General</c:formatCode>
                <c:ptCount val="16"/>
                <c:pt idx="0">
                  <c:v>40.8609794628752</c:v>
                </c:pt>
                <c:pt idx="1">
                  <c:v>77.677725118483409</c:v>
                </c:pt>
                <c:pt idx="2">
                  <c:v>117.65402843601896</c:v>
                </c:pt>
                <c:pt idx="3">
                  <c:v>208.15165876777252</c:v>
                </c:pt>
                <c:pt idx="4">
                  <c:v>307.36966824644549</c:v>
                </c:pt>
                <c:pt idx="5">
                  <c:v>386.39810426540282</c:v>
                </c:pt>
                <c:pt idx="6">
                  <c:v>537.52764612954184</c:v>
                </c:pt>
                <c:pt idx="7">
                  <c:v>601.35860979462871</c:v>
                </c:pt>
                <c:pt idx="8">
                  <c:v>651.17693522906791</c:v>
                </c:pt>
                <c:pt idx="9">
                  <c:v>696.06635071090045</c:v>
                </c:pt>
                <c:pt idx="10">
                  <c:v>710.07109004739334</c:v>
                </c:pt>
                <c:pt idx="11">
                  <c:v>744.37598736176938</c:v>
                </c:pt>
                <c:pt idx="12">
                  <c:v>754.81042654028442</c:v>
                </c:pt>
                <c:pt idx="13">
                  <c:v>780.11058451816757</c:v>
                </c:pt>
                <c:pt idx="14">
                  <c:v>814.57345971563996</c:v>
                </c:pt>
                <c:pt idx="15">
                  <c:v>827.9146919431281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0-4A4E-A7A6-79D37F98253C}"/>
            </c:ext>
          </c:extLst>
        </c:ser>
        <c:ser>
          <c:idx val="5"/>
          <c:order val="2"/>
          <c:tx>
            <c:strRef>
              <c:f>'Error Calcs'!$M$122</c:f>
              <c:strCache>
                <c:ptCount val="1"/>
                <c:pt idx="0">
                  <c:v>1C</c:v>
                </c:pt>
              </c:strCache>
            </c:strRef>
          </c:tx>
          <c:xVal>
            <c:numRef>
              <c:f>'Error Calcs'!$N$125:$N$140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'Error Calcs'!$O$125:$O$140</c:f>
              <c:numCache>
                <c:formatCode>General</c:formatCode>
                <c:ptCount val="16"/>
                <c:pt idx="0">
                  <c:v>40.939968404423382</c:v>
                </c:pt>
                <c:pt idx="1">
                  <c:v>77.187993680884674</c:v>
                </c:pt>
                <c:pt idx="2">
                  <c:v>116.84834123222748</c:v>
                </c:pt>
                <c:pt idx="3">
                  <c:v>208.7045813586098</c:v>
                </c:pt>
                <c:pt idx="4">
                  <c:v>308.04897314375989</c:v>
                </c:pt>
                <c:pt idx="5">
                  <c:v>425.87677725118488</c:v>
                </c:pt>
                <c:pt idx="6">
                  <c:v>568.53870458135862</c:v>
                </c:pt>
                <c:pt idx="7">
                  <c:v>638.02527646129545</c:v>
                </c:pt>
                <c:pt idx="8">
                  <c:v>684.69984202211697</c:v>
                </c:pt>
                <c:pt idx="9">
                  <c:v>718.5939968404424</c:v>
                </c:pt>
                <c:pt idx="10">
                  <c:v>729.12322274881524</c:v>
                </c:pt>
                <c:pt idx="11">
                  <c:v>752.82780410742498</c:v>
                </c:pt>
                <c:pt idx="12">
                  <c:v>761.33491311216437</c:v>
                </c:pt>
                <c:pt idx="13">
                  <c:v>781.13744075829391</c:v>
                </c:pt>
                <c:pt idx="14">
                  <c:v>807.25908372827814</c:v>
                </c:pt>
                <c:pt idx="15">
                  <c:v>817.15639810426546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40-4A4E-A7A6-79D37F98253C}"/>
            </c:ext>
          </c:extLst>
        </c:ser>
        <c:ser>
          <c:idx val="2"/>
          <c:order val="3"/>
          <c:tx>
            <c:strRef>
              <c:f>'Error Calcs'!$S$74</c:f>
              <c:strCache>
                <c:ptCount val="1"/>
                <c:pt idx="0">
                  <c:v>3A</c:v>
                </c:pt>
              </c:strCache>
            </c:strRef>
          </c:tx>
          <c:xVal>
            <c:numRef>
              <c:f>'Error Calcs'!$T$75:$T$90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'Error Calcs'!$U$75:$U$90</c:f>
              <c:numCache>
                <c:formatCode>General</c:formatCode>
                <c:ptCount val="16"/>
                <c:pt idx="0">
                  <c:v>28.854660347551341</c:v>
                </c:pt>
                <c:pt idx="1">
                  <c:v>32.559241706161139</c:v>
                </c:pt>
                <c:pt idx="2">
                  <c:v>36.532385466034754</c:v>
                </c:pt>
                <c:pt idx="3">
                  <c:v>46.745655608214847</c:v>
                </c:pt>
                <c:pt idx="4">
                  <c:v>64.810426540284354</c:v>
                </c:pt>
                <c:pt idx="5">
                  <c:v>87.788309636650865</c:v>
                </c:pt>
                <c:pt idx="6">
                  <c:v>142.17219589257505</c:v>
                </c:pt>
                <c:pt idx="7">
                  <c:v>164.36018957345973</c:v>
                </c:pt>
                <c:pt idx="8">
                  <c:v>207.41706161137444</c:v>
                </c:pt>
                <c:pt idx="9">
                  <c:v>246.66666666666669</c:v>
                </c:pt>
                <c:pt idx="10">
                  <c:v>261.28751974723542</c:v>
                </c:pt>
                <c:pt idx="11">
                  <c:v>293.68088467614535</c:v>
                </c:pt>
                <c:pt idx="12">
                  <c:v>304.6840442338073</c:v>
                </c:pt>
                <c:pt idx="13">
                  <c:v>329.8894154818326</c:v>
                </c:pt>
                <c:pt idx="14">
                  <c:v>363.40442338072677</c:v>
                </c:pt>
                <c:pt idx="15">
                  <c:v>375.7977883096367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40-4A4E-A7A6-79D37F98253C}"/>
            </c:ext>
          </c:extLst>
        </c:ser>
        <c:ser>
          <c:idx val="3"/>
          <c:order val="4"/>
          <c:tx>
            <c:strRef>
              <c:f>'Error Calcs'!$T$97</c:f>
              <c:strCache>
                <c:ptCount val="1"/>
                <c:pt idx="0">
                  <c:v>3B</c:v>
                </c:pt>
              </c:strCache>
            </c:strRef>
          </c:tx>
          <c:xVal>
            <c:numRef>
              <c:f>'Error Calcs'!$T$100:$T$115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'Error Calcs'!$U$100:$U$115</c:f>
              <c:numCache>
                <c:formatCode>General</c:formatCode>
                <c:ptCount val="16"/>
                <c:pt idx="0">
                  <c:v>24.984202211690363</c:v>
                </c:pt>
                <c:pt idx="1">
                  <c:v>29.131121642969983</c:v>
                </c:pt>
                <c:pt idx="2">
                  <c:v>32.219589257503948</c:v>
                </c:pt>
                <c:pt idx="3">
                  <c:v>44.723538704581358</c:v>
                </c:pt>
                <c:pt idx="4">
                  <c:v>61.161137440758296</c:v>
                </c:pt>
                <c:pt idx="5">
                  <c:v>88.941548183254355</c:v>
                </c:pt>
                <c:pt idx="6">
                  <c:v>139.59715639810429</c:v>
                </c:pt>
                <c:pt idx="7">
                  <c:v>160.14218009478677</c:v>
                </c:pt>
                <c:pt idx="8">
                  <c:v>197.46445497630336</c:v>
                </c:pt>
                <c:pt idx="9">
                  <c:v>231.87993680884682</c:v>
                </c:pt>
                <c:pt idx="10">
                  <c:v>243.7203791469195</c:v>
                </c:pt>
                <c:pt idx="11">
                  <c:v>271.09004739336501</c:v>
                </c:pt>
                <c:pt idx="12">
                  <c:v>278.99684044233817</c:v>
                </c:pt>
                <c:pt idx="13">
                  <c:v>300.26856240126392</c:v>
                </c:pt>
                <c:pt idx="14">
                  <c:v>329.78672985781998</c:v>
                </c:pt>
                <c:pt idx="15">
                  <c:v>339.24170616113753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40-4A4E-A7A6-79D37F98253C}"/>
            </c:ext>
          </c:extLst>
        </c:ser>
        <c:ser>
          <c:idx val="4"/>
          <c:order val="5"/>
          <c:tx>
            <c:strRef>
              <c:f>'Error Calcs'!$T$122</c:f>
              <c:strCache>
                <c:ptCount val="1"/>
                <c:pt idx="0">
                  <c:v>3C</c:v>
                </c:pt>
              </c:strCache>
            </c:strRef>
          </c:tx>
          <c:xVal>
            <c:numRef>
              <c:f>'Error Calcs'!$T$125:$T$140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'Error Calcs'!$U$125:$U$140</c:f>
              <c:numCache>
                <c:formatCode>General</c:formatCode>
                <c:ptCount val="16"/>
                <c:pt idx="0">
                  <c:v>24.431279620853083</c:v>
                </c:pt>
                <c:pt idx="1">
                  <c:v>28.325434439178519</c:v>
                </c:pt>
                <c:pt idx="2">
                  <c:v>33.799368088467617</c:v>
                </c:pt>
                <c:pt idx="3">
                  <c:v>45.039494470774095</c:v>
                </c:pt>
                <c:pt idx="4">
                  <c:v>67.274881516587683</c:v>
                </c:pt>
                <c:pt idx="5">
                  <c:v>95.434439178515021</c:v>
                </c:pt>
                <c:pt idx="6">
                  <c:v>143.68878357030019</c:v>
                </c:pt>
                <c:pt idx="7">
                  <c:v>164.34439178515009</c:v>
                </c:pt>
                <c:pt idx="8">
                  <c:v>205.74249605055294</c:v>
                </c:pt>
                <c:pt idx="9">
                  <c:v>236.30331753554503</c:v>
                </c:pt>
                <c:pt idx="10">
                  <c:v>246.32701421800948</c:v>
                </c:pt>
                <c:pt idx="11">
                  <c:v>268.45181674565561</c:v>
                </c:pt>
                <c:pt idx="12">
                  <c:v>276.83254344391787</c:v>
                </c:pt>
                <c:pt idx="13">
                  <c:v>292.62243285939968</c:v>
                </c:pt>
                <c:pt idx="14">
                  <c:v>313.30963665086887</c:v>
                </c:pt>
                <c:pt idx="15">
                  <c:v>320.47393364928911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40-4A4E-A7A6-79D37F98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32112"/>
        <c:axId val="289132672"/>
      </c:scatterChart>
      <c:valAx>
        <c:axId val="289132112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point (h)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9132672"/>
        <c:crosses val="autoZero"/>
        <c:crossBetween val="midCat"/>
      </c:valAx>
      <c:valAx>
        <c:axId val="2891326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Total Calcein Released (Sample 1&amp;2)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32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40257364446897"/>
          <c:y val="0.539482355311516"/>
          <c:w val="5.8620809647969403E-2"/>
          <c:h val="0.27541796363666898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Times New Roman"/>
                <a:ea typeface="+mn-ea"/>
                <a:cs typeface="Times New Roman"/>
              </a:defRPr>
            </a:pPr>
            <a:r>
              <a:rPr lang="en-GB">
                <a:solidFill>
                  <a:srgbClr val="000000"/>
                </a:solidFill>
                <a:latin typeface="Times New Roman"/>
                <a:cs typeface="Times New Roman"/>
              </a:rPr>
              <a:t>Drug Release Study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0128205128201"/>
          <c:y val="8.8093057670617494E-2"/>
          <c:w val="0.78227210781344603"/>
          <c:h val="0.694584069848412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'Error Calcs'!$M$74</c:f>
              <c:strCache>
                <c:ptCount val="1"/>
                <c:pt idx="0">
                  <c:v>1A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'Error Calcs'!$N$75:$N$92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Calcs'!$P$75:$P$92</c:f>
              <c:numCache>
                <c:formatCode>General</c:formatCode>
                <c:ptCount val="18"/>
                <c:pt idx="0">
                  <c:v>3.7986926629536786</c:v>
                </c:pt>
                <c:pt idx="1">
                  <c:v>6.9815989489719428</c:v>
                </c:pt>
                <c:pt idx="2">
                  <c:v>10.557834753242147</c:v>
                </c:pt>
                <c:pt idx="3">
                  <c:v>19.866364684167682</c:v>
                </c:pt>
                <c:pt idx="4">
                  <c:v>29.858385253367082</c:v>
                </c:pt>
                <c:pt idx="5">
                  <c:v>40.766025356857881</c:v>
                </c:pt>
                <c:pt idx="6">
                  <c:v>54.194843192094723</c:v>
                </c:pt>
                <c:pt idx="7">
                  <c:v>60.085919931650942</c:v>
                </c:pt>
                <c:pt idx="8">
                  <c:v>64.911460558237764</c:v>
                </c:pt>
                <c:pt idx="9">
                  <c:v>69.50164827636236</c:v>
                </c:pt>
                <c:pt idx="10">
                  <c:v>71.014516116032212</c:v>
                </c:pt>
                <c:pt idx="11">
                  <c:v>74.32477089361565</c:v>
                </c:pt>
                <c:pt idx="12">
                  <c:v>75.423353134143099</c:v>
                </c:pt>
                <c:pt idx="13">
                  <c:v>77.782524240543566</c:v>
                </c:pt>
                <c:pt idx="14">
                  <c:v>81.166931304354833</c:v>
                </c:pt>
                <c:pt idx="15">
                  <c:v>82.455730279118882</c:v>
                </c:pt>
                <c:pt idx="16">
                  <c:v>87.045917997243478</c:v>
                </c:pt>
                <c:pt idx="17">
                  <c:v>91.271792309118311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1-40E5-88A2-BEBCA9DB775F}"/>
            </c:ext>
          </c:extLst>
        </c:ser>
        <c:ser>
          <c:idx val="2"/>
          <c:order val="1"/>
          <c:tx>
            <c:strRef>
              <c:f>'Error Calcs'!$M$97</c:f>
              <c:strCache>
                <c:ptCount val="1"/>
                <c:pt idx="0">
                  <c:v>1B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'Error Calcs'!$N$100:$N$117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Calcs'!$P$100:$P$117</c:f>
              <c:numCache>
                <c:formatCode>General</c:formatCode>
                <c:ptCount val="18"/>
                <c:pt idx="0">
                  <c:v>4.0251484239439135</c:v>
                </c:pt>
                <c:pt idx="1">
                  <c:v>7.6519059735287929</c:v>
                </c:pt>
                <c:pt idx="2">
                  <c:v>11.589906393706666</c:v>
                </c:pt>
                <c:pt idx="3">
                  <c:v>20.50468031466654</c:v>
                </c:pt>
                <c:pt idx="4">
                  <c:v>30.278484558463077</c:v>
                </c:pt>
                <c:pt idx="5">
                  <c:v>38.063446859170377</c:v>
                </c:pt>
                <c:pt idx="6">
                  <c:v>52.950971466809825</c:v>
                </c:pt>
                <c:pt idx="7">
                  <c:v>59.238855559964811</c:v>
                </c:pt>
                <c:pt idx="8">
                  <c:v>64.14637752203987</c:v>
                </c:pt>
                <c:pt idx="9">
                  <c:v>68.568360605989852</c:v>
                </c:pt>
                <c:pt idx="10">
                  <c:v>69.947944629893314</c:v>
                </c:pt>
                <c:pt idx="11">
                  <c:v>73.32726409735676</c:v>
                </c:pt>
                <c:pt idx="12">
                  <c:v>74.355143677490133</c:v>
                </c:pt>
                <c:pt idx="13">
                  <c:v>76.84742096376354</c:v>
                </c:pt>
                <c:pt idx="14">
                  <c:v>80.24230257475665</c:v>
                </c:pt>
                <c:pt idx="15">
                  <c:v>81.556525595835566</c:v>
                </c:pt>
                <c:pt idx="16">
                  <c:v>85.973840036726656</c:v>
                </c:pt>
                <c:pt idx="17">
                  <c:v>90.486083553148617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B1-40E5-88A2-BEBCA9DB775F}"/>
            </c:ext>
          </c:extLst>
        </c:ser>
        <c:ser>
          <c:idx val="1"/>
          <c:order val="2"/>
          <c:tx>
            <c:strRef>
              <c:f>'Error Calcs'!$M$122</c:f>
              <c:strCache>
                <c:ptCount val="1"/>
                <c:pt idx="0">
                  <c:v>1C</c:v>
                </c:pt>
              </c:strCache>
            </c:strRef>
          </c:tx>
          <c:xVal>
            <c:numRef>
              <c:f>'Error Calcs'!$N$125:$N$142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Calcs'!$P$125:$P$142</c:f>
              <c:numCache>
                <c:formatCode>General</c:formatCode>
                <c:ptCount val="18"/>
                <c:pt idx="0">
                  <c:v>4.2025800906518338</c:v>
                </c:pt>
                <c:pt idx="1">
                  <c:v>7.9235216372467141</c:v>
                </c:pt>
                <c:pt idx="2">
                  <c:v>11.99474576133756</c:v>
                </c:pt>
                <c:pt idx="3">
                  <c:v>21.423995978237073</c:v>
                </c:pt>
                <c:pt idx="4">
                  <c:v>31.621921851308294</c:v>
                </c:pt>
                <c:pt idx="5">
                  <c:v>43.717211685815997</c:v>
                </c:pt>
                <c:pt idx="6">
                  <c:v>58.361780278766552</c:v>
                </c:pt>
                <c:pt idx="7">
                  <c:v>65.49473359874807</c:v>
                </c:pt>
                <c:pt idx="8">
                  <c:v>70.285983021025061</c:v>
                </c:pt>
                <c:pt idx="9">
                  <c:v>73.765294456291713</c:v>
                </c:pt>
                <c:pt idx="10">
                  <c:v>74.846143242870696</c:v>
                </c:pt>
                <c:pt idx="11">
                  <c:v>77.279471981447998</c:v>
                </c:pt>
                <c:pt idx="12">
                  <c:v>78.152745907288647</c:v>
                </c:pt>
                <c:pt idx="13">
                  <c:v>80.185520031784904</c:v>
                </c:pt>
                <c:pt idx="14">
                  <c:v>82.866965596088534</c:v>
                </c:pt>
                <c:pt idx="15">
                  <c:v>83.882947238686768</c:v>
                </c:pt>
                <c:pt idx="16">
                  <c:v>87.77092168103205</c:v>
                </c:pt>
                <c:pt idx="17">
                  <c:v>91.727006624557077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B1-40E5-88A2-BEBCA9DB775F}"/>
            </c:ext>
          </c:extLst>
        </c:ser>
        <c:ser>
          <c:idx val="3"/>
          <c:order val="3"/>
          <c:tx>
            <c:strRef>
              <c:f>'Error Calcs'!$S$74</c:f>
              <c:strCache>
                <c:ptCount val="1"/>
                <c:pt idx="0">
                  <c:v>3A</c:v>
                </c:pt>
              </c:strCache>
            </c:strRef>
          </c:tx>
          <c:xVal>
            <c:numRef>
              <c:f>'Error Calcs'!$T$75:$T$92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Calcs'!$V$75:$V$92</c:f>
              <c:numCache>
                <c:formatCode>General</c:formatCode>
                <c:ptCount val="18"/>
                <c:pt idx="0">
                  <c:v>5.9641790070041942</c:v>
                </c:pt>
                <c:pt idx="1">
                  <c:v>6.7299057943803158</c:v>
                </c:pt>
                <c:pt idx="2">
                  <c:v>7.5511436921419106</c:v>
                </c:pt>
                <c:pt idx="3">
                  <c:v>9.6621985665072057</c:v>
                </c:pt>
                <c:pt idx="4">
                  <c:v>13.396137079789053</c:v>
                </c:pt>
                <c:pt idx="5">
                  <c:v>18.145602377181664</c:v>
                </c:pt>
                <c:pt idx="6">
                  <c:v>29.386602230240488</c:v>
                </c:pt>
                <c:pt idx="7">
                  <c:v>33.972799555911116</c:v>
                </c:pt>
                <c:pt idx="8">
                  <c:v>42.872536694476644</c:v>
                </c:pt>
                <c:pt idx="9">
                  <c:v>50.985322209342186</c:v>
                </c:pt>
                <c:pt idx="10">
                  <c:v>54.007412365916174</c:v>
                </c:pt>
                <c:pt idx="11">
                  <c:v>60.703031886234868</c:v>
                </c:pt>
                <c:pt idx="12">
                  <c:v>62.977354732322155</c:v>
                </c:pt>
                <c:pt idx="13">
                  <c:v>68.187235709970778</c:v>
                </c:pt>
                <c:pt idx="14">
                  <c:v>75.1146957501347</c:v>
                </c:pt>
                <c:pt idx="15">
                  <c:v>77.676370226452676</c:v>
                </c:pt>
                <c:pt idx="16">
                  <c:v>85.887116524351413</c:v>
                </c:pt>
                <c:pt idx="17">
                  <c:v>91.586801417165987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B1-40E5-88A2-BEBCA9DB775F}"/>
            </c:ext>
          </c:extLst>
        </c:ser>
        <c:ser>
          <c:idx val="4"/>
          <c:order val="4"/>
          <c:tx>
            <c:strRef>
              <c:f>'Error Calcs'!$T$97</c:f>
              <c:strCache>
                <c:ptCount val="1"/>
                <c:pt idx="0">
                  <c:v>3B</c:v>
                </c:pt>
              </c:strCache>
            </c:strRef>
          </c:tx>
          <c:xVal>
            <c:numRef>
              <c:f>'Error Calcs'!$T$100:$T$117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Calcs'!$V$100:$V$117</c:f>
              <c:numCache>
                <c:formatCode>General</c:formatCode>
                <c:ptCount val="18"/>
                <c:pt idx="0">
                  <c:v>5.8994684323416937</c:v>
                </c:pt>
                <c:pt idx="1">
                  <c:v>6.8786720134290755</c:v>
                </c:pt>
                <c:pt idx="2">
                  <c:v>7.6079455376293934</c:v>
                </c:pt>
                <c:pt idx="3">
                  <c:v>10.560477478317633</c:v>
                </c:pt>
                <c:pt idx="4">
                  <c:v>14.44185395878019</c:v>
                </c:pt>
                <c:pt idx="5">
                  <c:v>21.001585377226519</c:v>
                </c:pt>
                <c:pt idx="6">
                  <c:v>32.962790263918677</c:v>
                </c:pt>
                <c:pt idx="7">
                  <c:v>37.814044577077311</c:v>
                </c:pt>
                <c:pt idx="8">
                  <c:v>46.626876806863748</c:v>
                </c:pt>
                <c:pt idx="9">
                  <c:v>54.753333955049897</c:v>
                </c:pt>
                <c:pt idx="10">
                  <c:v>57.549193322764161</c:v>
                </c:pt>
                <c:pt idx="11">
                  <c:v>64.01193695794089</c:v>
                </c:pt>
                <c:pt idx="12">
                  <c:v>65.87895178588083</c:v>
                </c:pt>
                <c:pt idx="13">
                  <c:v>70.901799869439529</c:v>
                </c:pt>
                <c:pt idx="14">
                  <c:v>77.871864217103422</c:v>
                </c:pt>
                <c:pt idx="15">
                  <c:v>80.104448381982664</c:v>
                </c:pt>
                <c:pt idx="16">
                  <c:v>87.171500512916168</c:v>
                </c:pt>
                <c:pt idx="17">
                  <c:v>92.231651590040101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B1-40E5-88A2-BEBCA9DB775F}"/>
            </c:ext>
          </c:extLst>
        </c:ser>
        <c:ser>
          <c:idx val="5"/>
          <c:order val="5"/>
          <c:tx>
            <c:strRef>
              <c:f>'Error Calcs'!$T$122</c:f>
              <c:strCache>
                <c:ptCount val="1"/>
                <c:pt idx="0">
                  <c:v>3C</c:v>
                </c:pt>
              </c:strCache>
            </c:strRef>
          </c:tx>
          <c:xVal>
            <c:numRef>
              <c:f>'Error Calcs'!$T$125:$T$142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Calcs'!$V$125:$V$142</c:f>
              <c:numCache>
                <c:formatCode>General</c:formatCode>
                <c:ptCount val="18"/>
                <c:pt idx="0">
                  <c:v>6.4454956550732492</c:v>
                </c:pt>
                <c:pt idx="1">
                  <c:v>7.4728572321670477</c:v>
                </c:pt>
                <c:pt idx="2">
                  <c:v>8.9169983537208015</c:v>
                </c:pt>
                <c:pt idx="3">
                  <c:v>11.882384812553402</c:v>
                </c:pt>
                <c:pt idx="4">
                  <c:v>17.74855690082731</c:v>
                </c:pt>
                <c:pt idx="5">
                  <c:v>25.177652280826063</c:v>
                </c:pt>
                <c:pt idx="6">
                  <c:v>37.908183466355482</c:v>
                </c:pt>
                <c:pt idx="7">
                  <c:v>43.357576010169431</c:v>
                </c:pt>
                <c:pt idx="8">
                  <c:v>54.279283972742633</c:v>
                </c:pt>
                <c:pt idx="9">
                  <c:v>62.341884260320512</c:v>
                </c:pt>
                <c:pt idx="10">
                  <c:v>64.986350469918946</c:v>
                </c:pt>
                <c:pt idx="11">
                  <c:v>70.823347990080649</c:v>
                </c:pt>
                <c:pt idx="12">
                  <c:v>73.034363473440735</c:v>
                </c:pt>
                <c:pt idx="13">
                  <c:v>77.20007502031801</c:v>
                </c:pt>
                <c:pt idx="14">
                  <c:v>82.657803155021156</c:v>
                </c:pt>
                <c:pt idx="15">
                  <c:v>84.547898389147065</c:v>
                </c:pt>
                <c:pt idx="16">
                  <c:v>89.80557234250945</c:v>
                </c:pt>
                <c:pt idx="17">
                  <c:v>93.446141663367172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B1-40E5-88A2-BEBCA9DB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38272"/>
        <c:axId val="287794800"/>
      </c:scatterChart>
      <c:valAx>
        <c:axId val="289138272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point (h)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87794800"/>
        <c:crosses val="autoZero"/>
        <c:crossBetween val="midCat"/>
      </c:valAx>
      <c:valAx>
        <c:axId val="28779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Total Calcein Released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1382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4644382192610503"/>
          <c:y val="0.33469966868895501"/>
          <c:w val="0.13094563900666301"/>
          <c:h val="0.36903904869034199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Times New Roman"/>
              </a:defRPr>
            </a:pPr>
            <a:r>
              <a:rPr lang="en-GB">
                <a:solidFill>
                  <a:schemeClr val="tx1"/>
                </a:solidFill>
                <a:latin typeface="Times New Roman"/>
                <a:cs typeface="Times New Roman"/>
              </a:rPr>
              <a:t>Drug Release Study (Considering "Wash</a:t>
            </a:r>
            <a:r>
              <a:rPr lang="en-GB" baseline="0">
                <a:solidFill>
                  <a:schemeClr val="tx1"/>
                </a:solidFill>
                <a:latin typeface="Times New Roman"/>
                <a:cs typeface="Times New Roman"/>
              </a:rPr>
              <a:t> Step")</a:t>
            </a:r>
            <a:endParaRPr lang="en-GB">
              <a:solidFill>
                <a:schemeClr val="tx1"/>
              </a:solidFill>
              <a:latin typeface="Times New Roman"/>
              <a:cs typeface="Times New Roman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96409091148"/>
          <c:y val="8.8093057670617494E-2"/>
          <c:w val="0.76517612653127798"/>
          <c:h val="0.76676745406824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'Error Calcs'!$M$74</c:f>
              <c:strCache>
                <c:ptCount val="1"/>
                <c:pt idx="0">
                  <c:v>1A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'Error Calcs'!$N$75:$N$92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Calcs'!$R$75:$R$92</c:f>
              <c:numCache>
                <c:formatCode>General</c:formatCode>
                <c:ptCount val="18"/>
                <c:pt idx="1">
                  <c:v>3.3085894299406817</c:v>
                </c:pt>
                <c:pt idx="2">
                  <c:v>7.0260397466403015</c:v>
                </c:pt>
                <c:pt idx="3">
                  <c:v>16.702134790039882</c:v>
                </c:pt>
                <c:pt idx="4">
                  <c:v>27.088709407151711</c:v>
                </c:pt>
                <c:pt idx="5">
                  <c:v>38.427058547538458</c:v>
                </c:pt>
                <c:pt idx="6">
                  <c:v>52.386138945675121</c:v>
                </c:pt>
                <c:pt idx="7">
                  <c:v>58.509836120513427</c:v>
                </c:pt>
                <c:pt idx="8">
                  <c:v>63.525922450484273</c:v>
                </c:pt>
                <c:pt idx="9">
                  <c:v>68.297362512148538</c:v>
                </c:pt>
                <c:pt idx="10">
                  <c:v>69.86996883273568</c:v>
                </c:pt>
                <c:pt idx="11">
                  <c:v>73.310935353061438</c:v>
                </c:pt>
                <c:pt idx="12">
                  <c:v>74.452897215054136</c:v>
                </c:pt>
                <c:pt idx="13">
                  <c:v>76.905224705921796</c:v>
                </c:pt>
                <c:pt idx="14">
                  <c:v>80.423271557357822</c:v>
                </c:pt>
                <c:pt idx="15">
                  <c:v>81.762961225242137</c:v>
                </c:pt>
                <c:pt idx="16">
                  <c:v>86.534401286906402</c:v>
                </c:pt>
                <c:pt idx="17">
                  <c:v>90.927142330507067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7-4CF6-B652-E1C3923D9078}"/>
            </c:ext>
          </c:extLst>
        </c:ser>
        <c:ser>
          <c:idx val="2"/>
          <c:order val="1"/>
          <c:tx>
            <c:strRef>
              <c:f>'Error Calcs'!$M$97</c:f>
              <c:strCache>
                <c:ptCount val="1"/>
                <c:pt idx="0">
                  <c:v>1B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'Error Calcs'!$N$100:$N$117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Calcs'!$R$100:$R$117</c:f>
              <c:numCache>
                <c:formatCode>General</c:formatCode>
                <c:ptCount val="18"/>
                <c:pt idx="1">
                  <c:v>3.7788623686600076</c:v>
                </c:pt>
                <c:pt idx="2">
                  <c:v>7.8820210143987532</c:v>
                </c:pt>
                <c:pt idx="3">
                  <c:v>17.170677130626537</c:v>
                </c:pt>
                <c:pt idx="4">
                  <c:v>27.354390971591641</c:v>
                </c:pt>
                <c:pt idx="5">
                  <c:v>35.465851602023605</c:v>
                </c:pt>
                <c:pt idx="6">
                  <c:v>50.977753275392388</c:v>
                </c:pt>
                <c:pt idx="7">
                  <c:v>57.529348813075622</c:v>
                </c:pt>
                <c:pt idx="8">
                  <c:v>62.642690361914646</c:v>
                </c:pt>
                <c:pt idx="9">
                  <c:v>67.25012971851082</c:v>
                </c:pt>
                <c:pt idx="10">
                  <c:v>68.68757296666233</c:v>
                </c:pt>
                <c:pt idx="11">
                  <c:v>72.208619795044754</c:v>
                </c:pt>
                <c:pt idx="12">
                  <c:v>73.279608250097297</c:v>
                </c:pt>
                <c:pt idx="13">
                  <c:v>75.876410688805294</c:v>
                </c:pt>
                <c:pt idx="14">
                  <c:v>79.413672331041653</c:v>
                </c:pt>
                <c:pt idx="15">
                  <c:v>80.783013361006624</c:v>
                </c:pt>
                <c:pt idx="16">
                  <c:v>85.385588273446629</c:v>
                </c:pt>
                <c:pt idx="17">
                  <c:v>90.087073550395644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A7-4CF6-B652-E1C3923D9078}"/>
            </c:ext>
          </c:extLst>
        </c:ser>
        <c:ser>
          <c:idx val="1"/>
          <c:order val="2"/>
          <c:tx>
            <c:strRef>
              <c:f>'Error Calcs'!$M$122</c:f>
              <c:strCache>
                <c:ptCount val="1"/>
                <c:pt idx="0">
                  <c:v>1C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pPr>
              <a:pattFill prst="pct10">
                <a:fgClr>
                  <a:schemeClr val="tx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ysDot"/>
              </a:ln>
            </c:spPr>
          </c:marker>
          <c:xVal>
            <c:numRef>
              <c:f>'Error Calcs'!$N$126:$N$142</c:f>
              <c:numCache>
                <c:formatCode>General</c:formatCode>
                <c:ptCount val="17"/>
                <c:pt idx="0">
                  <c:v>0.66666666666666663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21</c:v>
                </c:pt>
                <c:pt idx="6">
                  <c:v>24</c:v>
                </c:pt>
                <c:pt idx="7">
                  <c:v>48</c:v>
                </c:pt>
                <c:pt idx="8">
                  <c:v>68</c:v>
                </c:pt>
                <c:pt idx="9">
                  <c:v>72</c:v>
                </c:pt>
                <c:pt idx="10">
                  <c:v>94</c:v>
                </c:pt>
                <c:pt idx="11">
                  <c:v>96</c:v>
                </c:pt>
                <c:pt idx="12">
                  <c:v>117</c:v>
                </c:pt>
                <c:pt idx="13">
                  <c:v>152</c:v>
                </c:pt>
                <c:pt idx="14">
                  <c:v>164</c:v>
                </c:pt>
                <c:pt idx="15">
                  <c:v>261</c:v>
                </c:pt>
                <c:pt idx="16">
                  <c:v>384</c:v>
                </c:pt>
              </c:numCache>
            </c:numRef>
          </c:xVal>
          <c:yVal>
            <c:numRef>
              <c:f>'Error Calcs'!$R$126:$R$142</c:f>
              <c:numCache>
                <c:formatCode>General</c:formatCode>
                <c:ptCount val="17"/>
                <c:pt idx="0">
                  <c:v>3.8841772044758174</c:v>
                </c:pt>
                <c:pt idx="1">
                  <c:v>8.1340036903492283</c:v>
                </c:pt>
                <c:pt idx="2">
                  <c:v>17.976909925008041</c:v>
                </c:pt>
                <c:pt idx="3">
                  <c:v>28.622213193844903</c:v>
                </c:pt>
                <c:pt idx="4">
                  <c:v>41.248116736918732</c:v>
                </c:pt>
                <c:pt idx="5">
                  <c:v>56.535134494608371</c:v>
                </c:pt>
                <c:pt idx="6">
                  <c:v>63.981006551216304</c:v>
                </c:pt>
                <c:pt idx="7">
                  <c:v>68.982445448851422</c:v>
                </c:pt>
                <c:pt idx="8">
                  <c:v>72.614392361992799</c:v>
                </c:pt>
                <c:pt idx="9">
                  <c:v>73.742657390008986</c:v>
                </c:pt>
                <c:pt idx="10">
                  <c:v>76.282734921199207</c:v>
                </c:pt>
                <c:pt idx="11">
                  <c:v>77.194318893572373</c:v>
                </c:pt>
                <c:pt idx="12">
                  <c:v>79.31626970020146</c:v>
                </c:pt>
                <c:pt idx="13">
                  <c:v>82.115348805714973</c:v>
                </c:pt>
                <c:pt idx="14">
                  <c:v>83.175901003842711</c:v>
                </c:pt>
                <c:pt idx="15">
                  <c:v>87.234438745281267</c:v>
                </c:pt>
                <c:pt idx="16">
                  <c:v>91.364074958102691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A7-4CF6-B652-E1C3923D9078}"/>
            </c:ext>
          </c:extLst>
        </c:ser>
        <c:ser>
          <c:idx val="3"/>
          <c:order val="3"/>
          <c:tx>
            <c:strRef>
              <c:f>'Error Calcs'!$S$74</c:f>
              <c:strCache>
                <c:ptCount val="1"/>
                <c:pt idx="0">
                  <c:v>3A</c:v>
                </c:pt>
              </c:strCache>
            </c:strRef>
          </c:tx>
          <c:xVal>
            <c:numRef>
              <c:f>'Error Calcs'!$T$75:$T$92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Calcs'!$X$75:$X$92</c:f>
              <c:numCache>
                <c:formatCode>General</c:formatCode>
                <c:ptCount val="18"/>
                <c:pt idx="1">
                  <c:v>0.8142926592124452</c:v>
                </c:pt>
                <c:pt idx="2">
                  <c:v>1.6876171956385859</c:v>
                </c:pt>
                <c:pt idx="3">
                  <c:v>3.9325647614417667</c:v>
                </c:pt>
                <c:pt idx="4">
                  <c:v>7.9033266199041607</c:v>
                </c:pt>
                <c:pt idx="5">
                  <c:v>12.954024585040628</c:v>
                </c:pt>
                <c:pt idx="6">
                  <c:v>24.907979720813945</c:v>
                </c:pt>
                <c:pt idx="7">
                  <c:v>29.785054517674837</c:v>
                </c:pt>
                <c:pt idx="8">
                  <c:v>39.249253420376419</c:v>
                </c:pt>
                <c:pt idx="9">
                  <c:v>47.876588651989721</c:v>
                </c:pt>
                <c:pt idx="10">
                  <c:v>51.090353496770604</c:v>
                </c:pt>
                <c:pt idx="11">
                  <c:v>58.210639627751917</c:v>
                </c:pt>
                <c:pt idx="12">
                  <c:v>60.62921036183068</c:v>
                </c:pt>
                <c:pt idx="13">
                  <c:v>66.169525661504267</c:v>
                </c:pt>
                <c:pt idx="14">
                  <c:v>73.536356691436907</c:v>
                </c:pt>
                <c:pt idx="15">
                  <c:v>76.260504201680675</c:v>
                </c:pt>
                <c:pt idx="16">
                  <c:v>84.992013334259326</c:v>
                </c:pt>
                <c:pt idx="17">
                  <c:v>91.053198138759626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A7-4CF6-B652-E1C3923D9078}"/>
            </c:ext>
          </c:extLst>
        </c:ser>
        <c:ser>
          <c:idx val="4"/>
          <c:order val="4"/>
          <c:tx>
            <c:strRef>
              <c:f>'Error Calcs'!$T$97</c:f>
              <c:strCache>
                <c:ptCount val="1"/>
                <c:pt idx="0">
                  <c:v>3B</c:v>
                </c:pt>
              </c:strCache>
            </c:strRef>
          </c:tx>
          <c:xVal>
            <c:numRef>
              <c:f>'Error Calcs'!$T$100:$T$117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Calcs'!$X$100:$X$117</c:f>
              <c:numCache>
                <c:formatCode>General</c:formatCode>
                <c:ptCount val="18"/>
                <c:pt idx="1">
                  <c:v>1.04059303892809</c:v>
                </c:pt>
                <c:pt idx="2">
                  <c:v>1.8155870926821533</c:v>
                </c:pt>
                <c:pt idx="3">
                  <c:v>4.9532228652977084</c:v>
                </c:pt>
                <c:pt idx="4">
                  <c:v>9.0779354634107658</c:v>
                </c:pt>
                <c:pt idx="5">
                  <c:v>16.048917783239514</c:v>
                </c:pt>
                <c:pt idx="6">
                  <c:v>28.760009513993495</c:v>
                </c:pt>
                <c:pt idx="7">
                  <c:v>33.915404741140094</c:v>
                </c:pt>
                <c:pt idx="8">
                  <c:v>43.280742091492904</c:v>
                </c:pt>
                <c:pt idx="9">
                  <c:v>51.916673273606598</c:v>
                </c:pt>
                <c:pt idx="10">
                  <c:v>54.887814159993653</c:v>
                </c:pt>
                <c:pt idx="11">
                  <c:v>61.75572821691906</c:v>
                </c:pt>
                <c:pt idx="12">
                  <c:v>63.739792277808618</c:v>
                </c:pt>
                <c:pt idx="13">
                  <c:v>69.077539047014994</c:v>
                </c:pt>
                <c:pt idx="14">
                  <c:v>76.484579402204076</c:v>
                </c:pt>
                <c:pt idx="15">
                  <c:v>78.857131530960118</c:v>
                </c:pt>
                <c:pt idx="16">
                  <c:v>86.367240149052577</c:v>
                </c:pt>
                <c:pt idx="17">
                  <c:v>91.744628557837146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A7-4CF6-B652-E1C3923D9078}"/>
            </c:ext>
          </c:extLst>
        </c:ser>
        <c:ser>
          <c:idx val="5"/>
          <c:order val="5"/>
          <c:tx>
            <c:strRef>
              <c:f>'Error Calcs'!$T$122</c:f>
              <c:strCache>
                <c:ptCount val="1"/>
                <c:pt idx="0">
                  <c:v>3C</c:v>
                </c:pt>
              </c:strCache>
            </c:strRef>
          </c:tx>
          <c:xVal>
            <c:numRef>
              <c:f>'Error Calcs'!$T$125:$T$142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'Error Calcs'!$X$125:$X$142</c:f>
              <c:numCache>
                <c:formatCode>General</c:formatCode>
                <c:ptCount val="18"/>
                <c:pt idx="1">
                  <c:v>1.0981422907292735</c:v>
                </c:pt>
                <c:pt idx="2">
                  <c:v>2.6417784113690028</c:v>
                </c:pt>
                <c:pt idx="3">
                  <c:v>5.8114670111818958</c:v>
                </c:pt>
                <c:pt idx="4">
                  <c:v>12.081792667171561</c:v>
                </c:pt>
                <c:pt idx="5">
                  <c:v>20.022720185325436</c:v>
                </c:pt>
                <c:pt idx="6">
                  <c:v>33.630329219940307</c:v>
                </c:pt>
                <c:pt idx="7">
                  <c:v>39.455161046019512</c:v>
                </c:pt>
                <c:pt idx="8">
                  <c:v>51.129326858823006</c:v>
                </c:pt>
                <c:pt idx="9">
                  <c:v>59.747404998440764</c:v>
                </c:pt>
                <c:pt idx="10">
                  <c:v>62.574063349222605</c:v>
                </c:pt>
                <c:pt idx="11">
                  <c:v>68.813204437118543</c:v>
                </c:pt>
                <c:pt idx="12">
                  <c:v>71.176549204793503</c:v>
                </c:pt>
                <c:pt idx="13">
                  <c:v>75.629260034748512</c:v>
                </c:pt>
                <c:pt idx="14">
                  <c:v>81.463001737425927</c:v>
                </c:pt>
                <c:pt idx="15">
                  <c:v>83.483316256069855</c:v>
                </c:pt>
                <c:pt idx="16">
                  <c:v>89.103220920390257</c:v>
                </c:pt>
                <c:pt idx="17">
                  <c:v>92.994609524658088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A7-4CF6-B652-E1C3923D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00400"/>
        <c:axId val="287800960"/>
      </c:scatterChart>
      <c:valAx>
        <c:axId val="287800400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point (h)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87800960"/>
        <c:crosses val="autoZero"/>
        <c:crossBetween val="midCat"/>
      </c:valAx>
      <c:valAx>
        <c:axId val="28780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Total Calcein Released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780040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3573330387809699"/>
          <c:y val="0.44879790026246702"/>
          <c:w val="0.129205182017578"/>
          <c:h val="0.36165826771653498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Drug Release Study Averages (Considering "Wash</a:t>
            </a:r>
            <a:r>
              <a:rPr lang="en-GB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Step")</a:t>
            </a:r>
            <a:endParaRPr lang="en-GB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38752318802899E-2"/>
          <c:y val="8.8093057670617494E-2"/>
          <c:w val="0.82363385606457895"/>
          <c:h val="0.802256503050756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'Error Calcs'!$N$65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Calcs'!$S$149:$S$167</c:f>
                <c:numCache>
                  <c:formatCode>General</c:formatCode>
                  <c:ptCount val="19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</c:numCache>
              </c:numRef>
            </c:plus>
            <c:minus>
              <c:numRef>
                <c:f>'Error Calcs'!$S$149:$S$167</c:f>
                <c:numCache>
                  <c:formatCode>General</c:formatCode>
                  <c:ptCount val="19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Calcs'!$R$149:$R$169</c:f>
              <c:numCache>
                <c:formatCode>General</c:formatCode>
                <c:ptCount val="21"/>
                <c:pt idx="1">
                  <c:v>3.6577930751622572</c:v>
                </c:pt>
                <c:pt idx="2">
                  <c:v>7.6813931704937817</c:v>
                </c:pt>
                <c:pt idx="3">
                  <c:v>17.279670551980622</c:v>
                </c:pt>
                <c:pt idx="4">
                  <c:v>27.681614871718129</c:v>
                </c:pt>
                <c:pt idx="5">
                  <c:v>38.3385155994524</c:v>
                </c:pt>
                <c:pt idx="6">
                  <c:v>53.263164895828133</c:v>
                </c:pt>
                <c:pt idx="7">
                  <c:v>59.966024287369137</c:v>
                </c:pt>
                <c:pt idx="8">
                  <c:v>65.01055852080944</c:v>
                </c:pt>
                <c:pt idx="9">
                  <c:v>69.352854126136904</c:v>
                </c:pt>
                <c:pt idx="10">
                  <c:v>70.733775627275904</c:v>
                </c:pt>
                <c:pt idx="11">
                  <c:v>73.907151527244309</c:v>
                </c:pt>
                <c:pt idx="12">
                  <c:v>74.949424408196307</c:v>
                </c:pt>
                <c:pt idx="13">
                  <c:v>77.342966251531124</c:v>
                </c:pt>
                <c:pt idx="14">
                  <c:v>80.632181041219809</c:v>
                </c:pt>
                <c:pt idx="15">
                  <c:v>81.890612615908182</c:v>
                </c:pt>
                <c:pt idx="16">
                  <c:v>86.370917233390415</c:v>
                </c:pt>
                <c:pt idx="17">
                  <c:v>90.783048724386575</c:v>
                </c:pt>
                <c:pt idx="18">
                  <c:v>94.54725838723445</c:v>
                </c:pt>
                <c:pt idx="19">
                  <c:v>95.31185048469429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A-409E-BED4-736D395B9593}"/>
            </c:ext>
          </c:extLst>
        </c:ser>
        <c:ser>
          <c:idx val="2"/>
          <c:order val="1"/>
          <c:tx>
            <c:strRef>
              <c:f>'Error Calcs'!$T$65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plus>
            <c:min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Calcs'!$X$149:$X$169</c:f>
              <c:numCache>
                <c:formatCode>General</c:formatCode>
                <c:ptCount val="21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  <c:pt idx="19">
                  <c:v>96.358750375959517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A-409E-BED4-736D395B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41984"/>
        <c:axId val="297142544"/>
      </c:scatterChart>
      <c:valAx>
        <c:axId val="297141984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point (d)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97142544"/>
        <c:crosses val="autoZero"/>
        <c:crossBetween val="midCat"/>
        <c:majorUnit val="7"/>
        <c:minorUnit val="1"/>
      </c:valAx>
      <c:valAx>
        <c:axId val="297142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Delivered (%)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7141984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48819548134613899"/>
          <c:y val="0.139473027036669"/>
          <c:w val="0.41520536285457299"/>
          <c:h val="0.14346138164768199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67664808322"/>
          <c:y val="3.3031674208144797E-2"/>
          <c:w val="0.59160319558595298"/>
          <c:h val="0.817526632700324"/>
        </c:manualLayout>
      </c:layout>
      <c:scatterChart>
        <c:scatterStyle val="lineMarker"/>
        <c:varyColors val="0"/>
        <c:ser>
          <c:idx val="3"/>
          <c:order val="0"/>
          <c:tx>
            <c:v>Crystalline cal@NU-901 </c:v>
          </c:tx>
          <c:spPr>
            <a:ln w="31750">
              <a:noFill/>
            </a:ln>
          </c:spPr>
          <c:marker>
            <c:symbol val="squar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[1]Sheet1!$D$61:$D$75</c:f>
              <c:numCache>
                <c:formatCode>General</c:formatCode>
                <c:ptCount val="15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0.45833333333333331</c:v>
                </c:pt>
                <c:pt idx="6">
                  <c:v>0.9375</c:v>
                </c:pt>
                <c:pt idx="7">
                  <c:v>1</c:v>
                </c:pt>
                <c:pt idx="8">
                  <c:v>1.3020833333333333</c:v>
                </c:pt>
                <c:pt idx="9">
                  <c:v>2.0208333333333335</c:v>
                </c:pt>
                <c:pt idx="10">
                  <c:v>2.5625</c:v>
                </c:pt>
                <c:pt idx="11">
                  <c:v>4</c:v>
                </c:pt>
                <c:pt idx="12">
                  <c:v>5</c:v>
                </c:pt>
                <c:pt idx="13">
                  <c:v>7.020833333333333</c:v>
                </c:pt>
                <c:pt idx="14">
                  <c:v>11.03125</c:v>
                </c:pt>
              </c:numCache>
            </c:numRef>
          </c:xVal>
          <c:yVal>
            <c:numRef>
              <c:f>[1]Sheet1!$C$61:$C$75</c:f>
              <c:numCache>
                <c:formatCode>General</c:formatCode>
                <c:ptCount val="15"/>
                <c:pt idx="0">
                  <c:v>29.902359448494963</c:v>
                </c:pt>
                <c:pt idx="1">
                  <c:v>46.174040834962263</c:v>
                </c:pt>
                <c:pt idx="2">
                  <c:v>52.039607915875983</c:v>
                </c:pt>
                <c:pt idx="3">
                  <c:v>62.683997507859281</c:v>
                </c:pt>
                <c:pt idx="4">
                  <c:v>71.654277302971067</c:v>
                </c:pt>
                <c:pt idx="5">
                  <c:v>82.412810744741066</c:v>
                </c:pt>
                <c:pt idx="6">
                  <c:v>89.404597143550163</c:v>
                </c:pt>
                <c:pt idx="7">
                  <c:v>90.49134171339432</c:v>
                </c:pt>
                <c:pt idx="8">
                  <c:v>92.85649740084942</c:v>
                </c:pt>
                <c:pt idx="9">
                  <c:v>95.143654790950293</c:v>
                </c:pt>
                <c:pt idx="10">
                  <c:v>96.470101445346501</c:v>
                </c:pt>
                <c:pt idx="11">
                  <c:v>97.815572074707163</c:v>
                </c:pt>
                <c:pt idx="12">
                  <c:v>98.428619667936516</c:v>
                </c:pt>
                <c:pt idx="13">
                  <c:v>99.216687830838808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6-4ADE-A328-7AA641F7B442}"/>
            </c:ext>
          </c:extLst>
        </c:ser>
        <c:ser>
          <c:idx val="0"/>
          <c:order val="1"/>
          <c:tx>
            <c:v>Crystalline cal@NU-1000</c:v>
          </c:tx>
          <c:spPr>
            <a:ln w="31750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[1]Sheet1!$A$4:$A$21</c:f>
              <c:numCache>
                <c:formatCode>General</c:formatCode>
                <c:ptCount val="18"/>
                <c:pt idx="0">
                  <c:v>2.777777777777779E-2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1</c:v>
                </c:pt>
                <c:pt idx="8">
                  <c:v>1.3125</c:v>
                </c:pt>
                <c:pt idx="9">
                  <c:v>2</c:v>
                </c:pt>
                <c:pt idx="10">
                  <c:v>3.0416666666666665</c:v>
                </c:pt>
                <c:pt idx="11">
                  <c:v>4</c:v>
                </c:pt>
                <c:pt idx="12">
                  <c:v>5.0625</c:v>
                </c:pt>
                <c:pt idx="13">
                  <c:v>6</c:v>
                </c:pt>
                <c:pt idx="14">
                  <c:v>7.291666666666667</c:v>
                </c:pt>
                <c:pt idx="15">
                  <c:v>8.0625</c:v>
                </c:pt>
                <c:pt idx="16">
                  <c:v>11</c:v>
                </c:pt>
                <c:pt idx="17">
                  <c:v>15.260416666666666</c:v>
                </c:pt>
              </c:numCache>
            </c:numRef>
          </c:xVal>
          <c:yVal>
            <c:numRef>
              <c:f>[1]Sheet1!$C$4:$C$21</c:f>
              <c:numCache>
                <c:formatCode>General</c:formatCode>
                <c:ptCount val="18"/>
                <c:pt idx="0">
                  <c:v>24.072596729158359</c:v>
                </c:pt>
                <c:pt idx="1">
                  <c:v>31.272437175907463</c:v>
                </c:pt>
                <c:pt idx="2">
                  <c:v>41.583566015157565</c:v>
                </c:pt>
                <c:pt idx="3">
                  <c:v>55.644196250498602</c:v>
                </c:pt>
                <c:pt idx="4">
                  <c:v>62.883925009972074</c:v>
                </c:pt>
                <c:pt idx="5">
                  <c:v>69.964100518548065</c:v>
                </c:pt>
                <c:pt idx="6">
                  <c:v>73.972875947347433</c:v>
                </c:pt>
                <c:pt idx="7">
                  <c:v>86.27842042281614</c:v>
                </c:pt>
                <c:pt idx="8">
                  <c:v>89.409652971679307</c:v>
                </c:pt>
                <c:pt idx="9">
                  <c:v>94.295971280414847</c:v>
                </c:pt>
                <c:pt idx="10">
                  <c:v>98.344635021938572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6-4ADE-A328-7AA641F7B442}"/>
            </c:ext>
          </c:extLst>
        </c:ser>
        <c:ser>
          <c:idx val="5"/>
          <c:order val="2"/>
          <c:tx>
            <c:v>Crystalline cal@NU-1000 adj</c:v>
          </c:tx>
          <c:spPr>
            <a:ln w="31750">
              <a:noFill/>
            </a:ln>
          </c:spPr>
          <c:xVal>
            <c:numRef>
              <c:f>'[1]End point'!$H$71:$H$88</c:f>
              <c:numCache>
                <c:formatCode>General</c:formatCode>
                <c:ptCount val="18"/>
                <c:pt idx="0">
                  <c:v>2.7777777777777776E-2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1</c:v>
                </c:pt>
                <c:pt idx="8">
                  <c:v>1.3125</c:v>
                </c:pt>
                <c:pt idx="9">
                  <c:v>2</c:v>
                </c:pt>
                <c:pt idx="10">
                  <c:v>3.0416666666666665</c:v>
                </c:pt>
                <c:pt idx="11">
                  <c:v>4</c:v>
                </c:pt>
                <c:pt idx="12">
                  <c:v>5.0625</c:v>
                </c:pt>
                <c:pt idx="13">
                  <c:v>6</c:v>
                </c:pt>
                <c:pt idx="14">
                  <c:v>7.291666666666667</c:v>
                </c:pt>
                <c:pt idx="15">
                  <c:v>8.0625</c:v>
                </c:pt>
                <c:pt idx="16">
                  <c:v>11</c:v>
                </c:pt>
                <c:pt idx="17">
                  <c:v>15.260416666666666</c:v>
                </c:pt>
              </c:numCache>
            </c:numRef>
          </c:xVal>
          <c:yVal>
            <c:numRef>
              <c:f>'[1]End point'!$M$71:$M$88</c:f>
              <c:numCache>
                <c:formatCode>General</c:formatCode>
                <c:ptCount val="18"/>
                <c:pt idx="0">
                  <c:v>24.072596729158356</c:v>
                </c:pt>
                <c:pt idx="1">
                  <c:v>31.272437175907459</c:v>
                </c:pt>
                <c:pt idx="2">
                  <c:v>41.583566015157551</c:v>
                </c:pt>
                <c:pt idx="3">
                  <c:v>55.644196250498602</c:v>
                </c:pt>
                <c:pt idx="4">
                  <c:v>62.883925009972074</c:v>
                </c:pt>
                <c:pt idx="5">
                  <c:v>69.964100518548051</c:v>
                </c:pt>
                <c:pt idx="6">
                  <c:v>73.972875947347418</c:v>
                </c:pt>
                <c:pt idx="7">
                  <c:v>86.278420422816112</c:v>
                </c:pt>
                <c:pt idx="8">
                  <c:v>89.409652971679293</c:v>
                </c:pt>
                <c:pt idx="9">
                  <c:v>94.295971280414832</c:v>
                </c:pt>
                <c:pt idx="10">
                  <c:v>98.344635021938572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6-4ADE-A328-7AA641F7B442}"/>
            </c:ext>
          </c:extLst>
        </c:ser>
        <c:ser>
          <c:idx val="2"/>
          <c:order val="3"/>
          <c:tx>
            <c:strRef>
              <c:f>'Error Calcs'!$N$65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triang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'Error Calcs'!$S$172:$S$190</c:f>
                <c:numCache>
                  <c:formatCode>General</c:formatCode>
                  <c:ptCount val="19"/>
                  <c:pt idx="1">
                    <c:v>0.23498272496586856</c:v>
                  </c:pt>
                  <c:pt idx="2">
                    <c:v>0.45232438591476914</c:v>
                  </c:pt>
                  <c:pt idx="3">
                    <c:v>0.52042476957659123</c:v>
                  </c:pt>
                  <c:pt idx="4">
                    <c:v>0.62605029933735612</c:v>
                  </c:pt>
                  <c:pt idx="5">
                    <c:v>1.1516921831135776</c:v>
                  </c:pt>
                  <c:pt idx="6">
                    <c:v>1.6938203399941762</c:v>
                  </c:pt>
                  <c:pt idx="7">
                    <c:v>2.2335959751708865</c:v>
                  </c:pt>
                  <c:pt idx="8">
                    <c:v>2.2276161859601404</c:v>
                  </c:pt>
                  <c:pt idx="9">
                    <c:v>1.7624200560803867</c:v>
                  </c:pt>
                  <c:pt idx="10">
                    <c:v>1.5810184830057916</c:v>
                  </c:pt>
                  <c:pt idx="11">
                    <c:v>1.2132320932934906</c:v>
                  </c:pt>
                  <c:pt idx="12">
                    <c:v>1.1191807136956438</c:v>
                  </c:pt>
                  <c:pt idx="13">
                    <c:v>0.98430499714612707</c:v>
                  </c:pt>
                  <c:pt idx="14">
                    <c:v>0.69078764397460435</c:v>
                  </c:pt>
                  <c:pt idx="15">
                    <c:v>0.57683024914207348</c:v>
                  </c:pt>
                  <c:pt idx="16">
                    <c:v>0.28578909564220645</c:v>
                  </c:pt>
                  <c:pt idx="17">
                    <c:v>0.17837699826379722</c:v>
                  </c:pt>
                  <c:pt idx="18">
                    <c:v>4.7177192414361205E-2</c:v>
                  </c:pt>
                </c:numCache>
              </c:numRef>
            </c:plus>
            <c:minus>
              <c:numRef>
                <c:f>'Error Calcs'!$S$172:$S$190</c:f>
                <c:numCache>
                  <c:formatCode>General</c:formatCode>
                  <c:ptCount val="19"/>
                  <c:pt idx="1">
                    <c:v>0.23498272496586856</c:v>
                  </c:pt>
                  <c:pt idx="2">
                    <c:v>0.45232438591476914</c:v>
                  </c:pt>
                  <c:pt idx="3">
                    <c:v>0.52042476957659123</c:v>
                  </c:pt>
                  <c:pt idx="4">
                    <c:v>0.62605029933735612</c:v>
                  </c:pt>
                  <c:pt idx="5">
                    <c:v>1.1516921831135776</c:v>
                  </c:pt>
                  <c:pt idx="6">
                    <c:v>1.6938203399941762</c:v>
                  </c:pt>
                  <c:pt idx="7">
                    <c:v>2.2335959751708865</c:v>
                  </c:pt>
                  <c:pt idx="8">
                    <c:v>2.2276161859601404</c:v>
                  </c:pt>
                  <c:pt idx="9">
                    <c:v>1.7624200560803867</c:v>
                  </c:pt>
                  <c:pt idx="10">
                    <c:v>1.5810184830057916</c:v>
                  </c:pt>
                  <c:pt idx="11">
                    <c:v>1.2132320932934906</c:v>
                  </c:pt>
                  <c:pt idx="12">
                    <c:v>1.1191807136956438</c:v>
                  </c:pt>
                  <c:pt idx="13">
                    <c:v>0.98430499714612707</c:v>
                  </c:pt>
                  <c:pt idx="14">
                    <c:v>0.69078764397460435</c:v>
                  </c:pt>
                  <c:pt idx="15">
                    <c:v>0.57683024914207348</c:v>
                  </c:pt>
                  <c:pt idx="16">
                    <c:v>0.28578909564220645</c:v>
                  </c:pt>
                  <c:pt idx="17">
                    <c:v>0.17837699826379722</c:v>
                  </c:pt>
                  <c:pt idx="18">
                    <c:v>4.7177192414361205E-2</c:v>
                  </c:pt>
                </c:numCache>
              </c:numRef>
            </c:minus>
          </c:errBars>
          <c:xVal>
            <c:numRef>
              <c:f>'Error Calcs'!$T$194:$T$212</c:f>
              <c:numCache>
                <c:formatCode>General</c:formatCode>
                <c:ptCount val="19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</c:numCache>
            </c:numRef>
          </c:xVal>
          <c:yVal>
            <c:numRef>
              <c:f>'Error Calcs'!$R$172:$R$190</c:f>
              <c:numCache>
                <c:formatCode>General</c:formatCode>
                <c:ptCount val="19"/>
                <c:pt idx="1">
                  <c:v>3.7931157038011114</c:v>
                </c:pt>
                <c:pt idx="2">
                  <c:v>7.994953174701898</c:v>
                </c:pt>
                <c:pt idx="3">
                  <c:v>18.292076128871749</c:v>
                </c:pt>
                <c:pt idx="4">
                  <c:v>29.387095054466617</c:v>
                </c:pt>
                <c:pt idx="5">
                  <c:v>42.026371439233735</c:v>
                </c:pt>
                <c:pt idx="6">
                  <c:v>57.452064044923858</c:v>
                </c:pt>
                <c:pt idx="7">
                  <c:v>64.607360545910126</c:v>
                </c:pt>
                <c:pt idx="8">
                  <c:v>69.892310699625057</c:v>
                </c:pt>
                <c:pt idx="9">
                  <c:v>74.328718923817831</c:v>
                </c:pt>
                <c:pt idx="10">
                  <c:v>75.754802480763431</c:v>
                </c:pt>
                <c:pt idx="11">
                  <c:v>78.912622394398753</c:v>
                </c:pt>
                <c:pt idx="12">
                  <c:v>79.996623602793534</c:v>
                </c:pt>
                <c:pt idx="13">
                  <c:v>82.41074760542358</c:v>
                </c:pt>
                <c:pt idx="14">
                  <c:v>85.745384109608523</c:v>
                </c:pt>
                <c:pt idx="15">
                  <c:v>87.01242158761751</c:v>
                </c:pt>
                <c:pt idx="16">
                  <c:v>91.672738258134459</c:v>
                </c:pt>
                <c:pt idx="17">
                  <c:v>96.169566221811536</c:v>
                </c:pt>
                <c:pt idx="1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6-4ADE-A328-7AA641F7B442}"/>
            </c:ext>
          </c:extLst>
        </c:ser>
        <c:ser>
          <c:idx val="1"/>
          <c:order val="4"/>
          <c:tx>
            <c:v>Amorphous cal@NU-1000: Low Loading Concentration</c:v>
          </c:tx>
          <c:spPr>
            <a:ln w="31750">
              <a:noFill/>
            </a:ln>
          </c:spPr>
          <c:marker>
            <c:symbol val="square"/>
            <c:size val="7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[1]Sheet1!$E$15:$E$35</c:f>
              <c:numCache>
                <c:formatCode>General</c:formatCode>
                <c:ptCount val="21"/>
                <c:pt idx="0">
                  <c:v>1.3888888888888874E-2</c:v>
                </c:pt>
                <c:pt idx="1">
                  <c:v>2.777777777777779E-2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1</c:v>
                </c:pt>
                <c:pt idx="9">
                  <c:v>1.3125</c:v>
                </c:pt>
                <c:pt idx="10">
                  <c:v>2</c:v>
                </c:pt>
                <c:pt idx="11">
                  <c:v>3.0416666666666665</c:v>
                </c:pt>
                <c:pt idx="12">
                  <c:v>4</c:v>
                </c:pt>
                <c:pt idx="13">
                  <c:v>5.0625</c:v>
                </c:pt>
                <c:pt idx="14">
                  <c:v>6</c:v>
                </c:pt>
                <c:pt idx="15">
                  <c:v>7.291666666666667</c:v>
                </c:pt>
                <c:pt idx="16">
                  <c:v>8.0625</c:v>
                </c:pt>
                <c:pt idx="17">
                  <c:v>11</c:v>
                </c:pt>
                <c:pt idx="18">
                  <c:v>15.260416666666666</c:v>
                </c:pt>
                <c:pt idx="19">
                  <c:v>21.020833333333332</c:v>
                </c:pt>
                <c:pt idx="20">
                  <c:v>30.125</c:v>
                </c:pt>
              </c:numCache>
            </c:numRef>
          </c:xVal>
          <c:yVal>
            <c:numRef>
              <c:f>[1]Sheet1!$G$15:$G$35</c:f>
              <c:numCache>
                <c:formatCode>General</c:formatCode>
                <c:ptCount val="21"/>
                <c:pt idx="0">
                  <c:v>1.4563617570419702</c:v>
                </c:pt>
                <c:pt idx="1">
                  <c:v>3.0464141811137173</c:v>
                </c:pt>
                <c:pt idx="2">
                  <c:v>5.1316172238142697</c:v>
                </c:pt>
                <c:pt idx="3">
                  <c:v>9.6059220013988025</c:v>
                </c:pt>
                <c:pt idx="4">
                  <c:v>15.461697004957697</c:v>
                </c:pt>
                <c:pt idx="5">
                  <c:v>22.768263321098988</c:v>
                </c:pt>
                <c:pt idx="6">
                  <c:v>30.084732649612857</c:v>
                </c:pt>
                <c:pt idx="7">
                  <c:v>37.148675162626034</c:v>
                </c:pt>
                <c:pt idx="8">
                  <c:v>47.020121683264534</c:v>
                </c:pt>
                <c:pt idx="9">
                  <c:v>54.603972345837946</c:v>
                </c:pt>
                <c:pt idx="10">
                  <c:v>62.024423304263863</c:v>
                </c:pt>
                <c:pt idx="11">
                  <c:v>68.088161567646864</c:v>
                </c:pt>
                <c:pt idx="12">
                  <c:v>72.760526592682922</c:v>
                </c:pt>
                <c:pt idx="13">
                  <c:v>76.640650627912891</c:v>
                </c:pt>
                <c:pt idx="14">
                  <c:v>80.065236094004348</c:v>
                </c:pt>
                <c:pt idx="15">
                  <c:v>83.623512227125602</c:v>
                </c:pt>
                <c:pt idx="16">
                  <c:v>86.508383518911671</c:v>
                </c:pt>
                <c:pt idx="17">
                  <c:v>88.692616685337981</c:v>
                </c:pt>
                <c:pt idx="18">
                  <c:v>92.592546745313101</c:v>
                </c:pt>
                <c:pt idx="19">
                  <c:v>96.220143965042368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6-4ADE-A328-7AA641F7B442}"/>
            </c:ext>
          </c:extLst>
        </c:ser>
        <c:ser>
          <c:idx val="4"/>
          <c:order val="5"/>
          <c:tx>
            <c:strRef>
              <c:f>'Error Calcs'!$T$65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'Error Calcs'!$Y$149:$Y$167</c:f>
                <c:numCache>
                  <c:formatCode>General</c:formatCode>
                  <c:ptCount val="19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</c:numCache>
              </c:numRef>
            </c:plus>
            <c:minus>
              <c:numRef>
                <c:f>'Error Calcs'!$Y$149:$Y$167</c:f>
                <c:numCache>
                  <c:formatCode>General</c:formatCode>
                  <c:ptCount val="19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</c:numCache>
              </c:numRef>
            </c:minus>
          </c:errBars>
          <c:xVal>
            <c:numRef>
              <c:f>'Error Calcs'!$T$194:$T$212</c:f>
              <c:numCache>
                <c:formatCode>General</c:formatCode>
                <c:ptCount val="19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</c:numCache>
            </c:numRef>
          </c:xVal>
          <c:yVal>
            <c:numRef>
              <c:f>'Error Calcs'!$X$149:$X$167</c:f>
              <c:numCache>
                <c:formatCode>General</c:formatCode>
                <c:ptCount val="19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6-4ADE-A328-7AA641F7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01488"/>
        <c:axId val="297202048"/>
      </c:scatterChart>
      <c:valAx>
        <c:axId val="297201488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>
                    <a:latin typeface="Arial"/>
                    <a:cs typeface="Arial"/>
                  </a:rPr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Arial"/>
                <a:cs typeface="Arial"/>
              </a:defRPr>
            </a:pPr>
            <a:endParaRPr lang="en-US"/>
          </a:p>
        </c:txPr>
        <c:crossAx val="297202048"/>
        <c:crosses val="autoZero"/>
        <c:crossBetween val="midCat"/>
      </c:valAx>
      <c:valAx>
        <c:axId val="2972020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Arial"/>
                    <a:cs typeface="Arial"/>
                  </a:rPr>
                  <a:t>Total</a:t>
                </a:r>
                <a:r>
                  <a:rPr lang="en-US" sz="1600" b="0" baseline="0">
                    <a:latin typeface="Arial"/>
                    <a:cs typeface="Arial"/>
                  </a:rPr>
                  <a:t> Calein Released (%)</a:t>
                </a:r>
                <a:endParaRPr lang="en-US" sz="1600" b="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solidFill>
                  <a:srgbClr val="000000"/>
                </a:solidFill>
                <a:latin typeface="Arial"/>
                <a:cs typeface="Arial"/>
              </a:defRPr>
            </a:pPr>
            <a:endParaRPr lang="en-US"/>
          </a:p>
        </c:txPr>
        <c:crossAx val="29720148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269375458502496"/>
          <c:y val="0.15890262585955001"/>
          <c:w val="0.25730624541497499"/>
          <c:h val="0.64970727059673905"/>
        </c:manualLayout>
      </c:layout>
      <c:overlay val="0"/>
      <c:txPr>
        <a:bodyPr/>
        <a:lstStyle/>
        <a:p>
          <a:pPr>
            <a:defRPr sz="16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4766867825399"/>
          <c:y val="8.8093057670617494E-2"/>
          <c:w val="0.77482511083557903"/>
          <c:h val="0.77753607657232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'Error Calcs'!$N$65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Calcs'!$S$149:$S$164</c:f>
                <c:numCache>
                  <c:formatCode>General</c:formatCode>
                  <c:ptCount val="16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</c:numCache>
              </c:numRef>
            </c:plus>
            <c:minus>
              <c:numRef>
                <c:f>'Error Calcs'!$S$149:$S$164</c:f>
                <c:numCache>
                  <c:formatCode>General</c:formatCode>
                  <c:ptCount val="16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Calcs'!$R$149:$R$169</c:f>
              <c:numCache>
                <c:formatCode>General</c:formatCode>
                <c:ptCount val="21"/>
                <c:pt idx="1">
                  <c:v>3.6577930751622572</c:v>
                </c:pt>
                <c:pt idx="2">
                  <c:v>7.6813931704937817</c:v>
                </c:pt>
                <c:pt idx="3">
                  <c:v>17.279670551980622</c:v>
                </c:pt>
                <c:pt idx="4">
                  <c:v>27.681614871718129</c:v>
                </c:pt>
                <c:pt idx="5">
                  <c:v>38.3385155994524</c:v>
                </c:pt>
                <c:pt idx="6">
                  <c:v>53.263164895828133</c:v>
                </c:pt>
                <c:pt idx="7">
                  <c:v>59.966024287369137</c:v>
                </c:pt>
                <c:pt idx="8">
                  <c:v>65.01055852080944</c:v>
                </c:pt>
                <c:pt idx="9">
                  <c:v>69.352854126136904</c:v>
                </c:pt>
                <c:pt idx="10">
                  <c:v>70.733775627275904</c:v>
                </c:pt>
                <c:pt idx="11">
                  <c:v>73.907151527244309</c:v>
                </c:pt>
                <c:pt idx="12">
                  <c:v>74.949424408196307</c:v>
                </c:pt>
                <c:pt idx="13">
                  <c:v>77.342966251531124</c:v>
                </c:pt>
                <c:pt idx="14">
                  <c:v>80.632181041219809</c:v>
                </c:pt>
                <c:pt idx="15">
                  <c:v>81.890612615908182</c:v>
                </c:pt>
                <c:pt idx="16">
                  <c:v>86.370917233390415</c:v>
                </c:pt>
                <c:pt idx="17">
                  <c:v>90.783048724386575</c:v>
                </c:pt>
                <c:pt idx="18">
                  <c:v>94.54725838723445</c:v>
                </c:pt>
                <c:pt idx="19">
                  <c:v>95.31185048469429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2-4D2A-9793-3AD4D3E10688}"/>
            </c:ext>
          </c:extLst>
        </c:ser>
        <c:ser>
          <c:idx val="2"/>
          <c:order val="1"/>
          <c:tx>
            <c:strRef>
              <c:f>'Error Calcs'!$T$65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plus>
            <c:min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Calcs'!$X$149:$X$169</c:f>
              <c:numCache>
                <c:formatCode>General</c:formatCode>
                <c:ptCount val="21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  <c:pt idx="19">
                  <c:v>96.358750375959517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2-4D2A-9793-3AD4D3E1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05968"/>
        <c:axId val="297206528"/>
      </c:scatterChart>
      <c:valAx>
        <c:axId val="297205968"/>
        <c:scaling>
          <c:orientation val="minMax"/>
          <c:max val="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point (d)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97206528"/>
        <c:crosses val="autoZero"/>
        <c:crossBetween val="midCat"/>
        <c:majorUnit val="2"/>
        <c:minorUnit val="1"/>
      </c:valAx>
      <c:valAx>
        <c:axId val="29720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Total Calcein Released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7205968"/>
        <c:crosses val="autoZero"/>
        <c:crossBetween val="midCat"/>
        <c:majorUnit val="20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94734699206"/>
          <c:y val="8.8093057670617494E-2"/>
          <c:w val="0.78877783858258099"/>
          <c:h val="0.80225650305075602"/>
        </c:manualLayout>
      </c:layout>
      <c:scatterChart>
        <c:scatterStyle val="smoothMarker"/>
        <c:varyColors val="0"/>
        <c:ser>
          <c:idx val="0"/>
          <c:order val="0"/>
          <c:tx>
            <c:v>cal@NU-1000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Calcs'!$S$149:$S$167</c:f>
                <c:numCache>
                  <c:formatCode>General</c:formatCode>
                  <c:ptCount val="19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</c:numCache>
              </c:numRef>
            </c:plus>
            <c:minus>
              <c:numRef>
                <c:f>'Error Calcs'!$S$149:$S$167</c:f>
                <c:numCache>
                  <c:formatCode>General</c:formatCode>
                  <c:ptCount val="19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Calcs'!$R$149:$R$169</c:f>
              <c:numCache>
                <c:formatCode>General</c:formatCode>
                <c:ptCount val="21"/>
                <c:pt idx="1">
                  <c:v>3.6577930751622572</c:v>
                </c:pt>
                <c:pt idx="2">
                  <c:v>7.6813931704937817</c:v>
                </c:pt>
                <c:pt idx="3">
                  <c:v>17.279670551980622</c:v>
                </c:pt>
                <c:pt idx="4">
                  <c:v>27.681614871718129</c:v>
                </c:pt>
                <c:pt idx="5">
                  <c:v>38.3385155994524</c:v>
                </c:pt>
                <c:pt idx="6">
                  <c:v>53.263164895828133</c:v>
                </c:pt>
                <c:pt idx="7">
                  <c:v>59.966024287369137</c:v>
                </c:pt>
                <c:pt idx="8">
                  <c:v>65.01055852080944</c:v>
                </c:pt>
                <c:pt idx="9">
                  <c:v>69.352854126136904</c:v>
                </c:pt>
                <c:pt idx="10">
                  <c:v>70.733775627275904</c:v>
                </c:pt>
                <c:pt idx="11">
                  <c:v>73.907151527244309</c:v>
                </c:pt>
                <c:pt idx="12">
                  <c:v>74.949424408196307</c:v>
                </c:pt>
                <c:pt idx="13">
                  <c:v>77.342966251531124</c:v>
                </c:pt>
                <c:pt idx="14">
                  <c:v>80.632181041219809</c:v>
                </c:pt>
                <c:pt idx="15">
                  <c:v>81.890612615908182</c:v>
                </c:pt>
                <c:pt idx="16">
                  <c:v>86.370917233390415</c:v>
                </c:pt>
                <c:pt idx="17">
                  <c:v>90.783048724386575</c:v>
                </c:pt>
                <c:pt idx="18">
                  <c:v>94.54725838723445</c:v>
                </c:pt>
                <c:pt idx="19">
                  <c:v>95.31185048469429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C-421B-B03F-8FD3FB349FA5}"/>
            </c:ext>
          </c:extLst>
        </c:ser>
        <c:ser>
          <c:idx val="2"/>
          <c:order val="1"/>
          <c:tx>
            <c:v>cal@t.a.NU-1000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plus>
            <c:min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Calcs'!$X$149:$X$169</c:f>
              <c:numCache>
                <c:formatCode>General</c:formatCode>
                <c:ptCount val="21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  <c:pt idx="19">
                  <c:v>96.358750375959517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C-421B-B03F-8FD3FB34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70144"/>
        <c:axId val="290270704"/>
      </c:scatterChart>
      <c:valAx>
        <c:axId val="290270144"/>
        <c:scaling>
          <c:orientation val="minMax"/>
          <c:max val="4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2400" b="1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2400" b="1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(days)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90270704"/>
        <c:crosses val="autoZero"/>
        <c:crossBetween val="midCat"/>
        <c:majorUnit val="7"/>
        <c:minorUnit val="1"/>
      </c:valAx>
      <c:valAx>
        <c:axId val="29027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Delivered (%)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0270144"/>
        <c:crosses val="autoZero"/>
        <c:crossBetween val="midCat"/>
        <c:majorUnit val="20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0739046868028501"/>
          <c:y val="0.14448675913317899"/>
          <c:w val="0.29598567382633301"/>
          <c:h val="0.14346138164768199"/>
        </c:manualLayout>
      </c:layout>
      <c:overlay val="1"/>
      <c:txPr>
        <a:bodyPr/>
        <a:lstStyle/>
        <a:p>
          <a:pPr>
            <a:defRPr sz="2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Calcein</a:t>
            </a:r>
            <a:r>
              <a:rPr lang="en-GB" baseline="0"/>
              <a:t> Released (as function of total loaded)</a:t>
            </a:r>
            <a:endParaRPr lang="en-GB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23602120692604E-2"/>
          <c:y val="8.8093057670617494E-2"/>
          <c:w val="0.830348953633543"/>
          <c:h val="0.802256503050756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'End point'!$M$74</c:f>
              <c:strCache>
                <c:ptCount val="1"/>
                <c:pt idx="0">
                  <c:v>1A</c:v>
                </c:pt>
              </c:strCache>
            </c:strRef>
          </c:tx>
          <c:spPr>
            <a:ln w="19050" cap="sq" cmpd="sng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'End point'!$N$75:$N$90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'End point'!$O$75:$O$90</c:f>
              <c:numCache>
                <c:formatCode>General</c:formatCode>
                <c:ptCount val="16"/>
                <c:pt idx="0">
                  <c:v>25.529754595843347</c:v>
                </c:pt>
                <c:pt idx="1">
                  <c:v>46.921013008528554</c:v>
                </c:pt>
                <c:pt idx="2">
                  <c:v>70.955708773806919</c:v>
                </c:pt>
                <c:pt idx="3">
                  <c:v>133.51525382523803</c:v>
                </c:pt>
                <c:pt idx="4">
                  <c:v>200.66831296478185</c:v>
                </c:pt>
                <c:pt idx="5">
                  <c:v>273.97494758085401</c:v>
                </c:pt>
                <c:pt idx="6">
                  <c:v>364.22558227666264</c:v>
                </c:pt>
                <c:pt idx="7">
                  <c:v>403.81755688753026</c:v>
                </c:pt>
                <c:pt idx="8">
                  <c:v>436.24841637518443</c:v>
                </c:pt>
                <c:pt idx="9">
                  <c:v>467.09754695513942</c:v>
                </c:pt>
                <c:pt idx="10">
                  <c:v>477.26503037894548</c:v>
                </c:pt>
                <c:pt idx="11">
                  <c:v>499.51215580333093</c:v>
                </c:pt>
                <c:pt idx="12">
                  <c:v>506.89536299920076</c:v>
                </c:pt>
                <c:pt idx="13">
                  <c:v>522.75057023493878</c:v>
                </c:pt>
                <c:pt idx="14">
                  <c:v>545.49604860284592</c:v>
                </c:pt>
                <c:pt idx="15">
                  <c:v>554.15763943644527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1-4AD6-959C-6E55768BEB08}"/>
            </c:ext>
          </c:extLst>
        </c:ser>
        <c:ser>
          <c:idx val="1"/>
          <c:order val="1"/>
          <c:tx>
            <c:strRef>
              <c:f>'End point'!$M$97</c:f>
              <c:strCache>
                <c:ptCount val="1"/>
                <c:pt idx="0">
                  <c:v>1B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'End point'!$N$100:$N$115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'End point'!$O$100:$O$115</c:f>
              <c:numCache>
                <c:formatCode>General</c:formatCode>
                <c:ptCount val="16"/>
                <c:pt idx="0">
                  <c:v>25.822155878965624</c:v>
                </c:pt>
                <c:pt idx="1">
                  <c:v>49.088552274066878</c:v>
                </c:pt>
                <c:pt idx="2">
                  <c:v>74.351635765937175</c:v>
                </c:pt>
                <c:pt idx="3">
                  <c:v>131.54174593514443</c:v>
                </c:pt>
                <c:pt idx="4">
                  <c:v>194.24271249143425</c:v>
                </c:pt>
                <c:pt idx="5">
                  <c:v>244.18484849936991</c:v>
                </c:pt>
                <c:pt idx="6">
                  <c:v>339.69138405557504</c:v>
                </c:pt>
                <c:pt idx="7">
                  <c:v>380.02945512805161</c:v>
                </c:pt>
                <c:pt idx="8">
                  <c:v>411.51221892635749</c:v>
                </c:pt>
                <c:pt idx="9">
                  <c:v>439.88015085370364</c:v>
                </c:pt>
                <c:pt idx="10">
                  <c:v>448.73046641013241</c:v>
                </c:pt>
                <c:pt idx="11">
                  <c:v>470.4094965633023</c:v>
                </c:pt>
                <c:pt idx="12">
                  <c:v>477.00355570038204</c:v>
                </c:pt>
                <c:pt idx="13">
                  <c:v>492.99202762776014</c:v>
                </c:pt>
                <c:pt idx="14">
                  <c:v>514.77089213576846</c:v>
                </c:pt>
                <c:pt idx="15">
                  <c:v>523.20190340187571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1-4AD6-959C-6E55768BEB08}"/>
            </c:ext>
          </c:extLst>
        </c:ser>
        <c:ser>
          <c:idx val="5"/>
          <c:order val="2"/>
          <c:tx>
            <c:strRef>
              <c:f>'End point'!$M$122</c:f>
              <c:strCache>
                <c:ptCount val="1"/>
                <c:pt idx="0">
                  <c:v>1C</c:v>
                </c:pt>
              </c:strCache>
            </c:strRef>
          </c:tx>
          <c:xVal>
            <c:numRef>
              <c:f>'End point'!$N$125:$N$140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'End point'!$O$125:$O$140</c:f>
              <c:numCache>
                <c:formatCode>General</c:formatCode>
                <c:ptCount val="16"/>
                <c:pt idx="0">
                  <c:v>28.709655262568994</c:v>
                </c:pt>
                <c:pt idx="1">
                  <c:v>54.129027826707343</c:v>
                </c:pt>
                <c:pt idx="2">
                  <c:v>81.941333262431613</c:v>
                </c:pt>
                <c:pt idx="3">
                  <c:v>146.35664891908121</c:v>
                </c:pt>
                <c:pt idx="4">
                  <c:v>216.02312282171101</c:v>
                </c:pt>
                <c:pt idx="5">
                  <c:v>298.65131644543118</c:v>
                </c:pt>
                <c:pt idx="6">
                  <c:v>398.6947437456933</c:v>
                </c:pt>
                <c:pt idx="7">
                  <c:v>447.42305502194631</c:v>
                </c:pt>
                <c:pt idx="8">
                  <c:v>480.15416691593055</c:v>
                </c:pt>
                <c:pt idx="9">
                  <c:v>503.92285893439157</c:v>
                </c:pt>
                <c:pt idx="10">
                  <c:v>511.30660781824349</c:v>
                </c:pt>
                <c:pt idx="11">
                  <c:v>527.92973640071875</c:v>
                </c:pt>
                <c:pt idx="12">
                  <c:v>533.89545099029749</c:v>
                </c:pt>
                <c:pt idx="13">
                  <c:v>547.78221652054265</c:v>
                </c:pt>
                <c:pt idx="14">
                  <c:v>566.10033922039133</c:v>
                </c:pt>
                <c:pt idx="15">
                  <c:v>573.04095238728291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E1-4AD6-959C-6E55768BEB08}"/>
            </c:ext>
          </c:extLst>
        </c:ser>
        <c:ser>
          <c:idx val="2"/>
          <c:order val="3"/>
          <c:tx>
            <c:strRef>
              <c:f>'End point'!$S$74</c:f>
              <c:strCache>
                <c:ptCount val="1"/>
                <c:pt idx="0">
                  <c:v>3A</c:v>
                </c:pt>
              </c:strCache>
            </c:strRef>
          </c:tx>
          <c:xVal>
            <c:numRef>
              <c:f>'End point'!$T$75:$T$90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'End point'!$U$75:$U$90</c:f>
              <c:numCache>
                <c:formatCode>General</c:formatCode>
                <c:ptCount val="16"/>
                <c:pt idx="0">
                  <c:v>25.13472155710048</c:v>
                </c:pt>
                <c:pt idx="1">
                  <c:v>28.361708803276262</c:v>
                </c:pt>
                <c:pt idx="2">
                  <c:v>31.822635423375232</c:v>
                </c:pt>
                <c:pt idx="3">
                  <c:v>40.71921220227776</c:v>
                </c:pt>
                <c:pt idx="4">
                  <c:v>56.455075383522981</c:v>
                </c:pt>
                <c:pt idx="5">
                  <c:v>76.47065299359835</c:v>
                </c:pt>
                <c:pt idx="6">
                  <c:v>123.84337621304451</c:v>
                </c:pt>
                <c:pt idx="7">
                  <c:v>143.17089684099284</c:v>
                </c:pt>
                <c:pt idx="8">
                  <c:v>180.67688293673734</c:v>
                </c:pt>
                <c:pt idx="9">
                  <c:v>214.86643437862955</c:v>
                </c:pt>
                <c:pt idx="10">
                  <c:v>227.60236911780092</c:v>
                </c:pt>
                <c:pt idx="11">
                  <c:v>255.8195859548305</c:v>
                </c:pt>
                <c:pt idx="12">
                  <c:v>265.40421971586005</c:v>
                </c:pt>
                <c:pt idx="13">
                  <c:v>287.36011801553366</c:v>
                </c:pt>
                <c:pt idx="14">
                  <c:v>316.55437576718361</c:v>
                </c:pt>
                <c:pt idx="15">
                  <c:v>327.34998981675676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E1-4AD6-959C-6E55768BEB08}"/>
            </c:ext>
          </c:extLst>
        </c:ser>
        <c:ser>
          <c:idx val="3"/>
          <c:order val="4"/>
          <c:tx>
            <c:strRef>
              <c:f>'End point'!$T$97</c:f>
              <c:strCache>
                <c:ptCount val="1"/>
                <c:pt idx="0">
                  <c:v>3B</c:v>
                </c:pt>
              </c:strCache>
            </c:strRef>
          </c:tx>
          <c:xVal>
            <c:numRef>
              <c:f>'End point'!$T$100:$T$115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'End point'!$U$100:$U$115</c:f>
              <c:numCache>
                <c:formatCode>General</c:formatCode>
                <c:ptCount val="16"/>
                <c:pt idx="0">
                  <c:v>24.771170148414008</c:v>
                </c:pt>
                <c:pt idx="1">
                  <c:v>28.882730163563345</c:v>
                </c:pt>
                <c:pt idx="2">
                  <c:v>31.94486343198885</c:v>
                </c:pt>
                <c:pt idx="3">
                  <c:v>44.34219582052485</c:v>
                </c:pt>
                <c:pt idx="4">
                  <c:v>60.639636566288225</c:v>
                </c:pt>
                <c:pt idx="5">
                  <c:v>88.183172896345781</c:v>
                </c:pt>
                <c:pt idx="6">
                  <c:v>138.40685742425569</c:v>
                </c:pt>
                <c:pt idx="7">
                  <c:v>158.7767004707384</c:v>
                </c:pt>
                <c:pt idx="8">
                  <c:v>195.78074060708244</c:v>
                </c:pt>
                <c:pt idx="9">
                  <c:v>229.90277296137896</c:v>
                </c:pt>
                <c:pt idx="10">
                  <c:v>241.64225574749108</c:v>
                </c:pt>
                <c:pt idx="11">
                  <c:v>268.77855184747671</c:v>
                </c:pt>
                <c:pt idx="12">
                  <c:v>276.61792627636146</c:v>
                </c:pt>
                <c:pt idx="13">
                  <c:v>297.70827126835604</c:v>
                </c:pt>
                <c:pt idx="14">
                  <c:v>326.9747470333333</c:v>
                </c:pt>
                <c:pt idx="15">
                  <c:v>336.34910386787379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E1-4AD6-959C-6E55768BEB08}"/>
            </c:ext>
          </c:extLst>
        </c:ser>
        <c:ser>
          <c:idx val="4"/>
          <c:order val="5"/>
          <c:tx>
            <c:strRef>
              <c:f>'End point'!$T$122</c:f>
              <c:strCache>
                <c:ptCount val="1"/>
                <c:pt idx="0">
                  <c:v>3C</c:v>
                </c:pt>
              </c:strCache>
            </c:strRef>
          </c:tx>
          <c:xVal>
            <c:numRef>
              <c:f>'End point'!$T$125:$T$140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</c:numCache>
            </c:numRef>
          </c:xVal>
          <c:yVal>
            <c:numRef>
              <c:f>'End point'!$U$125:$U$140</c:f>
              <c:numCache>
                <c:formatCode>General</c:formatCode>
                <c:ptCount val="16"/>
                <c:pt idx="0">
                  <c:v>28.511237741688749</c:v>
                </c:pt>
                <c:pt idx="1">
                  <c:v>33.055705962397624</c:v>
                </c:pt>
                <c:pt idx="2">
                  <c:v>39.443771838566491</c:v>
                </c:pt>
                <c:pt idx="3">
                  <c:v>52.560969157164322</c:v>
                </c:pt>
                <c:pt idx="4">
                  <c:v>78.509606157763685</c:v>
                </c:pt>
                <c:pt idx="5">
                  <c:v>111.371734366338</c:v>
                </c:pt>
                <c:pt idx="6">
                  <c:v>167.68442475236341</c:v>
                </c:pt>
                <c:pt idx="7">
                  <c:v>191.78946409750279</c:v>
                </c:pt>
                <c:pt idx="8">
                  <c:v>240.10094065883183</c:v>
                </c:pt>
                <c:pt idx="9">
                  <c:v>275.76533730370534</c:v>
                </c:pt>
                <c:pt idx="10">
                  <c:v>287.46296442759899</c:v>
                </c:pt>
                <c:pt idx="11">
                  <c:v>313.28254959231617</c:v>
                </c:pt>
                <c:pt idx="12">
                  <c:v>323.0628351545314</c:v>
                </c:pt>
                <c:pt idx="13">
                  <c:v>341.48959372085397</c:v>
                </c:pt>
                <c:pt idx="14">
                  <c:v>365.63150501910252</c:v>
                </c:pt>
                <c:pt idx="15">
                  <c:v>373.99222038661355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E1-4AD6-959C-6E55768B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53024"/>
        <c:axId val="239855824"/>
      </c:scatterChart>
      <c:valAx>
        <c:axId val="239853024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point (h)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855824"/>
        <c:crosses val="autoZero"/>
        <c:crossBetween val="midCat"/>
      </c:valAx>
      <c:valAx>
        <c:axId val="2398558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Total Calcein Released (Sample 1&amp;2)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30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340257364446897"/>
          <c:y val="0.539482355311516"/>
          <c:w val="5.8620809647969403E-2"/>
          <c:h val="0.27541796363666898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4766867825399"/>
          <c:y val="8.8093057670617494E-2"/>
          <c:w val="0.77482511083557903"/>
          <c:h val="0.75142199021970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'Error Calcs'!$N$65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Calcs'!$S$149:$S$164</c:f>
                <c:numCache>
                  <c:formatCode>General</c:formatCode>
                  <c:ptCount val="16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</c:numCache>
              </c:numRef>
            </c:plus>
            <c:minus>
              <c:numRef>
                <c:f>'Error Calcs'!$S$149:$S$164</c:f>
                <c:numCache>
                  <c:formatCode>General</c:formatCode>
                  <c:ptCount val="16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Calcs'!$R$149:$R$169</c:f>
              <c:numCache>
                <c:formatCode>General</c:formatCode>
                <c:ptCount val="21"/>
                <c:pt idx="1">
                  <c:v>3.6577930751622572</c:v>
                </c:pt>
                <c:pt idx="2">
                  <c:v>7.6813931704937817</c:v>
                </c:pt>
                <c:pt idx="3">
                  <c:v>17.279670551980622</c:v>
                </c:pt>
                <c:pt idx="4">
                  <c:v>27.681614871718129</c:v>
                </c:pt>
                <c:pt idx="5">
                  <c:v>38.3385155994524</c:v>
                </c:pt>
                <c:pt idx="6">
                  <c:v>53.263164895828133</c:v>
                </c:pt>
                <c:pt idx="7">
                  <c:v>59.966024287369137</c:v>
                </c:pt>
                <c:pt idx="8">
                  <c:v>65.01055852080944</c:v>
                </c:pt>
                <c:pt idx="9">
                  <c:v>69.352854126136904</c:v>
                </c:pt>
                <c:pt idx="10">
                  <c:v>70.733775627275904</c:v>
                </c:pt>
                <c:pt idx="11">
                  <c:v>73.907151527244309</c:v>
                </c:pt>
                <c:pt idx="12">
                  <c:v>74.949424408196307</c:v>
                </c:pt>
                <c:pt idx="13">
                  <c:v>77.342966251531124</c:v>
                </c:pt>
                <c:pt idx="14">
                  <c:v>80.632181041219809</c:v>
                </c:pt>
                <c:pt idx="15">
                  <c:v>81.890612615908182</c:v>
                </c:pt>
                <c:pt idx="16">
                  <c:v>86.370917233390415</c:v>
                </c:pt>
                <c:pt idx="17">
                  <c:v>90.783048724386575</c:v>
                </c:pt>
                <c:pt idx="18">
                  <c:v>94.54725838723445</c:v>
                </c:pt>
                <c:pt idx="19">
                  <c:v>95.31185048469429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7-4C5F-8BD8-453998C41315}"/>
            </c:ext>
          </c:extLst>
        </c:ser>
        <c:ser>
          <c:idx val="2"/>
          <c:order val="1"/>
          <c:tx>
            <c:strRef>
              <c:f>'Error Calcs'!$T$65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plus>
            <c:minus>
              <c:numRef>
                <c:f>'Error Calcs'!$Y$149:$Y$166</c:f>
                <c:numCache>
                  <c:formatCode>General</c:formatCode>
                  <c:ptCount val="18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Calcs'!$X$149:$X$169</c:f>
              <c:numCache>
                <c:formatCode>General</c:formatCode>
                <c:ptCount val="21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  <c:pt idx="19">
                  <c:v>96.358750375959517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7-4C5F-8BD8-453998C4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74064"/>
        <c:axId val="290274624"/>
      </c:scatterChart>
      <c:valAx>
        <c:axId val="290274064"/>
        <c:scaling>
          <c:orientation val="minMax"/>
          <c:max val="3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90274624"/>
        <c:crosses val="autoZero"/>
        <c:crossBetween val="midCat"/>
        <c:majorUnit val="1"/>
        <c:minorUnit val="1"/>
      </c:valAx>
      <c:valAx>
        <c:axId val="290274624"/>
        <c:scaling>
          <c:orientation val="minMax"/>
          <c:max val="1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0274064"/>
        <c:crosses val="autoZero"/>
        <c:crossBetween val="midCat"/>
        <c:majorUnit val="20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304133858268"/>
          <c:y val="4.0193629248288003E-2"/>
          <c:w val="0.74795631014873099"/>
          <c:h val="0.79833339089192801"/>
        </c:manualLayout>
      </c:layout>
      <c:scatterChart>
        <c:scatterStyle val="lineMarker"/>
        <c:varyColors val="0"/>
        <c:ser>
          <c:idx val="0"/>
          <c:order val="0"/>
          <c:tx>
            <c:v>cal@NU-1000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Calcs'!$S$149:$S$169</c:f>
                <c:numCache>
                  <c:formatCode>General</c:formatCode>
                  <c:ptCount val="21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  <c:pt idx="19">
                    <c:v>0.23521215420513508</c:v>
                  </c:pt>
                  <c:pt idx="20">
                    <c:v>0</c:v>
                  </c:pt>
                </c:numCache>
              </c:numRef>
            </c:plus>
            <c:minus>
              <c:numRef>
                <c:f>'Error Calcs'!$S$149:$S$169</c:f>
                <c:numCache>
                  <c:formatCode>General</c:formatCode>
                  <c:ptCount val="21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  <c:pt idx="19">
                    <c:v>0.23521215420513508</c:v>
                  </c:pt>
                  <c:pt idx="20">
                    <c:v>0</c:v>
                  </c:pt>
                </c:numCache>
              </c:numRef>
            </c:minus>
            <c:spPr>
              <a:ln w="3175" cmpd="sng"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Calcs'!$R$149:$R$169</c:f>
              <c:numCache>
                <c:formatCode>General</c:formatCode>
                <c:ptCount val="21"/>
                <c:pt idx="1">
                  <c:v>3.6577930751622572</c:v>
                </c:pt>
                <c:pt idx="2">
                  <c:v>7.6813931704937817</c:v>
                </c:pt>
                <c:pt idx="3">
                  <c:v>17.279670551980622</c:v>
                </c:pt>
                <c:pt idx="4">
                  <c:v>27.681614871718129</c:v>
                </c:pt>
                <c:pt idx="5">
                  <c:v>38.3385155994524</c:v>
                </c:pt>
                <c:pt idx="6">
                  <c:v>53.263164895828133</c:v>
                </c:pt>
                <c:pt idx="7">
                  <c:v>59.966024287369137</c:v>
                </c:pt>
                <c:pt idx="8">
                  <c:v>65.01055852080944</c:v>
                </c:pt>
                <c:pt idx="9">
                  <c:v>69.352854126136904</c:v>
                </c:pt>
                <c:pt idx="10">
                  <c:v>70.733775627275904</c:v>
                </c:pt>
                <c:pt idx="11">
                  <c:v>73.907151527244309</c:v>
                </c:pt>
                <c:pt idx="12">
                  <c:v>74.949424408196307</c:v>
                </c:pt>
                <c:pt idx="13">
                  <c:v>77.342966251531124</c:v>
                </c:pt>
                <c:pt idx="14">
                  <c:v>80.632181041219809</c:v>
                </c:pt>
                <c:pt idx="15">
                  <c:v>81.890612615908182</c:v>
                </c:pt>
                <c:pt idx="16">
                  <c:v>86.370917233390415</c:v>
                </c:pt>
                <c:pt idx="17">
                  <c:v>90.783048724386575</c:v>
                </c:pt>
                <c:pt idx="18">
                  <c:v>94.54725838723445</c:v>
                </c:pt>
                <c:pt idx="19">
                  <c:v>95.31185048469429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7-4F65-AB5E-D3E6C6E9771F}"/>
            </c:ext>
          </c:extLst>
        </c:ser>
        <c:ser>
          <c:idx val="1"/>
          <c:order val="1"/>
          <c:tx>
            <c:v>cal@aNU-1000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Calcs'!$Y$149:$Y$169</c:f>
                <c:numCache>
                  <c:formatCode>General</c:formatCode>
                  <c:ptCount val="21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  <c:pt idx="19">
                    <c:v>0.47717242845980318</c:v>
                  </c:pt>
                  <c:pt idx="20">
                    <c:v>0</c:v>
                  </c:pt>
                </c:numCache>
              </c:numRef>
            </c:plus>
            <c:minus>
              <c:numRef>
                <c:f>'Error Calcs'!$Y$149:$Y$169</c:f>
                <c:numCache>
                  <c:formatCode>General</c:formatCode>
                  <c:ptCount val="21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  <c:pt idx="19">
                    <c:v>0.47717242845980318</c:v>
                  </c:pt>
                  <c:pt idx="20">
                    <c:v>0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Calcs'!$X$149:$X$169</c:f>
              <c:numCache>
                <c:formatCode>General</c:formatCode>
                <c:ptCount val="21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  <c:pt idx="19">
                  <c:v>96.358750375959517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7-4F65-AB5E-D3E6C6E9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18128"/>
        <c:axId val="300618688"/>
      </c:scatterChart>
      <c:valAx>
        <c:axId val="300618128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4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GB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(days)</a:t>
                </a:r>
                <a:endParaRPr lang="en-GB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025615045310999"/>
              <c:y val="0.9179737532808399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0618688"/>
        <c:crosses val="autoZero"/>
        <c:crossBetween val="midCat"/>
      </c:valAx>
      <c:valAx>
        <c:axId val="300618688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400">
                    <a:latin typeface="Arial" panose="020B0604020202020204" pitchFamily="34" charset="0"/>
                    <a:cs typeface="Arial" panose="020B0604020202020204" pitchFamily="34" charset="0"/>
                  </a:rPr>
                  <a:t>Mass Delivered (</a:t>
                </a:r>
                <a:r>
                  <a:rPr lang="en-GB" sz="1400">
                    <a:latin typeface="Symbol" panose="05050102010706020507" pitchFamily="18" charset="2"/>
                    <a:cs typeface="Arial" panose="020B0604020202020204" pitchFamily="34" charset="0"/>
                  </a:rPr>
                  <a:t>%</a:t>
                </a:r>
                <a:r>
                  <a:rPr lang="en-GB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4881889763779505E-3"/>
              <c:y val="0.1369744094488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0618128"/>
        <c:crosses val="autoZero"/>
        <c:crossBetween val="midCat"/>
        <c:majorUnit val="20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304133858268"/>
          <c:y val="4.0193629248288003E-2"/>
          <c:w val="0.69999953682260296"/>
          <c:h val="0.7916894506034799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Calcs'!$Y$149:$Y$169</c:f>
                <c:numCache>
                  <c:formatCode>General</c:formatCode>
                  <c:ptCount val="21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  <c:pt idx="19">
                    <c:v>0.47717242845980318</c:v>
                  </c:pt>
                  <c:pt idx="20">
                    <c:v>0</c:v>
                  </c:pt>
                </c:numCache>
              </c:numRef>
            </c:plus>
            <c:minus>
              <c:numRef>
                <c:f>'Error Calcs'!$Y$149:$Y$169</c:f>
                <c:numCache>
                  <c:formatCode>General</c:formatCode>
                  <c:ptCount val="21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  <c:pt idx="19">
                    <c:v>0.47717242845980318</c:v>
                  </c:pt>
                  <c:pt idx="20">
                    <c:v>0</c:v>
                  </c:pt>
                </c:numCache>
              </c:numRef>
            </c:minus>
            <c:spPr>
              <a:ln w="1270" cap="rnd" cmpd="sng">
                <a:solidFill>
                  <a:schemeClr val="bg2">
                    <a:lumMod val="75000"/>
                  </a:schemeClr>
                </a:solidFill>
                <a:miter lim="800000"/>
              </a:ln>
            </c:spPr>
          </c:errBars>
          <c:xVal>
            <c:numRef>
              <c:f>'Error Calcs'!$N$149:$N$169</c:f>
              <c:numCache>
                <c:formatCode>General</c:formatCode>
                <c:ptCount val="21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  <c:pt idx="19">
                  <c:v>522</c:v>
                </c:pt>
                <c:pt idx="20">
                  <c:v>1107</c:v>
                </c:pt>
              </c:numCache>
            </c:numRef>
          </c:xVal>
          <c:yVal>
            <c:numRef>
              <c:f>'Error Calcs'!$X$149:$X$169</c:f>
              <c:numCache>
                <c:formatCode>General</c:formatCode>
                <c:ptCount val="21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  <c:pt idx="19">
                  <c:v>96.358750375959517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0-470D-BD7C-AEF1E4B201F3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Calcs'!$S$149:$S$169</c:f>
                <c:numCache>
                  <c:formatCode>General</c:formatCode>
                  <c:ptCount val="21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  <c:pt idx="19">
                    <c:v>0.23521215420513508</c:v>
                  </c:pt>
                  <c:pt idx="20">
                    <c:v>0</c:v>
                  </c:pt>
                </c:numCache>
              </c:numRef>
            </c:plus>
            <c:minus>
              <c:numRef>
                <c:f>'Error Calcs'!$S$149:$S$169</c:f>
                <c:numCache>
                  <c:formatCode>General</c:formatCode>
                  <c:ptCount val="21"/>
                  <c:pt idx="1">
                    <c:v>0.30647162395261868</c:v>
                  </c:pt>
                  <c:pt idx="2">
                    <c:v>0.58077294764413834</c:v>
                  </c:pt>
                  <c:pt idx="3">
                    <c:v>0.64479904988449943</c:v>
                  </c:pt>
                  <c:pt idx="4">
                    <c:v>0.81951141386446502</c:v>
                  </c:pt>
                  <c:pt idx="5">
                    <c:v>2.8914156271123974</c:v>
                  </c:pt>
                  <c:pt idx="6">
                    <c:v>2.8891232890798144</c:v>
                  </c:pt>
                  <c:pt idx="7">
                    <c:v>3.4765631690879877</c:v>
                  </c:pt>
                  <c:pt idx="8">
                    <c:v>3.4338083016851084</c:v>
                  </c:pt>
                  <c:pt idx="9">
                    <c:v>2.8433770109024965</c:v>
                  </c:pt>
                  <c:pt idx="10">
                    <c:v>2.6441651225829599</c:v>
                  </c:pt>
                  <c:pt idx="11">
                    <c:v>2.1073326870631974</c:v>
                  </c:pt>
                  <c:pt idx="12">
                    <c:v>2.0090196297728684</c:v>
                  </c:pt>
                  <c:pt idx="13">
                    <c:v>1.7656078398358939</c:v>
                  </c:pt>
                  <c:pt idx="14">
                    <c:v>1.3651295290184844</c:v>
                  </c:pt>
                  <c:pt idx="15">
                    <c:v>1.2029552434047039</c:v>
                  </c:pt>
                  <c:pt idx="16">
                    <c:v>0.93345878771959601</c:v>
                  </c:pt>
                  <c:pt idx="17">
                    <c:v>0.64901955179348414</c:v>
                  </c:pt>
                  <c:pt idx="18">
                    <c:v>0.38844879588134151</c:v>
                  </c:pt>
                  <c:pt idx="19">
                    <c:v>0.23521215420513508</c:v>
                  </c:pt>
                  <c:pt idx="20">
                    <c:v>0</c:v>
                  </c:pt>
                </c:numCache>
              </c:numRef>
            </c:minus>
            <c:spPr>
              <a:ln w="3175" cmpd="sng"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'Error Calcs'!$N$149:$N$169</c:f>
              <c:numCache>
                <c:formatCode>General</c:formatCode>
                <c:ptCount val="21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  <c:pt idx="18">
                  <c:v>508</c:v>
                </c:pt>
                <c:pt idx="19">
                  <c:v>522</c:v>
                </c:pt>
                <c:pt idx="20">
                  <c:v>1107</c:v>
                </c:pt>
              </c:numCache>
            </c:numRef>
          </c:xVal>
          <c:yVal>
            <c:numRef>
              <c:f>'Error Calcs'!$R$149:$R$169</c:f>
              <c:numCache>
                <c:formatCode>General</c:formatCode>
                <c:ptCount val="21"/>
                <c:pt idx="1">
                  <c:v>3.6577930751622572</c:v>
                </c:pt>
                <c:pt idx="2">
                  <c:v>7.6813931704937817</c:v>
                </c:pt>
                <c:pt idx="3">
                  <c:v>17.279670551980622</c:v>
                </c:pt>
                <c:pt idx="4">
                  <c:v>27.681614871718129</c:v>
                </c:pt>
                <c:pt idx="5">
                  <c:v>38.3385155994524</c:v>
                </c:pt>
                <c:pt idx="6">
                  <c:v>53.263164895828133</c:v>
                </c:pt>
                <c:pt idx="7">
                  <c:v>59.966024287369137</c:v>
                </c:pt>
                <c:pt idx="8">
                  <c:v>65.01055852080944</c:v>
                </c:pt>
                <c:pt idx="9">
                  <c:v>69.352854126136904</c:v>
                </c:pt>
                <c:pt idx="10">
                  <c:v>70.733775627275904</c:v>
                </c:pt>
                <c:pt idx="11">
                  <c:v>73.907151527244309</c:v>
                </c:pt>
                <c:pt idx="12">
                  <c:v>74.949424408196307</c:v>
                </c:pt>
                <c:pt idx="13">
                  <c:v>77.342966251531124</c:v>
                </c:pt>
                <c:pt idx="14">
                  <c:v>80.632181041219809</c:v>
                </c:pt>
                <c:pt idx="15">
                  <c:v>81.890612615908182</c:v>
                </c:pt>
                <c:pt idx="16">
                  <c:v>86.370917233390415</c:v>
                </c:pt>
                <c:pt idx="17">
                  <c:v>90.783048724386575</c:v>
                </c:pt>
                <c:pt idx="18">
                  <c:v>94.54725838723445</c:v>
                </c:pt>
                <c:pt idx="19">
                  <c:v>95.31185048469429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0-470D-BD7C-AEF1E4B2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22048"/>
        <c:axId val="300622608"/>
      </c:scatterChart>
      <c:valAx>
        <c:axId val="300622048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6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GB" sz="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(hours)</a:t>
                </a:r>
                <a:endParaRPr lang="en-GB" sz="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5824218769447"/>
              <c:y val="0.905439870973914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0622608"/>
        <c:crosses val="autoZero"/>
        <c:crossBetween val="midCat"/>
        <c:majorUnit val="8"/>
      </c:valAx>
      <c:valAx>
        <c:axId val="300622608"/>
        <c:scaling>
          <c:orientation val="minMax"/>
          <c:max val="11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0622048"/>
        <c:crosses val="autoZero"/>
        <c:crossBetween val="midCat"/>
        <c:majorUnit val="20"/>
      </c:valAx>
      <c:spPr>
        <a:noFill/>
        <a:ln w="31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304133858268"/>
          <c:y val="4.0193629248288003E-2"/>
          <c:w val="0.74795631014873099"/>
          <c:h val="0.79833339089192801"/>
        </c:manualLayout>
      </c:layout>
      <c:scatterChart>
        <c:scatterStyle val="lineMarker"/>
        <c:varyColors val="0"/>
        <c:ser>
          <c:idx val="1"/>
          <c:order val="0"/>
          <c:tx>
            <c:v>cal@NU-1000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Calcs'!$S$150:$S$169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plus>
            <c:minus>
              <c:numRef>
                <c:f>'Error Calcs'!$S$150:$S$169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minus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Calcs'!$R$149:$R$169</c:f>
              <c:numCache>
                <c:formatCode>General</c:formatCode>
                <c:ptCount val="21"/>
                <c:pt idx="1">
                  <c:v>3.6577930751622572</c:v>
                </c:pt>
                <c:pt idx="2">
                  <c:v>7.6813931704937817</c:v>
                </c:pt>
                <c:pt idx="3">
                  <c:v>17.279670551980622</c:v>
                </c:pt>
                <c:pt idx="4">
                  <c:v>27.681614871718129</c:v>
                </c:pt>
                <c:pt idx="5">
                  <c:v>38.3385155994524</c:v>
                </c:pt>
                <c:pt idx="6">
                  <c:v>53.263164895828133</c:v>
                </c:pt>
                <c:pt idx="7">
                  <c:v>59.966024287369137</c:v>
                </c:pt>
                <c:pt idx="8">
                  <c:v>65.01055852080944</c:v>
                </c:pt>
                <c:pt idx="9">
                  <c:v>69.352854126136904</c:v>
                </c:pt>
                <c:pt idx="10">
                  <c:v>70.733775627275904</c:v>
                </c:pt>
                <c:pt idx="11">
                  <c:v>73.907151527244309</c:v>
                </c:pt>
                <c:pt idx="12">
                  <c:v>74.949424408196307</c:v>
                </c:pt>
                <c:pt idx="13">
                  <c:v>77.342966251531124</c:v>
                </c:pt>
                <c:pt idx="14">
                  <c:v>80.632181041219809</c:v>
                </c:pt>
                <c:pt idx="15">
                  <c:v>81.890612615908182</c:v>
                </c:pt>
                <c:pt idx="16">
                  <c:v>86.370917233390415</c:v>
                </c:pt>
                <c:pt idx="17">
                  <c:v>90.783048724386575</c:v>
                </c:pt>
                <c:pt idx="18">
                  <c:v>94.54725838723445</c:v>
                </c:pt>
                <c:pt idx="19">
                  <c:v>95.31185048469429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F-4137-8CC9-0142B539D3B7}"/>
            </c:ext>
          </c:extLst>
        </c:ser>
        <c:ser>
          <c:idx val="0"/>
          <c:order val="1"/>
          <c:tx>
            <c:v>cal@aNU-1000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'Error Calcs'!$Y$150:$Y$169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plus>
            <c:minus>
              <c:numRef>
                <c:f>'Error Calcs'!$Y$150:$Y$169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minus>
          </c:errBars>
          <c:xVal>
            <c:numRef>
              <c:f>'Error Calcs'!$T$194:$T$214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'Error Calcs'!$X$149:$X$169</c:f>
              <c:numCache>
                <c:formatCode>General</c:formatCode>
                <c:ptCount val="21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  <c:pt idx="19">
                  <c:v>96.358750375959517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F-4137-8CC9-0142B539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25968"/>
        <c:axId val="300626528"/>
      </c:scatterChart>
      <c:valAx>
        <c:axId val="300625968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4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GB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(days)</a:t>
                </a:r>
                <a:endParaRPr lang="en-GB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025615045310999"/>
              <c:y val="0.9179737532808399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0626528"/>
        <c:crosses val="autoZero"/>
        <c:crossBetween val="midCat"/>
        <c:majorUnit val="2"/>
      </c:valAx>
      <c:valAx>
        <c:axId val="30062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400">
                    <a:latin typeface="Arial" panose="020B0604020202020204" pitchFamily="34" charset="0"/>
                    <a:cs typeface="Arial" panose="020B0604020202020204" pitchFamily="34" charset="0"/>
                  </a:rPr>
                  <a:t>Mass Delivered (</a:t>
                </a:r>
                <a:r>
                  <a:rPr lang="en-GB" sz="1400">
                    <a:latin typeface="Symbol" panose="05050102010706020507" pitchFamily="18" charset="2"/>
                    <a:cs typeface="Arial" panose="020B0604020202020204" pitchFamily="34" charset="0"/>
                  </a:rPr>
                  <a:t>%</a:t>
                </a:r>
                <a:r>
                  <a:rPr lang="en-GB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4881889763779505E-3"/>
              <c:y val="0.1369744094488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0625968"/>
        <c:crosses val="autoZero"/>
        <c:crossBetween val="midCat"/>
        <c:majorUnit val="20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67664808322"/>
          <c:y val="3.3031674208144797E-2"/>
          <c:w val="0.59160319558595298"/>
          <c:h val="0.817526632700324"/>
        </c:manualLayout>
      </c:layout>
      <c:scatterChart>
        <c:scatterStyle val="lineMarker"/>
        <c:varyColors val="0"/>
        <c:ser>
          <c:idx val="0"/>
          <c:order val="0"/>
          <c:tx>
            <c:v>Crystalline cal@NU-1000</c:v>
          </c:tx>
          <c:spPr>
            <a:ln w="31750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[1]Sheet1!$A$4:$A$21</c:f>
              <c:numCache>
                <c:formatCode>General</c:formatCode>
                <c:ptCount val="18"/>
                <c:pt idx="0">
                  <c:v>2.777777777777779E-2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1</c:v>
                </c:pt>
                <c:pt idx="8">
                  <c:v>1.3125</c:v>
                </c:pt>
                <c:pt idx="9">
                  <c:v>2</c:v>
                </c:pt>
                <c:pt idx="10">
                  <c:v>3.0416666666666665</c:v>
                </c:pt>
                <c:pt idx="11">
                  <c:v>4</c:v>
                </c:pt>
                <c:pt idx="12">
                  <c:v>5.0625</c:v>
                </c:pt>
                <c:pt idx="13">
                  <c:v>6</c:v>
                </c:pt>
                <c:pt idx="14">
                  <c:v>7.291666666666667</c:v>
                </c:pt>
                <c:pt idx="15">
                  <c:v>8.0625</c:v>
                </c:pt>
                <c:pt idx="16">
                  <c:v>11</c:v>
                </c:pt>
                <c:pt idx="17">
                  <c:v>15.260416666666666</c:v>
                </c:pt>
              </c:numCache>
            </c:numRef>
          </c:xVal>
          <c:yVal>
            <c:numRef>
              <c:f>[1]Sheet1!$C$4:$C$21</c:f>
              <c:numCache>
                <c:formatCode>General</c:formatCode>
                <c:ptCount val="18"/>
                <c:pt idx="0">
                  <c:v>24.072596729158359</c:v>
                </c:pt>
                <c:pt idx="1">
                  <c:v>31.272437175907463</c:v>
                </c:pt>
                <c:pt idx="2">
                  <c:v>41.583566015157565</c:v>
                </c:pt>
                <c:pt idx="3">
                  <c:v>55.644196250498602</c:v>
                </c:pt>
                <c:pt idx="4">
                  <c:v>62.883925009972074</c:v>
                </c:pt>
                <c:pt idx="5">
                  <c:v>69.964100518548065</c:v>
                </c:pt>
                <c:pt idx="6">
                  <c:v>73.972875947347433</c:v>
                </c:pt>
                <c:pt idx="7">
                  <c:v>86.27842042281614</c:v>
                </c:pt>
                <c:pt idx="8">
                  <c:v>89.409652971679307</c:v>
                </c:pt>
                <c:pt idx="9">
                  <c:v>94.295971280414847</c:v>
                </c:pt>
                <c:pt idx="10">
                  <c:v>98.344635021938572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6-4DE6-9365-50C0BB47B9AE}"/>
            </c:ext>
          </c:extLst>
        </c:ser>
        <c:ser>
          <c:idx val="2"/>
          <c:order val="1"/>
          <c:tx>
            <c:strRef>
              <c:f>'Error Calcs'!$N$65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triang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'Error Calcs'!$S$172:$S$190</c:f>
                <c:numCache>
                  <c:formatCode>General</c:formatCode>
                  <c:ptCount val="19"/>
                  <c:pt idx="1">
                    <c:v>0.23498272496586856</c:v>
                  </c:pt>
                  <c:pt idx="2">
                    <c:v>0.45232438591476914</c:v>
                  </c:pt>
                  <c:pt idx="3">
                    <c:v>0.52042476957659123</c:v>
                  </c:pt>
                  <c:pt idx="4">
                    <c:v>0.62605029933735612</c:v>
                  </c:pt>
                  <c:pt idx="5">
                    <c:v>1.1516921831135776</c:v>
                  </c:pt>
                  <c:pt idx="6">
                    <c:v>1.6938203399941762</c:v>
                  </c:pt>
                  <c:pt idx="7">
                    <c:v>2.2335959751708865</c:v>
                  </c:pt>
                  <c:pt idx="8">
                    <c:v>2.2276161859601404</c:v>
                  </c:pt>
                  <c:pt idx="9">
                    <c:v>1.7624200560803867</c:v>
                  </c:pt>
                  <c:pt idx="10">
                    <c:v>1.5810184830057916</c:v>
                  </c:pt>
                  <c:pt idx="11">
                    <c:v>1.2132320932934906</c:v>
                  </c:pt>
                  <c:pt idx="12">
                    <c:v>1.1191807136956438</c:v>
                  </c:pt>
                  <c:pt idx="13">
                    <c:v>0.98430499714612707</c:v>
                  </c:pt>
                  <c:pt idx="14">
                    <c:v>0.69078764397460435</c:v>
                  </c:pt>
                  <c:pt idx="15">
                    <c:v>0.57683024914207348</c:v>
                  </c:pt>
                  <c:pt idx="16">
                    <c:v>0.28578909564220645</c:v>
                  </c:pt>
                  <c:pt idx="17">
                    <c:v>0.17837699826379722</c:v>
                  </c:pt>
                  <c:pt idx="18">
                    <c:v>4.7177192414361205E-2</c:v>
                  </c:pt>
                </c:numCache>
              </c:numRef>
            </c:plus>
            <c:minus>
              <c:numRef>
                <c:f>'Error Calcs'!$S$172:$S$190</c:f>
                <c:numCache>
                  <c:formatCode>General</c:formatCode>
                  <c:ptCount val="19"/>
                  <c:pt idx="1">
                    <c:v>0.23498272496586856</c:v>
                  </c:pt>
                  <c:pt idx="2">
                    <c:v>0.45232438591476914</c:v>
                  </c:pt>
                  <c:pt idx="3">
                    <c:v>0.52042476957659123</c:v>
                  </c:pt>
                  <c:pt idx="4">
                    <c:v>0.62605029933735612</c:v>
                  </c:pt>
                  <c:pt idx="5">
                    <c:v>1.1516921831135776</c:v>
                  </c:pt>
                  <c:pt idx="6">
                    <c:v>1.6938203399941762</c:v>
                  </c:pt>
                  <c:pt idx="7">
                    <c:v>2.2335959751708865</c:v>
                  </c:pt>
                  <c:pt idx="8">
                    <c:v>2.2276161859601404</c:v>
                  </c:pt>
                  <c:pt idx="9">
                    <c:v>1.7624200560803867</c:v>
                  </c:pt>
                  <c:pt idx="10">
                    <c:v>1.5810184830057916</c:v>
                  </c:pt>
                  <c:pt idx="11">
                    <c:v>1.2132320932934906</c:v>
                  </c:pt>
                  <c:pt idx="12">
                    <c:v>1.1191807136956438</c:v>
                  </c:pt>
                  <c:pt idx="13">
                    <c:v>0.98430499714612707</c:v>
                  </c:pt>
                  <c:pt idx="14">
                    <c:v>0.69078764397460435</c:v>
                  </c:pt>
                  <c:pt idx="15">
                    <c:v>0.57683024914207348</c:v>
                  </c:pt>
                  <c:pt idx="16">
                    <c:v>0.28578909564220645</c:v>
                  </c:pt>
                  <c:pt idx="17">
                    <c:v>0.17837699826379722</c:v>
                  </c:pt>
                  <c:pt idx="18">
                    <c:v>4.7177192414361205E-2</c:v>
                  </c:pt>
                </c:numCache>
              </c:numRef>
            </c:minus>
          </c:errBars>
          <c:xVal>
            <c:numRef>
              <c:f>'Error Calcs'!$T$194:$T$212</c:f>
              <c:numCache>
                <c:formatCode>General</c:formatCode>
                <c:ptCount val="19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</c:numCache>
            </c:numRef>
          </c:xVal>
          <c:yVal>
            <c:numRef>
              <c:f>'Error Calcs'!$R$172:$R$190</c:f>
              <c:numCache>
                <c:formatCode>General</c:formatCode>
                <c:ptCount val="19"/>
                <c:pt idx="1">
                  <c:v>3.7931157038011114</c:v>
                </c:pt>
                <c:pt idx="2">
                  <c:v>7.994953174701898</c:v>
                </c:pt>
                <c:pt idx="3">
                  <c:v>18.292076128871749</c:v>
                </c:pt>
                <c:pt idx="4">
                  <c:v>29.387095054466617</c:v>
                </c:pt>
                <c:pt idx="5">
                  <c:v>42.026371439233735</c:v>
                </c:pt>
                <c:pt idx="6">
                  <c:v>57.452064044923858</c:v>
                </c:pt>
                <c:pt idx="7">
                  <c:v>64.607360545910126</c:v>
                </c:pt>
                <c:pt idx="8">
                  <c:v>69.892310699625057</c:v>
                </c:pt>
                <c:pt idx="9">
                  <c:v>74.328718923817831</c:v>
                </c:pt>
                <c:pt idx="10">
                  <c:v>75.754802480763431</c:v>
                </c:pt>
                <c:pt idx="11">
                  <c:v>78.912622394398753</c:v>
                </c:pt>
                <c:pt idx="12">
                  <c:v>79.996623602793534</c:v>
                </c:pt>
                <c:pt idx="13">
                  <c:v>82.41074760542358</c:v>
                </c:pt>
                <c:pt idx="14">
                  <c:v>85.745384109608523</c:v>
                </c:pt>
                <c:pt idx="15">
                  <c:v>87.01242158761751</c:v>
                </c:pt>
                <c:pt idx="16">
                  <c:v>91.672738258134459</c:v>
                </c:pt>
                <c:pt idx="17">
                  <c:v>96.169566221811536</c:v>
                </c:pt>
                <c:pt idx="1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6-4DE6-9365-50C0BB47B9AE}"/>
            </c:ext>
          </c:extLst>
        </c:ser>
        <c:ser>
          <c:idx val="1"/>
          <c:order val="2"/>
          <c:tx>
            <c:v>Amorphous cal@NU-1000: Low Loading Concentration</c:v>
          </c:tx>
          <c:spPr>
            <a:ln w="31750">
              <a:noFill/>
            </a:ln>
          </c:spPr>
          <c:marker>
            <c:symbol val="square"/>
            <c:size val="7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[1]Sheet1!$E$15:$E$35</c:f>
              <c:numCache>
                <c:formatCode>General</c:formatCode>
                <c:ptCount val="21"/>
                <c:pt idx="0">
                  <c:v>1.3888888888888874E-2</c:v>
                </c:pt>
                <c:pt idx="1">
                  <c:v>2.777777777777779E-2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1</c:v>
                </c:pt>
                <c:pt idx="9">
                  <c:v>1.3125</c:v>
                </c:pt>
                <c:pt idx="10">
                  <c:v>2</c:v>
                </c:pt>
                <c:pt idx="11">
                  <c:v>3.0416666666666665</c:v>
                </c:pt>
                <c:pt idx="12">
                  <c:v>4</c:v>
                </c:pt>
                <c:pt idx="13">
                  <c:v>5.0625</c:v>
                </c:pt>
                <c:pt idx="14">
                  <c:v>6</c:v>
                </c:pt>
                <c:pt idx="15">
                  <c:v>7.291666666666667</c:v>
                </c:pt>
                <c:pt idx="16">
                  <c:v>8.0625</c:v>
                </c:pt>
                <c:pt idx="17">
                  <c:v>11</c:v>
                </c:pt>
                <c:pt idx="18">
                  <c:v>15.260416666666666</c:v>
                </c:pt>
                <c:pt idx="19">
                  <c:v>21.020833333333332</c:v>
                </c:pt>
                <c:pt idx="20">
                  <c:v>30.125</c:v>
                </c:pt>
              </c:numCache>
            </c:numRef>
          </c:xVal>
          <c:yVal>
            <c:numRef>
              <c:f>[1]Sheet1!$G$15:$G$35</c:f>
              <c:numCache>
                <c:formatCode>General</c:formatCode>
                <c:ptCount val="21"/>
                <c:pt idx="0">
                  <c:v>1.4563617570419702</c:v>
                </c:pt>
                <c:pt idx="1">
                  <c:v>3.0464141811137173</c:v>
                </c:pt>
                <c:pt idx="2">
                  <c:v>5.1316172238142697</c:v>
                </c:pt>
                <c:pt idx="3">
                  <c:v>9.6059220013988025</c:v>
                </c:pt>
                <c:pt idx="4">
                  <c:v>15.461697004957697</c:v>
                </c:pt>
                <c:pt idx="5">
                  <c:v>22.768263321098988</c:v>
                </c:pt>
                <c:pt idx="6">
                  <c:v>30.084732649612857</c:v>
                </c:pt>
                <c:pt idx="7">
                  <c:v>37.148675162626034</c:v>
                </c:pt>
                <c:pt idx="8">
                  <c:v>47.020121683264534</c:v>
                </c:pt>
                <c:pt idx="9">
                  <c:v>54.603972345837946</c:v>
                </c:pt>
                <c:pt idx="10">
                  <c:v>62.024423304263863</c:v>
                </c:pt>
                <c:pt idx="11">
                  <c:v>68.088161567646864</c:v>
                </c:pt>
                <c:pt idx="12">
                  <c:v>72.760526592682922</c:v>
                </c:pt>
                <c:pt idx="13">
                  <c:v>76.640650627912891</c:v>
                </c:pt>
                <c:pt idx="14">
                  <c:v>80.065236094004348</c:v>
                </c:pt>
                <c:pt idx="15">
                  <c:v>83.623512227125602</c:v>
                </c:pt>
                <c:pt idx="16">
                  <c:v>86.508383518911671</c:v>
                </c:pt>
                <c:pt idx="17">
                  <c:v>88.692616685337981</c:v>
                </c:pt>
                <c:pt idx="18">
                  <c:v>92.592546745313101</c:v>
                </c:pt>
                <c:pt idx="19">
                  <c:v>96.220143965042368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6-4DE6-9365-50C0BB47B9AE}"/>
            </c:ext>
          </c:extLst>
        </c:ser>
        <c:ser>
          <c:idx val="4"/>
          <c:order val="3"/>
          <c:tx>
            <c:strRef>
              <c:f>'Error Calcs'!$T$65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'Error Calcs'!$Y$149:$Y$167</c:f>
                <c:numCache>
                  <c:formatCode>General</c:formatCode>
                  <c:ptCount val="19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</c:numCache>
              </c:numRef>
            </c:plus>
            <c:minus>
              <c:numRef>
                <c:f>'Error Calcs'!$Y$149:$Y$167</c:f>
                <c:numCache>
                  <c:formatCode>General</c:formatCode>
                  <c:ptCount val="19"/>
                  <c:pt idx="1">
                    <c:v>0.15005243058931048</c:v>
                  </c:pt>
                  <c:pt idx="2">
                    <c:v>0.51791119174800138</c:v>
                  </c:pt>
                  <c:pt idx="3">
                    <c:v>0.94062033103955534</c:v>
                  </c:pt>
                  <c:pt idx="4">
                    <c:v>2.1549339720741636</c:v>
                  </c:pt>
                  <c:pt idx="5">
                    <c:v>3.5434429332822464</c:v>
                  </c:pt>
                  <c:pt idx="6">
                    <c:v>4.371070203634102</c:v>
                  </c:pt>
                  <c:pt idx="7">
                    <c:v>4.8521413340823818</c:v>
                  </c:pt>
                  <c:pt idx="8">
                    <c:v>6.0413757905821024</c:v>
                  </c:pt>
                  <c:pt idx="9">
                    <c:v>6.0354359664031829</c:v>
                  </c:pt>
                  <c:pt idx="10">
                    <c:v>5.8505658709642825</c:v>
                  </c:pt>
                  <c:pt idx="11">
                    <c:v>5.3973759711015106</c:v>
                  </c:pt>
                  <c:pt idx="12">
                    <c:v>5.4195238123433409</c:v>
                  </c:pt>
                  <c:pt idx="13">
                    <c:v>4.845413022707767</c:v>
                  </c:pt>
                  <c:pt idx="14">
                    <c:v>4.0064200101258596</c:v>
                  </c:pt>
                  <c:pt idx="15">
                    <c:v>3.658621611368349</c:v>
                  </c:pt>
                  <c:pt idx="16">
                    <c:v>2.0927998546411626</c:v>
                  </c:pt>
                  <c:pt idx="17">
                    <c:v>0.98400597992225292</c:v>
                  </c:pt>
                  <c:pt idx="18">
                    <c:v>0.36160001168838007</c:v>
                  </c:pt>
                </c:numCache>
              </c:numRef>
            </c:minus>
          </c:errBars>
          <c:xVal>
            <c:numRef>
              <c:f>'Error Calcs'!$T$194:$T$212</c:f>
              <c:numCache>
                <c:formatCode>General</c:formatCode>
                <c:ptCount val="19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</c:numCache>
            </c:numRef>
          </c:xVal>
          <c:yVal>
            <c:numRef>
              <c:f>'Error Calcs'!$X$149:$X$167</c:f>
              <c:numCache>
                <c:formatCode>General</c:formatCode>
                <c:ptCount val="19"/>
                <c:pt idx="1">
                  <c:v>0.97226399550156251</c:v>
                </c:pt>
                <c:pt idx="2">
                  <c:v>2.009912254318631</c:v>
                </c:pt>
                <c:pt idx="3">
                  <c:v>4.8207817342521997</c:v>
                </c:pt>
                <c:pt idx="4">
                  <c:v>9.517333368204941</c:v>
                </c:pt>
                <c:pt idx="5">
                  <c:v>16.049875116057066</c:v>
                </c:pt>
                <c:pt idx="6">
                  <c:v>28.738999097697164</c:v>
                </c:pt>
                <c:pt idx="7">
                  <c:v>33.986086228766453</c:v>
                </c:pt>
                <c:pt idx="8">
                  <c:v>44.066378104117902</c:v>
                </c:pt>
                <c:pt idx="9">
                  <c:v>52.69383164859881</c:v>
                </c:pt>
                <c:pt idx="10">
                  <c:v>55.713930771141996</c:v>
                </c:pt>
                <c:pt idx="11">
                  <c:v>62.492317349060421</c:v>
                </c:pt>
                <c:pt idx="12">
                  <c:v>64.751343646611133</c:v>
                </c:pt>
                <c:pt idx="13">
                  <c:v>69.905585123772411</c:v>
                </c:pt>
                <c:pt idx="14">
                  <c:v>76.8356631925828</c:v>
                </c:pt>
                <c:pt idx="15">
                  <c:v>79.237227184161313</c:v>
                </c:pt>
                <c:pt idx="16">
                  <c:v>86.652456486772763</c:v>
                </c:pt>
                <c:pt idx="17">
                  <c:v>91.851159262988574</c:v>
                </c:pt>
                <c:pt idx="18">
                  <c:v>95.577408429339243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6-4DE6-9365-50C0BB47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31008"/>
        <c:axId val="300631568"/>
      </c:scatterChart>
      <c:valAx>
        <c:axId val="300631008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>
                    <a:latin typeface="Arial"/>
                    <a:cs typeface="Arial"/>
                  </a:rPr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Arial"/>
                <a:cs typeface="Arial"/>
              </a:defRPr>
            </a:pPr>
            <a:endParaRPr lang="en-US"/>
          </a:p>
        </c:txPr>
        <c:crossAx val="300631568"/>
        <c:crosses val="autoZero"/>
        <c:crossBetween val="midCat"/>
      </c:valAx>
      <c:valAx>
        <c:axId val="30063156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Arial"/>
                    <a:cs typeface="Arial"/>
                  </a:rPr>
                  <a:t>Total</a:t>
                </a:r>
                <a:r>
                  <a:rPr lang="en-US" sz="1600" b="0" baseline="0">
                    <a:latin typeface="Arial"/>
                    <a:cs typeface="Arial"/>
                  </a:rPr>
                  <a:t> Calein Released (%)</a:t>
                </a:r>
                <a:endParaRPr lang="en-US" sz="1600" b="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solidFill>
                  <a:srgbClr val="000000"/>
                </a:solidFill>
                <a:latin typeface="Arial"/>
                <a:cs typeface="Arial"/>
              </a:defRPr>
            </a:pPr>
            <a:endParaRPr lang="en-US"/>
          </a:p>
        </c:txPr>
        <c:crossAx val="30063100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269375458502496"/>
          <c:y val="0.15890262585955001"/>
          <c:w val="0.25730624541497499"/>
          <c:h val="0.64970727059673905"/>
        </c:manualLayout>
      </c:layout>
      <c:overlay val="0"/>
      <c:txPr>
        <a:bodyPr/>
        <a:lstStyle/>
        <a:p>
          <a:pPr>
            <a:defRPr sz="16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Times New Roman"/>
                <a:ea typeface="+mn-ea"/>
                <a:cs typeface="Times New Roman"/>
              </a:defRPr>
            </a:pPr>
            <a:r>
              <a:rPr lang="en-GB">
                <a:solidFill>
                  <a:srgbClr val="000000"/>
                </a:solidFill>
                <a:latin typeface="Times New Roman"/>
                <a:cs typeface="Times New Roman"/>
              </a:rPr>
              <a:t>Drug Release Study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0128205128201"/>
          <c:y val="8.8093057670617494E-2"/>
          <c:w val="0.78227210781344603"/>
          <c:h val="0.694584069848412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'End point'!$M$74</c:f>
              <c:strCache>
                <c:ptCount val="1"/>
                <c:pt idx="0">
                  <c:v>1A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'End point'!$N$75:$N$92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point'!$P$75:$P$92</c:f>
              <c:numCache>
                <c:formatCode>General</c:formatCode>
                <c:ptCount val="18"/>
                <c:pt idx="0">
                  <c:v>3.7986926629536786</c:v>
                </c:pt>
                <c:pt idx="1">
                  <c:v>6.9815989489719428</c:v>
                </c:pt>
                <c:pt idx="2">
                  <c:v>10.557834753242147</c:v>
                </c:pt>
                <c:pt idx="3">
                  <c:v>19.866364684167682</c:v>
                </c:pt>
                <c:pt idx="4">
                  <c:v>29.858385253367082</c:v>
                </c:pt>
                <c:pt idx="5">
                  <c:v>40.766025356857881</c:v>
                </c:pt>
                <c:pt idx="6">
                  <c:v>54.194843192094723</c:v>
                </c:pt>
                <c:pt idx="7">
                  <c:v>60.085919931650942</c:v>
                </c:pt>
                <c:pt idx="8">
                  <c:v>64.911460558237764</c:v>
                </c:pt>
                <c:pt idx="9">
                  <c:v>69.501648276362346</c:v>
                </c:pt>
                <c:pt idx="10">
                  <c:v>71.014516116032212</c:v>
                </c:pt>
                <c:pt idx="11">
                  <c:v>74.32477089361565</c:v>
                </c:pt>
                <c:pt idx="12">
                  <c:v>75.423353134143099</c:v>
                </c:pt>
                <c:pt idx="13">
                  <c:v>77.782524240543566</c:v>
                </c:pt>
                <c:pt idx="14">
                  <c:v>81.166931304354833</c:v>
                </c:pt>
                <c:pt idx="15">
                  <c:v>82.455730279118882</c:v>
                </c:pt>
                <c:pt idx="16">
                  <c:v>87.045917997243478</c:v>
                </c:pt>
                <c:pt idx="17">
                  <c:v>91.271792309118311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3C9-99D1-2ED1B016EC20}"/>
            </c:ext>
          </c:extLst>
        </c:ser>
        <c:ser>
          <c:idx val="2"/>
          <c:order val="1"/>
          <c:tx>
            <c:strRef>
              <c:f>'End point'!$M$97</c:f>
              <c:strCache>
                <c:ptCount val="1"/>
                <c:pt idx="0">
                  <c:v>1B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'End point'!$N$100:$N$117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point'!$P$100:$P$117</c:f>
              <c:numCache>
                <c:formatCode>General</c:formatCode>
                <c:ptCount val="18"/>
                <c:pt idx="0">
                  <c:v>4.0251484239439126</c:v>
                </c:pt>
                <c:pt idx="1">
                  <c:v>7.6519059735287911</c:v>
                </c:pt>
                <c:pt idx="2">
                  <c:v>11.589906393706666</c:v>
                </c:pt>
                <c:pt idx="3">
                  <c:v>20.504680314666533</c:v>
                </c:pt>
                <c:pt idx="4">
                  <c:v>30.27848455846307</c:v>
                </c:pt>
                <c:pt idx="5">
                  <c:v>38.063446859170377</c:v>
                </c:pt>
                <c:pt idx="6">
                  <c:v>52.950971466809818</c:v>
                </c:pt>
                <c:pt idx="7">
                  <c:v>59.238855559964811</c:v>
                </c:pt>
                <c:pt idx="8">
                  <c:v>64.14637752203987</c:v>
                </c:pt>
                <c:pt idx="9">
                  <c:v>68.568360605989852</c:v>
                </c:pt>
                <c:pt idx="10">
                  <c:v>69.9479446298933</c:v>
                </c:pt>
                <c:pt idx="11">
                  <c:v>73.327264097356746</c:v>
                </c:pt>
                <c:pt idx="12">
                  <c:v>74.355143677490119</c:v>
                </c:pt>
                <c:pt idx="13">
                  <c:v>76.847420963763525</c:v>
                </c:pt>
                <c:pt idx="14">
                  <c:v>80.242302574756636</c:v>
                </c:pt>
                <c:pt idx="15">
                  <c:v>81.556525595835552</c:v>
                </c:pt>
                <c:pt idx="16">
                  <c:v>85.973840036726628</c:v>
                </c:pt>
                <c:pt idx="17">
                  <c:v>90.486083553148589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7-43C9-99D1-2ED1B016EC20}"/>
            </c:ext>
          </c:extLst>
        </c:ser>
        <c:ser>
          <c:idx val="1"/>
          <c:order val="2"/>
          <c:tx>
            <c:strRef>
              <c:f>'End point'!$M$122</c:f>
              <c:strCache>
                <c:ptCount val="1"/>
                <c:pt idx="0">
                  <c:v>1C</c:v>
                </c:pt>
              </c:strCache>
            </c:strRef>
          </c:tx>
          <c:xVal>
            <c:numRef>
              <c:f>'End point'!$N$125:$N$142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point'!$P$125:$P$142</c:f>
              <c:numCache>
                <c:formatCode>General</c:formatCode>
                <c:ptCount val="18"/>
                <c:pt idx="0">
                  <c:v>4.2025800906518338</c:v>
                </c:pt>
                <c:pt idx="1">
                  <c:v>7.9235216372467123</c:v>
                </c:pt>
                <c:pt idx="2">
                  <c:v>11.99474576133756</c:v>
                </c:pt>
                <c:pt idx="3">
                  <c:v>21.423995978237073</c:v>
                </c:pt>
                <c:pt idx="4">
                  <c:v>31.621921851308286</c:v>
                </c:pt>
                <c:pt idx="5">
                  <c:v>43.71721168581599</c:v>
                </c:pt>
                <c:pt idx="6">
                  <c:v>58.361780278766552</c:v>
                </c:pt>
                <c:pt idx="7">
                  <c:v>65.494733598748056</c:v>
                </c:pt>
                <c:pt idx="8">
                  <c:v>70.285983021025061</c:v>
                </c:pt>
                <c:pt idx="9">
                  <c:v>73.765294456291713</c:v>
                </c:pt>
                <c:pt idx="10">
                  <c:v>74.846143242870696</c:v>
                </c:pt>
                <c:pt idx="11">
                  <c:v>77.279471981447983</c:v>
                </c:pt>
                <c:pt idx="12">
                  <c:v>78.152745907288619</c:v>
                </c:pt>
                <c:pt idx="13">
                  <c:v>80.18552003178489</c:v>
                </c:pt>
                <c:pt idx="14">
                  <c:v>82.866965596088505</c:v>
                </c:pt>
                <c:pt idx="15">
                  <c:v>83.882947238686768</c:v>
                </c:pt>
                <c:pt idx="16">
                  <c:v>87.77092168103205</c:v>
                </c:pt>
                <c:pt idx="17">
                  <c:v>91.727006624557077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7-43C9-99D1-2ED1B016EC20}"/>
            </c:ext>
          </c:extLst>
        </c:ser>
        <c:ser>
          <c:idx val="3"/>
          <c:order val="3"/>
          <c:tx>
            <c:strRef>
              <c:f>'End point'!$S$74</c:f>
              <c:strCache>
                <c:ptCount val="1"/>
                <c:pt idx="0">
                  <c:v>3A</c:v>
                </c:pt>
              </c:strCache>
            </c:strRef>
          </c:tx>
          <c:xVal>
            <c:numRef>
              <c:f>'End point'!$T$75:$T$92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point'!$V$75:$V$92</c:f>
              <c:numCache>
                <c:formatCode>General</c:formatCode>
                <c:ptCount val="18"/>
                <c:pt idx="0">
                  <c:v>5.964179007004196</c:v>
                </c:pt>
                <c:pt idx="1">
                  <c:v>6.7299057943803167</c:v>
                </c:pt>
                <c:pt idx="2">
                  <c:v>7.5511436921419124</c:v>
                </c:pt>
                <c:pt idx="3">
                  <c:v>9.6621985665072092</c:v>
                </c:pt>
                <c:pt idx="4">
                  <c:v>13.396137079789058</c:v>
                </c:pt>
                <c:pt idx="5">
                  <c:v>18.145602377181671</c:v>
                </c:pt>
                <c:pt idx="6">
                  <c:v>29.386602230240495</c:v>
                </c:pt>
                <c:pt idx="7">
                  <c:v>33.972799555911124</c:v>
                </c:pt>
                <c:pt idx="8">
                  <c:v>42.872536694476644</c:v>
                </c:pt>
                <c:pt idx="9">
                  <c:v>50.985322209342186</c:v>
                </c:pt>
                <c:pt idx="10">
                  <c:v>54.007412365916174</c:v>
                </c:pt>
                <c:pt idx="11">
                  <c:v>60.703031886234868</c:v>
                </c:pt>
                <c:pt idx="12">
                  <c:v>62.977354732322155</c:v>
                </c:pt>
                <c:pt idx="13">
                  <c:v>68.187235709970778</c:v>
                </c:pt>
                <c:pt idx="14">
                  <c:v>75.1146957501347</c:v>
                </c:pt>
                <c:pt idx="15">
                  <c:v>77.676370226452676</c:v>
                </c:pt>
                <c:pt idx="16">
                  <c:v>85.887116524351413</c:v>
                </c:pt>
                <c:pt idx="17">
                  <c:v>91.586801417165987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7-43C9-99D1-2ED1B016EC20}"/>
            </c:ext>
          </c:extLst>
        </c:ser>
        <c:ser>
          <c:idx val="4"/>
          <c:order val="4"/>
          <c:tx>
            <c:strRef>
              <c:f>'End point'!$T$97</c:f>
              <c:strCache>
                <c:ptCount val="1"/>
                <c:pt idx="0">
                  <c:v>3B</c:v>
                </c:pt>
              </c:strCache>
            </c:strRef>
          </c:tx>
          <c:xVal>
            <c:numRef>
              <c:f>'End point'!$T$100:$T$117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point'!$V$100:$V$117</c:f>
              <c:numCache>
                <c:formatCode>General</c:formatCode>
                <c:ptCount val="18"/>
                <c:pt idx="0">
                  <c:v>5.8994684323416955</c:v>
                </c:pt>
                <c:pt idx="1">
                  <c:v>6.8786720134290782</c:v>
                </c:pt>
                <c:pt idx="2">
                  <c:v>7.6079455376293943</c:v>
                </c:pt>
                <c:pt idx="3">
                  <c:v>10.560477478317635</c:v>
                </c:pt>
                <c:pt idx="4">
                  <c:v>14.441853958780193</c:v>
                </c:pt>
                <c:pt idx="5">
                  <c:v>21.001585377226522</c:v>
                </c:pt>
                <c:pt idx="6">
                  <c:v>32.962790263918677</c:v>
                </c:pt>
                <c:pt idx="7">
                  <c:v>37.814044577077311</c:v>
                </c:pt>
                <c:pt idx="8">
                  <c:v>46.626876806863748</c:v>
                </c:pt>
                <c:pt idx="9">
                  <c:v>54.753333955049897</c:v>
                </c:pt>
                <c:pt idx="10">
                  <c:v>57.549193322764161</c:v>
                </c:pt>
                <c:pt idx="11">
                  <c:v>64.01193695794089</c:v>
                </c:pt>
                <c:pt idx="12">
                  <c:v>65.87895178588083</c:v>
                </c:pt>
                <c:pt idx="13">
                  <c:v>70.901799869439529</c:v>
                </c:pt>
                <c:pt idx="14">
                  <c:v>77.871864217103422</c:v>
                </c:pt>
                <c:pt idx="15">
                  <c:v>80.104448381982664</c:v>
                </c:pt>
                <c:pt idx="16">
                  <c:v>87.171500512916168</c:v>
                </c:pt>
                <c:pt idx="17">
                  <c:v>92.231651590040101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07-43C9-99D1-2ED1B016EC20}"/>
            </c:ext>
          </c:extLst>
        </c:ser>
        <c:ser>
          <c:idx val="5"/>
          <c:order val="5"/>
          <c:tx>
            <c:strRef>
              <c:f>'End point'!$T$122</c:f>
              <c:strCache>
                <c:ptCount val="1"/>
                <c:pt idx="0">
                  <c:v>3C</c:v>
                </c:pt>
              </c:strCache>
            </c:strRef>
          </c:tx>
          <c:xVal>
            <c:numRef>
              <c:f>'End point'!$T$125:$T$142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point'!$V$125:$V$142</c:f>
              <c:numCache>
                <c:formatCode>General</c:formatCode>
                <c:ptCount val="18"/>
                <c:pt idx="0">
                  <c:v>6.4454956550732492</c:v>
                </c:pt>
                <c:pt idx="1">
                  <c:v>7.4728572321670459</c:v>
                </c:pt>
                <c:pt idx="2">
                  <c:v>8.9169983537208015</c:v>
                </c:pt>
                <c:pt idx="3">
                  <c:v>11.882384812553401</c:v>
                </c:pt>
                <c:pt idx="4">
                  <c:v>17.74855690082731</c:v>
                </c:pt>
                <c:pt idx="5">
                  <c:v>25.177652280826056</c:v>
                </c:pt>
                <c:pt idx="6">
                  <c:v>37.908183466355474</c:v>
                </c:pt>
                <c:pt idx="7">
                  <c:v>43.357576010169424</c:v>
                </c:pt>
                <c:pt idx="8">
                  <c:v>54.279283972742618</c:v>
                </c:pt>
                <c:pt idx="9">
                  <c:v>62.341884260320512</c:v>
                </c:pt>
                <c:pt idx="10">
                  <c:v>64.986350469918946</c:v>
                </c:pt>
                <c:pt idx="11">
                  <c:v>70.823347990080663</c:v>
                </c:pt>
                <c:pt idx="12">
                  <c:v>73.034363473440735</c:v>
                </c:pt>
                <c:pt idx="13">
                  <c:v>77.20007502031801</c:v>
                </c:pt>
                <c:pt idx="14">
                  <c:v>82.657803155021142</c:v>
                </c:pt>
                <c:pt idx="15">
                  <c:v>84.547898389147065</c:v>
                </c:pt>
                <c:pt idx="16">
                  <c:v>89.805572342509421</c:v>
                </c:pt>
                <c:pt idx="17">
                  <c:v>93.446141663367158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07-43C9-99D1-2ED1B016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9840"/>
        <c:axId val="160630960"/>
      </c:scatterChart>
      <c:valAx>
        <c:axId val="160629840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point (h)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630960"/>
        <c:crosses val="autoZero"/>
        <c:crossBetween val="midCat"/>
      </c:valAx>
      <c:valAx>
        <c:axId val="16063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Total Calcein Released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62984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4644382192610503"/>
          <c:y val="0.33469966868895501"/>
          <c:w val="0.13094563900666301"/>
          <c:h val="0.36903904869034199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Times New Roman"/>
              </a:defRPr>
            </a:pPr>
            <a:r>
              <a:rPr lang="en-GB">
                <a:solidFill>
                  <a:schemeClr val="tx1"/>
                </a:solidFill>
                <a:latin typeface="Times New Roman"/>
                <a:cs typeface="Times New Roman"/>
              </a:rPr>
              <a:t>Drug Release Study (Considering "Wash</a:t>
            </a:r>
            <a:r>
              <a:rPr lang="en-GB" baseline="0">
                <a:solidFill>
                  <a:schemeClr val="tx1"/>
                </a:solidFill>
                <a:latin typeface="Times New Roman"/>
                <a:cs typeface="Times New Roman"/>
              </a:rPr>
              <a:t> Step")</a:t>
            </a:r>
            <a:endParaRPr lang="en-GB">
              <a:solidFill>
                <a:schemeClr val="tx1"/>
              </a:solidFill>
              <a:latin typeface="Times New Roman"/>
              <a:cs typeface="Times New Roman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96409091148"/>
          <c:y val="8.8093057670617494E-2"/>
          <c:w val="0.76517612653127798"/>
          <c:h val="0.76676745406824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'End point'!$M$74</c:f>
              <c:strCache>
                <c:ptCount val="1"/>
                <c:pt idx="0">
                  <c:v>1A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'End point'!$N$75:$N$92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point'!$R$75:$R$92</c:f>
              <c:numCache>
                <c:formatCode>General</c:formatCode>
                <c:ptCount val="18"/>
                <c:pt idx="1">
                  <c:v>3.3085894299406817</c:v>
                </c:pt>
                <c:pt idx="2">
                  <c:v>7.0260397466403033</c:v>
                </c:pt>
                <c:pt idx="3">
                  <c:v>16.702134790039882</c:v>
                </c:pt>
                <c:pt idx="4">
                  <c:v>27.088709407151711</c:v>
                </c:pt>
                <c:pt idx="5">
                  <c:v>38.427058547538458</c:v>
                </c:pt>
                <c:pt idx="6">
                  <c:v>52.386138945675128</c:v>
                </c:pt>
                <c:pt idx="7">
                  <c:v>58.509836120513434</c:v>
                </c:pt>
                <c:pt idx="8">
                  <c:v>63.525922450484273</c:v>
                </c:pt>
                <c:pt idx="9">
                  <c:v>68.297362512148538</c:v>
                </c:pt>
                <c:pt idx="10">
                  <c:v>69.86996883273568</c:v>
                </c:pt>
                <c:pt idx="11">
                  <c:v>73.310935353061438</c:v>
                </c:pt>
                <c:pt idx="12">
                  <c:v>74.452897215054136</c:v>
                </c:pt>
                <c:pt idx="13">
                  <c:v>76.905224705921796</c:v>
                </c:pt>
                <c:pt idx="14">
                  <c:v>80.423271557357822</c:v>
                </c:pt>
                <c:pt idx="15">
                  <c:v>81.762961225242151</c:v>
                </c:pt>
                <c:pt idx="16">
                  <c:v>86.534401286906402</c:v>
                </c:pt>
                <c:pt idx="17">
                  <c:v>90.927142330507067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3-4403-84C0-4BA14320D5F4}"/>
            </c:ext>
          </c:extLst>
        </c:ser>
        <c:ser>
          <c:idx val="2"/>
          <c:order val="1"/>
          <c:tx>
            <c:strRef>
              <c:f>'End point'!$M$97</c:f>
              <c:strCache>
                <c:ptCount val="1"/>
                <c:pt idx="0">
                  <c:v>1B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'End point'!$N$100:$N$117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point'!$R$100:$R$117</c:f>
              <c:numCache>
                <c:formatCode>General</c:formatCode>
                <c:ptCount val="18"/>
                <c:pt idx="1">
                  <c:v>3.7788623686600062</c:v>
                </c:pt>
                <c:pt idx="2">
                  <c:v>7.8820210143987506</c:v>
                </c:pt>
                <c:pt idx="3">
                  <c:v>17.170677130626533</c:v>
                </c:pt>
                <c:pt idx="4">
                  <c:v>27.354390971591634</c:v>
                </c:pt>
                <c:pt idx="5">
                  <c:v>35.465851602023598</c:v>
                </c:pt>
                <c:pt idx="6">
                  <c:v>50.977753275392381</c:v>
                </c:pt>
                <c:pt idx="7">
                  <c:v>57.529348813075607</c:v>
                </c:pt>
                <c:pt idx="8">
                  <c:v>62.642690361914624</c:v>
                </c:pt>
                <c:pt idx="9">
                  <c:v>67.250129718510806</c:v>
                </c:pt>
                <c:pt idx="10">
                  <c:v>68.687572966662316</c:v>
                </c:pt>
                <c:pt idx="11">
                  <c:v>72.208619795044726</c:v>
                </c:pt>
                <c:pt idx="12">
                  <c:v>73.279608250097255</c:v>
                </c:pt>
                <c:pt idx="13">
                  <c:v>75.876410688805265</c:v>
                </c:pt>
                <c:pt idx="14">
                  <c:v>79.413672331041624</c:v>
                </c:pt>
                <c:pt idx="15">
                  <c:v>80.783013361006596</c:v>
                </c:pt>
                <c:pt idx="16">
                  <c:v>85.385588273446601</c:v>
                </c:pt>
                <c:pt idx="17">
                  <c:v>90.08707355039563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43-4403-84C0-4BA14320D5F4}"/>
            </c:ext>
          </c:extLst>
        </c:ser>
        <c:ser>
          <c:idx val="1"/>
          <c:order val="2"/>
          <c:tx>
            <c:strRef>
              <c:f>'End point'!$M$122</c:f>
              <c:strCache>
                <c:ptCount val="1"/>
                <c:pt idx="0">
                  <c:v>1C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pPr>
              <a:pattFill prst="pct10">
                <a:fgClr>
                  <a:schemeClr val="tx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sysDot"/>
              </a:ln>
            </c:spPr>
          </c:marker>
          <c:xVal>
            <c:numRef>
              <c:f>'End point'!$N$126:$N$142</c:f>
              <c:numCache>
                <c:formatCode>General</c:formatCode>
                <c:ptCount val="17"/>
                <c:pt idx="0">
                  <c:v>0.66666666666666663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21</c:v>
                </c:pt>
                <c:pt idx="6">
                  <c:v>24</c:v>
                </c:pt>
                <c:pt idx="7">
                  <c:v>48</c:v>
                </c:pt>
                <c:pt idx="8">
                  <c:v>68</c:v>
                </c:pt>
                <c:pt idx="9">
                  <c:v>72</c:v>
                </c:pt>
                <c:pt idx="10">
                  <c:v>94</c:v>
                </c:pt>
                <c:pt idx="11">
                  <c:v>96</c:v>
                </c:pt>
                <c:pt idx="12">
                  <c:v>117</c:v>
                </c:pt>
                <c:pt idx="13">
                  <c:v>152</c:v>
                </c:pt>
                <c:pt idx="14">
                  <c:v>164</c:v>
                </c:pt>
                <c:pt idx="15">
                  <c:v>261</c:v>
                </c:pt>
                <c:pt idx="16">
                  <c:v>384</c:v>
                </c:pt>
              </c:numCache>
            </c:numRef>
          </c:xVal>
          <c:yVal>
            <c:numRef>
              <c:f>'End point'!$R$126:$R$142</c:f>
              <c:numCache>
                <c:formatCode>General</c:formatCode>
                <c:ptCount val="17"/>
                <c:pt idx="0">
                  <c:v>3.8841772044758174</c:v>
                </c:pt>
                <c:pt idx="1">
                  <c:v>8.1340036903492265</c:v>
                </c:pt>
                <c:pt idx="2">
                  <c:v>17.976909925008041</c:v>
                </c:pt>
                <c:pt idx="3">
                  <c:v>28.622213193844896</c:v>
                </c:pt>
                <c:pt idx="4">
                  <c:v>41.248116736918725</c:v>
                </c:pt>
                <c:pt idx="5">
                  <c:v>56.535134494608364</c:v>
                </c:pt>
                <c:pt idx="6">
                  <c:v>63.981006551216282</c:v>
                </c:pt>
                <c:pt idx="7">
                  <c:v>68.982445448851422</c:v>
                </c:pt>
                <c:pt idx="8">
                  <c:v>72.614392361992785</c:v>
                </c:pt>
                <c:pt idx="9">
                  <c:v>73.742657390008972</c:v>
                </c:pt>
                <c:pt idx="10">
                  <c:v>76.282734921199193</c:v>
                </c:pt>
                <c:pt idx="11">
                  <c:v>77.194318893572358</c:v>
                </c:pt>
                <c:pt idx="12">
                  <c:v>79.316269700201431</c:v>
                </c:pt>
                <c:pt idx="13">
                  <c:v>82.115348805714959</c:v>
                </c:pt>
                <c:pt idx="14">
                  <c:v>83.175901003842696</c:v>
                </c:pt>
                <c:pt idx="15">
                  <c:v>87.234438745281267</c:v>
                </c:pt>
                <c:pt idx="16">
                  <c:v>91.364074958102691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43-4403-84C0-4BA14320D5F4}"/>
            </c:ext>
          </c:extLst>
        </c:ser>
        <c:ser>
          <c:idx val="3"/>
          <c:order val="3"/>
          <c:tx>
            <c:strRef>
              <c:f>'End point'!$S$74</c:f>
              <c:strCache>
                <c:ptCount val="1"/>
                <c:pt idx="0">
                  <c:v>3A</c:v>
                </c:pt>
              </c:strCache>
            </c:strRef>
          </c:tx>
          <c:xVal>
            <c:numRef>
              <c:f>'End point'!$T$75:$T$92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point'!$X$75:$X$92</c:f>
              <c:numCache>
                <c:formatCode>General</c:formatCode>
                <c:ptCount val="18"/>
                <c:pt idx="1">
                  <c:v>0.81429265921244531</c:v>
                </c:pt>
                <c:pt idx="2">
                  <c:v>1.6876171956385861</c:v>
                </c:pt>
                <c:pt idx="3">
                  <c:v>3.9325647614417667</c:v>
                </c:pt>
                <c:pt idx="4">
                  <c:v>7.903326619904159</c:v>
                </c:pt>
                <c:pt idx="5">
                  <c:v>12.954024585040628</c:v>
                </c:pt>
                <c:pt idx="6">
                  <c:v>24.907979720813945</c:v>
                </c:pt>
                <c:pt idx="7">
                  <c:v>29.785054517674837</c:v>
                </c:pt>
                <c:pt idx="8">
                  <c:v>39.249253420376419</c:v>
                </c:pt>
                <c:pt idx="9">
                  <c:v>47.876588651989714</c:v>
                </c:pt>
                <c:pt idx="10">
                  <c:v>51.090353496770604</c:v>
                </c:pt>
                <c:pt idx="11">
                  <c:v>58.210639627751924</c:v>
                </c:pt>
                <c:pt idx="12">
                  <c:v>60.62921036183068</c:v>
                </c:pt>
                <c:pt idx="13">
                  <c:v>66.169525661504267</c:v>
                </c:pt>
                <c:pt idx="14">
                  <c:v>73.536356691436893</c:v>
                </c:pt>
                <c:pt idx="15">
                  <c:v>76.260504201680675</c:v>
                </c:pt>
                <c:pt idx="16">
                  <c:v>84.992013334259326</c:v>
                </c:pt>
                <c:pt idx="17">
                  <c:v>91.053198138759626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43-4403-84C0-4BA14320D5F4}"/>
            </c:ext>
          </c:extLst>
        </c:ser>
        <c:ser>
          <c:idx val="4"/>
          <c:order val="4"/>
          <c:tx>
            <c:strRef>
              <c:f>'End point'!$T$97</c:f>
              <c:strCache>
                <c:ptCount val="1"/>
                <c:pt idx="0">
                  <c:v>3B</c:v>
                </c:pt>
              </c:strCache>
            </c:strRef>
          </c:tx>
          <c:xVal>
            <c:numRef>
              <c:f>'End point'!$T$100:$T$117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point'!$X$100:$X$117</c:f>
              <c:numCache>
                <c:formatCode>General</c:formatCode>
                <c:ptCount val="18"/>
                <c:pt idx="1">
                  <c:v>1.04059303892809</c:v>
                </c:pt>
                <c:pt idx="2">
                  <c:v>1.8155870926821531</c:v>
                </c:pt>
                <c:pt idx="3">
                  <c:v>4.9532228652977084</c:v>
                </c:pt>
                <c:pt idx="4">
                  <c:v>9.0779354634107641</c:v>
                </c:pt>
                <c:pt idx="5">
                  <c:v>16.048917783239514</c:v>
                </c:pt>
                <c:pt idx="6">
                  <c:v>28.760009513993495</c:v>
                </c:pt>
                <c:pt idx="7">
                  <c:v>33.915404741140094</c:v>
                </c:pt>
                <c:pt idx="8">
                  <c:v>43.280742091492897</c:v>
                </c:pt>
                <c:pt idx="9">
                  <c:v>51.916673273606598</c:v>
                </c:pt>
                <c:pt idx="10">
                  <c:v>54.887814159993653</c:v>
                </c:pt>
                <c:pt idx="11">
                  <c:v>61.755728216919046</c:v>
                </c:pt>
                <c:pt idx="12">
                  <c:v>63.739792277808604</c:v>
                </c:pt>
                <c:pt idx="13">
                  <c:v>69.07753904701498</c:v>
                </c:pt>
                <c:pt idx="14">
                  <c:v>76.484579402204062</c:v>
                </c:pt>
                <c:pt idx="15">
                  <c:v>78.857131530960118</c:v>
                </c:pt>
                <c:pt idx="16">
                  <c:v>86.367240149052563</c:v>
                </c:pt>
                <c:pt idx="17">
                  <c:v>91.74462855783716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43-4403-84C0-4BA14320D5F4}"/>
            </c:ext>
          </c:extLst>
        </c:ser>
        <c:ser>
          <c:idx val="5"/>
          <c:order val="5"/>
          <c:tx>
            <c:strRef>
              <c:f>'End point'!$T$122</c:f>
              <c:strCache>
                <c:ptCount val="1"/>
                <c:pt idx="0">
                  <c:v>3C</c:v>
                </c:pt>
              </c:strCache>
            </c:strRef>
          </c:tx>
          <c:xVal>
            <c:numRef>
              <c:f>'End point'!$T$125:$T$142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21</c:v>
                </c:pt>
                <c:pt idx="7">
                  <c:v>24</c:v>
                </c:pt>
                <c:pt idx="8">
                  <c:v>48</c:v>
                </c:pt>
                <c:pt idx="9">
                  <c:v>68</c:v>
                </c:pt>
                <c:pt idx="10">
                  <c:v>72</c:v>
                </c:pt>
                <c:pt idx="11">
                  <c:v>94</c:v>
                </c:pt>
                <c:pt idx="12">
                  <c:v>96</c:v>
                </c:pt>
                <c:pt idx="13">
                  <c:v>117</c:v>
                </c:pt>
                <c:pt idx="14">
                  <c:v>152</c:v>
                </c:pt>
                <c:pt idx="15">
                  <c:v>164</c:v>
                </c:pt>
                <c:pt idx="16">
                  <c:v>261</c:v>
                </c:pt>
                <c:pt idx="17">
                  <c:v>384</c:v>
                </c:pt>
              </c:numCache>
            </c:numRef>
          </c:xVal>
          <c:yVal>
            <c:numRef>
              <c:f>'End point'!$X$125:$X$142</c:f>
              <c:numCache>
                <c:formatCode>General</c:formatCode>
                <c:ptCount val="18"/>
                <c:pt idx="1">
                  <c:v>1.0981422907292735</c:v>
                </c:pt>
                <c:pt idx="2">
                  <c:v>2.6417784113690028</c:v>
                </c:pt>
                <c:pt idx="3">
                  <c:v>5.8114670111818958</c:v>
                </c:pt>
                <c:pt idx="4">
                  <c:v>12.081792667171561</c:v>
                </c:pt>
                <c:pt idx="5">
                  <c:v>20.022720185325433</c:v>
                </c:pt>
                <c:pt idx="6">
                  <c:v>33.6303292199403</c:v>
                </c:pt>
                <c:pt idx="7">
                  <c:v>39.455161046019512</c:v>
                </c:pt>
                <c:pt idx="8">
                  <c:v>51.129326858823006</c:v>
                </c:pt>
                <c:pt idx="9">
                  <c:v>59.747404998440778</c:v>
                </c:pt>
                <c:pt idx="10">
                  <c:v>62.574063349222619</c:v>
                </c:pt>
                <c:pt idx="11">
                  <c:v>68.813204437118557</c:v>
                </c:pt>
                <c:pt idx="12">
                  <c:v>71.176549204793531</c:v>
                </c:pt>
                <c:pt idx="13">
                  <c:v>75.629260034748526</c:v>
                </c:pt>
                <c:pt idx="14">
                  <c:v>81.463001737425927</c:v>
                </c:pt>
                <c:pt idx="15">
                  <c:v>83.483316256069855</c:v>
                </c:pt>
                <c:pt idx="16">
                  <c:v>89.103220920390243</c:v>
                </c:pt>
                <c:pt idx="17">
                  <c:v>92.994609524658074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43-4403-84C0-4BA14320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8240"/>
        <c:axId val="160638800"/>
      </c:scatterChart>
      <c:valAx>
        <c:axId val="160638240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point (h)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638800"/>
        <c:crosses val="autoZero"/>
        <c:crossBetween val="midCat"/>
      </c:valAx>
      <c:valAx>
        <c:axId val="16063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Total Calcein Released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63824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3573330387809699"/>
          <c:y val="0.44879790026246702"/>
          <c:w val="0.129205182017578"/>
          <c:h val="0.36165826771653498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Drug Release Study Averages (Considering "Wash</a:t>
            </a:r>
            <a:r>
              <a:rPr lang="en-GB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Step")</a:t>
            </a:r>
            <a:endParaRPr lang="en-GB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38752318802899E-2"/>
          <c:y val="8.8093057670617494E-2"/>
          <c:w val="0.82363385606457895"/>
          <c:h val="0.802256503050756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'End point'!$N$65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point'!$S$149:$S$167</c:f>
                <c:numCache>
                  <c:formatCode>General</c:formatCode>
                  <c:ptCount val="19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</c:numCache>
              </c:numRef>
            </c:plus>
            <c:minus>
              <c:numRef>
                <c:f>'End point'!$S$149:$S$167</c:f>
                <c:numCache>
                  <c:formatCode>General</c:formatCode>
                  <c:ptCount val="19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point'!$R$149:$R$169</c:f>
              <c:numCache>
                <c:formatCode>General</c:formatCode>
                <c:ptCount val="21"/>
                <c:pt idx="1">
                  <c:v>3.6561874301596395</c:v>
                </c:pt>
                <c:pt idx="2">
                  <c:v>7.6793164492649408</c:v>
                </c:pt>
                <c:pt idx="3">
                  <c:v>17.287909690864389</c:v>
                </c:pt>
                <c:pt idx="4">
                  <c:v>27.697659790842639</c:v>
                </c:pt>
                <c:pt idx="5">
                  <c:v>38.439051043741806</c:v>
                </c:pt>
                <c:pt idx="6">
                  <c:v>53.350364943471853</c:v>
                </c:pt>
                <c:pt idx="7">
                  <c:v>60.062965137028698</c:v>
                </c:pt>
                <c:pt idx="8">
                  <c:v>65.105291833916866</c:v>
                </c:pt>
                <c:pt idx="9">
                  <c:v>69.434977095380475</c:v>
                </c:pt>
                <c:pt idx="10">
                  <c:v>70.812447160215228</c:v>
                </c:pt>
                <c:pt idx="11">
                  <c:v>73.971535665441422</c:v>
                </c:pt>
                <c:pt idx="12">
                  <c:v>75.012037508961015</c:v>
                </c:pt>
                <c:pt idx="13">
                  <c:v>77.397970293696446</c:v>
                </c:pt>
                <c:pt idx="14">
                  <c:v>80.676702873189384</c:v>
                </c:pt>
                <c:pt idx="15">
                  <c:v>81.930607938221613</c:v>
                </c:pt>
                <c:pt idx="16">
                  <c:v>86.404387149520204</c:v>
                </c:pt>
                <c:pt idx="17">
                  <c:v>90.806471806789219</c:v>
                </c:pt>
                <c:pt idx="18">
                  <c:v>94.560522662516007</c:v>
                </c:pt>
                <c:pt idx="19">
                  <c:v>95.320149749248955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F-4F13-B847-A11FAA3C0291}"/>
            </c:ext>
          </c:extLst>
        </c:ser>
        <c:ser>
          <c:idx val="2"/>
          <c:order val="1"/>
          <c:tx>
            <c:strRef>
              <c:f>'End point'!$T$65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plus>
            <c:min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point'!$X$149:$X$169</c:f>
              <c:numCache>
                <c:formatCode>General</c:formatCode>
                <c:ptCount val="21"/>
                <c:pt idx="1">
                  <c:v>0.98594381107288809</c:v>
                </c:pt>
                <c:pt idx="2">
                  <c:v>2.0571907989211446</c:v>
                </c:pt>
                <c:pt idx="3">
                  <c:v>4.9123093101586948</c:v>
                </c:pt>
                <c:pt idx="4">
                  <c:v>9.7231198235338478</c:v>
                </c:pt>
                <c:pt idx="5">
                  <c:v>16.395738073942784</c:v>
                </c:pt>
                <c:pt idx="6">
                  <c:v>29.165705680384313</c:v>
                </c:pt>
                <c:pt idx="7">
                  <c:v>34.459444839761069</c:v>
                </c:pt>
                <c:pt idx="8">
                  <c:v>44.650048456235858</c:v>
                </c:pt>
                <c:pt idx="9">
                  <c:v>53.277023197714001</c:v>
                </c:pt>
                <c:pt idx="10">
                  <c:v>56.278331203534663</c:v>
                </c:pt>
                <c:pt idx="11">
                  <c:v>63.013331576126653</c:v>
                </c:pt>
                <c:pt idx="12">
                  <c:v>65.270494760006471</c:v>
                </c:pt>
                <c:pt idx="13">
                  <c:v>70.370961541489081</c:v>
                </c:pt>
                <c:pt idx="14">
                  <c:v>77.224572609875793</c:v>
                </c:pt>
                <c:pt idx="15">
                  <c:v>79.591787697492322</c:v>
                </c:pt>
                <c:pt idx="16">
                  <c:v>86.854481631152282</c:v>
                </c:pt>
                <c:pt idx="17">
                  <c:v>91.946474497415252</c:v>
                </c:pt>
                <c:pt idx="18">
                  <c:v>95.609951933389254</c:v>
                </c:pt>
                <c:pt idx="19">
                  <c:v>96.405343111829694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F-4F13-B847-A11FAA3C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2160"/>
        <c:axId val="160642720"/>
      </c:scatterChart>
      <c:valAx>
        <c:axId val="160642160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point (d)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160642720"/>
        <c:crosses val="autoZero"/>
        <c:crossBetween val="midCat"/>
        <c:majorUnit val="7"/>
        <c:minorUnit val="1"/>
      </c:valAx>
      <c:valAx>
        <c:axId val="160642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Delivered (%)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642160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48819548134613899"/>
          <c:y val="0.139473027036669"/>
          <c:w val="0.41520536285457299"/>
          <c:h val="0.14346138164768199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67664808322"/>
          <c:y val="3.3031674208144797E-2"/>
          <c:w val="0.59160319558595298"/>
          <c:h val="0.817526632700324"/>
        </c:manualLayout>
      </c:layout>
      <c:scatterChart>
        <c:scatterStyle val="lineMarker"/>
        <c:varyColors val="0"/>
        <c:ser>
          <c:idx val="3"/>
          <c:order val="0"/>
          <c:tx>
            <c:v>Crystalline cal@NU-901 </c:v>
          </c:tx>
          <c:spPr>
            <a:ln w="31750">
              <a:noFill/>
            </a:ln>
          </c:spPr>
          <c:marker>
            <c:symbol val="squar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[1]Sheet1!$D$61:$D$75</c:f>
              <c:numCache>
                <c:formatCode>General</c:formatCode>
                <c:ptCount val="15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0.45833333333333331</c:v>
                </c:pt>
                <c:pt idx="6">
                  <c:v>0.9375</c:v>
                </c:pt>
                <c:pt idx="7">
                  <c:v>1</c:v>
                </c:pt>
                <c:pt idx="8">
                  <c:v>1.3020833333333333</c:v>
                </c:pt>
                <c:pt idx="9">
                  <c:v>2.0208333333333335</c:v>
                </c:pt>
                <c:pt idx="10">
                  <c:v>2.5625</c:v>
                </c:pt>
                <c:pt idx="11">
                  <c:v>4</c:v>
                </c:pt>
                <c:pt idx="12">
                  <c:v>5</c:v>
                </c:pt>
                <c:pt idx="13">
                  <c:v>7.020833333333333</c:v>
                </c:pt>
                <c:pt idx="14">
                  <c:v>11.03125</c:v>
                </c:pt>
              </c:numCache>
            </c:numRef>
          </c:xVal>
          <c:yVal>
            <c:numRef>
              <c:f>[1]Sheet1!$C$61:$C$75</c:f>
              <c:numCache>
                <c:formatCode>General</c:formatCode>
                <c:ptCount val="15"/>
                <c:pt idx="0">
                  <c:v>29.902359448494963</c:v>
                </c:pt>
                <c:pt idx="1">
                  <c:v>46.174040834962263</c:v>
                </c:pt>
                <c:pt idx="2">
                  <c:v>52.039607915875983</c:v>
                </c:pt>
                <c:pt idx="3">
                  <c:v>62.683997507859281</c:v>
                </c:pt>
                <c:pt idx="4">
                  <c:v>71.654277302971067</c:v>
                </c:pt>
                <c:pt idx="5">
                  <c:v>82.412810744741066</c:v>
                </c:pt>
                <c:pt idx="6">
                  <c:v>89.404597143550163</c:v>
                </c:pt>
                <c:pt idx="7">
                  <c:v>90.49134171339432</c:v>
                </c:pt>
                <c:pt idx="8">
                  <c:v>92.85649740084942</c:v>
                </c:pt>
                <c:pt idx="9">
                  <c:v>95.143654790950293</c:v>
                </c:pt>
                <c:pt idx="10">
                  <c:v>96.470101445346501</c:v>
                </c:pt>
                <c:pt idx="11">
                  <c:v>97.815572074707163</c:v>
                </c:pt>
                <c:pt idx="12">
                  <c:v>98.428619667936516</c:v>
                </c:pt>
                <c:pt idx="13">
                  <c:v>99.216687830838808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2-4176-9D62-47EA0A3830EB}"/>
            </c:ext>
          </c:extLst>
        </c:ser>
        <c:ser>
          <c:idx val="0"/>
          <c:order val="1"/>
          <c:tx>
            <c:v>Crystalline cal@NU-1000</c:v>
          </c:tx>
          <c:spPr>
            <a:ln w="31750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[1]Sheet1!$A$4:$A$21</c:f>
              <c:numCache>
                <c:formatCode>General</c:formatCode>
                <c:ptCount val="18"/>
                <c:pt idx="0">
                  <c:v>2.777777777777779E-2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1</c:v>
                </c:pt>
                <c:pt idx="8">
                  <c:v>1.3125</c:v>
                </c:pt>
                <c:pt idx="9">
                  <c:v>2</c:v>
                </c:pt>
                <c:pt idx="10">
                  <c:v>3.0416666666666665</c:v>
                </c:pt>
                <c:pt idx="11">
                  <c:v>4</c:v>
                </c:pt>
                <c:pt idx="12">
                  <c:v>5.0625</c:v>
                </c:pt>
                <c:pt idx="13">
                  <c:v>6</c:v>
                </c:pt>
                <c:pt idx="14">
                  <c:v>7.291666666666667</c:v>
                </c:pt>
                <c:pt idx="15">
                  <c:v>8.0625</c:v>
                </c:pt>
                <c:pt idx="16">
                  <c:v>11</c:v>
                </c:pt>
                <c:pt idx="17">
                  <c:v>15.260416666666666</c:v>
                </c:pt>
              </c:numCache>
            </c:numRef>
          </c:xVal>
          <c:yVal>
            <c:numRef>
              <c:f>[1]Sheet1!$C$4:$C$21</c:f>
              <c:numCache>
                <c:formatCode>General</c:formatCode>
                <c:ptCount val="18"/>
                <c:pt idx="0">
                  <c:v>24.072596729158359</c:v>
                </c:pt>
                <c:pt idx="1">
                  <c:v>31.272437175907463</c:v>
                </c:pt>
                <c:pt idx="2">
                  <c:v>41.583566015157565</c:v>
                </c:pt>
                <c:pt idx="3">
                  <c:v>55.644196250498602</c:v>
                </c:pt>
                <c:pt idx="4">
                  <c:v>62.883925009972074</c:v>
                </c:pt>
                <c:pt idx="5">
                  <c:v>69.964100518548065</c:v>
                </c:pt>
                <c:pt idx="6">
                  <c:v>73.972875947347433</c:v>
                </c:pt>
                <c:pt idx="7">
                  <c:v>86.27842042281614</c:v>
                </c:pt>
                <c:pt idx="8">
                  <c:v>89.409652971679307</c:v>
                </c:pt>
                <c:pt idx="9">
                  <c:v>94.295971280414847</c:v>
                </c:pt>
                <c:pt idx="10">
                  <c:v>98.344635021938572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2-4176-9D62-47EA0A3830EB}"/>
            </c:ext>
          </c:extLst>
        </c:ser>
        <c:ser>
          <c:idx val="5"/>
          <c:order val="2"/>
          <c:tx>
            <c:v>Crystalline cal@NU-1000 adj</c:v>
          </c:tx>
          <c:spPr>
            <a:ln w="31750">
              <a:noFill/>
            </a:ln>
          </c:spPr>
          <c:xVal>
            <c:numRef>
              <c:f>'[1]End point'!$H$71:$H$88</c:f>
              <c:numCache>
                <c:formatCode>General</c:formatCode>
                <c:ptCount val="18"/>
                <c:pt idx="0">
                  <c:v>2.7777777777777776E-2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0.5</c:v>
                </c:pt>
                <c:pt idx="7">
                  <c:v>1</c:v>
                </c:pt>
                <c:pt idx="8">
                  <c:v>1.3125</c:v>
                </c:pt>
                <c:pt idx="9">
                  <c:v>2</c:v>
                </c:pt>
                <c:pt idx="10">
                  <c:v>3.0416666666666665</c:v>
                </c:pt>
                <c:pt idx="11">
                  <c:v>4</c:v>
                </c:pt>
                <c:pt idx="12">
                  <c:v>5.0625</c:v>
                </c:pt>
                <c:pt idx="13">
                  <c:v>6</c:v>
                </c:pt>
                <c:pt idx="14">
                  <c:v>7.291666666666667</c:v>
                </c:pt>
                <c:pt idx="15">
                  <c:v>8.0625</c:v>
                </c:pt>
                <c:pt idx="16">
                  <c:v>11</c:v>
                </c:pt>
                <c:pt idx="17">
                  <c:v>15.260416666666666</c:v>
                </c:pt>
              </c:numCache>
            </c:numRef>
          </c:xVal>
          <c:yVal>
            <c:numRef>
              <c:f>'[1]End point'!$M$71:$M$88</c:f>
              <c:numCache>
                <c:formatCode>General</c:formatCode>
                <c:ptCount val="18"/>
                <c:pt idx="0">
                  <c:v>24.072596729158356</c:v>
                </c:pt>
                <c:pt idx="1">
                  <c:v>31.272437175907459</c:v>
                </c:pt>
                <c:pt idx="2">
                  <c:v>41.583566015157551</c:v>
                </c:pt>
                <c:pt idx="3">
                  <c:v>55.644196250498602</c:v>
                </c:pt>
                <c:pt idx="4">
                  <c:v>62.883925009972074</c:v>
                </c:pt>
                <c:pt idx="5">
                  <c:v>69.964100518548051</c:v>
                </c:pt>
                <c:pt idx="6">
                  <c:v>73.972875947347418</c:v>
                </c:pt>
                <c:pt idx="7">
                  <c:v>86.278420422816112</c:v>
                </c:pt>
                <c:pt idx="8">
                  <c:v>89.409652971679293</c:v>
                </c:pt>
                <c:pt idx="9">
                  <c:v>94.295971280414832</c:v>
                </c:pt>
                <c:pt idx="10">
                  <c:v>98.344635021938572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2-4176-9D62-47EA0A3830EB}"/>
            </c:ext>
          </c:extLst>
        </c:ser>
        <c:ser>
          <c:idx val="2"/>
          <c:order val="3"/>
          <c:tx>
            <c:strRef>
              <c:f>'End point'!$N$65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noFill/>
              <a:prstDash val="solid"/>
            </a:ln>
          </c:spPr>
          <c:marker>
            <c:symbol val="triang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'End point'!$S$172:$S$190</c:f>
                <c:numCache>
                  <c:formatCode>General</c:formatCode>
                  <c:ptCount val="19"/>
                  <c:pt idx="1">
                    <c:v>0.23498272496586856</c:v>
                  </c:pt>
                  <c:pt idx="2">
                    <c:v>0.45232438591476765</c:v>
                  </c:pt>
                  <c:pt idx="3">
                    <c:v>0.52042476957659123</c:v>
                  </c:pt>
                  <c:pt idx="4">
                    <c:v>0.62605029933735312</c:v>
                  </c:pt>
                  <c:pt idx="5">
                    <c:v>1.1516921831135747</c:v>
                  </c:pt>
                  <c:pt idx="6">
                    <c:v>1.6938203399941705</c:v>
                  </c:pt>
                  <c:pt idx="7">
                    <c:v>2.2335959751708749</c:v>
                  </c:pt>
                  <c:pt idx="8">
                    <c:v>2.2276161859601404</c:v>
                  </c:pt>
                  <c:pt idx="9">
                    <c:v>1.7624200560803809</c:v>
                  </c:pt>
                  <c:pt idx="10">
                    <c:v>1.5810184830057858</c:v>
                  </c:pt>
                  <c:pt idx="11">
                    <c:v>1.2132320932934846</c:v>
                  </c:pt>
                  <c:pt idx="12">
                    <c:v>1.119180713695638</c:v>
                  </c:pt>
                  <c:pt idx="13">
                    <c:v>0.98430499714611552</c:v>
                  </c:pt>
                  <c:pt idx="14">
                    <c:v>0.69078764397459858</c:v>
                  </c:pt>
                  <c:pt idx="15">
                    <c:v>0.57683024914206182</c:v>
                  </c:pt>
                  <c:pt idx="16">
                    <c:v>0.28578909564220645</c:v>
                  </c:pt>
                  <c:pt idx="17">
                    <c:v>0.17837699826379722</c:v>
                  </c:pt>
                  <c:pt idx="18">
                    <c:v>4.7177192414361205E-2</c:v>
                  </c:pt>
                </c:numCache>
              </c:numRef>
            </c:plus>
            <c:minus>
              <c:numRef>
                <c:f>'End point'!$S$172:$S$190</c:f>
                <c:numCache>
                  <c:formatCode>General</c:formatCode>
                  <c:ptCount val="19"/>
                  <c:pt idx="1">
                    <c:v>0.23498272496586856</c:v>
                  </c:pt>
                  <c:pt idx="2">
                    <c:v>0.45232438591476765</c:v>
                  </c:pt>
                  <c:pt idx="3">
                    <c:v>0.52042476957659123</c:v>
                  </c:pt>
                  <c:pt idx="4">
                    <c:v>0.62605029933735312</c:v>
                  </c:pt>
                  <c:pt idx="5">
                    <c:v>1.1516921831135747</c:v>
                  </c:pt>
                  <c:pt idx="6">
                    <c:v>1.6938203399941705</c:v>
                  </c:pt>
                  <c:pt idx="7">
                    <c:v>2.2335959751708749</c:v>
                  </c:pt>
                  <c:pt idx="8">
                    <c:v>2.2276161859601404</c:v>
                  </c:pt>
                  <c:pt idx="9">
                    <c:v>1.7624200560803809</c:v>
                  </c:pt>
                  <c:pt idx="10">
                    <c:v>1.5810184830057858</c:v>
                  </c:pt>
                  <c:pt idx="11">
                    <c:v>1.2132320932934846</c:v>
                  </c:pt>
                  <c:pt idx="12">
                    <c:v>1.119180713695638</c:v>
                  </c:pt>
                  <c:pt idx="13">
                    <c:v>0.98430499714611552</c:v>
                  </c:pt>
                  <c:pt idx="14">
                    <c:v>0.69078764397459858</c:v>
                  </c:pt>
                  <c:pt idx="15">
                    <c:v>0.57683024914206182</c:v>
                  </c:pt>
                  <c:pt idx="16">
                    <c:v>0.28578909564220645</c:v>
                  </c:pt>
                  <c:pt idx="17">
                    <c:v>0.17837699826379722</c:v>
                  </c:pt>
                  <c:pt idx="18">
                    <c:v>4.7177192414361205E-2</c:v>
                  </c:pt>
                </c:numCache>
              </c:numRef>
            </c:minus>
          </c:errBars>
          <c:xVal>
            <c:numRef>
              <c:f>'End point'!$T$194:$T$212</c:f>
              <c:numCache>
                <c:formatCode>General</c:formatCode>
                <c:ptCount val="19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</c:numCache>
            </c:numRef>
          </c:xVal>
          <c:yVal>
            <c:numRef>
              <c:f>'End point'!$R$172:$R$190</c:f>
              <c:numCache>
                <c:formatCode>General</c:formatCode>
                <c:ptCount val="19"/>
                <c:pt idx="1">
                  <c:v>3.7965318028518746</c:v>
                </c:pt>
                <c:pt idx="2">
                  <c:v>8.0015336333028007</c:v>
                </c:pt>
                <c:pt idx="3">
                  <c:v>18.299709213965031</c:v>
                </c:pt>
                <c:pt idx="4">
                  <c:v>29.396327601850786</c:v>
                </c:pt>
                <c:pt idx="5">
                  <c:v>42.043273866636824</c:v>
                </c:pt>
                <c:pt idx="6">
                  <c:v>57.476893178874789</c:v>
                </c:pt>
                <c:pt idx="7">
                  <c:v>64.640026151242509</c:v>
                </c:pt>
                <c:pt idx="8">
                  <c:v>69.924926002504932</c:v>
                </c:pt>
                <c:pt idx="9">
                  <c:v>74.35465267292885</c:v>
                </c:pt>
                <c:pt idx="10">
                  <c:v>75.778128713408975</c:v>
                </c:pt>
                <c:pt idx="11">
                  <c:v>78.930663777399928</c:v>
                </c:pt>
                <c:pt idx="12">
                  <c:v>80.013315410900233</c:v>
                </c:pt>
                <c:pt idx="13">
                  <c:v>82.425509887439446</c:v>
                </c:pt>
                <c:pt idx="14">
                  <c:v>85.75593428335381</c:v>
                </c:pt>
                <c:pt idx="15">
                  <c:v>87.021336232577141</c:v>
                </c:pt>
                <c:pt idx="16">
                  <c:v>91.677485544312859</c:v>
                </c:pt>
                <c:pt idx="17">
                  <c:v>96.17279439733494</c:v>
                </c:pt>
                <c:pt idx="1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2-4176-9D62-47EA0A3830EB}"/>
            </c:ext>
          </c:extLst>
        </c:ser>
        <c:ser>
          <c:idx val="1"/>
          <c:order val="4"/>
          <c:tx>
            <c:v>Amorphous cal@NU-1000: Low Loading Concentration</c:v>
          </c:tx>
          <c:spPr>
            <a:ln w="31750">
              <a:noFill/>
            </a:ln>
          </c:spPr>
          <c:marker>
            <c:symbol val="square"/>
            <c:size val="7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[1]Sheet1!$E$15:$E$35</c:f>
              <c:numCache>
                <c:formatCode>General</c:formatCode>
                <c:ptCount val="21"/>
                <c:pt idx="0">
                  <c:v>1.3888888888888874E-2</c:v>
                </c:pt>
                <c:pt idx="1">
                  <c:v>2.777777777777779E-2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0.5</c:v>
                </c:pt>
                <c:pt idx="8">
                  <c:v>1</c:v>
                </c:pt>
                <c:pt idx="9">
                  <c:v>1.3125</c:v>
                </c:pt>
                <c:pt idx="10">
                  <c:v>2</c:v>
                </c:pt>
                <c:pt idx="11">
                  <c:v>3.0416666666666665</c:v>
                </c:pt>
                <c:pt idx="12">
                  <c:v>4</c:v>
                </c:pt>
                <c:pt idx="13">
                  <c:v>5.0625</c:v>
                </c:pt>
                <c:pt idx="14">
                  <c:v>6</c:v>
                </c:pt>
                <c:pt idx="15">
                  <c:v>7.291666666666667</c:v>
                </c:pt>
                <c:pt idx="16">
                  <c:v>8.0625</c:v>
                </c:pt>
                <c:pt idx="17">
                  <c:v>11</c:v>
                </c:pt>
                <c:pt idx="18">
                  <c:v>15.260416666666666</c:v>
                </c:pt>
                <c:pt idx="19">
                  <c:v>21.020833333333332</c:v>
                </c:pt>
                <c:pt idx="20">
                  <c:v>30.125</c:v>
                </c:pt>
              </c:numCache>
            </c:numRef>
          </c:xVal>
          <c:yVal>
            <c:numRef>
              <c:f>[1]Sheet1!$G$15:$G$35</c:f>
              <c:numCache>
                <c:formatCode>General</c:formatCode>
                <c:ptCount val="21"/>
                <c:pt idx="0">
                  <c:v>1.4563617570419702</c:v>
                </c:pt>
                <c:pt idx="1">
                  <c:v>3.0464141811137173</c:v>
                </c:pt>
                <c:pt idx="2">
                  <c:v>5.1316172238142697</c:v>
                </c:pt>
                <c:pt idx="3">
                  <c:v>9.6059220013988025</c:v>
                </c:pt>
                <c:pt idx="4">
                  <c:v>15.461697004957697</c:v>
                </c:pt>
                <c:pt idx="5">
                  <c:v>22.768263321098988</c:v>
                </c:pt>
                <c:pt idx="6">
                  <c:v>30.084732649612857</c:v>
                </c:pt>
                <c:pt idx="7">
                  <c:v>37.148675162626034</c:v>
                </c:pt>
                <c:pt idx="8">
                  <c:v>47.020121683264534</c:v>
                </c:pt>
                <c:pt idx="9">
                  <c:v>54.603972345837946</c:v>
                </c:pt>
                <c:pt idx="10">
                  <c:v>62.024423304263863</c:v>
                </c:pt>
                <c:pt idx="11">
                  <c:v>68.088161567646864</c:v>
                </c:pt>
                <c:pt idx="12">
                  <c:v>72.760526592682922</c:v>
                </c:pt>
                <c:pt idx="13">
                  <c:v>76.640650627912891</c:v>
                </c:pt>
                <c:pt idx="14">
                  <c:v>80.065236094004348</c:v>
                </c:pt>
                <c:pt idx="15">
                  <c:v>83.623512227125602</c:v>
                </c:pt>
                <c:pt idx="16">
                  <c:v>86.508383518911671</c:v>
                </c:pt>
                <c:pt idx="17">
                  <c:v>88.692616685337981</c:v>
                </c:pt>
                <c:pt idx="18">
                  <c:v>92.592546745313101</c:v>
                </c:pt>
                <c:pt idx="19">
                  <c:v>96.220143965042368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62-4176-9D62-47EA0A3830EB}"/>
            </c:ext>
          </c:extLst>
        </c:ser>
        <c:ser>
          <c:idx val="4"/>
          <c:order val="5"/>
          <c:tx>
            <c:strRef>
              <c:f>'End point'!$T$65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'End point'!$Y$149:$Y$167</c:f>
                <c:numCache>
                  <c:formatCode>General</c:formatCode>
                  <c:ptCount val="19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  <c:pt idx="18">
                    <c:v>0.20876986408725509</c:v>
                  </c:pt>
                </c:numCache>
              </c:numRef>
            </c:plus>
            <c:minus>
              <c:numRef>
                <c:f>'End point'!$Y$149:$Y$167</c:f>
                <c:numCache>
                  <c:formatCode>General</c:formatCode>
                  <c:ptCount val="19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  <c:pt idx="18">
                    <c:v>0.20876986408725509</c:v>
                  </c:pt>
                </c:numCache>
              </c:numRef>
            </c:minus>
          </c:errBars>
          <c:xVal>
            <c:numRef>
              <c:f>'End point'!$T$194:$T$212</c:f>
              <c:numCache>
                <c:formatCode>General</c:formatCode>
                <c:ptCount val="19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</c:numCache>
            </c:numRef>
          </c:xVal>
          <c:yVal>
            <c:numRef>
              <c:f>'End point'!$X$149:$X$167</c:f>
              <c:numCache>
                <c:formatCode>General</c:formatCode>
                <c:ptCount val="19"/>
                <c:pt idx="1">
                  <c:v>0.98594381107288809</c:v>
                </c:pt>
                <c:pt idx="2">
                  <c:v>2.0571907989211446</c:v>
                </c:pt>
                <c:pt idx="3">
                  <c:v>4.9123093101586948</c:v>
                </c:pt>
                <c:pt idx="4">
                  <c:v>9.7231198235338478</c:v>
                </c:pt>
                <c:pt idx="5">
                  <c:v>16.395738073942784</c:v>
                </c:pt>
                <c:pt idx="6">
                  <c:v>29.165705680384313</c:v>
                </c:pt>
                <c:pt idx="7">
                  <c:v>34.459444839761069</c:v>
                </c:pt>
                <c:pt idx="8">
                  <c:v>44.650048456235858</c:v>
                </c:pt>
                <c:pt idx="9">
                  <c:v>53.277023197714001</c:v>
                </c:pt>
                <c:pt idx="10">
                  <c:v>56.278331203534663</c:v>
                </c:pt>
                <c:pt idx="11">
                  <c:v>63.013331576126653</c:v>
                </c:pt>
                <c:pt idx="12">
                  <c:v>65.270494760006471</c:v>
                </c:pt>
                <c:pt idx="13">
                  <c:v>70.370961541489081</c:v>
                </c:pt>
                <c:pt idx="14">
                  <c:v>77.224572609875793</c:v>
                </c:pt>
                <c:pt idx="15">
                  <c:v>79.591787697492322</c:v>
                </c:pt>
                <c:pt idx="16">
                  <c:v>86.854481631152282</c:v>
                </c:pt>
                <c:pt idx="17">
                  <c:v>91.946474497415252</c:v>
                </c:pt>
                <c:pt idx="18">
                  <c:v>95.609951933389254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62-4176-9D62-47EA0A38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79968"/>
        <c:axId val="291978288"/>
      </c:scatterChart>
      <c:valAx>
        <c:axId val="291979968"/>
        <c:scaling>
          <c:orientation val="minMax"/>
          <c:max val="2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>
                    <a:latin typeface="Arial"/>
                    <a:cs typeface="Arial"/>
                  </a:rPr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00">
                <a:solidFill>
                  <a:schemeClr val="tx1"/>
                </a:solidFill>
                <a:latin typeface="Arial"/>
                <a:cs typeface="Arial"/>
              </a:defRPr>
            </a:pPr>
            <a:endParaRPr lang="en-US"/>
          </a:p>
        </c:txPr>
        <c:crossAx val="291978288"/>
        <c:crosses val="autoZero"/>
        <c:crossBetween val="midCat"/>
      </c:valAx>
      <c:valAx>
        <c:axId val="29197828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Arial"/>
                    <a:cs typeface="Arial"/>
                  </a:rPr>
                  <a:t>Total</a:t>
                </a:r>
                <a:r>
                  <a:rPr lang="en-US" sz="1600" b="0" baseline="0">
                    <a:latin typeface="Arial"/>
                    <a:cs typeface="Arial"/>
                  </a:rPr>
                  <a:t> Calein Released (%)</a:t>
                </a:r>
                <a:endParaRPr lang="en-US" sz="1600" b="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solidFill>
                  <a:srgbClr val="000000"/>
                </a:solidFill>
                <a:latin typeface="Arial"/>
                <a:cs typeface="Arial"/>
              </a:defRPr>
            </a:pPr>
            <a:endParaRPr lang="en-US"/>
          </a:p>
        </c:txPr>
        <c:crossAx val="29197996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269375458502496"/>
          <c:y val="0.15890262585955001"/>
          <c:w val="0.25730624541497499"/>
          <c:h val="0.64970727059673905"/>
        </c:manualLayout>
      </c:layout>
      <c:overlay val="0"/>
      <c:txPr>
        <a:bodyPr/>
        <a:lstStyle/>
        <a:p>
          <a:pPr>
            <a:defRPr sz="16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4766867825399"/>
          <c:y val="8.8093057670617494E-2"/>
          <c:w val="0.77482511083557903"/>
          <c:h val="0.77753607657232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'End point'!$N$65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point'!$S$149:$S$164</c:f>
                <c:numCache>
                  <c:formatCode>General</c:formatCode>
                  <c:ptCount val="16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</c:numCache>
              </c:numRef>
            </c:plus>
            <c:minus>
              <c:numRef>
                <c:f>'End point'!$S$149:$S$164</c:f>
                <c:numCache>
                  <c:formatCode>General</c:formatCode>
                  <c:ptCount val="16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point'!$R$149:$R$169</c:f>
              <c:numCache>
                <c:formatCode>General</c:formatCode>
                <c:ptCount val="21"/>
                <c:pt idx="1">
                  <c:v>3.6561874301596395</c:v>
                </c:pt>
                <c:pt idx="2">
                  <c:v>7.6793164492649408</c:v>
                </c:pt>
                <c:pt idx="3">
                  <c:v>17.287909690864389</c:v>
                </c:pt>
                <c:pt idx="4">
                  <c:v>27.697659790842639</c:v>
                </c:pt>
                <c:pt idx="5">
                  <c:v>38.439051043741806</c:v>
                </c:pt>
                <c:pt idx="6">
                  <c:v>53.350364943471853</c:v>
                </c:pt>
                <c:pt idx="7">
                  <c:v>60.062965137028698</c:v>
                </c:pt>
                <c:pt idx="8">
                  <c:v>65.105291833916866</c:v>
                </c:pt>
                <c:pt idx="9">
                  <c:v>69.434977095380475</c:v>
                </c:pt>
                <c:pt idx="10">
                  <c:v>70.812447160215228</c:v>
                </c:pt>
                <c:pt idx="11">
                  <c:v>73.971535665441422</c:v>
                </c:pt>
                <c:pt idx="12">
                  <c:v>75.012037508961015</c:v>
                </c:pt>
                <c:pt idx="13">
                  <c:v>77.397970293696446</c:v>
                </c:pt>
                <c:pt idx="14">
                  <c:v>80.676702873189384</c:v>
                </c:pt>
                <c:pt idx="15">
                  <c:v>81.930607938221613</c:v>
                </c:pt>
                <c:pt idx="16">
                  <c:v>86.404387149520204</c:v>
                </c:pt>
                <c:pt idx="17">
                  <c:v>90.806471806789219</c:v>
                </c:pt>
                <c:pt idx="18">
                  <c:v>94.560522662516007</c:v>
                </c:pt>
                <c:pt idx="19">
                  <c:v>95.320149749248955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E-4505-AFAF-452C45E8554C}"/>
            </c:ext>
          </c:extLst>
        </c:ser>
        <c:ser>
          <c:idx val="2"/>
          <c:order val="1"/>
          <c:tx>
            <c:strRef>
              <c:f>'End point'!$T$65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plus>
            <c:min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point'!$X$149:$X$169</c:f>
              <c:numCache>
                <c:formatCode>General</c:formatCode>
                <c:ptCount val="21"/>
                <c:pt idx="1">
                  <c:v>0.98594381107288809</c:v>
                </c:pt>
                <c:pt idx="2">
                  <c:v>2.0571907989211446</c:v>
                </c:pt>
                <c:pt idx="3">
                  <c:v>4.9123093101586948</c:v>
                </c:pt>
                <c:pt idx="4">
                  <c:v>9.7231198235338478</c:v>
                </c:pt>
                <c:pt idx="5">
                  <c:v>16.395738073942784</c:v>
                </c:pt>
                <c:pt idx="6">
                  <c:v>29.165705680384313</c:v>
                </c:pt>
                <c:pt idx="7">
                  <c:v>34.459444839761069</c:v>
                </c:pt>
                <c:pt idx="8">
                  <c:v>44.650048456235858</c:v>
                </c:pt>
                <c:pt idx="9">
                  <c:v>53.277023197714001</c:v>
                </c:pt>
                <c:pt idx="10">
                  <c:v>56.278331203534663</c:v>
                </c:pt>
                <c:pt idx="11">
                  <c:v>63.013331576126653</c:v>
                </c:pt>
                <c:pt idx="12">
                  <c:v>65.270494760006471</c:v>
                </c:pt>
                <c:pt idx="13">
                  <c:v>70.370961541489081</c:v>
                </c:pt>
                <c:pt idx="14">
                  <c:v>77.224572609875793</c:v>
                </c:pt>
                <c:pt idx="15">
                  <c:v>79.591787697492322</c:v>
                </c:pt>
                <c:pt idx="16">
                  <c:v>86.854481631152282</c:v>
                </c:pt>
                <c:pt idx="17">
                  <c:v>91.946474497415252</c:v>
                </c:pt>
                <c:pt idx="18">
                  <c:v>95.609951933389254</c:v>
                </c:pt>
                <c:pt idx="19">
                  <c:v>96.405343111829694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E-4505-AFAF-452C45E8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73248"/>
        <c:axId val="291970448"/>
      </c:scatterChart>
      <c:valAx>
        <c:axId val="291973248"/>
        <c:scaling>
          <c:orientation val="minMax"/>
          <c:max val="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point (d)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91970448"/>
        <c:crosses val="autoZero"/>
        <c:crossBetween val="midCat"/>
        <c:majorUnit val="2"/>
        <c:minorUnit val="1"/>
      </c:valAx>
      <c:valAx>
        <c:axId val="29197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Total Calcein Released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1973248"/>
        <c:crosses val="autoZero"/>
        <c:crossBetween val="midCat"/>
        <c:majorUnit val="20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94734699206"/>
          <c:y val="8.8093057670617494E-2"/>
          <c:w val="0.78877783858258099"/>
          <c:h val="0.80225650305075602"/>
        </c:manualLayout>
      </c:layout>
      <c:scatterChart>
        <c:scatterStyle val="smoothMarker"/>
        <c:varyColors val="0"/>
        <c:ser>
          <c:idx val="0"/>
          <c:order val="0"/>
          <c:tx>
            <c:v>cal@NU-1000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point'!$S$149:$S$167</c:f>
                <c:numCache>
                  <c:formatCode>General</c:formatCode>
                  <c:ptCount val="19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</c:numCache>
              </c:numRef>
            </c:plus>
            <c:minus>
              <c:numRef>
                <c:f>'End point'!$S$149:$S$167</c:f>
                <c:numCache>
                  <c:formatCode>General</c:formatCode>
                  <c:ptCount val="19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  <c:pt idx="16">
                    <c:v>0.53893268236733927</c:v>
                  </c:pt>
                  <c:pt idx="17">
                    <c:v>0.37471161293730282</c:v>
                  </c:pt>
                  <c:pt idx="18">
                    <c:v>0.22427101686848791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point'!$R$149:$R$169</c:f>
              <c:numCache>
                <c:formatCode>General</c:formatCode>
                <c:ptCount val="21"/>
                <c:pt idx="1">
                  <c:v>3.6561874301596395</c:v>
                </c:pt>
                <c:pt idx="2">
                  <c:v>7.6793164492649408</c:v>
                </c:pt>
                <c:pt idx="3">
                  <c:v>17.287909690864389</c:v>
                </c:pt>
                <c:pt idx="4">
                  <c:v>27.697659790842639</c:v>
                </c:pt>
                <c:pt idx="5">
                  <c:v>38.439051043741806</c:v>
                </c:pt>
                <c:pt idx="6">
                  <c:v>53.350364943471853</c:v>
                </c:pt>
                <c:pt idx="7">
                  <c:v>60.062965137028698</c:v>
                </c:pt>
                <c:pt idx="8">
                  <c:v>65.105291833916866</c:v>
                </c:pt>
                <c:pt idx="9">
                  <c:v>69.434977095380475</c:v>
                </c:pt>
                <c:pt idx="10">
                  <c:v>70.812447160215228</c:v>
                </c:pt>
                <c:pt idx="11">
                  <c:v>73.971535665441422</c:v>
                </c:pt>
                <c:pt idx="12">
                  <c:v>75.012037508961015</c:v>
                </c:pt>
                <c:pt idx="13">
                  <c:v>77.397970293696446</c:v>
                </c:pt>
                <c:pt idx="14">
                  <c:v>80.676702873189384</c:v>
                </c:pt>
                <c:pt idx="15">
                  <c:v>81.930607938221613</c:v>
                </c:pt>
                <c:pt idx="16">
                  <c:v>86.404387149520204</c:v>
                </c:pt>
                <c:pt idx="17">
                  <c:v>90.806471806789219</c:v>
                </c:pt>
                <c:pt idx="18">
                  <c:v>94.560522662516007</c:v>
                </c:pt>
                <c:pt idx="19">
                  <c:v>95.320149749248955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E-488C-9AA4-D190B902B07B}"/>
            </c:ext>
          </c:extLst>
        </c:ser>
        <c:ser>
          <c:idx val="2"/>
          <c:order val="1"/>
          <c:tx>
            <c:v>cal@aNU-1000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plus>
            <c:min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point'!$X$149:$X$169</c:f>
              <c:numCache>
                <c:formatCode>General</c:formatCode>
                <c:ptCount val="21"/>
                <c:pt idx="1">
                  <c:v>0.98594381107288809</c:v>
                </c:pt>
                <c:pt idx="2">
                  <c:v>2.0571907989211446</c:v>
                </c:pt>
                <c:pt idx="3">
                  <c:v>4.9123093101586948</c:v>
                </c:pt>
                <c:pt idx="4">
                  <c:v>9.7231198235338478</c:v>
                </c:pt>
                <c:pt idx="5">
                  <c:v>16.395738073942784</c:v>
                </c:pt>
                <c:pt idx="6">
                  <c:v>29.165705680384313</c:v>
                </c:pt>
                <c:pt idx="7">
                  <c:v>34.459444839761069</c:v>
                </c:pt>
                <c:pt idx="8">
                  <c:v>44.650048456235858</c:v>
                </c:pt>
                <c:pt idx="9">
                  <c:v>53.277023197714001</c:v>
                </c:pt>
                <c:pt idx="10">
                  <c:v>56.278331203534663</c:v>
                </c:pt>
                <c:pt idx="11">
                  <c:v>63.013331576126653</c:v>
                </c:pt>
                <c:pt idx="12">
                  <c:v>65.270494760006471</c:v>
                </c:pt>
                <c:pt idx="13">
                  <c:v>70.370961541489081</c:v>
                </c:pt>
                <c:pt idx="14">
                  <c:v>77.224572609875793</c:v>
                </c:pt>
                <c:pt idx="15">
                  <c:v>79.591787697492322</c:v>
                </c:pt>
                <c:pt idx="16">
                  <c:v>86.854481631152282</c:v>
                </c:pt>
                <c:pt idx="17">
                  <c:v>91.946474497415252</c:v>
                </c:pt>
                <c:pt idx="18">
                  <c:v>95.609951933389254</c:v>
                </c:pt>
                <c:pt idx="19">
                  <c:v>96.405343111829694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E-488C-9AA4-D190B902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67088"/>
        <c:axId val="295738704"/>
      </c:scatterChart>
      <c:valAx>
        <c:axId val="291967088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2400" b="1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2400" b="1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(days)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95738704"/>
        <c:crosses val="autoZero"/>
        <c:crossBetween val="midCat"/>
        <c:majorUnit val="5"/>
        <c:minorUnit val="1"/>
      </c:valAx>
      <c:valAx>
        <c:axId val="29573870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Delivered (%)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1967088"/>
        <c:crosses val="autoZero"/>
        <c:crossBetween val="midCat"/>
        <c:majorUnit val="20"/>
      </c:valAx>
      <c:spPr>
        <a:noFill/>
        <a:ln w="127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687716955208399"/>
          <c:y val="0.114943610570877"/>
          <c:w val="0.29598567382633301"/>
          <c:h val="0.14346138164768199"/>
        </c:manualLayout>
      </c:layout>
      <c:overlay val="1"/>
      <c:txPr>
        <a:bodyPr/>
        <a:lstStyle/>
        <a:p>
          <a:pPr>
            <a:defRPr sz="2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4766867825399"/>
          <c:y val="8.8093057670617494E-2"/>
          <c:w val="0.77482511083557903"/>
          <c:h val="0.75142199021970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'End point'!$N$65</c:f>
              <c:strCache>
                <c:ptCount val="1"/>
                <c:pt idx="0">
                  <c:v>Sample 1: 37C @ 10mg/mL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point'!$S$149:$S$164</c:f>
                <c:numCache>
                  <c:formatCode>General</c:formatCode>
                  <c:ptCount val="16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</c:numCache>
              </c:numRef>
            </c:plus>
            <c:minus>
              <c:numRef>
                <c:f>'End point'!$S$149:$S$164</c:f>
                <c:numCache>
                  <c:formatCode>General</c:formatCode>
                  <c:ptCount val="16"/>
                  <c:pt idx="1">
                    <c:v>0.176941474588026</c:v>
                  </c:pt>
                  <c:pt idx="2">
                    <c:v>0.33530941766039452</c:v>
                  </c:pt>
                  <c:pt idx="3">
                    <c:v>0.37227490502403082</c:v>
                  </c:pt>
                  <c:pt idx="4">
                    <c:v>0.47314513539861824</c:v>
                  </c:pt>
                  <c:pt idx="5">
                    <c:v>1.6693595906524334</c:v>
                  </c:pt>
                  <c:pt idx="6">
                    <c:v>1.6680361086722466</c:v>
                  </c:pt>
                  <c:pt idx="7">
                    <c:v>2.0071946815276833</c:v>
                  </c:pt>
                  <c:pt idx="8">
                    <c:v>1.9825101473234734</c:v>
                  </c:pt>
                  <c:pt idx="9">
                    <c:v>1.6416244826521484</c:v>
                  </c:pt>
                  <c:pt idx="10">
                    <c:v>1.5266094453050902</c:v>
                  </c:pt>
                  <c:pt idx="11">
                    <c:v>1.2166690941480365</c:v>
                  </c:pt>
                  <c:pt idx="12">
                    <c:v>1.1599080240566135</c:v>
                  </c:pt>
                  <c:pt idx="13">
                    <c:v>1.0193741616125649</c:v>
                  </c:pt>
                  <c:pt idx="14">
                    <c:v>0.78815790105753214</c:v>
                  </c:pt>
                  <c:pt idx="15">
                    <c:v>0.69452653360278049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point'!$R$149:$R$169</c:f>
              <c:numCache>
                <c:formatCode>General</c:formatCode>
                <c:ptCount val="21"/>
                <c:pt idx="1">
                  <c:v>3.6561874301596395</c:v>
                </c:pt>
                <c:pt idx="2">
                  <c:v>7.6793164492649408</c:v>
                </c:pt>
                <c:pt idx="3">
                  <c:v>17.287909690864389</c:v>
                </c:pt>
                <c:pt idx="4">
                  <c:v>27.697659790842639</c:v>
                </c:pt>
                <c:pt idx="5">
                  <c:v>38.439051043741806</c:v>
                </c:pt>
                <c:pt idx="6">
                  <c:v>53.350364943471853</c:v>
                </c:pt>
                <c:pt idx="7">
                  <c:v>60.062965137028698</c:v>
                </c:pt>
                <c:pt idx="8">
                  <c:v>65.105291833916866</c:v>
                </c:pt>
                <c:pt idx="9">
                  <c:v>69.434977095380475</c:v>
                </c:pt>
                <c:pt idx="10">
                  <c:v>70.812447160215228</c:v>
                </c:pt>
                <c:pt idx="11">
                  <c:v>73.971535665441422</c:v>
                </c:pt>
                <c:pt idx="12">
                  <c:v>75.012037508961015</c:v>
                </c:pt>
                <c:pt idx="13">
                  <c:v>77.397970293696446</c:v>
                </c:pt>
                <c:pt idx="14">
                  <c:v>80.676702873189384</c:v>
                </c:pt>
                <c:pt idx="15">
                  <c:v>81.930607938221613</c:v>
                </c:pt>
                <c:pt idx="16">
                  <c:v>86.404387149520204</c:v>
                </c:pt>
                <c:pt idx="17">
                  <c:v>90.806471806789219</c:v>
                </c:pt>
                <c:pt idx="18">
                  <c:v>94.560522662516007</c:v>
                </c:pt>
                <c:pt idx="19">
                  <c:v>95.320149749248955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E-4463-8F31-55EB52E5946E}"/>
            </c:ext>
          </c:extLst>
        </c:ser>
        <c:ser>
          <c:idx val="2"/>
          <c:order val="1"/>
          <c:tx>
            <c:strRef>
              <c:f>'End point'!$T$65</c:f>
              <c:strCache>
                <c:ptCount val="1"/>
                <c:pt idx="0">
                  <c:v>Sample 3: 155C/180C/180Cwvacuum @ 10mg/mL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plus>
            <c:minus>
              <c:numRef>
                <c:f>'End point'!$Y$149:$Y$166</c:f>
                <c:numCache>
                  <c:formatCode>General</c:formatCode>
                  <c:ptCount val="18"/>
                  <c:pt idx="1">
                    <c:v>8.663281119329648E-2</c:v>
                  </c:pt>
                  <c:pt idx="2">
                    <c:v>0.29901616597202851</c:v>
                  </c:pt>
                  <c:pt idx="3">
                    <c:v>0.54306740133092224</c:v>
                  </c:pt>
                  <c:pt idx="4">
                    <c:v>1.2441517088628842</c:v>
                  </c:pt>
                  <c:pt idx="5">
                    <c:v>2.045807731388587</c:v>
                  </c:pt>
                  <c:pt idx="6">
                    <c:v>2.5236385587148709</c:v>
                  </c:pt>
                  <c:pt idx="7">
                    <c:v>2.8013851053785732</c:v>
                  </c:pt>
                  <c:pt idx="8">
                    <c:v>3.4879899389682438</c:v>
                  </c:pt>
                  <c:pt idx="9">
                    <c:v>3.4845605798796333</c:v>
                  </c:pt>
                  <c:pt idx="10">
                    <c:v>3.3778257805128704</c:v>
                  </c:pt>
                  <c:pt idx="11">
                    <c:v>3.1161764698330785</c:v>
                  </c:pt>
                  <c:pt idx="12">
                    <c:v>3.1289635319360252</c:v>
                  </c:pt>
                  <c:pt idx="13">
                    <c:v>2.7975005129952533</c:v>
                  </c:pt>
                  <c:pt idx="14">
                    <c:v>2.3131076713328729</c:v>
                  </c:pt>
                  <c:pt idx="15">
                    <c:v>2.1123061721864986</c:v>
                  </c:pt>
                  <c:pt idx="16">
                    <c:v>1.2082785594370813</c:v>
                  </c:pt>
                  <c:pt idx="17">
                    <c:v>0.56811611739230905</c:v>
                  </c:pt>
                </c:numCache>
              </c:numRef>
            </c:minus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errBars>
          <c:xVal>
            <c:numRef>
              <c:f>'End point'!$T$194:$T$214</c:f>
              <c:numCache>
                <c:formatCode>General</c:formatCode>
                <c:ptCount val="21"/>
                <c:pt idx="0">
                  <c:v>1.3888888888888888E-2</c:v>
                </c:pt>
                <c:pt idx="1">
                  <c:v>2.7777777777777776E-2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0.875</c:v>
                </c:pt>
                <c:pt idx="7">
                  <c:v>1</c:v>
                </c:pt>
                <c:pt idx="8">
                  <c:v>2</c:v>
                </c:pt>
                <c:pt idx="9">
                  <c:v>2.8333333333333335</c:v>
                </c:pt>
                <c:pt idx="10">
                  <c:v>3</c:v>
                </c:pt>
                <c:pt idx="11">
                  <c:v>3.9166666666666665</c:v>
                </c:pt>
                <c:pt idx="12">
                  <c:v>4</c:v>
                </c:pt>
                <c:pt idx="13">
                  <c:v>4.875</c:v>
                </c:pt>
                <c:pt idx="14">
                  <c:v>6.333333333333333</c:v>
                </c:pt>
                <c:pt idx="15">
                  <c:v>6.833333333333333</c:v>
                </c:pt>
                <c:pt idx="16">
                  <c:v>10.875</c:v>
                </c:pt>
                <c:pt idx="17">
                  <c:v>16</c:v>
                </c:pt>
                <c:pt idx="18">
                  <c:v>21.166666666666668</c:v>
                </c:pt>
                <c:pt idx="19">
                  <c:v>21.75</c:v>
                </c:pt>
                <c:pt idx="20">
                  <c:v>46.125</c:v>
                </c:pt>
              </c:numCache>
            </c:numRef>
          </c:xVal>
          <c:yVal>
            <c:numRef>
              <c:f>'End point'!$X$149:$X$169</c:f>
              <c:numCache>
                <c:formatCode>General</c:formatCode>
                <c:ptCount val="21"/>
                <c:pt idx="1">
                  <c:v>0.98594381107288809</c:v>
                </c:pt>
                <c:pt idx="2">
                  <c:v>2.0571907989211446</c:v>
                </c:pt>
                <c:pt idx="3">
                  <c:v>4.9123093101586948</c:v>
                </c:pt>
                <c:pt idx="4">
                  <c:v>9.7231198235338478</c:v>
                </c:pt>
                <c:pt idx="5">
                  <c:v>16.395738073942784</c:v>
                </c:pt>
                <c:pt idx="6">
                  <c:v>29.165705680384313</c:v>
                </c:pt>
                <c:pt idx="7">
                  <c:v>34.459444839761069</c:v>
                </c:pt>
                <c:pt idx="8">
                  <c:v>44.650048456235858</c:v>
                </c:pt>
                <c:pt idx="9">
                  <c:v>53.277023197714001</c:v>
                </c:pt>
                <c:pt idx="10">
                  <c:v>56.278331203534663</c:v>
                </c:pt>
                <c:pt idx="11">
                  <c:v>63.013331576126653</c:v>
                </c:pt>
                <c:pt idx="12">
                  <c:v>65.270494760006471</c:v>
                </c:pt>
                <c:pt idx="13">
                  <c:v>70.370961541489081</c:v>
                </c:pt>
                <c:pt idx="14">
                  <c:v>77.224572609875793</c:v>
                </c:pt>
                <c:pt idx="15">
                  <c:v>79.591787697492322</c:v>
                </c:pt>
                <c:pt idx="16">
                  <c:v>86.854481631152282</c:v>
                </c:pt>
                <c:pt idx="17">
                  <c:v>91.946474497415252</c:v>
                </c:pt>
                <c:pt idx="18">
                  <c:v>95.609951933389254</c:v>
                </c:pt>
                <c:pt idx="19">
                  <c:v>96.405343111829694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E-4463-8F31-55EB52E5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43184"/>
        <c:axId val="295739264"/>
      </c:scatterChart>
      <c:valAx>
        <c:axId val="29574318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Time (days)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8801696662917101"/>
              <c:y val="0.92459470828806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95739264"/>
        <c:crosses val="autoZero"/>
        <c:crossBetween val="midCat"/>
        <c:majorUnit val="1"/>
        <c:minorUnit val="1"/>
      </c:valAx>
      <c:valAx>
        <c:axId val="295739264"/>
        <c:scaling>
          <c:orientation val="minMax"/>
          <c:max val="1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743184"/>
        <c:crosses val="autoZero"/>
        <c:crossBetween val="midCat"/>
        <c:majorUnit val="20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811668</xdr:colOff>
      <xdr:row>0</xdr:row>
      <xdr:rowOff>0</xdr:rowOff>
    </xdr:from>
    <xdr:to>
      <xdr:col>31</xdr:col>
      <xdr:colOff>95250</xdr:colOff>
      <xdr:row>26</xdr:row>
      <xdr:rowOff>149678</xdr:rowOff>
    </xdr:to>
    <xdr:graphicFrame macro="">
      <xdr:nvGraphicFramePr>
        <xdr:cNvPr id="11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64</xdr:row>
      <xdr:rowOff>130968</xdr:rowOff>
    </xdr:from>
    <xdr:to>
      <xdr:col>12</xdr:col>
      <xdr:colOff>107156</xdr:colOff>
      <xdr:row>90</xdr:row>
      <xdr:rowOff>114300</xdr:rowOff>
    </xdr:to>
    <xdr:graphicFrame macro="">
      <xdr:nvGraphicFramePr>
        <xdr:cNvPr id="11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92</xdr:row>
      <xdr:rowOff>85725</xdr:rowOff>
    </xdr:from>
    <xdr:to>
      <xdr:col>5</xdr:col>
      <xdr:colOff>85726</xdr:colOff>
      <xdr:row>117</xdr:row>
      <xdr:rowOff>95250</xdr:rowOff>
    </xdr:to>
    <xdr:graphicFrame macro="">
      <xdr:nvGraphicFramePr>
        <xdr:cNvPr id="1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92</xdr:row>
      <xdr:rowOff>9526</xdr:rowOff>
    </xdr:from>
    <xdr:to>
      <xdr:col>12</xdr:col>
      <xdr:colOff>228600</xdr:colOff>
      <xdr:row>117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204107</xdr:colOff>
      <xdr:row>121</xdr:row>
      <xdr:rowOff>152399</xdr:rowOff>
    </xdr:from>
    <xdr:to>
      <xdr:col>11</xdr:col>
      <xdr:colOff>415925</xdr:colOff>
      <xdr:row>170</xdr:row>
      <xdr:rowOff>-1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161019</xdr:colOff>
      <xdr:row>230</xdr:row>
      <xdr:rowOff>9069</xdr:rowOff>
    </xdr:from>
    <xdr:to>
      <xdr:col>16</xdr:col>
      <xdr:colOff>521608</xdr:colOff>
      <xdr:row>273</xdr:row>
      <xdr:rowOff>31294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535213</xdr:colOff>
      <xdr:row>136</xdr:row>
      <xdr:rowOff>95248</xdr:rowOff>
    </xdr:from>
    <xdr:to>
      <xdr:col>9</xdr:col>
      <xdr:colOff>707571</xdr:colOff>
      <xdr:row>162</xdr:row>
      <xdr:rowOff>90714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725714</xdr:colOff>
      <xdr:row>172</xdr:row>
      <xdr:rowOff>18143</xdr:rowOff>
    </xdr:from>
    <xdr:to>
      <xdr:col>11</xdr:col>
      <xdr:colOff>937532</xdr:colOff>
      <xdr:row>220</xdr:row>
      <xdr:rowOff>10886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517071</xdr:colOff>
      <xdr:row>188</xdr:row>
      <xdr:rowOff>54428</xdr:rowOff>
    </xdr:from>
    <xdr:to>
      <xdr:col>10</xdr:col>
      <xdr:colOff>625022</xdr:colOff>
      <xdr:row>214</xdr:row>
      <xdr:rowOff>40820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412749</xdr:colOff>
      <xdr:row>191</xdr:row>
      <xdr:rowOff>79374</xdr:rowOff>
    </xdr:from>
    <xdr:to>
      <xdr:col>24</xdr:col>
      <xdr:colOff>141965</xdr:colOff>
      <xdr:row>210</xdr:row>
      <xdr:rowOff>108945</xdr:rowOff>
    </xdr:to>
    <xdr:graphicFrame macro="">
      <xdr:nvGraphicFramePr>
        <xdr:cNvPr id="11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158837</xdr:colOff>
      <xdr:row>198</xdr:row>
      <xdr:rowOff>42827</xdr:rowOff>
    </xdr:from>
    <xdr:to>
      <xdr:col>23</xdr:col>
      <xdr:colOff>849924</xdr:colOff>
      <xdr:row>207</xdr:row>
      <xdr:rowOff>55366</xdr:rowOff>
    </xdr:to>
    <xdr:graphicFrame macro="">
      <xdr:nvGraphicFramePr>
        <xdr:cNvPr id="12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811668</xdr:colOff>
      <xdr:row>0</xdr:row>
      <xdr:rowOff>0</xdr:rowOff>
    </xdr:from>
    <xdr:to>
      <xdr:col>31</xdr:col>
      <xdr:colOff>95250</xdr:colOff>
      <xdr:row>26</xdr:row>
      <xdr:rowOff>149678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64</xdr:row>
      <xdr:rowOff>130968</xdr:rowOff>
    </xdr:from>
    <xdr:to>
      <xdr:col>12</xdr:col>
      <xdr:colOff>107156</xdr:colOff>
      <xdr:row>90</xdr:row>
      <xdr:rowOff>114300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92</xdr:row>
      <xdr:rowOff>85725</xdr:rowOff>
    </xdr:from>
    <xdr:to>
      <xdr:col>5</xdr:col>
      <xdr:colOff>85726</xdr:colOff>
      <xdr:row>117</xdr:row>
      <xdr:rowOff>95250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92</xdr:row>
      <xdr:rowOff>9526</xdr:rowOff>
    </xdr:from>
    <xdr:to>
      <xdr:col>12</xdr:col>
      <xdr:colOff>228600</xdr:colOff>
      <xdr:row>117</xdr:row>
      <xdr:rowOff>95251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204107</xdr:colOff>
      <xdr:row>121</xdr:row>
      <xdr:rowOff>152399</xdr:rowOff>
    </xdr:from>
    <xdr:to>
      <xdr:col>11</xdr:col>
      <xdr:colOff>415925</xdr:colOff>
      <xdr:row>170</xdr:row>
      <xdr:rowOff>-1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161019</xdr:colOff>
      <xdr:row>230</xdr:row>
      <xdr:rowOff>9069</xdr:rowOff>
    </xdr:from>
    <xdr:to>
      <xdr:col>16</xdr:col>
      <xdr:colOff>521608</xdr:colOff>
      <xdr:row>273</xdr:row>
      <xdr:rowOff>31294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535213</xdr:colOff>
      <xdr:row>136</xdr:row>
      <xdr:rowOff>95248</xdr:rowOff>
    </xdr:from>
    <xdr:to>
      <xdr:col>9</xdr:col>
      <xdr:colOff>707571</xdr:colOff>
      <xdr:row>162</xdr:row>
      <xdr:rowOff>90714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725714</xdr:colOff>
      <xdr:row>172</xdr:row>
      <xdr:rowOff>18143</xdr:rowOff>
    </xdr:from>
    <xdr:to>
      <xdr:col>11</xdr:col>
      <xdr:colOff>937532</xdr:colOff>
      <xdr:row>220</xdr:row>
      <xdr:rowOff>10886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517071</xdr:colOff>
      <xdr:row>188</xdr:row>
      <xdr:rowOff>54428</xdr:rowOff>
    </xdr:from>
    <xdr:to>
      <xdr:col>10</xdr:col>
      <xdr:colOff>625022</xdr:colOff>
      <xdr:row>214</xdr:row>
      <xdr:rowOff>40820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412749</xdr:colOff>
      <xdr:row>191</xdr:row>
      <xdr:rowOff>79374</xdr:rowOff>
    </xdr:from>
    <xdr:to>
      <xdr:col>24</xdr:col>
      <xdr:colOff>141965</xdr:colOff>
      <xdr:row>210</xdr:row>
      <xdr:rowOff>108945</xdr:rowOff>
    </xdr:to>
    <xdr:graphicFrame macro="">
      <xdr:nvGraphicFramePr>
        <xdr:cNvPr id="11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158837</xdr:colOff>
      <xdr:row>198</xdr:row>
      <xdr:rowOff>42827</xdr:rowOff>
    </xdr:from>
    <xdr:to>
      <xdr:col>23</xdr:col>
      <xdr:colOff>849924</xdr:colOff>
      <xdr:row>207</xdr:row>
      <xdr:rowOff>55366</xdr:rowOff>
    </xdr:to>
    <xdr:graphicFrame macro="">
      <xdr:nvGraphicFramePr>
        <xdr:cNvPr id="12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220133</xdr:colOff>
      <xdr:row>199</xdr:row>
      <xdr:rowOff>135466</xdr:rowOff>
    </xdr:from>
    <xdr:to>
      <xdr:col>16</xdr:col>
      <xdr:colOff>560456</xdr:colOff>
      <xdr:row>219</xdr:row>
      <xdr:rowOff>63695</xdr:rowOff>
    </xdr:to>
    <xdr:graphicFrame macro="">
      <xdr:nvGraphicFramePr>
        <xdr:cNvPr id="1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685800</xdr:colOff>
      <xdr:row>229</xdr:row>
      <xdr:rowOff>88900</xdr:rowOff>
    </xdr:from>
    <xdr:to>
      <xdr:col>31</xdr:col>
      <xdr:colOff>614589</xdr:colOff>
      <xdr:row>272</xdr:row>
      <xdr:rowOff>111125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619\Documents\Data%20Analyses\UV-Vis\150409_calcein@t.a.NU1000release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 point"/>
      <sheetName val="Sensitivityanalysis (irrelevnt)"/>
      <sheetName val="End point (2) 490 (dont use)"/>
      <sheetName val="Sheet1"/>
    </sheetNames>
    <sheetDataSet>
      <sheetData sheetId="0">
        <row r="71">
          <cell r="H71">
            <v>2.7777777777777776E-2</v>
          </cell>
          <cell r="M71">
            <v>24.072596729158356</v>
          </cell>
        </row>
        <row r="72">
          <cell r="H72">
            <v>4.1666666666666664E-2</v>
          </cell>
          <cell r="M72">
            <v>31.272437175907459</v>
          </cell>
        </row>
        <row r="73">
          <cell r="H73">
            <v>8.3333333333333329E-2</v>
          </cell>
          <cell r="M73">
            <v>41.583566015157551</v>
          </cell>
        </row>
        <row r="74">
          <cell r="H74">
            <v>0.16666666666666666</v>
          </cell>
          <cell r="M74">
            <v>55.644196250498602</v>
          </cell>
        </row>
        <row r="75">
          <cell r="H75">
            <v>0.25</v>
          </cell>
          <cell r="M75">
            <v>62.883925009972074</v>
          </cell>
        </row>
        <row r="76">
          <cell r="H76">
            <v>0.33333333333333331</v>
          </cell>
          <cell r="M76">
            <v>69.964100518548051</v>
          </cell>
        </row>
        <row r="77">
          <cell r="H77">
            <v>0.5</v>
          </cell>
          <cell r="M77">
            <v>73.972875947347418</v>
          </cell>
        </row>
        <row r="78">
          <cell r="H78">
            <v>1</v>
          </cell>
          <cell r="M78">
            <v>86.278420422816112</v>
          </cell>
        </row>
        <row r="79">
          <cell r="H79">
            <v>1.3125</v>
          </cell>
          <cell r="M79">
            <v>89.409652971679293</v>
          </cell>
        </row>
        <row r="80">
          <cell r="H80">
            <v>2</v>
          </cell>
          <cell r="M80">
            <v>94.295971280414832</v>
          </cell>
        </row>
        <row r="81">
          <cell r="H81">
            <v>3.0416666666666665</v>
          </cell>
          <cell r="M81">
            <v>98.344635021938572</v>
          </cell>
        </row>
        <row r="82">
          <cell r="H82">
            <v>4</v>
          </cell>
          <cell r="M82">
            <v>100</v>
          </cell>
        </row>
        <row r="83">
          <cell r="H83">
            <v>5.0625</v>
          </cell>
          <cell r="M83">
            <v>100</v>
          </cell>
        </row>
        <row r="84">
          <cell r="H84">
            <v>6</v>
          </cell>
          <cell r="M84">
            <v>100</v>
          </cell>
        </row>
        <row r="85">
          <cell r="H85">
            <v>7.291666666666667</v>
          </cell>
          <cell r="M85">
            <v>100</v>
          </cell>
        </row>
        <row r="86">
          <cell r="H86">
            <v>8.0625</v>
          </cell>
          <cell r="M86">
            <v>100</v>
          </cell>
        </row>
        <row r="87">
          <cell r="H87">
            <v>11</v>
          </cell>
          <cell r="M87">
            <v>100</v>
          </cell>
        </row>
        <row r="88">
          <cell r="H88">
            <v>15.260416666666666</v>
          </cell>
          <cell r="M88">
            <v>100</v>
          </cell>
        </row>
      </sheetData>
      <sheetData sheetId="1" refreshError="1"/>
      <sheetData sheetId="2" refreshError="1"/>
      <sheetData sheetId="3">
        <row r="4">
          <cell r="A4">
            <v>2.777777777777779E-2</v>
          </cell>
          <cell r="C4">
            <v>24.072596729158359</v>
          </cell>
        </row>
        <row r="5">
          <cell r="A5">
            <v>4.1666666666666664E-2</v>
          </cell>
          <cell r="C5">
            <v>31.272437175907463</v>
          </cell>
        </row>
        <row r="6">
          <cell r="A6">
            <v>8.3333333333333329E-2</v>
          </cell>
          <cell r="C6">
            <v>41.583566015157565</v>
          </cell>
        </row>
        <row r="7">
          <cell r="A7">
            <v>0.16666666666666666</v>
          </cell>
          <cell r="C7">
            <v>55.644196250498602</v>
          </cell>
        </row>
        <row r="8">
          <cell r="A8">
            <v>0.25</v>
          </cell>
          <cell r="C8">
            <v>62.883925009972074</v>
          </cell>
        </row>
        <row r="9">
          <cell r="A9">
            <v>0.33333333333333331</v>
          </cell>
          <cell r="C9">
            <v>69.964100518548065</v>
          </cell>
        </row>
        <row r="10">
          <cell r="A10">
            <v>0.5</v>
          </cell>
          <cell r="C10">
            <v>73.972875947347433</v>
          </cell>
        </row>
        <row r="11">
          <cell r="A11">
            <v>1</v>
          </cell>
          <cell r="C11">
            <v>86.27842042281614</v>
          </cell>
        </row>
        <row r="12">
          <cell r="A12">
            <v>1.3125</v>
          </cell>
          <cell r="C12">
            <v>89.409652971679307</v>
          </cell>
        </row>
        <row r="13">
          <cell r="A13">
            <v>2</v>
          </cell>
          <cell r="C13">
            <v>94.295971280414847</v>
          </cell>
        </row>
        <row r="14">
          <cell r="A14">
            <v>3.0416666666666665</v>
          </cell>
          <cell r="C14">
            <v>98.344635021938572</v>
          </cell>
        </row>
        <row r="15">
          <cell r="A15">
            <v>4</v>
          </cell>
          <cell r="C15">
            <v>100</v>
          </cell>
          <cell r="E15">
            <v>1.3888888888888874E-2</v>
          </cell>
          <cell r="G15">
            <v>1.4563617570419702</v>
          </cell>
        </row>
        <row r="16">
          <cell r="A16">
            <v>5.0625</v>
          </cell>
          <cell r="C16">
            <v>100</v>
          </cell>
          <cell r="E16">
            <v>2.777777777777779E-2</v>
          </cell>
          <cell r="G16">
            <v>3.0464141811137173</v>
          </cell>
        </row>
        <row r="17">
          <cell r="A17">
            <v>6</v>
          </cell>
          <cell r="C17">
            <v>100</v>
          </cell>
          <cell r="E17">
            <v>4.1666666666666664E-2</v>
          </cell>
          <cell r="G17">
            <v>5.1316172238142697</v>
          </cell>
        </row>
        <row r="18">
          <cell r="A18">
            <v>7.291666666666667</v>
          </cell>
          <cell r="C18">
            <v>100</v>
          </cell>
          <cell r="E18">
            <v>8.3333333333333329E-2</v>
          </cell>
          <cell r="G18">
            <v>9.6059220013988025</v>
          </cell>
        </row>
        <row r="19">
          <cell r="A19">
            <v>8.0625</v>
          </cell>
          <cell r="C19">
            <v>100</v>
          </cell>
          <cell r="E19">
            <v>0.16666666666666666</v>
          </cell>
          <cell r="G19">
            <v>15.461697004957697</v>
          </cell>
        </row>
        <row r="20">
          <cell r="A20">
            <v>11</v>
          </cell>
          <cell r="C20">
            <v>100</v>
          </cell>
          <cell r="E20">
            <v>0.25</v>
          </cell>
          <cell r="G20">
            <v>22.768263321098988</v>
          </cell>
        </row>
        <row r="21">
          <cell r="A21">
            <v>15.260416666666666</v>
          </cell>
          <cell r="C21">
            <v>100</v>
          </cell>
          <cell r="E21">
            <v>0.33333333333333331</v>
          </cell>
          <cell r="G21">
            <v>30.084732649612857</v>
          </cell>
        </row>
        <row r="22">
          <cell r="E22">
            <v>0.5</v>
          </cell>
          <cell r="G22">
            <v>37.148675162626034</v>
          </cell>
        </row>
        <row r="23">
          <cell r="E23">
            <v>1</v>
          </cell>
          <cell r="G23">
            <v>47.020121683264534</v>
          </cell>
        </row>
        <row r="24">
          <cell r="E24">
            <v>1.3125</v>
          </cell>
          <cell r="G24">
            <v>54.603972345837946</v>
          </cell>
        </row>
        <row r="25">
          <cell r="E25">
            <v>2</v>
          </cell>
          <cell r="G25">
            <v>62.024423304263863</v>
          </cell>
        </row>
        <row r="26">
          <cell r="E26">
            <v>3.0416666666666665</v>
          </cell>
          <cell r="G26">
            <v>68.088161567646864</v>
          </cell>
        </row>
        <row r="27">
          <cell r="E27">
            <v>4</v>
          </cell>
          <cell r="G27">
            <v>72.760526592682922</v>
          </cell>
        </row>
        <row r="28">
          <cell r="E28">
            <v>5.0625</v>
          </cell>
          <cell r="G28">
            <v>76.640650627912891</v>
          </cell>
        </row>
        <row r="29">
          <cell r="E29">
            <v>6</v>
          </cell>
          <cell r="G29">
            <v>80.065236094004348</v>
          </cell>
        </row>
        <row r="30">
          <cell r="E30">
            <v>7.291666666666667</v>
          </cell>
          <cell r="G30">
            <v>83.623512227125602</v>
          </cell>
        </row>
        <row r="31">
          <cell r="E31">
            <v>8.0625</v>
          </cell>
          <cell r="G31">
            <v>86.508383518911671</v>
          </cell>
        </row>
        <row r="32">
          <cell r="E32">
            <v>11</v>
          </cell>
          <cell r="G32">
            <v>88.692616685337981</v>
          </cell>
        </row>
        <row r="33">
          <cell r="E33">
            <v>15.260416666666666</v>
          </cell>
          <cell r="G33">
            <v>92.592546745313101</v>
          </cell>
        </row>
        <row r="34">
          <cell r="E34">
            <v>21.020833333333332</v>
          </cell>
          <cell r="G34">
            <v>96.220143965042368</v>
          </cell>
        </row>
        <row r="35">
          <cell r="E35">
            <v>30.125</v>
          </cell>
          <cell r="G35">
            <v>100</v>
          </cell>
        </row>
        <row r="61">
          <cell r="C61">
            <v>29.902359448494963</v>
          </cell>
          <cell r="D61">
            <v>1.3888888888888888E-2</v>
          </cell>
        </row>
        <row r="62">
          <cell r="C62">
            <v>46.174040834962263</v>
          </cell>
          <cell r="D62">
            <v>2.7777777777777776E-2</v>
          </cell>
        </row>
        <row r="63">
          <cell r="C63">
            <v>52.039607915875983</v>
          </cell>
          <cell r="D63">
            <v>4.1666666666666664E-2</v>
          </cell>
        </row>
        <row r="64">
          <cell r="C64">
            <v>62.683997507859281</v>
          </cell>
          <cell r="D64">
            <v>8.3333333333333329E-2</v>
          </cell>
        </row>
        <row r="65">
          <cell r="C65">
            <v>71.654277302971067</v>
          </cell>
          <cell r="D65">
            <v>0.16666666666666666</v>
          </cell>
        </row>
        <row r="66">
          <cell r="C66">
            <v>82.412810744741066</v>
          </cell>
          <cell r="D66">
            <v>0.45833333333333331</v>
          </cell>
        </row>
        <row r="67">
          <cell r="C67">
            <v>89.404597143550163</v>
          </cell>
          <cell r="D67">
            <v>0.9375</v>
          </cell>
        </row>
        <row r="68">
          <cell r="C68">
            <v>90.49134171339432</v>
          </cell>
          <cell r="D68">
            <v>1</v>
          </cell>
        </row>
        <row r="69">
          <cell r="C69">
            <v>92.85649740084942</v>
          </cell>
          <cell r="D69">
            <v>1.3020833333333333</v>
          </cell>
        </row>
        <row r="70">
          <cell r="C70">
            <v>95.143654790950293</v>
          </cell>
          <cell r="D70">
            <v>2.0208333333333335</v>
          </cell>
        </row>
        <row r="71">
          <cell r="C71">
            <v>96.470101445346501</v>
          </cell>
          <cell r="D71">
            <v>2.5625</v>
          </cell>
        </row>
        <row r="72">
          <cell r="C72">
            <v>97.815572074707163</v>
          </cell>
          <cell r="D72">
            <v>4</v>
          </cell>
        </row>
        <row r="73">
          <cell r="C73">
            <v>98.428619667936516</v>
          </cell>
          <cell r="D73">
            <v>5</v>
          </cell>
        </row>
        <row r="74">
          <cell r="C74">
            <v>99.216687830838808</v>
          </cell>
          <cell r="D74">
            <v>7.020833333333333</v>
          </cell>
        </row>
        <row r="75">
          <cell r="C75">
            <v>100</v>
          </cell>
          <cell r="D75">
            <v>11.03125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../AppData/AppData/AppData/AppData/Library/Application%20Support/AppData/Roaming/Microsoft/Excel/150410_calibrationcurve_calceininPBS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../AppData/AppData/AppData/AppData/Library/Application%20Support/AppData/Roaming/Microsoft/Excel/150410_calibrationcurve_calceininPB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214"/>
  <sheetViews>
    <sheetView topLeftCell="A137" zoomScale="70" zoomScaleNormal="70" zoomScalePageLayoutView="70" workbookViewId="0">
      <selection activeCell="O95" sqref="O95"/>
    </sheetView>
  </sheetViews>
  <sheetFormatPr defaultColWidth="8.85546875" defaultRowHeight="12.75" x14ac:dyDescent="0.2"/>
  <cols>
    <col min="1" max="1" width="13.140625" customWidth="1"/>
    <col min="2" max="2" width="14.42578125" bestFit="1" customWidth="1"/>
    <col min="3" max="3" width="13.140625" customWidth="1"/>
    <col min="4" max="4" width="12" bestFit="1" customWidth="1"/>
    <col min="5" max="5" width="8.42578125" customWidth="1"/>
    <col min="6" max="6" width="11" customWidth="1"/>
    <col min="7" max="7" width="5.28515625" customWidth="1"/>
    <col min="8" max="8" width="12.28515625" customWidth="1"/>
    <col min="9" max="9" width="12.7109375" customWidth="1"/>
    <col min="10" max="10" width="11" customWidth="1"/>
    <col min="11" max="11" width="9.42578125" customWidth="1"/>
    <col min="12" max="12" width="13.85546875" customWidth="1"/>
    <col min="13" max="13" width="12.85546875" customWidth="1"/>
    <col min="14" max="14" width="14.85546875" customWidth="1"/>
    <col min="15" max="15" width="12.42578125" bestFit="1" customWidth="1"/>
    <col min="16" max="16" width="13.7109375" bestFit="1" customWidth="1"/>
    <col min="17" max="17" width="13.42578125" customWidth="1"/>
    <col min="18" max="18" width="12.42578125" customWidth="1"/>
    <col min="19" max="25" width="13.7109375" customWidth="1"/>
    <col min="26" max="26" width="13.7109375" bestFit="1" customWidth="1"/>
    <col min="27" max="27" width="14.28515625" customWidth="1"/>
    <col min="28" max="28" width="9.42578125" bestFit="1" customWidth="1"/>
    <col min="29" max="29" width="18.42578125" customWidth="1"/>
    <col min="30" max="30" width="10.140625" bestFit="1" customWidth="1"/>
    <col min="31" max="32" width="9.42578125" bestFit="1" customWidth="1"/>
    <col min="33" max="33" width="12" bestFit="1" customWidth="1"/>
    <col min="34" max="37" width="13" bestFit="1" customWidth="1"/>
    <col min="38" max="38" width="12" customWidth="1"/>
  </cols>
  <sheetData>
    <row r="2" spans="1:21" x14ac:dyDescent="0.2">
      <c r="A2" s="1" t="s">
        <v>0</v>
      </c>
      <c r="C2" s="1" t="s">
        <v>1</v>
      </c>
    </row>
    <row r="3" spans="1:21" x14ac:dyDescent="0.2">
      <c r="A3" s="1"/>
      <c r="C3" s="1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7"/>
    </row>
    <row r="4" spans="1:21" x14ac:dyDescent="0.2">
      <c r="A4" s="1" t="s">
        <v>8</v>
      </c>
      <c r="D4" s="91" t="s">
        <v>6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88" t="s">
        <v>9</v>
      </c>
      <c r="Q4" s="88"/>
      <c r="R4" s="88"/>
      <c r="S4" s="88"/>
    </row>
    <row r="5" spans="1:21" x14ac:dyDescent="0.2">
      <c r="A5" s="1"/>
      <c r="C5" s="45"/>
      <c r="D5" s="94" t="s">
        <v>26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9" t="s">
        <v>18</v>
      </c>
      <c r="Q5" s="89"/>
      <c r="R5" s="90"/>
      <c r="S5" s="90"/>
    </row>
    <row r="6" spans="1:21" x14ac:dyDescent="0.2">
      <c r="A6" s="6" t="s">
        <v>4</v>
      </c>
      <c r="B6" s="6" t="s">
        <v>3</v>
      </c>
      <c r="C6" s="54" t="s">
        <v>7</v>
      </c>
      <c r="D6" s="8" t="s">
        <v>32</v>
      </c>
      <c r="E6" s="25" t="s">
        <v>27</v>
      </c>
      <c r="F6" s="8" t="s">
        <v>33</v>
      </c>
      <c r="G6" s="25" t="s">
        <v>27</v>
      </c>
      <c r="H6" s="8" t="s">
        <v>34</v>
      </c>
      <c r="I6" s="25" t="s">
        <v>27</v>
      </c>
      <c r="J6" s="8" t="s">
        <v>35</v>
      </c>
      <c r="K6" s="8" t="s">
        <v>27</v>
      </c>
      <c r="L6" s="73" t="s">
        <v>36</v>
      </c>
      <c r="M6" s="8" t="s">
        <v>27</v>
      </c>
      <c r="N6" s="8" t="s">
        <v>37</v>
      </c>
      <c r="O6" s="60" t="s">
        <v>27</v>
      </c>
      <c r="P6" s="59" t="s">
        <v>32</v>
      </c>
      <c r="Q6" s="8" t="s">
        <v>33</v>
      </c>
      <c r="R6" s="8" t="s">
        <v>34</v>
      </c>
      <c r="S6" s="62" t="s">
        <v>35</v>
      </c>
      <c r="T6" s="62" t="s">
        <v>36</v>
      </c>
      <c r="U6" s="62" t="s">
        <v>37</v>
      </c>
    </row>
    <row r="7" spans="1:21" x14ac:dyDescent="0.2">
      <c r="A7" s="26">
        <v>42338</v>
      </c>
      <c r="B7" s="27">
        <v>0.56597222222222221</v>
      </c>
      <c r="C7" s="18">
        <f>20/60</f>
        <v>0.33333333333333331</v>
      </c>
      <c r="D7" s="19">
        <v>0.48199999999999998</v>
      </c>
      <c r="E7" s="66">
        <v>5</v>
      </c>
      <c r="F7" s="66">
        <v>0.52800000000000002</v>
      </c>
      <c r="G7" s="66">
        <v>5</v>
      </c>
      <c r="H7" s="19">
        <v>0.52900000000000003</v>
      </c>
      <c r="I7" s="66">
        <v>5</v>
      </c>
      <c r="J7" s="66">
        <v>0.376</v>
      </c>
      <c r="K7" s="66">
        <v>5</v>
      </c>
      <c r="L7" s="22">
        <v>0.32700000000000001</v>
      </c>
      <c r="M7" s="66">
        <v>5</v>
      </c>
      <c r="N7" s="66">
        <v>0.32</v>
      </c>
      <c r="O7" s="64">
        <v>5</v>
      </c>
      <c r="P7" s="61">
        <f>D7*E7</f>
        <v>2.41</v>
      </c>
      <c r="Q7" s="65">
        <f>G7*F7</f>
        <v>2.64</v>
      </c>
      <c r="R7" s="21">
        <f>I7*H7</f>
        <v>2.645</v>
      </c>
      <c r="S7" s="18">
        <f>J7*K7</f>
        <v>1.88</v>
      </c>
      <c r="T7" s="18">
        <f>M7*L7</f>
        <v>1.635</v>
      </c>
      <c r="U7" s="18">
        <f>N7*O7</f>
        <v>1.6</v>
      </c>
    </row>
    <row r="8" spans="1:21" x14ac:dyDescent="0.2">
      <c r="A8" s="26"/>
      <c r="B8" s="27">
        <v>0.57986111111111105</v>
      </c>
      <c r="C8" s="18">
        <f>40/60</f>
        <v>0.66666666666666663</v>
      </c>
      <c r="D8" s="17">
        <v>0.50700000000000001</v>
      </c>
      <c r="E8" s="17">
        <v>4</v>
      </c>
      <c r="F8" s="17">
        <v>0.59599999999999997</v>
      </c>
      <c r="G8" s="17">
        <v>4</v>
      </c>
      <c r="H8" s="17">
        <v>0.58699999999999997</v>
      </c>
      <c r="I8" s="17">
        <v>4</v>
      </c>
      <c r="J8" s="17">
        <v>0.28799999999999998</v>
      </c>
      <c r="K8" s="17">
        <v>1</v>
      </c>
      <c r="L8" s="20">
        <v>0.316</v>
      </c>
      <c r="M8" s="17">
        <v>1</v>
      </c>
      <c r="N8" s="17">
        <v>0.3</v>
      </c>
      <c r="O8" s="48">
        <v>1</v>
      </c>
      <c r="P8" s="61">
        <f t="shared" ref="P8:P19" si="0">D8*E8</f>
        <v>2.028</v>
      </c>
      <c r="Q8" s="65">
        <f t="shared" ref="Q8:Q19" si="1">G8*F8</f>
        <v>2.3839999999999999</v>
      </c>
      <c r="R8" s="65">
        <f t="shared" ref="R8:R19" si="2">I8*H8</f>
        <v>2.3479999999999999</v>
      </c>
      <c r="S8" s="18">
        <f t="shared" ref="S8:S19" si="3">J8*K8</f>
        <v>0.28799999999999998</v>
      </c>
      <c r="T8" s="18">
        <f t="shared" ref="T8:T19" si="4">M8*L8</f>
        <v>0.316</v>
      </c>
      <c r="U8" s="18">
        <f t="shared" ref="U8:U19" si="5">N8*O8</f>
        <v>0.3</v>
      </c>
    </row>
    <row r="9" spans="1:21" x14ac:dyDescent="0.2">
      <c r="A9" s="26"/>
      <c r="B9" s="27">
        <v>0.59375</v>
      </c>
      <c r="C9" s="17">
        <v>1</v>
      </c>
      <c r="D9" s="17">
        <v>1.1359999999999999</v>
      </c>
      <c r="E9" s="17">
        <v>2</v>
      </c>
      <c r="F9" s="17">
        <v>1.292</v>
      </c>
      <c r="G9" s="17">
        <v>2</v>
      </c>
      <c r="H9" s="17">
        <v>1.282</v>
      </c>
      <c r="I9" s="17">
        <v>2</v>
      </c>
      <c r="J9" s="17">
        <v>0.30499999999999999</v>
      </c>
      <c r="K9" s="20">
        <v>1</v>
      </c>
      <c r="L9" s="20">
        <v>0.249</v>
      </c>
      <c r="M9" s="17">
        <v>1</v>
      </c>
      <c r="N9" s="17">
        <v>0.4</v>
      </c>
      <c r="O9" s="48">
        <v>1</v>
      </c>
      <c r="P9" s="61">
        <f t="shared" si="0"/>
        <v>2.2719999999999998</v>
      </c>
      <c r="Q9" s="65">
        <f t="shared" si="1"/>
        <v>2.5840000000000001</v>
      </c>
      <c r="R9" s="65">
        <f t="shared" si="2"/>
        <v>2.5640000000000001</v>
      </c>
      <c r="S9" s="18">
        <f t="shared" si="3"/>
        <v>0.30499999999999999</v>
      </c>
      <c r="T9" s="18">
        <f t="shared" si="4"/>
        <v>0.249</v>
      </c>
      <c r="U9" s="18">
        <f t="shared" si="5"/>
        <v>0.4</v>
      </c>
    </row>
    <row r="10" spans="1:21" x14ac:dyDescent="0.2">
      <c r="A10" s="26"/>
      <c r="B10" s="27">
        <v>0.63541666666666663</v>
      </c>
      <c r="C10" s="17">
        <v>2</v>
      </c>
      <c r="D10" s="17">
        <v>2.9140000000000001</v>
      </c>
      <c r="E10" s="17">
        <v>2</v>
      </c>
      <c r="F10" s="17">
        <v>2.891</v>
      </c>
      <c r="G10" s="17">
        <v>2</v>
      </c>
      <c r="H10" s="17">
        <v>2.9340000000000002</v>
      </c>
      <c r="I10" s="17">
        <v>2</v>
      </c>
      <c r="J10" s="17">
        <v>0.7</v>
      </c>
      <c r="K10" s="20">
        <v>1</v>
      </c>
      <c r="L10" s="20">
        <v>0.84499999999999997</v>
      </c>
      <c r="M10" s="17">
        <v>1</v>
      </c>
      <c r="N10" s="17">
        <v>0.76500000000000001</v>
      </c>
      <c r="O10" s="48">
        <v>1</v>
      </c>
      <c r="P10" s="61">
        <f t="shared" si="0"/>
        <v>5.8280000000000003</v>
      </c>
      <c r="Q10" s="65">
        <f t="shared" si="1"/>
        <v>5.782</v>
      </c>
      <c r="R10" s="65">
        <f t="shared" si="2"/>
        <v>5.8680000000000003</v>
      </c>
      <c r="S10" s="18">
        <f t="shared" si="3"/>
        <v>0.7</v>
      </c>
      <c r="T10" s="18">
        <f t="shared" si="4"/>
        <v>0.84499999999999997</v>
      </c>
      <c r="U10" s="18">
        <f t="shared" si="5"/>
        <v>0.76500000000000001</v>
      </c>
    </row>
    <row r="11" spans="1:21" x14ac:dyDescent="0.2">
      <c r="A11" s="26"/>
      <c r="B11" s="27">
        <v>0.71875</v>
      </c>
      <c r="C11" s="17">
        <v>4</v>
      </c>
      <c r="D11" s="17">
        <v>3.1259999999999999</v>
      </c>
      <c r="E11" s="17">
        <v>2</v>
      </c>
      <c r="F11" s="17">
        <v>3.1669999999999998</v>
      </c>
      <c r="G11" s="17">
        <v>2</v>
      </c>
      <c r="H11" s="17">
        <v>3.1709999999999998</v>
      </c>
      <c r="I11" s="17">
        <v>2</v>
      </c>
      <c r="J11" s="17">
        <v>1.1970000000000001</v>
      </c>
      <c r="K11" s="20">
        <v>1</v>
      </c>
      <c r="L11" s="20">
        <v>1.0940000000000001</v>
      </c>
      <c r="M11" s="17">
        <v>1</v>
      </c>
      <c r="N11" s="17">
        <v>1.4610000000000001</v>
      </c>
      <c r="O11" s="48">
        <v>1</v>
      </c>
      <c r="P11" s="61">
        <f t="shared" si="0"/>
        <v>6.2519999999999998</v>
      </c>
      <c r="Q11" s="65">
        <f t="shared" si="1"/>
        <v>6.3339999999999996</v>
      </c>
      <c r="R11" s="65">
        <f t="shared" si="2"/>
        <v>6.3419999999999996</v>
      </c>
      <c r="S11" s="18">
        <f t="shared" si="3"/>
        <v>1.1970000000000001</v>
      </c>
      <c r="T11" s="18">
        <f t="shared" si="4"/>
        <v>1.0940000000000001</v>
      </c>
      <c r="U11" s="18">
        <f t="shared" si="5"/>
        <v>1.4610000000000001</v>
      </c>
    </row>
    <row r="12" spans="1:21" x14ac:dyDescent="0.2">
      <c r="A12" s="26"/>
      <c r="B12" s="27">
        <v>0.88541666666666663</v>
      </c>
      <c r="C12" s="17">
        <v>8</v>
      </c>
      <c r="D12" s="21">
        <v>1.7050000000000001</v>
      </c>
      <c r="E12" s="21">
        <v>4</v>
      </c>
      <c r="F12" s="21">
        <v>1.264</v>
      </c>
      <c r="G12" s="21">
        <v>4</v>
      </c>
      <c r="H12" s="21">
        <v>1.8779999999999999</v>
      </c>
      <c r="I12" s="21">
        <v>4</v>
      </c>
      <c r="J12" s="21">
        <v>0.377</v>
      </c>
      <c r="K12" s="65">
        <v>4</v>
      </c>
      <c r="L12" s="65">
        <v>0.45300000000000001</v>
      </c>
      <c r="M12" s="65">
        <v>4</v>
      </c>
      <c r="N12" s="65">
        <v>0.45900000000000002</v>
      </c>
      <c r="O12" s="63">
        <v>4</v>
      </c>
      <c r="P12" s="61">
        <f t="shared" si="0"/>
        <v>6.82</v>
      </c>
      <c r="Q12" s="65">
        <f t="shared" si="1"/>
        <v>5.056</v>
      </c>
      <c r="R12" s="65">
        <f t="shared" si="2"/>
        <v>7.5119999999999996</v>
      </c>
      <c r="S12" s="18">
        <f t="shared" si="3"/>
        <v>1.508</v>
      </c>
      <c r="T12" s="18">
        <f t="shared" si="4"/>
        <v>1.8120000000000001</v>
      </c>
      <c r="U12" s="18">
        <f t="shared" si="5"/>
        <v>1.8360000000000001</v>
      </c>
    </row>
    <row r="13" spans="1:21" x14ac:dyDescent="0.2">
      <c r="A13" s="26">
        <v>42339</v>
      </c>
      <c r="B13" s="27">
        <v>0.42708333333333331</v>
      </c>
      <c r="C13" s="17">
        <v>21</v>
      </c>
      <c r="D13" s="21">
        <v>2.0960000000000001</v>
      </c>
      <c r="E13" s="21">
        <v>4</v>
      </c>
      <c r="F13" s="21">
        <v>2.4049999999999998</v>
      </c>
      <c r="G13" s="21">
        <v>4</v>
      </c>
      <c r="H13" s="21">
        <v>2.2709999999999999</v>
      </c>
      <c r="I13" s="21">
        <v>4</v>
      </c>
      <c r="J13" s="21">
        <v>0.874</v>
      </c>
      <c r="K13" s="65">
        <v>4</v>
      </c>
      <c r="L13" s="65">
        <v>0.81499999999999995</v>
      </c>
      <c r="M13" s="65">
        <v>4</v>
      </c>
      <c r="N13" s="65">
        <v>0.77700000000000002</v>
      </c>
      <c r="O13" s="63">
        <v>4</v>
      </c>
      <c r="P13" s="61">
        <f t="shared" si="0"/>
        <v>8.3840000000000003</v>
      </c>
      <c r="Q13" s="65">
        <f t="shared" si="1"/>
        <v>9.6199999999999992</v>
      </c>
      <c r="R13" s="65">
        <f t="shared" si="2"/>
        <v>9.0839999999999996</v>
      </c>
      <c r="S13" s="18">
        <f t="shared" si="3"/>
        <v>3.496</v>
      </c>
      <c r="T13" s="18">
        <f t="shared" si="4"/>
        <v>3.26</v>
      </c>
      <c r="U13" s="18">
        <f t="shared" si="5"/>
        <v>3.1080000000000001</v>
      </c>
    </row>
    <row r="14" spans="1:21" x14ac:dyDescent="0.2">
      <c r="B14" s="27">
        <v>0.55208333333333337</v>
      </c>
      <c r="C14" s="18">
        <v>24</v>
      </c>
      <c r="D14" s="20">
        <v>1.8540000000000001</v>
      </c>
      <c r="E14" s="20">
        <v>2</v>
      </c>
      <c r="F14" s="20">
        <v>2.0470000000000002</v>
      </c>
      <c r="G14" s="20">
        <v>2</v>
      </c>
      <c r="H14" s="20">
        <v>2.226</v>
      </c>
      <c r="I14" s="20">
        <v>2</v>
      </c>
      <c r="J14" s="20">
        <v>1.458</v>
      </c>
      <c r="K14" s="20">
        <v>1</v>
      </c>
      <c r="L14" s="20">
        <v>1.3540000000000001</v>
      </c>
      <c r="M14" s="20">
        <v>1</v>
      </c>
      <c r="N14" s="20">
        <v>1.361</v>
      </c>
      <c r="O14" s="48">
        <v>1</v>
      </c>
      <c r="P14" s="61">
        <f t="shared" si="0"/>
        <v>3.7080000000000002</v>
      </c>
      <c r="Q14" s="65">
        <f t="shared" si="1"/>
        <v>4.0940000000000003</v>
      </c>
      <c r="R14" s="65">
        <f t="shared" si="2"/>
        <v>4.452</v>
      </c>
      <c r="S14" s="18">
        <f t="shared" si="3"/>
        <v>1.458</v>
      </c>
      <c r="T14" s="18">
        <f t="shared" si="4"/>
        <v>1.3540000000000001</v>
      </c>
      <c r="U14" s="18">
        <f t="shared" si="5"/>
        <v>1.361</v>
      </c>
    </row>
    <row r="15" spans="1:21" x14ac:dyDescent="0.2">
      <c r="A15" s="26">
        <v>42340</v>
      </c>
      <c r="B15" s="27">
        <v>0.55208333333333337</v>
      </c>
      <c r="C15" s="20">
        <v>48</v>
      </c>
      <c r="D15" s="20">
        <v>3.0470000000000002</v>
      </c>
      <c r="E15" s="20">
        <v>1</v>
      </c>
      <c r="F15" s="20">
        <v>3.2069999999999999</v>
      </c>
      <c r="G15" s="20">
        <v>1</v>
      </c>
      <c r="H15" s="20">
        <v>3.008</v>
      </c>
      <c r="I15" s="20">
        <v>1</v>
      </c>
      <c r="J15" s="20">
        <v>2.7789999999999999</v>
      </c>
      <c r="K15" s="20">
        <v>1</v>
      </c>
      <c r="L15" s="20">
        <v>2.4159999999999999</v>
      </c>
      <c r="M15" s="20">
        <v>1</v>
      </c>
      <c r="N15" s="20">
        <v>2.6739999999999999</v>
      </c>
      <c r="O15" s="48">
        <v>1</v>
      </c>
      <c r="P15" s="61">
        <f t="shared" si="0"/>
        <v>3.0470000000000002</v>
      </c>
      <c r="Q15" s="65">
        <f t="shared" si="1"/>
        <v>3.2069999999999999</v>
      </c>
      <c r="R15" s="65">
        <f t="shared" si="2"/>
        <v>3.008</v>
      </c>
      <c r="S15" s="18">
        <f t="shared" si="3"/>
        <v>2.7789999999999999</v>
      </c>
      <c r="T15" s="18">
        <f t="shared" si="4"/>
        <v>2.4159999999999999</v>
      </c>
      <c r="U15" s="18">
        <f t="shared" si="5"/>
        <v>2.6739999999999999</v>
      </c>
    </row>
    <row r="16" spans="1:21" x14ac:dyDescent="0.2">
      <c r="A16" s="26">
        <v>42341</v>
      </c>
      <c r="B16" s="27">
        <v>0.38541666666666669</v>
      </c>
      <c r="C16" s="18">
        <v>68</v>
      </c>
      <c r="D16" s="22">
        <v>2.9009999999999998</v>
      </c>
      <c r="E16" s="22">
        <v>1</v>
      </c>
      <c r="F16" s="22">
        <v>2.895</v>
      </c>
      <c r="G16" s="22">
        <v>1</v>
      </c>
      <c r="H16" s="22">
        <v>2.1989999999999998</v>
      </c>
      <c r="I16" s="22">
        <v>1</v>
      </c>
      <c r="J16" s="22">
        <v>2.5379999999999998</v>
      </c>
      <c r="K16" s="22">
        <v>1</v>
      </c>
      <c r="L16" s="22">
        <v>2.2320000000000002</v>
      </c>
      <c r="M16" s="22">
        <v>1</v>
      </c>
      <c r="N16" s="22">
        <v>1.988</v>
      </c>
      <c r="O16" s="64">
        <v>1</v>
      </c>
      <c r="P16" s="61">
        <f t="shared" si="0"/>
        <v>2.9009999999999998</v>
      </c>
      <c r="Q16" s="65">
        <f t="shared" si="1"/>
        <v>2.895</v>
      </c>
      <c r="R16" s="65">
        <f t="shared" si="2"/>
        <v>2.1989999999999998</v>
      </c>
      <c r="S16" s="18">
        <f t="shared" si="3"/>
        <v>2.5379999999999998</v>
      </c>
      <c r="T16" s="18">
        <f t="shared" si="4"/>
        <v>2.2320000000000002</v>
      </c>
      <c r="U16" s="18">
        <f t="shared" si="5"/>
        <v>1.988</v>
      </c>
    </row>
    <row r="17" spans="1:27" x14ac:dyDescent="0.2">
      <c r="A17" s="26"/>
      <c r="B17" s="27">
        <v>0.55208333333333337</v>
      </c>
      <c r="C17" s="18">
        <v>72</v>
      </c>
      <c r="D17" s="17">
        <v>0.99199999999999999</v>
      </c>
      <c r="E17" s="17">
        <v>1</v>
      </c>
      <c r="F17" s="17">
        <v>0.94</v>
      </c>
      <c r="G17" s="17">
        <v>1</v>
      </c>
      <c r="H17" s="17">
        <v>0.72</v>
      </c>
      <c r="I17" s="17">
        <v>1</v>
      </c>
      <c r="J17" s="17">
        <v>0.97899999999999998</v>
      </c>
      <c r="K17" s="20">
        <v>1</v>
      </c>
      <c r="L17" s="20">
        <v>0.80300000000000005</v>
      </c>
      <c r="M17" s="17">
        <v>1</v>
      </c>
      <c r="N17" s="17">
        <v>0.68799999999999994</v>
      </c>
      <c r="O17" s="48">
        <v>1</v>
      </c>
      <c r="P17" s="61">
        <f t="shared" si="0"/>
        <v>0.99199999999999999</v>
      </c>
      <c r="Q17" s="21">
        <f t="shared" si="1"/>
        <v>0.94</v>
      </c>
      <c r="R17" s="21">
        <f t="shared" si="2"/>
        <v>0.72</v>
      </c>
      <c r="S17" s="18">
        <f t="shared" si="3"/>
        <v>0.97899999999999998</v>
      </c>
      <c r="T17" s="18">
        <f t="shared" si="4"/>
        <v>0.80300000000000005</v>
      </c>
      <c r="U17" s="18">
        <f t="shared" si="5"/>
        <v>0.68799999999999994</v>
      </c>
    </row>
    <row r="18" spans="1:27" x14ac:dyDescent="0.2">
      <c r="A18" s="26">
        <v>42342</v>
      </c>
      <c r="B18" s="27">
        <v>0.46875</v>
      </c>
      <c r="C18" s="17">
        <v>94</v>
      </c>
      <c r="D18" s="22">
        <v>2.1070000000000002</v>
      </c>
      <c r="E18" s="22">
        <v>1</v>
      </c>
      <c r="F18" s="22">
        <v>2.2250000000000001</v>
      </c>
      <c r="G18" s="22">
        <v>1</v>
      </c>
      <c r="H18" s="22">
        <v>1.554</v>
      </c>
      <c r="I18" s="22">
        <v>1</v>
      </c>
      <c r="J18" s="22">
        <v>2.1040000000000001</v>
      </c>
      <c r="K18" s="22">
        <v>1</v>
      </c>
      <c r="L18" s="22">
        <v>1.786</v>
      </c>
      <c r="M18" s="17">
        <v>1</v>
      </c>
      <c r="N18" s="17">
        <v>1.454</v>
      </c>
      <c r="O18" s="48">
        <v>1</v>
      </c>
      <c r="P18" s="61">
        <f t="shared" si="0"/>
        <v>2.1070000000000002</v>
      </c>
      <c r="Q18" s="21">
        <f t="shared" si="1"/>
        <v>2.2250000000000001</v>
      </c>
      <c r="R18" s="21">
        <f t="shared" si="2"/>
        <v>1.554</v>
      </c>
      <c r="S18" s="18">
        <f t="shared" si="3"/>
        <v>2.1040000000000001</v>
      </c>
      <c r="T18" s="18">
        <f t="shared" si="4"/>
        <v>1.786</v>
      </c>
      <c r="U18" s="18">
        <f t="shared" si="5"/>
        <v>1.454</v>
      </c>
    </row>
    <row r="19" spans="1:27" x14ac:dyDescent="0.2">
      <c r="B19" s="27">
        <v>0.55208333333333337</v>
      </c>
      <c r="C19" s="17">
        <v>96</v>
      </c>
      <c r="D19" s="17">
        <v>0.73499999999999999</v>
      </c>
      <c r="E19" s="22">
        <v>1</v>
      </c>
      <c r="F19" s="17">
        <v>0.71399999999999997</v>
      </c>
      <c r="G19" s="17">
        <v>1</v>
      </c>
      <c r="H19" s="17">
        <v>0.59199999999999997</v>
      </c>
      <c r="I19" s="17">
        <v>1</v>
      </c>
      <c r="J19" s="17">
        <v>0.75</v>
      </c>
      <c r="K19" s="20">
        <v>1</v>
      </c>
      <c r="L19" s="22">
        <v>0.55400000000000005</v>
      </c>
      <c r="M19" s="17">
        <v>1</v>
      </c>
      <c r="N19" s="17">
        <v>0.58399999999999996</v>
      </c>
      <c r="O19" s="48">
        <v>1</v>
      </c>
      <c r="P19" s="61">
        <f t="shared" si="0"/>
        <v>0.73499999999999999</v>
      </c>
      <c r="Q19" s="21">
        <f t="shared" si="1"/>
        <v>0.71399999999999997</v>
      </c>
      <c r="R19" s="21">
        <f t="shared" si="2"/>
        <v>0.59199999999999997</v>
      </c>
      <c r="S19" s="18">
        <f t="shared" si="3"/>
        <v>0.75</v>
      </c>
      <c r="T19" s="18">
        <f t="shared" si="4"/>
        <v>0.55400000000000005</v>
      </c>
      <c r="U19" s="18">
        <f t="shared" si="5"/>
        <v>0.58399999999999996</v>
      </c>
    </row>
    <row r="20" spans="1:27" x14ac:dyDescent="0.2">
      <c r="A20" s="26">
        <v>42343</v>
      </c>
      <c r="B20" s="27">
        <v>0.42708333333333331</v>
      </c>
      <c r="C20" s="17">
        <f>4*24+21</f>
        <v>117</v>
      </c>
      <c r="D20" s="17">
        <v>1.5169999999999999</v>
      </c>
      <c r="E20" s="22">
        <v>1</v>
      </c>
      <c r="F20" s="17">
        <v>1.655</v>
      </c>
      <c r="G20" s="17">
        <v>1</v>
      </c>
      <c r="H20" s="17">
        <v>1.3069999999999999</v>
      </c>
      <c r="I20" s="17">
        <v>1</v>
      </c>
      <c r="J20" s="17">
        <v>1.649</v>
      </c>
      <c r="K20" s="20">
        <v>1</v>
      </c>
      <c r="L20" s="22">
        <v>1.4</v>
      </c>
      <c r="M20" s="17">
        <v>1</v>
      </c>
      <c r="N20" s="17">
        <v>1.0529999999999999</v>
      </c>
      <c r="O20" s="48">
        <v>1</v>
      </c>
      <c r="P20" s="61">
        <f t="shared" ref="P20:P27" si="6">D20*E20</f>
        <v>1.5169999999999999</v>
      </c>
      <c r="Q20" s="77">
        <f t="shared" ref="Q20:Q27" si="7">G20*F20</f>
        <v>1.655</v>
      </c>
      <c r="R20" s="77">
        <f t="shared" ref="R20:R27" si="8">I20*H20</f>
        <v>1.3069999999999999</v>
      </c>
      <c r="S20" s="18">
        <f t="shared" ref="S20:S27" si="9">J20*K20</f>
        <v>1.649</v>
      </c>
      <c r="T20" s="18">
        <f t="shared" ref="T20:T27" si="10">M20*L20</f>
        <v>1.4</v>
      </c>
      <c r="U20" s="18">
        <f t="shared" ref="U20:U27" si="11">N20*O20</f>
        <v>1.0529999999999999</v>
      </c>
    </row>
    <row r="21" spans="1:27" x14ac:dyDescent="0.2">
      <c r="A21" s="26">
        <v>42344</v>
      </c>
      <c r="B21" s="27">
        <v>0.88541666666666663</v>
      </c>
      <c r="C21" s="17">
        <f>6*24+8</f>
        <v>152</v>
      </c>
      <c r="D21" s="17">
        <v>2.153</v>
      </c>
      <c r="E21" s="22">
        <v>1</v>
      </c>
      <c r="F21" s="17">
        <v>2.2349999999999999</v>
      </c>
      <c r="G21" s="17">
        <v>1</v>
      </c>
      <c r="H21" s="17">
        <v>1.7070000000000001</v>
      </c>
      <c r="I21" s="17">
        <v>1</v>
      </c>
      <c r="J21" s="17">
        <v>2.1749999999999998</v>
      </c>
      <c r="K21" s="20">
        <v>1</v>
      </c>
      <c r="L21" s="61">
        <v>1.9219999999999999</v>
      </c>
      <c r="M21" s="17">
        <v>1</v>
      </c>
      <c r="N21" s="21">
        <v>1.363</v>
      </c>
      <c r="O21" s="48">
        <v>1</v>
      </c>
      <c r="P21" s="61">
        <f t="shared" si="6"/>
        <v>2.153</v>
      </c>
      <c r="Q21" s="77">
        <f t="shared" si="7"/>
        <v>2.2349999999999999</v>
      </c>
      <c r="R21" s="77">
        <f t="shared" si="8"/>
        <v>1.7070000000000001</v>
      </c>
      <c r="S21" s="18">
        <f t="shared" si="9"/>
        <v>2.1749999999999998</v>
      </c>
      <c r="T21" s="18">
        <f t="shared" si="10"/>
        <v>1.9219999999999999</v>
      </c>
      <c r="U21" s="18">
        <f t="shared" si="11"/>
        <v>1.363</v>
      </c>
    </row>
    <row r="22" spans="1:27" x14ac:dyDescent="0.2">
      <c r="A22" s="26">
        <v>42345</v>
      </c>
      <c r="B22" s="27">
        <v>0.38541666666666669</v>
      </c>
      <c r="C22" s="28">
        <f>6*24+20</f>
        <v>164</v>
      </c>
      <c r="D22" s="28">
        <v>0.85299999999999998</v>
      </c>
      <c r="E22" s="22">
        <v>1</v>
      </c>
      <c r="F22" s="28">
        <v>0.89800000000000002</v>
      </c>
      <c r="G22" s="17">
        <v>1</v>
      </c>
      <c r="H22" s="28">
        <v>0.68</v>
      </c>
      <c r="I22" s="17">
        <v>1</v>
      </c>
      <c r="J22" s="28">
        <v>0.83799999999999997</v>
      </c>
      <c r="K22" s="20">
        <v>1</v>
      </c>
      <c r="L22" s="22">
        <v>0.65200000000000002</v>
      </c>
      <c r="M22" s="17">
        <v>1</v>
      </c>
      <c r="N22" s="21">
        <v>0.50700000000000001</v>
      </c>
      <c r="O22" s="48">
        <v>1</v>
      </c>
      <c r="P22" s="61">
        <f t="shared" si="6"/>
        <v>0.85299999999999998</v>
      </c>
      <c r="Q22" s="77">
        <f t="shared" si="7"/>
        <v>0.89800000000000002</v>
      </c>
      <c r="R22" s="77">
        <f t="shared" si="8"/>
        <v>0.68</v>
      </c>
      <c r="S22" s="18">
        <f t="shared" si="9"/>
        <v>0.83799999999999997</v>
      </c>
      <c r="T22" s="18">
        <f t="shared" si="10"/>
        <v>0.65200000000000002</v>
      </c>
      <c r="U22" s="18">
        <f t="shared" si="11"/>
        <v>0.50700000000000001</v>
      </c>
    </row>
    <row r="23" spans="1:27" x14ac:dyDescent="0.2">
      <c r="A23" s="26">
        <v>42349</v>
      </c>
      <c r="B23" s="27">
        <v>0.42708333333333331</v>
      </c>
      <c r="C23" s="28">
        <f>10*24+21</f>
        <v>261</v>
      </c>
      <c r="D23" s="28">
        <v>2.9009999999999998</v>
      </c>
      <c r="E23" s="28">
        <v>1</v>
      </c>
      <c r="F23" s="28">
        <v>2.8919999999999999</v>
      </c>
      <c r="G23" s="28">
        <v>1</v>
      </c>
      <c r="H23" s="28">
        <v>2.4510000000000001</v>
      </c>
      <c r="I23" s="28">
        <v>1</v>
      </c>
      <c r="J23" s="28">
        <v>2.5680000000000001</v>
      </c>
      <c r="K23" s="49">
        <v>1</v>
      </c>
      <c r="L23" s="22">
        <v>1.948</v>
      </c>
      <c r="M23" s="20">
        <v>1</v>
      </c>
      <c r="N23" s="21">
        <v>1.3149999999999999</v>
      </c>
      <c r="O23" s="63">
        <v>1</v>
      </c>
      <c r="P23" s="21">
        <f t="shared" si="6"/>
        <v>2.9009999999999998</v>
      </c>
      <c r="Q23" s="61">
        <f t="shared" si="7"/>
        <v>2.8919999999999999</v>
      </c>
      <c r="R23" s="61">
        <f t="shared" si="8"/>
        <v>2.4510000000000001</v>
      </c>
      <c r="S23" s="18">
        <f t="shared" si="9"/>
        <v>2.5680000000000001</v>
      </c>
      <c r="T23" s="18">
        <f t="shared" si="10"/>
        <v>1.948</v>
      </c>
      <c r="U23" s="18">
        <f t="shared" si="11"/>
        <v>1.3149999999999999</v>
      </c>
    </row>
    <row r="24" spans="1:27" x14ac:dyDescent="0.2">
      <c r="A24" s="26">
        <v>42354</v>
      </c>
      <c r="B24" s="27">
        <v>0.55208333333333337</v>
      </c>
      <c r="C24" s="28">
        <f>16*24</f>
        <v>384</v>
      </c>
      <c r="D24" s="28">
        <v>2.6749999999999998</v>
      </c>
      <c r="E24" s="28">
        <v>1</v>
      </c>
      <c r="F24" s="28">
        <v>2.9529999999999998</v>
      </c>
      <c r="G24" s="28">
        <v>1</v>
      </c>
      <c r="H24" s="28">
        <v>2.4929999999999999</v>
      </c>
      <c r="I24" s="28">
        <v>1</v>
      </c>
      <c r="J24" s="28">
        <v>1.7989999999999999</v>
      </c>
      <c r="K24" s="49">
        <v>1</v>
      </c>
      <c r="L24" s="22">
        <v>1.41</v>
      </c>
      <c r="M24" s="20">
        <v>1</v>
      </c>
      <c r="N24" s="21">
        <v>0.92700000000000005</v>
      </c>
      <c r="O24" s="63">
        <v>1</v>
      </c>
      <c r="P24" s="21">
        <f t="shared" si="6"/>
        <v>2.6749999999999998</v>
      </c>
      <c r="Q24" s="61">
        <f t="shared" si="7"/>
        <v>2.9529999999999998</v>
      </c>
      <c r="R24" s="61">
        <f t="shared" si="8"/>
        <v>2.4929999999999999</v>
      </c>
      <c r="S24" s="18">
        <f t="shared" si="9"/>
        <v>1.7989999999999999</v>
      </c>
      <c r="T24" s="18">
        <f t="shared" si="10"/>
        <v>1.41</v>
      </c>
      <c r="U24" s="18">
        <f t="shared" si="11"/>
        <v>0.92700000000000005</v>
      </c>
    </row>
    <row r="25" spans="1:27" x14ac:dyDescent="0.2">
      <c r="A25" s="26">
        <v>42359</v>
      </c>
      <c r="B25" s="27">
        <v>0.71875</v>
      </c>
      <c r="C25" s="28">
        <f>21*24+4</f>
        <v>508</v>
      </c>
      <c r="D25" s="28">
        <v>2.3839999999999999</v>
      </c>
      <c r="E25" s="28">
        <v>1</v>
      </c>
      <c r="F25" s="28">
        <v>2.5339999999999998</v>
      </c>
      <c r="G25" s="28">
        <v>1</v>
      </c>
      <c r="H25" s="28">
        <v>2.0339999999999998</v>
      </c>
      <c r="I25" s="28">
        <v>1</v>
      </c>
      <c r="J25" s="28">
        <v>1.246</v>
      </c>
      <c r="K25" s="49">
        <v>1</v>
      </c>
      <c r="L25" s="22">
        <v>1.0649999999999999</v>
      </c>
      <c r="M25" s="20">
        <v>1</v>
      </c>
      <c r="N25" s="21">
        <v>0.69899999999999995</v>
      </c>
      <c r="O25" s="63">
        <v>1</v>
      </c>
      <c r="P25" s="21">
        <f t="shared" si="6"/>
        <v>2.3839999999999999</v>
      </c>
      <c r="Q25" s="61">
        <f t="shared" si="7"/>
        <v>2.5339999999999998</v>
      </c>
      <c r="R25" s="61">
        <f t="shared" si="8"/>
        <v>2.0339999999999998</v>
      </c>
      <c r="S25" s="18">
        <f t="shared" si="9"/>
        <v>1.246</v>
      </c>
      <c r="T25" s="18">
        <f t="shared" si="10"/>
        <v>1.0649999999999999</v>
      </c>
      <c r="U25" s="18">
        <f t="shared" si="11"/>
        <v>0.69899999999999995</v>
      </c>
    </row>
    <row r="26" spans="1:27" x14ac:dyDescent="0.2">
      <c r="A26" s="26">
        <v>42360</v>
      </c>
      <c r="B26" s="27">
        <v>0.30208333333333331</v>
      </c>
      <c r="C26" s="28">
        <f>21*24+18</f>
        <v>522</v>
      </c>
      <c r="D26" s="28">
        <v>0.42899999999999999</v>
      </c>
      <c r="E26" s="28">
        <v>1</v>
      </c>
      <c r="F26" s="28">
        <v>0.63</v>
      </c>
      <c r="G26" s="28">
        <v>1</v>
      </c>
      <c r="H26" s="28">
        <v>0.48099999999999998</v>
      </c>
      <c r="I26" s="28">
        <v>1</v>
      </c>
      <c r="J26" s="28">
        <v>0.26400000000000001</v>
      </c>
      <c r="K26" s="49">
        <v>1</v>
      </c>
      <c r="L26" s="22">
        <v>0.214</v>
      </c>
      <c r="M26" s="20">
        <v>1</v>
      </c>
      <c r="N26" s="49">
        <v>0.28000000000000003</v>
      </c>
      <c r="O26" s="78">
        <v>1</v>
      </c>
      <c r="P26" s="18">
        <f t="shared" si="6"/>
        <v>0.42899999999999999</v>
      </c>
      <c r="Q26" s="61">
        <f t="shared" si="7"/>
        <v>0.63</v>
      </c>
      <c r="R26" s="61">
        <f t="shared" si="8"/>
        <v>0.48099999999999998</v>
      </c>
      <c r="S26" s="18">
        <f t="shared" si="9"/>
        <v>0.26400000000000001</v>
      </c>
      <c r="T26" s="18">
        <f t="shared" si="10"/>
        <v>0.214</v>
      </c>
      <c r="U26" s="18">
        <f t="shared" si="11"/>
        <v>0.28000000000000003</v>
      </c>
    </row>
    <row r="27" spans="1:27" x14ac:dyDescent="0.2">
      <c r="A27" s="26">
        <v>42384</v>
      </c>
      <c r="B27" s="27">
        <v>0.67708333333333337</v>
      </c>
      <c r="C27" s="28">
        <f>46*24+3</f>
        <v>1107</v>
      </c>
      <c r="D27" s="28">
        <v>2.762</v>
      </c>
      <c r="E27" s="28">
        <v>1</v>
      </c>
      <c r="F27" s="28">
        <v>3.11</v>
      </c>
      <c r="G27" s="28">
        <v>1</v>
      </c>
      <c r="H27" s="28">
        <v>2.7469999999999999</v>
      </c>
      <c r="I27" s="28">
        <v>1</v>
      </c>
      <c r="J27" s="28">
        <v>1.2270000000000001</v>
      </c>
      <c r="K27" s="49">
        <v>1</v>
      </c>
      <c r="L27" s="22">
        <v>0.96399999999999997</v>
      </c>
      <c r="M27" s="20">
        <v>1</v>
      </c>
      <c r="N27" s="49">
        <v>0.754</v>
      </c>
      <c r="O27" s="78">
        <v>1</v>
      </c>
      <c r="P27" s="18">
        <f t="shared" si="6"/>
        <v>2.762</v>
      </c>
      <c r="Q27" s="61">
        <f t="shared" si="7"/>
        <v>3.11</v>
      </c>
      <c r="R27" s="61">
        <f t="shared" si="8"/>
        <v>2.7469999999999999</v>
      </c>
      <c r="S27" s="18">
        <f t="shared" si="9"/>
        <v>1.2270000000000001</v>
      </c>
      <c r="T27" s="18">
        <f t="shared" si="10"/>
        <v>0.96399999999999997</v>
      </c>
      <c r="U27" s="18">
        <f t="shared" si="11"/>
        <v>0.754</v>
      </c>
    </row>
    <row r="28" spans="1:27" x14ac:dyDescent="0.2">
      <c r="A28" s="26"/>
      <c r="B28" s="2"/>
      <c r="C28" s="2"/>
      <c r="D28" s="2"/>
      <c r="E28" s="2"/>
      <c r="F28" s="2"/>
      <c r="G28" s="2"/>
      <c r="H28" s="2"/>
      <c r="I28" s="2"/>
      <c r="J28" s="2"/>
      <c r="K28" s="67"/>
      <c r="L28" s="7"/>
      <c r="N28" s="7"/>
      <c r="O28" s="72"/>
    </row>
    <row r="29" spans="1:27" x14ac:dyDescent="0.2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7"/>
    </row>
    <row r="30" spans="1:27" x14ac:dyDescent="0.2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27" ht="13.5" thickBot="1" x14ac:dyDescent="0.25">
      <c r="A31" s="2"/>
      <c r="B31" s="3" t="s">
        <v>22</v>
      </c>
      <c r="C31" s="2"/>
      <c r="D31" s="2"/>
      <c r="E31" s="2"/>
      <c r="F31" s="2"/>
      <c r="G31" s="2"/>
      <c r="H31" s="2"/>
      <c r="I31" s="2"/>
      <c r="J31" s="2"/>
      <c r="K31" s="2"/>
    </row>
    <row r="32" spans="1:27" ht="15.75" thickTop="1" x14ac:dyDescent="0.2">
      <c r="A32" s="2"/>
      <c r="B32" s="5" t="s">
        <v>20</v>
      </c>
      <c r="C32" s="2"/>
      <c r="D32" s="2"/>
      <c r="E32" s="2"/>
      <c r="F32" s="2"/>
      <c r="G32" s="2"/>
      <c r="H32" s="2"/>
      <c r="I32" s="2"/>
      <c r="J32" s="2"/>
      <c r="K32" s="2"/>
      <c r="AA32" s="83"/>
    </row>
    <row r="33" spans="1:33" ht="15" x14ac:dyDescent="0.2">
      <c r="A33" s="2"/>
      <c r="B33" s="5" t="s">
        <v>21</v>
      </c>
      <c r="C33" s="2"/>
      <c r="D33" s="2"/>
      <c r="E33" s="2"/>
      <c r="F33" s="2"/>
      <c r="G33" s="2"/>
      <c r="H33" s="2"/>
      <c r="I33" s="2"/>
      <c r="J33" s="2"/>
      <c r="K33" s="2"/>
    </row>
    <row r="34" spans="1:33" x14ac:dyDescent="0.2">
      <c r="A34" s="9"/>
      <c r="C34" s="10" t="s">
        <v>2</v>
      </c>
      <c r="D34" s="9"/>
      <c r="E34" s="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33" ht="15" x14ac:dyDescent="0.25">
      <c r="A35" s="9" t="s">
        <v>5</v>
      </c>
      <c r="B35" s="4" t="s">
        <v>19</v>
      </c>
      <c r="C35" s="14"/>
      <c r="D35" s="14"/>
      <c r="E35" s="14"/>
      <c r="G35" s="52"/>
      <c r="H35" s="74" t="s">
        <v>10</v>
      </c>
      <c r="I35" s="52"/>
      <c r="J35" s="52"/>
      <c r="K35" s="52"/>
      <c r="L35" s="52"/>
      <c r="M35" s="47"/>
      <c r="N35" s="46" t="s">
        <v>23</v>
      </c>
      <c r="S35" s="72"/>
      <c r="T35" s="71" t="s">
        <v>15</v>
      </c>
      <c r="Y35" s="72"/>
      <c r="Z35" s="14" t="s">
        <v>53</v>
      </c>
      <c r="AA35" s="72"/>
      <c r="AB35" s="81" t="s">
        <v>56</v>
      </c>
    </row>
    <row r="36" spans="1:33" x14ac:dyDescent="0.2">
      <c r="A36" s="15" t="s">
        <v>11</v>
      </c>
      <c r="B36" s="16" t="s">
        <v>32</v>
      </c>
      <c r="C36" s="16" t="s">
        <v>33</v>
      </c>
      <c r="D36" s="16" t="s">
        <v>38</v>
      </c>
      <c r="E36" s="16" t="s">
        <v>28</v>
      </c>
      <c r="F36" s="51" t="s">
        <v>29</v>
      </c>
      <c r="G36" s="13" t="s">
        <v>39</v>
      </c>
      <c r="H36" s="75" t="s">
        <v>32</v>
      </c>
      <c r="I36" s="16" t="s">
        <v>33</v>
      </c>
      <c r="J36" s="16" t="s">
        <v>38</v>
      </c>
      <c r="K36" s="16" t="s">
        <v>28</v>
      </c>
      <c r="L36" s="51" t="s">
        <v>29</v>
      </c>
      <c r="M36" s="69" t="s">
        <v>39</v>
      </c>
      <c r="N36" s="16" t="s">
        <v>32</v>
      </c>
      <c r="O36" s="16" t="s">
        <v>33</v>
      </c>
      <c r="P36" s="16" t="s">
        <v>38</v>
      </c>
      <c r="Q36" s="16" t="s">
        <v>28</v>
      </c>
      <c r="R36" s="51" t="s">
        <v>29</v>
      </c>
      <c r="S36" s="69" t="s">
        <v>39</v>
      </c>
      <c r="T36" s="16" t="s">
        <v>32</v>
      </c>
      <c r="U36" s="16" t="s">
        <v>33</v>
      </c>
      <c r="V36" s="16" t="s">
        <v>38</v>
      </c>
      <c r="W36" s="16" t="s">
        <v>28</v>
      </c>
      <c r="X36" s="51" t="s">
        <v>29</v>
      </c>
      <c r="Y36" s="69" t="s">
        <v>39</v>
      </c>
      <c r="Z36" s="16" t="s">
        <v>54</v>
      </c>
      <c r="AA36" s="82" t="s">
        <v>55</v>
      </c>
      <c r="AB36" s="16" t="s">
        <v>32</v>
      </c>
      <c r="AC36" s="16" t="s">
        <v>33</v>
      </c>
      <c r="AD36" s="16" t="s">
        <v>38</v>
      </c>
      <c r="AE36" s="16" t="s">
        <v>28</v>
      </c>
      <c r="AF36" s="51" t="s">
        <v>29</v>
      </c>
      <c r="AG36" s="69" t="s">
        <v>39</v>
      </c>
    </row>
    <row r="37" spans="1:33" x14ac:dyDescent="0.2">
      <c r="A37" s="2">
        <f t="shared" ref="A37:A47" si="12">C7</f>
        <v>0.33333333333333331</v>
      </c>
      <c r="B37">
        <f t="shared" ref="B37:G37" si="13">P7</f>
        <v>2.41</v>
      </c>
      <c r="C37">
        <f t="shared" si="13"/>
        <v>2.64</v>
      </c>
      <c r="D37">
        <f t="shared" si="13"/>
        <v>2.645</v>
      </c>
      <c r="E37">
        <f t="shared" si="13"/>
        <v>1.88</v>
      </c>
      <c r="F37">
        <f t="shared" si="13"/>
        <v>1.635</v>
      </c>
      <c r="G37">
        <f t="shared" si="13"/>
        <v>1.6</v>
      </c>
      <c r="H37" s="76">
        <f t="shared" ref="H37:H46" si="14">(B37-0.0535)/0.0633</f>
        <v>37.227488151658768</v>
      </c>
      <c r="I37" s="12">
        <f t="shared" ref="I37:I46" si="15">(C37-0.0535)/0.0633</f>
        <v>40.8609794628752</v>
      </c>
      <c r="J37" s="12">
        <f t="shared" ref="J37:J46" si="16">(D37-0.0535)/0.0633</f>
        <v>40.939968404423382</v>
      </c>
      <c r="K37" s="12">
        <f t="shared" ref="K37:K46" si="17">(E37-0.0535)/0.0633</f>
        <v>28.854660347551341</v>
      </c>
      <c r="L37" s="12">
        <f>(F37-0.0535)/0.0633</f>
        <v>24.984202211690363</v>
      </c>
      <c r="M37" s="70">
        <f>(G37-0.0535)/0.0633</f>
        <v>24.431279620853083</v>
      </c>
      <c r="N37" s="7">
        <f t="shared" ref="N37:N47" si="18">H37</f>
        <v>37.227488151658768</v>
      </c>
      <c r="O37" s="7">
        <f t="shared" ref="O37:S47" si="19">I37</f>
        <v>40.8609794628752</v>
      </c>
      <c r="P37" s="7">
        <f t="shared" si="19"/>
        <v>40.939968404423382</v>
      </c>
      <c r="Q37" s="7">
        <f t="shared" si="19"/>
        <v>28.854660347551341</v>
      </c>
      <c r="R37" s="7">
        <f t="shared" si="19"/>
        <v>24.984202211690363</v>
      </c>
      <c r="S37" s="72">
        <f t="shared" si="19"/>
        <v>24.431279620853083</v>
      </c>
      <c r="T37" s="7">
        <f t="shared" ref="T37:T54" si="20">N37/$P$70*100</f>
        <v>25.529754595843347</v>
      </c>
      <c r="U37" s="7">
        <f t="shared" ref="U37:U54" si="21">O37/$P$71*100</f>
        <v>25.822155878965624</v>
      </c>
      <c r="V37" s="7">
        <f t="shared" ref="V37:V54" si="22">P37/$P$72*100</f>
        <v>28.709655262568994</v>
      </c>
      <c r="W37" s="7">
        <f t="shared" ref="W37:W54" si="23">Q37/$V$70*100</f>
        <v>25.13472155710048</v>
      </c>
      <c r="X37" s="7">
        <f t="shared" ref="X37:X54" si="24">R37/$V$71*100</f>
        <v>24.771170148414008</v>
      </c>
      <c r="Y37" s="72">
        <f t="shared" ref="Y37:Y54" si="25">S37/$V$72*100</f>
        <v>28.511237741688749</v>
      </c>
      <c r="Z37">
        <f>STDEVA(B37:D37)</f>
        <v>0.13425721582097547</v>
      </c>
      <c r="AA37" s="72">
        <f>STDEVA(E37:G37)</f>
        <v>0.15256146302392348</v>
      </c>
      <c r="AB37">
        <f>N37/1000/3.17</f>
        <v>1.1743687114087938E-2</v>
      </c>
      <c r="AC37">
        <f>O37/1000/3.44</f>
        <v>1.1878191704324187E-2</v>
      </c>
      <c r="AD37">
        <f>P37/1000/3.1</f>
        <v>1.3206441420781737E-2</v>
      </c>
      <c r="AE37">
        <f>Q37/1000/2.8</f>
        <v>1.0305235838411194E-2</v>
      </c>
      <c r="AF37">
        <f>R37/1000/2.46</f>
        <v>1.0156179760849742E-2</v>
      </c>
      <c r="AG37">
        <f>S37/1000/2.09</f>
        <v>1.1689607474092386E-2</v>
      </c>
    </row>
    <row r="38" spans="1:33" x14ac:dyDescent="0.2">
      <c r="A38" s="2">
        <f t="shared" si="12"/>
        <v>0.66666666666666663</v>
      </c>
      <c r="B38">
        <f t="shared" ref="B38:B47" si="26">P8</f>
        <v>2.028</v>
      </c>
      <c r="C38">
        <f t="shared" ref="C38:C47" si="27">Q8</f>
        <v>2.3839999999999999</v>
      </c>
      <c r="D38">
        <f t="shared" ref="D38:D47" si="28">R8</f>
        <v>2.3479999999999999</v>
      </c>
      <c r="E38">
        <f t="shared" ref="E38:E46" si="29">S8</f>
        <v>0.28799999999999998</v>
      </c>
      <c r="F38">
        <f t="shared" ref="F38:F46" si="30">T8</f>
        <v>0.316</v>
      </c>
      <c r="G38">
        <f t="shared" ref="G38:G46" si="31">U8</f>
        <v>0.3</v>
      </c>
      <c r="H38" s="76">
        <f t="shared" si="14"/>
        <v>31.192733017377567</v>
      </c>
      <c r="I38" s="12">
        <f t="shared" si="15"/>
        <v>36.816745655608216</v>
      </c>
      <c r="J38" s="12">
        <f t="shared" si="16"/>
        <v>36.248025276461291</v>
      </c>
      <c r="K38" s="12">
        <f t="shared" si="17"/>
        <v>3.7045813586097949</v>
      </c>
      <c r="L38" s="12">
        <f t="shared" ref="L38:L46" si="32">(F38-0.0535)/0.0633</f>
        <v>4.1469194312796214</v>
      </c>
      <c r="M38" s="70">
        <f t="shared" ref="M38:M46" si="33">(G38-0.0535)/0.0633</f>
        <v>3.8941548183254349</v>
      </c>
      <c r="N38" s="7">
        <f t="shared" si="18"/>
        <v>31.192733017377567</v>
      </c>
      <c r="O38" s="7">
        <f t="shared" si="19"/>
        <v>36.816745655608216</v>
      </c>
      <c r="P38" s="7">
        <f t="shared" si="19"/>
        <v>36.248025276461291</v>
      </c>
      <c r="Q38" s="7">
        <f t="shared" si="19"/>
        <v>3.7045813586097949</v>
      </c>
      <c r="R38" s="7">
        <f t="shared" ref="R38:R47" si="34">L38</f>
        <v>4.1469194312796214</v>
      </c>
      <c r="S38" s="72">
        <f t="shared" ref="S38:S47" si="35">M38</f>
        <v>3.8941548183254349</v>
      </c>
      <c r="T38" s="7">
        <f t="shared" si="20"/>
        <v>21.391258412685207</v>
      </c>
      <c r="U38" s="7">
        <f t="shared" si="21"/>
        <v>23.266396395101253</v>
      </c>
      <c r="V38" s="7">
        <f t="shared" si="22"/>
        <v>25.419372564138353</v>
      </c>
      <c r="W38" s="7">
        <f t="shared" si="23"/>
        <v>3.2269872461757805</v>
      </c>
      <c r="X38" s="7">
        <f t="shared" si="24"/>
        <v>4.1115600151493377</v>
      </c>
      <c r="Y38" s="72">
        <f t="shared" si="25"/>
        <v>4.5444682207088754</v>
      </c>
      <c r="Z38">
        <f t="shared" ref="Z38:Z57" si="36">STDEVA(B38:D38)</f>
        <v>0.19597278722652617</v>
      </c>
      <c r="AA38" s="72">
        <f t="shared" ref="AA38:AA57" si="37">STDEVA(E38:G38)</f>
        <v>1.4047538337136997E-2</v>
      </c>
      <c r="AB38">
        <f>(N38+SUM(N37))/1000/3.17</f>
        <v>2.1583665983923136E-2</v>
      </c>
      <c r="AC38">
        <f t="shared" ref="AC38:AC57" si="38">O38/1000/3.44</f>
        <v>1.0702542341746576E-2</v>
      </c>
      <c r="AD38">
        <f t="shared" ref="AD38:AD57" si="39">P38/1000/3.1</f>
        <v>1.1692911379503642E-2</v>
      </c>
      <c r="AE38">
        <f t="shared" ref="AE38:AE57" si="40">Q38/1000/2.8</f>
        <v>1.3230647709320696E-3</v>
      </c>
      <c r="AF38">
        <f t="shared" ref="AF38:AF57" si="41">R38/1000/2.46</f>
        <v>1.685739606211228E-3</v>
      </c>
      <c r="AG38">
        <f t="shared" ref="AG38:AG57" si="42">S38/1000/2.09</f>
        <v>1.8632319704906387E-3</v>
      </c>
    </row>
    <row r="39" spans="1:33" x14ac:dyDescent="0.2">
      <c r="A39" s="2">
        <f t="shared" si="12"/>
        <v>1</v>
      </c>
      <c r="B39">
        <f t="shared" si="26"/>
        <v>2.2719999999999998</v>
      </c>
      <c r="C39">
        <f t="shared" si="27"/>
        <v>2.5840000000000001</v>
      </c>
      <c r="D39">
        <f t="shared" si="28"/>
        <v>2.5640000000000001</v>
      </c>
      <c r="E39">
        <f t="shared" si="29"/>
        <v>0.30499999999999999</v>
      </c>
      <c r="F39">
        <f t="shared" si="30"/>
        <v>0.249</v>
      </c>
      <c r="G39">
        <f t="shared" si="31"/>
        <v>0.4</v>
      </c>
      <c r="H39" s="76">
        <f t="shared" si="14"/>
        <v>35.047393364928908</v>
      </c>
      <c r="I39" s="12">
        <f t="shared" si="15"/>
        <v>39.976303317535546</v>
      </c>
      <c r="J39" s="12">
        <f t="shared" si="16"/>
        <v>39.660347551342817</v>
      </c>
      <c r="K39" s="12">
        <f t="shared" si="17"/>
        <v>3.9731437598736181</v>
      </c>
      <c r="L39" s="12">
        <f t="shared" si="32"/>
        <v>3.0884676145339656</v>
      </c>
      <c r="M39" s="70">
        <f t="shared" si="33"/>
        <v>5.4739336492891004</v>
      </c>
      <c r="N39" s="7">
        <f t="shared" si="18"/>
        <v>35.047393364928908</v>
      </c>
      <c r="O39" s="7">
        <f t="shared" si="19"/>
        <v>39.976303317535546</v>
      </c>
      <c r="P39" s="7">
        <f t="shared" si="19"/>
        <v>39.660347551342817</v>
      </c>
      <c r="Q39" s="7">
        <f t="shared" si="19"/>
        <v>3.9731437598736181</v>
      </c>
      <c r="R39" s="7">
        <f t="shared" si="34"/>
        <v>3.0884676145339656</v>
      </c>
      <c r="S39" s="72">
        <f t="shared" si="35"/>
        <v>5.4739336492891004</v>
      </c>
      <c r="T39" s="7">
        <f t="shared" si="20"/>
        <v>24.034695765278364</v>
      </c>
      <c r="U39" s="7">
        <f t="shared" si="21"/>
        <v>25.26308349187029</v>
      </c>
      <c r="V39" s="7">
        <f t="shared" si="22"/>
        <v>27.812305435724276</v>
      </c>
      <c r="W39" s="7">
        <f t="shared" si="23"/>
        <v>3.4609266200989719</v>
      </c>
      <c r="X39" s="7">
        <f t="shared" si="24"/>
        <v>3.0621332684255065</v>
      </c>
      <c r="Y39" s="72">
        <f t="shared" si="25"/>
        <v>6.3880658761688665</v>
      </c>
      <c r="Z39">
        <f t="shared" si="36"/>
        <v>0.17464630924624025</v>
      </c>
      <c r="AA39" s="72">
        <f t="shared" si="37"/>
        <v>7.6334788923530794E-2</v>
      </c>
      <c r="AB39">
        <f>(N39+SUM(N38))/1000/3.17</f>
        <v>2.0895938921863241E-2</v>
      </c>
      <c r="AC39">
        <f t="shared" si="38"/>
        <v>1.1621018406260333E-2</v>
      </c>
      <c r="AD39">
        <f t="shared" si="39"/>
        <v>1.2793660500433167E-2</v>
      </c>
      <c r="AE39">
        <f t="shared" si="40"/>
        <v>1.4189799142405781E-3</v>
      </c>
      <c r="AF39">
        <f t="shared" si="41"/>
        <v>1.2554746400544575E-3</v>
      </c>
      <c r="AG39">
        <f t="shared" si="42"/>
        <v>2.6191070092292349E-3</v>
      </c>
    </row>
    <row r="40" spans="1:33" x14ac:dyDescent="0.2">
      <c r="A40" s="2">
        <f t="shared" si="12"/>
        <v>2</v>
      </c>
      <c r="B40">
        <f t="shared" si="26"/>
        <v>5.8280000000000003</v>
      </c>
      <c r="C40">
        <f t="shared" si="27"/>
        <v>5.782</v>
      </c>
      <c r="D40">
        <f t="shared" si="28"/>
        <v>5.8680000000000003</v>
      </c>
      <c r="E40">
        <f t="shared" si="29"/>
        <v>0.7</v>
      </c>
      <c r="F40">
        <f t="shared" si="30"/>
        <v>0.84499999999999997</v>
      </c>
      <c r="G40">
        <f t="shared" si="31"/>
        <v>0.76500000000000001</v>
      </c>
      <c r="H40" s="76">
        <f t="shared" si="14"/>
        <v>91.224328593996859</v>
      </c>
      <c r="I40" s="12">
        <f t="shared" si="15"/>
        <v>90.49763033175357</v>
      </c>
      <c r="J40" s="12">
        <f t="shared" si="16"/>
        <v>91.856240126382318</v>
      </c>
      <c r="K40" s="12">
        <f t="shared" si="17"/>
        <v>10.213270142180095</v>
      </c>
      <c r="L40" s="12">
        <f t="shared" si="32"/>
        <v>12.50394944707741</v>
      </c>
      <c r="M40" s="70">
        <f t="shared" si="33"/>
        <v>11.240126382306478</v>
      </c>
      <c r="N40" s="7">
        <f t="shared" si="18"/>
        <v>91.224328593996859</v>
      </c>
      <c r="O40" s="7">
        <f t="shared" si="19"/>
        <v>90.49763033175357</v>
      </c>
      <c r="P40" s="7">
        <f t="shared" si="19"/>
        <v>91.856240126382318</v>
      </c>
      <c r="Q40" s="7">
        <f t="shared" si="19"/>
        <v>10.213270142180095</v>
      </c>
      <c r="R40" s="7">
        <f t="shared" si="34"/>
        <v>12.50394944707741</v>
      </c>
      <c r="S40" s="72">
        <f t="shared" si="35"/>
        <v>11.240126382306478</v>
      </c>
      <c r="T40" s="7">
        <f t="shared" si="20"/>
        <v>62.559545051431122</v>
      </c>
      <c r="U40" s="7">
        <f t="shared" si="21"/>
        <v>57.190110169207266</v>
      </c>
      <c r="V40" s="7">
        <f t="shared" si="22"/>
        <v>64.415315656649597</v>
      </c>
      <c r="W40" s="7">
        <f t="shared" si="23"/>
        <v>8.8965767789025243</v>
      </c>
      <c r="X40" s="7">
        <f t="shared" si="24"/>
        <v>12.397332388536002</v>
      </c>
      <c r="Y40" s="72">
        <f t="shared" si="25"/>
        <v>13.117197318597828</v>
      </c>
      <c r="Z40">
        <f t="shared" si="36"/>
        <v>4.3034869582700176E-2</v>
      </c>
      <c r="AA40" s="72">
        <f t="shared" si="37"/>
        <v>7.262919523166976E-2</v>
      </c>
      <c r="AB40">
        <f t="shared" ref="AB40:AB57" si="43">(N40+SUM(N39))/1000/3.17</f>
        <v>3.9833350775686366E-2</v>
      </c>
      <c r="AC40">
        <f t="shared" si="38"/>
        <v>2.630745067783534E-2</v>
      </c>
      <c r="AD40">
        <f t="shared" si="39"/>
        <v>2.9631045202058809E-2</v>
      </c>
      <c r="AE40">
        <f t="shared" si="40"/>
        <v>3.647596479350034E-3</v>
      </c>
      <c r="AF40">
        <f t="shared" si="41"/>
        <v>5.0829062792997603E-3</v>
      </c>
      <c r="AG40">
        <f t="shared" si="42"/>
        <v>5.3780509006251098E-3</v>
      </c>
    </row>
    <row r="41" spans="1:33" x14ac:dyDescent="0.2">
      <c r="A41" s="2">
        <f t="shared" si="12"/>
        <v>4</v>
      </c>
      <c r="B41">
        <f t="shared" si="26"/>
        <v>6.2519999999999998</v>
      </c>
      <c r="C41">
        <f t="shared" si="27"/>
        <v>6.3339999999999996</v>
      </c>
      <c r="D41">
        <f t="shared" si="28"/>
        <v>6.3419999999999996</v>
      </c>
      <c r="E41">
        <f t="shared" si="29"/>
        <v>1.1970000000000001</v>
      </c>
      <c r="F41">
        <f t="shared" si="30"/>
        <v>1.0940000000000001</v>
      </c>
      <c r="G41">
        <f t="shared" si="31"/>
        <v>1.4610000000000001</v>
      </c>
      <c r="H41" s="76">
        <f t="shared" si="14"/>
        <v>97.922590837282783</v>
      </c>
      <c r="I41" s="12">
        <f t="shared" si="15"/>
        <v>99.218009478672997</v>
      </c>
      <c r="J41" s="12">
        <f t="shared" si="16"/>
        <v>99.34439178515008</v>
      </c>
      <c r="K41" s="12">
        <f t="shared" si="17"/>
        <v>18.064770932069511</v>
      </c>
      <c r="L41" s="12">
        <f t="shared" si="32"/>
        <v>16.437598736176938</v>
      </c>
      <c r="M41" s="70">
        <f t="shared" si="33"/>
        <v>22.235387045813589</v>
      </c>
      <c r="N41" s="7">
        <f t="shared" si="18"/>
        <v>97.922590837282783</v>
      </c>
      <c r="O41" s="7">
        <f t="shared" si="19"/>
        <v>99.218009478672997</v>
      </c>
      <c r="P41" s="7">
        <f t="shared" si="19"/>
        <v>99.34439178515008</v>
      </c>
      <c r="Q41" s="7">
        <f t="shared" si="19"/>
        <v>18.064770932069511</v>
      </c>
      <c r="R41" s="7">
        <f t="shared" si="34"/>
        <v>16.437598736176938</v>
      </c>
      <c r="S41" s="72">
        <f t="shared" si="35"/>
        <v>22.235387045813589</v>
      </c>
      <c r="T41" s="7">
        <f t="shared" si="20"/>
        <v>67.153059139543814</v>
      </c>
      <c r="U41" s="7">
        <f t="shared" si="21"/>
        <v>62.700966556289814</v>
      </c>
      <c r="V41" s="7">
        <f t="shared" si="22"/>
        <v>69.666473902629789</v>
      </c>
      <c r="W41" s="7">
        <f t="shared" si="23"/>
        <v>15.735863181245222</v>
      </c>
      <c r="X41" s="7">
        <f t="shared" si="24"/>
        <v>16.297440745763375</v>
      </c>
      <c r="Y41" s="72">
        <f t="shared" si="25"/>
        <v>25.948637000599362</v>
      </c>
      <c r="Z41">
        <f t="shared" si="36"/>
        <v>4.9812983581926963E-2</v>
      </c>
      <c r="AA41" s="72">
        <f t="shared" si="37"/>
        <v>0.18929430348886103</v>
      </c>
      <c r="AB41">
        <f t="shared" si="43"/>
        <v>5.9667797927848459E-2</v>
      </c>
      <c r="AC41">
        <f t="shared" si="38"/>
        <v>2.8842444615893314E-2</v>
      </c>
      <c r="AD41">
        <f t="shared" si="39"/>
        <v>3.2046577995209699E-2</v>
      </c>
      <c r="AE41">
        <f t="shared" si="40"/>
        <v>6.4517039043105393E-3</v>
      </c>
      <c r="AF41">
        <f t="shared" si="41"/>
        <v>6.6819507057629826E-3</v>
      </c>
      <c r="AG41">
        <f t="shared" si="42"/>
        <v>1.0638941170245737E-2</v>
      </c>
    </row>
    <row r="42" spans="1:33" x14ac:dyDescent="0.2">
      <c r="A42" s="2">
        <f t="shared" si="12"/>
        <v>8</v>
      </c>
      <c r="B42">
        <f t="shared" si="26"/>
        <v>6.82</v>
      </c>
      <c r="C42">
        <f t="shared" si="27"/>
        <v>5.056</v>
      </c>
      <c r="D42">
        <f t="shared" si="28"/>
        <v>7.5119999999999996</v>
      </c>
      <c r="E42">
        <f t="shared" si="29"/>
        <v>1.508</v>
      </c>
      <c r="F42">
        <f t="shared" si="30"/>
        <v>1.8120000000000001</v>
      </c>
      <c r="G42">
        <f t="shared" si="31"/>
        <v>1.8360000000000001</v>
      </c>
      <c r="H42" s="76">
        <f t="shared" si="14"/>
        <v>106.89573459715642</v>
      </c>
      <c r="I42" s="12">
        <f t="shared" si="15"/>
        <v>79.028436018957365</v>
      </c>
      <c r="J42" s="12">
        <f t="shared" si="16"/>
        <v>117.82780410742497</v>
      </c>
      <c r="K42" s="12">
        <f t="shared" si="17"/>
        <v>22.977883096366508</v>
      </c>
      <c r="L42" s="12">
        <f t="shared" si="32"/>
        <v>27.780410742496052</v>
      </c>
      <c r="M42" s="70">
        <f t="shared" si="33"/>
        <v>28.15955766192733</v>
      </c>
      <c r="N42" s="7">
        <f t="shared" si="18"/>
        <v>106.89573459715642</v>
      </c>
      <c r="O42" s="7">
        <f t="shared" si="19"/>
        <v>79.028436018957365</v>
      </c>
      <c r="P42" s="7">
        <f t="shared" si="19"/>
        <v>117.82780410742497</v>
      </c>
      <c r="Q42" s="7">
        <f t="shared" si="19"/>
        <v>22.977883096366508</v>
      </c>
      <c r="R42" s="7">
        <f t="shared" si="34"/>
        <v>27.780410742496052</v>
      </c>
      <c r="S42" s="72">
        <f t="shared" si="35"/>
        <v>28.15955766192733</v>
      </c>
      <c r="T42" s="7">
        <f t="shared" si="20"/>
        <v>73.306634616072159</v>
      </c>
      <c r="U42" s="7">
        <f t="shared" si="21"/>
        <v>49.942136007935652</v>
      </c>
      <c r="V42" s="7">
        <f t="shared" si="22"/>
        <v>82.628193623720179</v>
      </c>
      <c r="W42" s="7">
        <f t="shared" si="23"/>
        <v>20.015577610075361</v>
      </c>
      <c r="X42" s="7">
        <f t="shared" si="24"/>
        <v>27.54353633005756</v>
      </c>
      <c r="Y42" s="72">
        <f t="shared" si="25"/>
        <v>32.862128208574319</v>
      </c>
      <c r="Z42">
        <f t="shared" si="36"/>
        <v>1.2663922509764969</v>
      </c>
      <c r="AA42" s="72">
        <f t="shared" si="37"/>
        <v>0.18283690364183414</v>
      </c>
      <c r="AB42">
        <f t="shared" si="43"/>
        <v>6.4611459127583343E-2</v>
      </c>
      <c r="AC42">
        <f t="shared" si="38"/>
        <v>2.2973382563650398E-2</v>
      </c>
      <c r="AD42">
        <f t="shared" si="39"/>
        <v>3.8008969066911279E-2</v>
      </c>
      <c r="AE42">
        <f t="shared" si="40"/>
        <v>8.2063868201308968E-3</v>
      </c>
      <c r="AF42">
        <f t="shared" si="41"/>
        <v>1.1292849895323599E-2</v>
      </c>
      <c r="AG42">
        <f t="shared" si="42"/>
        <v>1.347347256551547E-2</v>
      </c>
    </row>
    <row r="43" spans="1:33" x14ac:dyDescent="0.2">
      <c r="A43" s="2">
        <f t="shared" si="12"/>
        <v>21</v>
      </c>
      <c r="B43">
        <f t="shared" si="26"/>
        <v>8.3840000000000003</v>
      </c>
      <c r="C43">
        <f t="shared" si="27"/>
        <v>9.6199999999999992</v>
      </c>
      <c r="D43">
        <f t="shared" si="28"/>
        <v>9.0839999999999996</v>
      </c>
      <c r="E43">
        <f t="shared" si="29"/>
        <v>3.496</v>
      </c>
      <c r="F43">
        <f t="shared" si="30"/>
        <v>3.26</v>
      </c>
      <c r="G43">
        <f t="shared" si="31"/>
        <v>3.1080000000000001</v>
      </c>
      <c r="H43" s="76">
        <f t="shared" si="14"/>
        <v>131.60347551342815</v>
      </c>
      <c r="I43" s="12">
        <f t="shared" si="15"/>
        <v>151.12954186413901</v>
      </c>
      <c r="J43" s="12">
        <f t="shared" si="16"/>
        <v>142.6619273301738</v>
      </c>
      <c r="K43" s="12">
        <f t="shared" si="17"/>
        <v>54.383886255924175</v>
      </c>
      <c r="L43" s="12">
        <f t="shared" si="32"/>
        <v>50.65560821484992</v>
      </c>
      <c r="M43" s="70">
        <f t="shared" si="33"/>
        <v>48.254344391785153</v>
      </c>
      <c r="N43" s="7">
        <f t="shared" si="18"/>
        <v>131.60347551342815</v>
      </c>
      <c r="O43" s="7">
        <f t="shared" si="19"/>
        <v>151.12954186413901</v>
      </c>
      <c r="P43" s="7">
        <f t="shared" si="19"/>
        <v>142.6619273301738</v>
      </c>
      <c r="Q43" s="7">
        <f t="shared" si="19"/>
        <v>54.383886255924175</v>
      </c>
      <c r="R43" s="7">
        <f t="shared" si="34"/>
        <v>50.65560821484992</v>
      </c>
      <c r="S43" s="72">
        <f t="shared" si="35"/>
        <v>48.254344391785153</v>
      </c>
      <c r="T43" s="7">
        <f t="shared" si="20"/>
        <v>90.250634695808643</v>
      </c>
      <c r="U43" s="7">
        <f t="shared" si="21"/>
        <v>95.506535556205151</v>
      </c>
      <c r="V43" s="7">
        <f t="shared" si="22"/>
        <v>100.04342730026212</v>
      </c>
      <c r="W43" s="7">
        <f t="shared" si="23"/>
        <v>47.372723219446158</v>
      </c>
      <c r="X43" s="7">
        <f t="shared" si="24"/>
        <v>50.22368452790991</v>
      </c>
      <c r="Y43" s="72">
        <f t="shared" si="25"/>
        <v>56.312690386025402</v>
      </c>
      <c r="Z43">
        <f t="shared" si="36"/>
        <v>0.61981072379665447</v>
      </c>
      <c r="AA43" s="72">
        <f t="shared" si="37"/>
        <v>0.19550959055759898</v>
      </c>
      <c r="AB43">
        <f t="shared" si="43"/>
        <v>7.5236343883465159E-2</v>
      </c>
      <c r="AC43">
        <f t="shared" si="38"/>
        <v>4.3933006355854363E-2</v>
      </c>
      <c r="AD43">
        <f t="shared" si="39"/>
        <v>4.6019976558120582E-2</v>
      </c>
      <c r="AE43">
        <f t="shared" si="40"/>
        <v>1.9422816519972921E-2</v>
      </c>
      <c r="AF43">
        <f t="shared" si="41"/>
        <v>2.0591710656443059E-2</v>
      </c>
      <c r="AG43">
        <f t="shared" si="42"/>
        <v>2.3088203058270407E-2</v>
      </c>
    </row>
    <row r="44" spans="1:33" x14ac:dyDescent="0.2">
      <c r="A44" s="2">
        <f t="shared" si="12"/>
        <v>24</v>
      </c>
      <c r="B44">
        <f t="shared" si="26"/>
        <v>3.7080000000000002</v>
      </c>
      <c r="C44">
        <f t="shared" si="27"/>
        <v>4.0940000000000003</v>
      </c>
      <c r="D44">
        <f t="shared" si="28"/>
        <v>4.452</v>
      </c>
      <c r="E44">
        <f t="shared" si="29"/>
        <v>1.458</v>
      </c>
      <c r="F44">
        <f t="shared" si="30"/>
        <v>1.3540000000000001</v>
      </c>
      <c r="G44">
        <f t="shared" si="31"/>
        <v>1.361</v>
      </c>
      <c r="H44" s="76">
        <f t="shared" si="14"/>
        <v>57.733017377567144</v>
      </c>
      <c r="I44" s="12">
        <f t="shared" si="15"/>
        <v>63.830963665086905</v>
      </c>
      <c r="J44" s="12">
        <f t="shared" si="16"/>
        <v>69.486571879936818</v>
      </c>
      <c r="K44" s="12">
        <f t="shared" si="17"/>
        <v>22.187993680884677</v>
      </c>
      <c r="L44" s="12">
        <f t="shared" si="32"/>
        <v>20.545023696682467</v>
      </c>
      <c r="M44" s="70">
        <f t="shared" si="33"/>
        <v>20.65560821484992</v>
      </c>
      <c r="N44" s="7">
        <f t="shared" si="18"/>
        <v>57.733017377567144</v>
      </c>
      <c r="O44" s="7">
        <f t="shared" si="19"/>
        <v>63.830963665086905</v>
      </c>
      <c r="P44" s="7">
        <f t="shared" si="19"/>
        <v>69.486571879936818</v>
      </c>
      <c r="Q44" s="7">
        <f t="shared" si="19"/>
        <v>22.187993680884677</v>
      </c>
      <c r="R44" s="7">
        <f t="shared" si="34"/>
        <v>20.545023696682467</v>
      </c>
      <c r="S44" s="72">
        <f t="shared" si="35"/>
        <v>20.65560821484992</v>
      </c>
      <c r="T44" s="7">
        <f t="shared" si="20"/>
        <v>39.591974610867609</v>
      </c>
      <c r="U44" s="7">
        <f t="shared" si="21"/>
        <v>40.338071072476559</v>
      </c>
      <c r="V44" s="7">
        <f t="shared" si="22"/>
        <v>48.728311276253031</v>
      </c>
      <c r="W44" s="7">
        <f t="shared" si="23"/>
        <v>19.327520627948331</v>
      </c>
      <c r="X44" s="7">
        <f t="shared" si="24"/>
        <v>20.369843046482718</v>
      </c>
      <c r="Y44" s="72">
        <f t="shared" si="25"/>
        <v>24.105039345139367</v>
      </c>
      <c r="Z44">
        <f t="shared" si="36"/>
        <v>0.37208780325795854</v>
      </c>
      <c r="AA44" s="72">
        <f t="shared" si="37"/>
        <v>5.8129166517334435E-2</v>
      </c>
      <c r="AB44">
        <f t="shared" si="43"/>
        <v>5.9727600281071075E-2</v>
      </c>
      <c r="AC44">
        <f t="shared" si="38"/>
        <v>1.8555512693339219E-2</v>
      </c>
      <c r="AD44">
        <f t="shared" si="39"/>
        <v>2.2415023187076392E-2</v>
      </c>
      <c r="AE44">
        <f t="shared" si="40"/>
        <v>7.9242834574588146E-3</v>
      </c>
      <c r="AF44">
        <f t="shared" si="41"/>
        <v>8.3516356490579147E-3</v>
      </c>
      <c r="AG44">
        <f t="shared" si="42"/>
        <v>9.8830661315071396E-3</v>
      </c>
    </row>
    <row r="45" spans="1:33" x14ac:dyDescent="0.2">
      <c r="A45" s="2">
        <f t="shared" si="12"/>
        <v>48</v>
      </c>
      <c r="B45">
        <f t="shared" si="26"/>
        <v>3.0470000000000002</v>
      </c>
      <c r="C45">
        <f t="shared" si="27"/>
        <v>3.2069999999999999</v>
      </c>
      <c r="D45">
        <f t="shared" si="28"/>
        <v>3.008</v>
      </c>
      <c r="E45">
        <f t="shared" si="29"/>
        <v>2.7789999999999999</v>
      </c>
      <c r="F45">
        <f t="shared" si="30"/>
        <v>2.4159999999999999</v>
      </c>
      <c r="G45">
        <f t="shared" si="31"/>
        <v>2.6739999999999999</v>
      </c>
      <c r="H45" s="76">
        <f t="shared" si="14"/>
        <v>47.290679304897317</v>
      </c>
      <c r="I45" s="12">
        <f t="shared" si="15"/>
        <v>49.818325434439181</v>
      </c>
      <c r="J45" s="12">
        <f t="shared" si="16"/>
        <v>46.674565560821485</v>
      </c>
      <c r="K45" s="12">
        <f t="shared" si="17"/>
        <v>43.056872037914694</v>
      </c>
      <c r="L45" s="12">
        <f t="shared" si="32"/>
        <v>37.322274881516584</v>
      </c>
      <c r="M45" s="70">
        <f t="shared" si="33"/>
        <v>41.398104265402843</v>
      </c>
      <c r="N45" s="7">
        <f t="shared" si="18"/>
        <v>47.290679304897317</v>
      </c>
      <c r="O45" s="7">
        <f t="shared" si="19"/>
        <v>49.818325434439181</v>
      </c>
      <c r="P45" s="7">
        <f t="shared" si="19"/>
        <v>46.674565560821485</v>
      </c>
      <c r="Q45" s="7">
        <f t="shared" si="19"/>
        <v>43.056872037914694</v>
      </c>
      <c r="R45" s="7">
        <f t="shared" si="34"/>
        <v>37.322274881516584</v>
      </c>
      <c r="S45" s="72">
        <f t="shared" si="35"/>
        <v>41.398104265402843</v>
      </c>
      <c r="T45" s="7">
        <f t="shared" si="20"/>
        <v>32.430859487654175</v>
      </c>
      <c r="U45" s="7">
        <f t="shared" si="21"/>
        <v>31.482763798305857</v>
      </c>
      <c r="V45" s="7">
        <f t="shared" si="22"/>
        <v>32.731111893984213</v>
      </c>
      <c r="W45" s="7">
        <f t="shared" si="23"/>
        <v>37.505986095744518</v>
      </c>
      <c r="X45" s="7">
        <f t="shared" si="24"/>
        <v>37.004040136344031</v>
      </c>
      <c r="Y45" s="72">
        <f t="shared" si="25"/>
        <v>48.311476561329037</v>
      </c>
      <c r="Z45">
        <f t="shared" si="36"/>
        <v>0.10545299110662204</v>
      </c>
      <c r="AA45" s="72">
        <f t="shared" si="37"/>
        <v>0.18679668091269716</v>
      </c>
      <c r="AB45">
        <f t="shared" si="43"/>
        <v>3.3130503685320022E-2</v>
      </c>
      <c r="AC45">
        <f t="shared" si="38"/>
        <v>1.4482071347220692E-2</v>
      </c>
      <c r="AD45">
        <f t="shared" si="39"/>
        <v>1.5056311471232738E-2</v>
      </c>
      <c r="AE45">
        <f t="shared" si="40"/>
        <v>1.537745429925525E-2</v>
      </c>
      <c r="AF45">
        <f t="shared" si="41"/>
        <v>1.5171656455901052E-2</v>
      </c>
      <c r="AG45">
        <f t="shared" si="42"/>
        <v>1.9807705390144901E-2</v>
      </c>
    </row>
    <row r="46" spans="1:33" x14ac:dyDescent="0.2">
      <c r="A46" s="2">
        <f t="shared" si="12"/>
        <v>68</v>
      </c>
      <c r="B46">
        <f t="shared" si="26"/>
        <v>2.9009999999999998</v>
      </c>
      <c r="C46">
        <f t="shared" si="27"/>
        <v>2.895</v>
      </c>
      <c r="D46">
        <f t="shared" si="28"/>
        <v>2.1989999999999998</v>
      </c>
      <c r="E46">
        <f t="shared" si="29"/>
        <v>2.5379999999999998</v>
      </c>
      <c r="F46">
        <f t="shared" si="30"/>
        <v>2.2320000000000002</v>
      </c>
      <c r="G46">
        <f t="shared" si="31"/>
        <v>1.988</v>
      </c>
      <c r="H46" s="76">
        <f t="shared" si="14"/>
        <v>44.984202211690359</v>
      </c>
      <c r="I46" s="12">
        <f t="shared" si="15"/>
        <v>44.889415481832543</v>
      </c>
      <c r="J46" s="12">
        <f t="shared" si="16"/>
        <v>33.894154818325433</v>
      </c>
      <c r="K46" s="12">
        <f t="shared" si="17"/>
        <v>39.249605055292257</v>
      </c>
      <c r="L46" s="12">
        <f t="shared" si="32"/>
        <v>34.415481832543449</v>
      </c>
      <c r="M46" s="70">
        <f t="shared" si="33"/>
        <v>30.5608214849921</v>
      </c>
      <c r="N46" s="7">
        <f t="shared" si="18"/>
        <v>44.984202211690359</v>
      </c>
      <c r="O46" s="7">
        <f t="shared" si="19"/>
        <v>44.889415481832543</v>
      </c>
      <c r="P46" s="7">
        <f t="shared" si="19"/>
        <v>33.894154818325433</v>
      </c>
      <c r="Q46" s="7">
        <f t="shared" si="19"/>
        <v>39.249605055292257</v>
      </c>
      <c r="R46" s="7">
        <f t="shared" si="34"/>
        <v>34.415481832543449</v>
      </c>
      <c r="S46" s="72">
        <f t="shared" si="35"/>
        <v>30.5608214849921</v>
      </c>
      <c r="T46" s="7">
        <f t="shared" si="20"/>
        <v>30.849130579954988</v>
      </c>
      <c r="U46" s="7">
        <f t="shared" si="21"/>
        <v>28.367931927346152</v>
      </c>
      <c r="V46" s="7">
        <f t="shared" si="22"/>
        <v>23.768692018461032</v>
      </c>
      <c r="W46" s="7">
        <f t="shared" si="23"/>
        <v>34.18955144189222</v>
      </c>
      <c r="X46" s="7">
        <f t="shared" si="24"/>
        <v>34.122032354296508</v>
      </c>
      <c r="Y46" s="72">
        <f t="shared" si="25"/>
        <v>35.664396644873506</v>
      </c>
      <c r="Z46">
        <f t="shared" si="36"/>
        <v>0.40357898855118896</v>
      </c>
      <c r="AA46" s="72">
        <f t="shared" si="37"/>
        <v>0.27558180878521948</v>
      </c>
      <c r="AB46">
        <f t="shared" si="43"/>
        <v>2.9108795431100211E-2</v>
      </c>
      <c r="AC46">
        <f t="shared" si="38"/>
        <v>1.3049248686579227E-2</v>
      </c>
      <c r="AD46">
        <f t="shared" si="39"/>
        <v>1.0933598328492075E-2</v>
      </c>
      <c r="AE46">
        <f t="shared" si="40"/>
        <v>1.4017716091175808E-2</v>
      </c>
      <c r="AF46">
        <f t="shared" si="41"/>
        <v>1.3990033265261565E-2</v>
      </c>
      <c r="AG46">
        <f t="shared" si="42"/>
        <v>1.4622402624398135E-2</v>
      </c>
    </row>
    <row r="47" spans="1:33" x14ac:dyDescent="0.2">
      <c r="A47" s="2">
        <f t="shared" si="12"/>
        <v>72</v>
      </c>
      <c r="B47">
        <f t="shared" si="26"/>
        <v>0.99199999999999999</v>
      </c>
      <c r="C47">
        <f t="shared" si="27"/>
        <v>0.94</v>
      </c>
      <c r="D47">
        <f t="shared" si="28"/>
        <v>0.72</v>
      </c>
      <c r="E47">
        <f t="shared" ref="E47:G52" si="44">S17</f>
        <v>0.97899999999999998</v>
      </c>
      <c r="F47">
        <f t="shared" si="44"/>
        <v>0.80300000000000005</v>
      </c>
      <c r="G47">
        <f t="shared" si="44"/>
        <v>0.68799999999999994</v>
      </c>
      <c r="H47" s="76">
        <f t="shared" ref="H47:M47" si="45">(B47-0.0535)/0.0633</f>
        <v>14.826224328593998</v>
      </c>
      <c r="I47" s="12">
        <f t="shared" si="45"/>
        <v>14.004739336492891</v>
      </c>
      <c r="J47" s="12">
        <f t="shared" si="45"/>
        <v>10.529225908372828</v>
      </c>
      <c r="K47" s="12">
        <f t="shared" si="45"/>
        <v>14.620853080568722</v>
      </c>
      <c r="L47" s="12">
        <f t="shared" si="45"/>
        <v>11.840442338072672</v>
      </c>
      <c r="M47" s="70">
        <f t="shared" si="45"/>
        <v>10.023696682464456</v>
      </c>
      <c r="N47" s="7">
        <f t="shared" si="18"/>
        <v>14.826224328593998</v>
      </c>
      <c r="O47" s="7">
        <f t="shared" si="19"/>
        <v>14.004739336492891</v>
      </c>
      <c r="P47" s="7">
        <f t="shared" si="19"/>
        <v>10.529225908372828</v>
      </c>
      <c r="Q47" s="7">
        <f t="shared" si="19"/>
        <v>14.620853080568722</v>
      </c>
      <c r="R47" s="7">
        <f t="shared" si="34"/>
        <v>11.840442338072672</v>
      </c>
      <c r="S47" s="72">
        <f t="shared" si="35"/>
        <v>10.023696682464456</v>
      </c>
      <c r="T47" s="7">
        <f t="shared" si="20"/>
        <v>10.167483423806061</v>
      </c>
      <c r="U47" s="7">
        <f t="shared" si="21"/>
        <v>8.8503155564287734</v>
      </c>
      <c r="V47" s="7">
        <f t="shared" si="22"/>
        <v>7.3837488838519132</v>
      </c>
      <c r="W47" s="7">
        <f t="shared" si="23"/>
        <v>12.735934739171364</v>
      </c>
      <c r="X47" s="7">
        <f t="shared" si="24"/>
        <v>11.739482786112109</v>
      </c>
      <c r="Y47" s="72">
        <f t="shared" si="25"/>
        <v>11.697627123893637</v>
      </c>
      <c r="Z47">
        <f t="shared" si="36"/>
        <v>0.14438836518224027</v>
      </c>
      <c r="AA47" s="72">
        <f t="shared" si="37"/>
        <v>0.14656170486635842</v>
      </c>
      <c r="AB47">
        <f t="shared" si="43"/>
        <v>1.886764244173008E-2</v>
      </c>
      <c r="AC47">
        <f t="shared" si="38"/>
        <v>4.0711451559572358E-3</v>
      </c>
      <c r="AD47">
        <f t="shared" si="39"/>
        <v>3.3965244865718797E-3</v>
      </c>
      <c r="AE47">
        <f t="shared" si="40"/>
        <v>5.2217332430602578E-3</v>
      </c>
      <c r="AF47">
        <f t="shared" si="41"/>
        <v>4.8131879423059642E-3</v>
      </c>
      <c r="AG47">
        <f t="shared" si="42"/>
        <v>4.7960271207963907E-3</v>
      </c>
    </row>
    <row r="48" spans="1:33" x14ac:dyDescent="0.2">
      <c r="A48" s="2">
        <f t="shared" ref="A48:A54" si="46">C18</f>
        <v>94</v>
      </c>
      <c r="B48">
        <f t="shared" ref="B48:D52" si="47">P18</f>
        <v>2.1070000000000002</v>
      </c>
      <c r="C48">
        <f t="shared" si="47"/>
        <v>2.2250000000000001</v>
      </c>
      <c r="D48">
        <f t="shared" si="47"/>
        <v>1.554</v>
      </c>
      <c r="E48">
        <f t="shared" si="44"/>
        <v>2.1040000000000001</v>
      </c>
      <c r="F48">
        <f t="shared" si="44"/>
        <v>1.786</v>
      </c>
      <c r="G48">
        <f t="shared" si="44"/>
        <v>1.454</v>
      </c>
      <c r="H48" s="76">
        <f t="shared" ref="H48:M52" si="48">(B48-0.0535)/0.0633</f>
        <v>32.440758293838869</v>
      </c>
      <c r="I48" s="12">
        <f t="shared" si="48"/>
        <v>34.304897314375992</v>
      </c>
      <c r="J48" s="12">
        <f t="shared" si="48"/>
        <v>23.704581358609797</v>
      </c>
      <c r="K48" s="12">
        <f t="shared" si="48"/>
        <v>32.393364928909953</v>
      </c>
      <c r="L48" s="12">
        <f t="shared" si="48"/>
        <v>27.369668246445499</v>
      </c>
      <c r="M48" s="70">
        <f t="shared" si="48"/>
        <v>22.124802527646128</v>
      </c>
      <c r="N48" s="7">
        <f t="shared" ref="N48:S52" si="49">H48</f>
        <v>32.440758293838869</v>
      </c>
      <c r="O48" s="7">
        <f t="shared" si="49"/>
        <v>34.304897314375992</v>
      </c>
      <c r="P48" s="7">
        <f t="shared" si="49"/>
        <v>23.704581358609797</v>
      </c>
      <c r="Q48" s="7">
        <f t="shared" si="49"/>
        <v>32.393364928909953</v>
      </c>
      <c r="R48" s="7">
        <f t="shared" si="49"/>
        <v>27.369668246445499</v>
      </c>
      <c r="S48" s="72">
        <f t="shared" si="49"/>
        <v>22.124802527646128</v>
      </c>
      <c r="T48" s="7">
        <f t="shared" si="20"/>
        <v>22.247125424385455</v>
      </c>
      <c r="U48" s="7">
        <f t="shared" si="21"/>
        <v>21.679030153169869</v>
      </c>
      <c r="V48" s="7">
        <f t="shared" si="22"/>
        <v>16.623128582475314</v>
      </c>
      <c r="W48" s="7">
        <f t="shared" si="23"/>
        <v>28.217216837029586</v>
      </c>
      <c r="X48" s="7">
        <f t="shared" si="24"/>
        <v>27.136296099985628</v>
      </c>
      <c r="Y48" s="72">
        <f t="shared" si="25"/>
        <v>25.819585164717157</v>
      </c>
      <c r="Z48">
        <f t="shared" si="36"/>
        <v>0.35823037280498571</v>
      </c>
      <c r="AA48" s="72">
        <f t="shared" si="37"/>
        <v>0.3250251272337768</v>
      </c>
      <c r="AB48">
        <f t="shared" si="43"/>
        <v>1.4910720070168096E-2</v>
      </c>
      <c r="AC48">
        <f t="shared" si="38"/>
        <v>9.9723538704581376E-3</v>
      </c>
      <c r="AD48">
        <f t="shared" si="39"/>
        <v>7.6466391479386442E-3</v>
      </c>
      <c r="AE48">
        <f t="shared" si="40"/>
        <v>1.1569058903182128E-2</v>
      </c>
      <c r="AF48">
        <f t="shared" si="41"/>
        <v>1.1125881400994105E-2</v>
      </c>
      <c r="AG48">
        <f t="shared" si="42"/>
        <v>1.0586029917534033E-2</v>
      </c>
    </row>
    <row r="49" spans="1:41" x14ac:dyDescent="0.2">
      <c r="A49" s="2">
        <f t="shared" si="46"/>
        <v>96</v>
      </c>
      <c r="B49">
        <f t="shared" si="47"/>
        <v>0.73499999999999999</v>
      </c>
      <c r="C49">
        <f t="shared" si="47"/>
        <v>0.71399999999999997</v>
      </c>
      <c r="D49">
        <f t="shared" si="47"/>
        <v>0.59199999999999997</v>
      </c>
      <c r="E49">
        <f t="shared" si="44"/>
        <v>0.75</v>
      </c>
      <c r="F49">
        <f t="shared" si="44"/>
        <v>0.55400000000000005</v>
      </c>
      <c r="G49">
        <f t="shared" si="44"/>
        <v>0.58399999999999996</v>
      </c>
      <c r="H49" s="76">
        <f t="shared" si="48"/>
        <v>10.766192733017379</v>
      </c>
      <c r="I49" s="12">
        <f t="shared" si="48"/>
        <v>10.434439178515008</v>
      </c>
      <c r="J49" s="12">
        <f t="shared" si="48"/>
        <v>8.5071090047393376</v>
      </c>
      <c r="K49" s="12">
        <f t="shared" si="48"/>
        <v>11.003159557661927</v>
      </c>
      <c r="L49" s="12">
        <f t="shared" si="48"/>
        <v>7.9067930489731451</v>
      </c>
      <c r="M49" s="70">
        <f t="shared" si="48"/>
        <v>8.3807266982622437</v>
      </c>
      <c r="N49" s="7">
        <f t="shared" si="49"/>
        <v>10.766192733017379</v>
      </c>
      <c r="O49" s="7">
        <f t="shared" si="49"/>
        <v>10.434439178515008</v>
      </c>
      <c r="P49" s="7">
        <f t="shared" si="49"/>
        <v>8.5071090047393376</v>
      </c>
      <c r="Q49" s="7">
        <f t="shared" si="49"/>
        <v>11.003159557661927</v>
      </c>
      <c r="R49" s="7">
        <f t="shared" si="49"/>
        <v>7.9067930489731451</v>
      </c>
      <c r="S49" s="72">
        <f t="shared" si="49"/>
        <v>8.3807266982622437</v>
      </c>
      <c r="T49" s="7">
        <f t="shared" si="20"/>
        <v>7.3832071958698249</v>
      </c>
      <c r="U49" s="7">
        <f t="shared" si="21"/>
        <v>6.5940591370797579</v>
      </c>
      <c r="V49" s="7">
        <f t="shared" si="22"/>
        <v>5.9657145895787789</v>
      </c>
      <c r="W49" s="7">
        <f t="shared" si="23"/>
        <v>9.584633761029556</v>
      </c>
      <c r="X49" s="7">
        <f t="shared" si="24"/>
        <v>7.8393744288847378</v>
      </c>
      <c r="Y49" s="72">
        <f t="shared" si="25"/>
        <v>9.7802855622152478</v>
      </c>
      <c r="Z49">
        <f t="shared" si="36"/>
        <v>7.7216146843347044E-2</v>
      </c>
      <c r="AA49" s="72">
        <f t="shared" si="37"/>
        <v>0.10557146078999448</v>
      </c>
      <c r="AB49">
        <f t="shared" si="43"/>
        <v>1.3629953005317429E-2</v>
      </c>
      <c r="AC49">
        <f t="shared" si="38"/>
        <v>3.0332672030566887E-3</v>
      </c>
      <c r="AD49">
        <f t="shared" si="39"/>
        <v>2.744228711206238E-3</v>
      </c>
      <c r="AE49">
        <f t="shared" si="40"/>
        <v>3.929699842022117E-3</v>
      </c>
      <c r="AF49">
        <f t="shared" si="41"/>
        <v>3.2141435158427423E-3</v>
      </c>
      <c r="AG49">
        <f t="shared" si="42"/>
        <v>4.0099170805082502E-3</v>
      </c>
    </row>
    <row r="50" spans="1:41" x14ac:dyDescent="0.2">
      <c r="A50" s="2">
        <f t="shared" si="46"/>
        <v>117</v>
      </c>
      <c r="B50">
        <f t="shared" si="47"/>
        <v>1.5169999999999999</v>
      </c>
      <c r="C50">
        <f t="shared" si="47"/>
        <v>1.655</v>
      </c>
      <c r="D50">
        <f t="shared" si="47"/>
        <v>1.3069999999999999</v>
      </c>
      <c r="E50">
        <f t="shared" si="44"/>
        <v>1.649</v>
      </c>
      <c r="F50">
        <f t="shared" si="44"/>
        <v>1.4</v>
      </c>
      <c r="G50">
        <f t="shared" si="44"/>
        <v>1.0529999999999999</v>
      </c>
      <c r="H50" s="76">
        <f t="shared" si="48"/>
        <v>23.120063191153235</v>
      </c>
      <c r="I50" s="12">
        <f t="shared" si="48"/>
        <v>25.300157977883096</v>
      </c>
      <c r="J50" s="12">
        <f t="shared" si="48"/>
        <v>19.802527646129541</v>
      </c>
      <c r="K50" s="12">
        <f t="shared" si="48"/>
        <v>25.205371248025276</v>
      </c>
      <c r="L50" s="12">
        <f t="shared" si="48"/>
        <v>21.271721958925749</v>
      </c>
      <c r="M50" s="70">
        <f t="shared" si="48"/>
        <v>15.789889415481833</v>
      </c>
      <c r="N50" s="7">
        <f t="shared" si="49"/>
        <v>23.120063191153235</v>
      </c>
      <c r="O50" s="7">
        <f t="shared" si="49"/>
        <v>25.300157977883096</v>
      </c>
      <c r="P50" s="7">
        <f t="shared" si="49"/>
        <v>19.802527646129541</v>
      </c>
      <c r="Q50" s="7">
        <f t="shared" si="49"/>
        <v>25.205371248025276</v>
      </c>
      <c r="R50" s="7">
        <f t="shared" si="49"/>
        <v>21.271721958925749</v>
      </c>
      <c r="S50" s="72">
        <f t="shared" si="49"/>
        <v>15.789889415481833</v>
      </c>
      <c r="T50" s="7">
        <f t="shared" si="20"/>
        <v>15.855207235738058</v>
      </c>
      <c r="U50" s="7">
        <f t="shared" si="21"/>
        <v>15.988471927378095</v>
      </c>
      <c r="V50" s="7">
        <f t="shared" si="22"/>
        <v>13.886765530245121</v>
      </c>
      <c r="W50" s="7">
        <f t="shared" si="23"/>
        <v>21.955898299673592</v>
      </c>
      <c r="X50" s="7">
        <f t="shared" si="24"/>
        <v>21.090344991994598</v>
      </c>
      <c r="Y50" s="72">
        <f t="shared" si="25"/>
        <v>18.426758566322597</v>
      </c>
      <c r="Z50">
        <f t="shared" si="36"/>
        <v>0.17523698239812283</v>
      </c>
      <c r="AA50" s="72">
        <f t="shared" si="37"/>
        <v>0.29933982917970087</v>
      </c>
      <c r="AB50">
        <f t="shared" si="43"/>
        <v>1.0689670638539626E-2</v>
      </c>
      <c r="AC50">
        <f t="shared" si="38"/>
        <v>7.3546970865939225E-3</v>
      </c>
      <c r="AD50">
        <f t="shared" si="39"/>
        <v>6.387912143912754E-3</v>
      </c>
      <c r="AE50">
        <f t="shared" si="40"/>
        <v>9.0019183028661708E-3</v>
      </c>
      <c r="AF50">
        <f t="shared" si="41"/>
        <v>8.6470414467177837E-3</v>
      </c>
      <c r="AG50">
        <f t="shared" si="42"/>
        <v>7.5549710121922643E-3</v>
      </c>
    </row>
    <row r="51" spans="1:41" x14ac:dyDescent="0.2">
      <c r="A51" s="2">
        <f t="shared" si="46"/>
        <v>152</v>
      </c>
      <c r="B51">
        <f t="shared" si="47"/>
        <v>2.153</v>
      </c>
      <c r="C51">
        <f t="shared" si="47"/>
        <v>2.2349999999999999</v>
      </c>
      <c r="D51">
        <f t="shared" si="47"/>
        <v>1.7070000000000001</v>
      </c>
      <c r="E51">
        <f t="shared" si="44"/>
        <v>2.1749999999999998</v>
      </c>
      <c r="F51">
        <f t="shared" si="44"/>
        <v>1.9219999999999999</v>
      </c>
      <c r="G51">
        <f t="shared" si="44"/>
        <v>1.363</v>
      </c>
      <c r="H51" s="76">
        <f t="shared" si="48"/>
        <v>33.167456556082151</v>
      </c>
      <c r="I51" s="12">
        <f t="shared" si="48"/>
        <v>34.46287519747235</v>
      </c>
      <c r="J51" s="12">
        <f t="shared" si="48"/>
        <v>26.121642969984205</v>
      </c>
      <c r="K51" s="12">
        <f t="shared" si="48"/>
        <v>33.515007898894154</v>
      </c>
      <c r="L51" s="12">
        <f t="shared" si="48"/>
        <v>29.518167456556082</v>
      </c>
      <c r="M51" s="70">
        <f t="shared" si="48"/>
        <v>20.687203791469194</v>
      </c>
      <c r="N51" s="7">
        <f t="shared" si="49"/>
        <v>33.167456556082151</v>
      </c>
      <c r="O51" s="7">
        <f t="shared" si="49"/>
        <v>34.46287519747235</v>
      </c>
      <c r="P51" s="7">
        <f t="shared" si="49"/>
        <v>26.121642969984205</v>
      </c>
      <c r="Q51" s="7">
        <f t="shared" si="49"/>
        <v>33.515007898894154</v>
      </c>
      <c r="R51" s="7">
        <f t="shared" si="49"/>
        <v>29.518167456556082</v>
      </c>
      <c r="S51" s="72">
        <f t="shared" si="49"/>
        <v>20.687203791469194</v>
      </c>
      <c r="T51" s="7">
        <f t="shared" si="20"/>
        <v>22.745478367907111</v>
      </c>
      <c r="U51" s="7">
        <f t="shared" si="21"/>
        <v>21.778864508008315</v>
      </c>
      <c r="V51" s="7">
        <f t="shared" si="22"/>
        <v>18.318122699848672</v>
      </c>
      <c r="W51" s="7">
        <f t="shared" si="23"/>
        <v>29.194257751649964</v>
      </c>
      <c r="X51" s="7">
        <f t="shared" si="24"/>
        <v>29.26647576497728</v>
      </c>
      <c r="Y51" s="72">
        <f t="shared" si="25"/>
        <v>24.141911298248569</v>
      </c>
      <c r="Z51">
        <f t="shared" si="36"/>
        <v>0.28414315640770799</v>
      </c>
      <c r="AA51" s="72">
        <f t="shared" si="37"/>
        <v>0.41549849578548442</v>
      </c>
      <c r="AB51">
        <f t="shared" si="43"/>
        <v>1.7756315377676777E-2</v>
      </c>
      <c r="AC51">
        <f t="shared" si="38"/>
        <v>1.0018277673683823E-2</v>
      </c>
      <c r="AD51">
        <f t="shared" si="39"/>
        <v>8.4263364419303877E-3</v>
      </c>
      <c r="AE51">
        <f t="shared" si="40"/>
        <v>1.1969645678176485E-2</v>
      </c>
      <c r="AF51">
        <f t="shared" si="41"/>
        <v>1.1999255063640683E-2</v>
      </c>
      <c r="AG51">
        <f t="shared" si="42"/>
        <v>9.8981836322819122E-3</v>
      </c>
    </row>
    <row r="52" spans="1:41" x14ac:dyDescent="0.2">
      <c r="A52" s="2">
        <f t="shared" si="46"/>
        <v>164</v>
      </c>
      <c r="B52">
        <f t="shared" si="47"/>
        <v>0.85299999999999998</v>
      </c>
      <c r="C52">
        <f t="shared" si="47"/>
        <v>0.89800000000000002</v>
      </c>
      <c r="D52">
        <f t="shared" si="47"/>
        <v>0.68</v>
      </c>
      <c r="E52">
        <f t="shared" si="44"/>
        <v>0.83799999999999997</v>
      </c>
      <c r="F52">
        <f t="shared" si="44"/>
        <v>0.65200000000000002</v>
      </c>
      <c r="G52">
        <f t="shared" si="44"/>
        <v>0.50700000000000001</v>
      </c>
      <c r="H52" s="76">
        <f t="shared" si="48"/>
        <v>12.630331753554502</v>
      </c>
      <c r="I52" s="12">
        <f t="shared" si="48"/>
        <v>13.341232227488153</v>
      </c>
      <c r="J52" s="12">
        <f t="shared" si="48"/>
        <v>9.8973143759873636</v>
      </c>
      <c r="K52" s="12">
        <f t="shared" si="48"/>
        <v>12.393364928909953</v>
      </c>
      <c r="L52" s="12">
        <f t="shared" si="48"/>
        <v>9.4549763033175367</v>
      </c>
      <c r="M52" s="70">
        <f t="shared" si="48"/>
        <v>7.1642969984202223</v>
      </c>
      <c r="N52" s="7">
        <f t="shared" si="49"/>
        <v>12.630331753554502</v>
      </c>
      <c r="O52" s="7">
        <f t="shared" si="49"/>
        <v>13.341232227488153</v>
      </c>
      <c r="P52" s="7">
        <f t="shared" si="49"/>
        <v>9.8973143759873636</v>
      </c>
      <c r="Q52" s="7">
        <f t="shared" si="49"/>
        <v>12.393364928909953</v>
      </c>
      <c r="R52" s="7">
        <f t="shared" si="49"/>
        <v>9.4549763033175367</v>
      </c>
      <c r="S52" s="72">
        <f t="shared" si="49"/>
        <v>7.1642969984202223</v>
      </c>
      <c r="T52" s="7">
        <f t="shared" si="20"/>
        <v>8.6615908335993037</v>
      </c>
      <c r="U52" s="7">
        <f t="shared" si="21"/>
        <v>8.4310112661072765</v>
      </c>
      <c r="V52" s="7">
        <f t="shared" si="22"/>
        <v>6.94061316689156</v>
      </c>
      <c r="W52" s="7">
        <f t="shared" si="23"/>
        <v>10.795614049573134</v>
      </c>
      <c r="X52" s="7">
        <f t="shared" si="24"/>
        <v>9.3743568345404906</v>
      </c>
      <c r="Y52" s="72">
        <f t="shared" si="25"/>
        <v>8.3607153675110553</v>
      </c>
      <c r="Z52">
        <f t="shared" si="36"/>
        <v>0.11509271624795919</v>
      </c>
      <c r="AA52" s="72">
        <f t="shared" si="37"/>
        <v>0.16592267275250069</v>
      </c>
      <c r="AB52">
        <f t="shared" si="43"/>
        <v>1.4447251832692949E-2</v>
      </c>
      <c r="AC52">
        <f t="shared" si="38"/>
        <v>3.8782651824093468E-3</v>
      </c>
      <c r="AD52">
        <f t="shared" si="39"/>
        <v>3.1926820567701173E-3</v>
      </c>
      <c r="AE52">
        <f t="shared" si="40"/>
        <v>4.4262017603249838E-3</v>
      </c>
      <c r="AF52">
        <f t="shared" si="41"/>
        <v>3.8434863021616001E-3</v>
      </c>
      <c r="AG52">
        <f t="shared" si="42"/>
        <v>3.4278933006795325E-3</v>
      </c>
    </row>
    <row r="53" spans="1:41" x14ac:dyDescent="0.2">
      <c r="A53" s="2">
        <f t="shared" si="46"/>
        <v>261</v>
      </c>
      <c r="B53">
        <f t="shared" ref="B53:G54" si="50">P23</f>
        <v>2.9009999999999998</v>
      </c>
      <c r="C53">
        <f t="shared" si="50"/>
        <v>2.8919999999999999</v>
      </c>
      <c r="D53">
        <f t="shared" si="50"/>
        <v>2.4510000000000001</v>
      </c>
      <c r="E53">
        <f t="shared" si="50"/>
        <v>2.5680000000000001</v>
      </c>
      <c r="F53">
        <f t="shared" si="50"/>
        <v>1.948</v>
      </c>
      <c r="G53">
        <f t="shared" si="50"/>
        <v>1.3149999999999999</v>
      </c>
      <c r="H53" s="76">
        <f t="shared" ref="H53:M54" si="51">(B53-0.0535)/0.0633</f>
        <v>44.984202211690359</v>
      </c>
      <c r="I53" s="12">
        <f t="shared" si="51"/>
        <v>44.842022116903635</v>
      </c>
      <c r="J53" s="12">
        <f t="shared" si="51"/>
        <v>37.875197472353875</v>
      </c>
      <c r="K53" s="12">
        <f t="shared" si="51"/>
        <v>39.723538704581358</v>
      </c>
      <c r="L53" s="12">
        <f t="shared" si="51"/>
        <v>29.928909952606634</v>
      </c>
      <c r="M53" s="70">
        <f t="shared" si="51"/>
        <v>19.928909952606634</v>
      </c>
      <c r="N53" s="7">
        <f t="shared" ref="N53:S54" si="52">H53</f>
        <v>44.984202211690359</v>
      </c>
      <c r="O53" s="7">
        <f t="shared" si="52"/>
        <v>44.842022116903635</v>
      </c>
      <c r="P53" s="7">
        <f t="shared" si="52"/>
        <v>37.875197472353875</v>
      </c>
      <c r="Q53" s="7">
        <f t="shared" si="52"/>
        <v>39.723538704581358</v>
      </c>
      <c r="R53" s="7">
        <f t="shared" si="52"/>
        <v>29.928909952606634</v>
      </c>
      <c r="S53" s="72">
        <f t="shared" si="52"/>
        <v>19.928909952606634</v>
      </c>
      <c r="T53" s="7">
        <f t="shared" si="20"/>
        <v>30.849130579954988</v>
      </c>
      <c r="U53" s="7">
        <f t="shared" si="21"/>
        <v>28.337981620894613</v>
      </c>
      <c r="V53" s="7">
        <f t="shared" si="22"/>
        <v>26.560447035311274</v>
      </c>
      <c r="W53" s="7">
        <f t="shared" si="23"/>
        <v>34.602385631168445</v>
      </c>
      <c r="X53" s="7">
        <f t="shared" si="24"/>
        <v>29.673715995049214</v>
      </c>
      <c r="Y53" s="72">
        <f t="shared" si="25"/>
        <v>23.25698442362777</v>
      </c>
      <c r="Z53">
        <f t="shared" si="36"/>
        <v>0.25724890670321598</v>
      </c>
      <c r="AA53" s="72">
        <f t="shared" si="37"/>
        <v>0.62651123959058697</v>
      </c>
      <c r="AB53">
        <f t="shared" si="43"/>
        <v>1.8174931850234971E-2</v>
      </c>
      <c r="AC53">
        <f t="shared" si="38"/>
        <v>1.3035471545611521E-2</v>
      </c>
      <c r="AD53">
        <f t="shared" si="39"/>
        <v>1.2217805636243187E-2</v>
      </c>
      <c r="AE53">
        <f t="shared" si="40"/>
        <v>1.4186978108779058E-2</v>
      </c>
      <c r="AF53">
        <f t="shared" si="41"/>
        <v>1.2166223557970177E-2</v>
      </c>
      <c r="AG53">
        <f t="shared" si="42"/>
        <v>9.5353636136873855E-3</v>
      </c>
    </row>
    <row r="54" spans="1:41" x14ac:dyDescent="0.2">
      <c r="A54" s="2">
        <f t="shared" si="46"/>
        <v>384</v>
      </c>
      <c r="B54">
        <f t="shared" si="50"/>
        <v>2.6749999999999998</v>
      </c>
      <c r="C54">
        <f t="shared" si="50"/>
        <v>2.9529999999999998</v>
      </c>
      <c r="D54">
        <f t="shared" si="50"/>
        <v>2.4929999999999999</v>
      </c>
      <c r="E54">
        <f t="shared" si="50"/>
        <v>1.7989999999999999</v>
      </c>
      <c r="F54">
        <f t="shared" si="50"/>
        <v>1.41</v>
      </c>
      <c r="G54">
        <f t="shared" si="50"/>
        <v>0.92700000000000005</v>
      </c>
      <c r="H54" s="76">
        <f t="shared" si="51"/>
        <v>41.413902053712476</v>
      </c>
      <c r="I54" s="12">
        <f t="shared" si="51"/>
        <v>45.805687203791472</v>
      </c>
      <c r="J54" s="12">
        <f t="shared" si="51"/>
        <v>38.538704581358608</v>
      </c>
      <c r="K54" s="12">
        <f t="shared" si="51"/>
        <v>27.575039494470772</v>
      </c>
      <c r="L54" s="12">
        <f t="shared" si="51"/>
        <v>21.429699842022117</v>
      </c>
      <c r="M54" s="70">
        <f t="shared" si="51"/>
        <v>13.799368088467617</v>
      </c>
      <c r="N54" s="7">
        <f t="shared" si="52"/>
        <v>41.413902053712476</v>
      </c>
      <c r="O54" s="7">
        <f t="shared" si="52"/>
        <v>45.805687203791472</v>
      </c>
      <c r="P54" s="7">
        <f t="shared" si="52"/>
        <v>38.538704581358608</v>
      </c>
      <c r="Q54" s="7">
        <f t="shared" si="52"/>
        <v>27.575039494470772</v>
      </c>
      <c r="R54" s="7">
        <f t="shared" si="52"/>
        <v>21.429699842022117</v>
      </c>
      <c r="S54" s="72">
        <f t="shared" si="52"/>
        <v>13.799368088467617</v>
      </c>
      <c r="T54" s="7">
        <f t="shared" si="20"/>
        <v>28.400700900913783</v>
      </c>
      <c r="U54" s="7">
        <f t="shared" si="21"/>
        <v>28.946971185409176</v>
      </c>
      <c r="V54" s="7">
        <f t="shared" si="22"/>
        <v>27.025739538119641</v>
      </c>
      <c r="W54" s="7">
        <f t="shared" si="23"/>
        <v>24.020069246054689</v>
      </c>
      <c r="X54" s="7">
        <f t="shared" si="24"/>
        <v>21.246975849714573</v>
      </c>
      <c r="Y54" s="72">
        <f t="shared" si="25"/>
        <v>16.103825520443017</v>
      </c>
      <c r="Z54">
        <f t="shared" si="36"/>
        <v>0.23166354913969525</v>
      </c>
      <c r="AA54" s="72">
        <f t="shared" si="37"/>
        <v>0.43684360282981666</v>
      </c>
      <c r="AB54">
        <f t="shared" si="43"/>
        <v>2.7254922481199637E-2</v>
      </c>
      <c r="AC54">
        <f t="shared" si="38"/>
        <v>1.3315606745288219E-2</v>
      </c>
      <c r="AD54">
        <f t="shared" si="39"/>
        <v>1.2431840187535034E-2</v>
      </c>
      <c r="AE54">
        <f t="shared" si="40"/>
        <v>9.848228390882419E-3</v>
      </c>
      <c r="AF54">
        <f t="shared" si="41"/>
        <v>8.7112600983829756E-3</v>
      </c>
      <c r="AG54">
        <f t="shared" si="42"/>
        <v>6.6025684633816348E-3</v>
      </c>
    </row>
    <row r="55" spans="1:41" x14ac:dyDescent="0.2">
      <c r="A55" s="2">
        <f>C25</f>
        <v>508</v>
      </c>
      <c r="B55">
        <f t="shared" ref="B55:G57" si="53">P25</f>
        <v>2.3839999999999999</v>
      </c>
      <c r="C55">
        <f t="shared" si="53"/>
        <v>2.5339999999999998</v>
      </c>
      <c r="D55">
        <f t="shared" si="53"/>
        <v>2.0339999999999998</v>
      </c>
      <c r="E55">
        <f t="shared" si="53"/>
        <v>1.246</v>
      </c>
      <c r="F55">
        <f t="shared" si="53"/>
        <v>1.0649999999999999</v>
      </c>
      <c r="G55">
        <f t="shared" si="53"/>
        <v>0.69899999999999995</v>
      </c>
      <c r="H55" s="76">
        <f t="shared" ref="H55:M57" si="54">(B55-0.0535)/0.0633</f>
        <v>36.816745655608216</v>
      </c>
      <c r="I55" s="12">
        <f t="shared" si="54"/>
        <v>39.186413902053708</v>
      </c>
      <c r="J55" s="12">
        <f t="shared" si="54"/>
        <v>31.287519747235386</v>
      </c>
      <c r="K55" s="12">
        <f t="shared" si="54"/>
        <v>18.838862559241704</v>
      </c>
      <c r="L55" s="12">
        <f t="shared" si="54"/>
        <v>15.979462875197472</v>
      </c>
      <c r="M55" s="70">
        <f t="shared" si="54"/>
        <v>10.197472353870458</v>
      </c>
      <c r="N55" s="7">
        <f t="shared" ref="N55:S57" si="55">H55</f>
        <v>36.816745655608216</v>
      </c>
      <c r="O55" s="7">
        <f t="shared" si="55"/>
        <v>39.186413902053708</v>
      </c>
      <c r="P55" s="7">
        <f t="shared" si="55"/>
        <v>31.287519747235386</v>
      </c>
      <c r="Q55" s="7">
        <f t="shared" si="55"/>
        <v>18.838862559241704</v>
      </c>
      <c r="R55" s="7">
        <f t="shared" si="55"/>
        <v>15.979462875197472</v>
      </c>
      <c r="S55" s="72">
        <f t="shared" si="55"/>
        <v>10.197472353870458</v>
      </c>
      <c r="T55" s="7">
        <f>N55/$P$70*100</f>
        <v>25.24807684515719</v>
      </c>
      <c r="U55" s="7">
        <f>O55/$P$71*100</f>
        <v>24.763911717678027</v>
      </c>
      <c r="V55" s="7">
        <f>P55/$P$72*100</f>
        <v>21.940757185999573</v>
      </c>
      <c r="W55" s="7">
        <f>Q55/$V$70*100</f>
        <v>16.410159023729712</v>
      </c>
      <c r="X55" s="7">
        <f>R55/$V$71*100</f>
        <v>15.843211258375444</v>
      </c>
      <c r="Y55" s="72">
        <f>S55/$V$72*100</f>
        <v>11.900422865994233</v>
      </c>
      <c r="Z55">
        <f t="shared" si="36"/>
        <v>0.25658007197234423</v>
      </c>
      <c r="AA55" s="72">
        <f t="shared" si="37"/>
        <v>0.27866527112888234</v>
      </c>
      <c r="AB55">
        <f t="shared" si="43"/>
        <v>2.4678437763192645E-2</v>
      </c>
      <c r="AC55">
        <f t="shared" si="38"/>
        <v>1.1391399390131892E-2</v>
      </c>
      <c r="AD55">
        <f t="shared" si="39"/>
        <v>1.0092748305559802E-2</v>
      </c>
      <c r="AE55">
        <f t="shared" si="40"/>
        <v>6.7281651997291797E-3</v>
      </c>
      <c r="AF55">
        <f t="shared" si="41"/>
        <v>6.4957166159339327E-3</v>
      </c>
      <c r="AG55">
        <f t="shared" si="42"/>
        <v>4.8791733750576357E-3</v>
      </c>
    </row>
    <row r="56" spans="1:41" x14ac:dyDescent="0.2">
      <c r="A56" s="2">
        <f>C26</f>
        <v>522</v>
      </c>
      <c r="B56">
        <f t="shared" si="53"/>
        <v>0.42899999999999999</v>
      </c>
      <c r="C56">
        <f t="shared" si="53"/>
        <v>0.63</v>
      </c>
      <c r="D56">
        <f t="shared" si="53"/>
        <v>0.48099999999999998</v>
      </c>
      <c r="E56">
        <f t="shared" si="53"/>
        <v>0.26400000000000001</v>
      </c>
      <c r="F56">
        <f t="shared" si="53"/>
        <v>0.214</v>
      </c>
      <c r="G56">
        <f t="shared" si="53"/>
        <v>0.28000000000000003</v>
      </c>
      <c r="H56" s="76">
        <f t="shared" si="54"/>
        <v>5.9320695102685628</v>
      </c>
      <c r="I56" s="12">
        <f t="shared" si="54"/>
        <v>9.1074249605055293</v>
      </c>
      <c r="J56" s="12">
        <f t="shared" si="54"/>
        <v>6.7535545023696688</v>
      </c>
      <c r="K56" s="12">
        <f t="shared" si="54"/>
        <v>3.3254344391785158</v>
      </c>
      <c r="L56" s="12">
        <f t="shared" si="54"/>
        <v>2.5355450236966828</v>
      </c>
      <c r="M56" s="70">
        <f t="shared" si="54"/>
        <v>3.5781990521327023</v>
      </c>
      <c r="N56" s="7">
        <f t="shared" si="55"/>
        <v>5.9320695102685628</v>
      </c>
      <c r="O56" s="7">
        <f t="shared" si="55"/>
        <v>9.1074249605055293</v>
      </c>
      <c r="P56" s="7">
        <f t="shared" si="55"/>
        <v>6.7535545023696688</v>
      </c>
      <c r="Q56" s="7">
        <f t="shared" si="55"/>
        <v>3.3254344391785158</v>
      </c>
      <c r="R56" s="7">
        <f t="shared" si="55"/>
        <v>2.5355450236966828</v>
      </c>
      <c r="S56" s="72">
        <f t="shared" si="55"/>
        <v>3.5781990521327023</v>
      </c>
      <c r="T56" s="7">
        <f>N56/$P$70*100</f>
        <v>4.0680767454866018</v>
      </c>
      <c r="U56" s="7">
        <f>O56/$P$71*100</f>
        <v>5.7554505564367604</v>
      </c>
      <c r="V56" s="7">
        <f>P56/$P$72*100</f>
        <v>4.7360129750137929</v>
      </c>
      <c r="W56" s="7">
        <f>Q56/$V$70*100</f>
        <v>2.8967198947548054</v>
      </c>
      <c r="X56" s="7">
        <f>R56/$V$71*100</f>
        <v>2.5139252664055949</v>
      </c>
      <c r="Y56" s="72">
        <f>S56/$V$72*100</f>
        <v>4.1757486896168778</v>
      </c>
      <c r="Z56">
        <f t="shared" si="36"/>
        <v>0.10432800838381506</v>
      </c>
      <c r="AA56" s="72">
        <f t="shared" si="37"/>
        <v>3.4428670223134436E-2</v>
      </c>
      <c r="AB56">
        <f t="shared" si="43"/>
        <v>1.3485430651696145E-2</v>
      </c>
      <c r="AC56">
        <f t="shared" si="38"/>
        <v>2.6475072559609095E-3</v>
      </c>
      <c r="AD56">
        <f t="shared" si="39"/>
        <v>2.1785659685063445E-3</v>
      </c>
      <c r="AE56">
        <f t="shared" si="40"/>
        <v>1.18765515684947E-3</v>
      </c>
      <c r="AF56">
        <f t="shared" si="41"/>
        <v>1.0307093592262938E-3</v>
      </c>
      <c r="AG56">
        <f t="shared" si="42"/>
        <v>1.7120569627429199E-3</v>
      </c>
      <c r="AH56" s="37"/>
      <c r="AI56" s="37"/>
      <c r="AJ56" s="37"/>
      <c r="AK56" s="37"/>
      <c r="AL56" s="37"/>
      <c r="AM56" s="37"/>
      <c r="AN56" s="37"/>
      <c r="AO56" s="38"/>
    </row>
    <row r="57" spans="1:41" x14ac:dyDescent="0.2">
      <c r="A57" s="2">
        <f>C27</f>
        <v>1107</v>
      </c>
      <c r="B57">
        <f t="shared" si="53"/>
        <v>2.762</v>
      </c>
      <c r="C57">
        <f t="shared" si="53"/>
        <v>3.11</v>
      </c>
      <c r="D57">
        <f t="shared" si="53"/>
        <v>2.7469999999999999</v>
      </c>
      <c r="E57">
        <f t="shared" si="53"/>
        <v>1.2270000000000001</v>
      </c>
      <c r="F57">
        <f t="shared" si="53"/>
        <v>0.96399999999999997</v>
      </c>
      <c r="G57">
        <f t="shared" si="53"/>
        <v>0.754</v>
      </c>
      <c r="H57" s="76">
        <f t="shared" si="54"/>
        <v>42.788309636650872</v>
      </c>
      <c r="I57" s="12">
        <f t="shared" si="54"/>
        <v>48.285939968404421</v>
      </c>
      <c r="J57" s="12">
        <f t="shared" si="54"/>
        <v>42.551342812006318</v>
      </c>
      <c r="K57" s="12">
        <f t="shared" si="54"/>
        <v>18.538704581358612</v>
      </c>
      <c r="L57" s="12">
        <f t="shared" si="54"/>
        <v>14.383886255924171</v>
      </c>
      <c r="M57" s="70">
        <f t="shared" si="54"/>
        <v>11.066350710900474</v>
      </c>
      <c r="N57" s="7">
        <f t="shared" si="55"/>
        <v>42.788309636650872</v>
      </c>
      <c r="O57" s="7">
        <f t="shared" si="55"/>
        <v>48.285939968404421</v>
      </c>
      <c r="P57" s="7">
        <f t="shared" si="55"/>
        <v>42.551342812006318</v>
      </c>
      <c r="Q57" s="7">
        <f t="shared" si="55"/>
        <v>18.538704581358612</v>
      </c>
      <c r="R57" s="7">
        <f t="shared" si="55"/>
        <v>14.383886255924171</v>
      </c>
      <c r="S57" s="72">
        <f t="shared" si="55"/>
        <v>11.066350710900474</v>
      </c>
      <c r="T57" s="7">
        <f>N57/$P$70*100</f>
        <v>29.343237989748232</v>
      </c>
      <c r="U57" s="7">
        <f>O57/$P$71*100</f>
        <v>30.514370556372867</v>
      </c>
      <c r="V57" s="7">
        <f>P57/$P$72*100</f>
        <v>29.839651340817895</v>
      </c>
      <c r="W57" s="7">
        <f>Q57/$V$70*100</f>
        <v>16.148697370521443</v>
      </c>
      <c r="X57" s="7">
        <f>R57/$V$71*100</f>
        <v>14.261239595403701</v>
      </c>
      <c r="Y57" s="72">
        <f>S57/$V$72*100</f>
        <v>12.91440157649723</v>
      </c>
      <c r="Z57">
        <f t="shared" si="36"/>
        <v>0.20538500432115286</v>
      </c>
      <c r="AA57" s="72">
        <f t="shared" si="37"/>
        <v>0.23699437405418156</v>
      </c>
      <c r="AB57">
        <f t="shared" si="43"/>
        <v>1.5369204778208025E-2</v>
      </c>
      <c r="AC57">
        <f t="shared" si="38"/>
        <v>1.4036610455931518E-2</v>
      </c>
      <c r="AD57">
        <f t="shared" si="39"/>
        <v>1.372623961677623E-2</v>
      </c>
      <c r="AE57">
        <f t="shared" si="40"/>
        <v>6.6209659219137913E-3</v>
      </c>
      <c r="AF57">
        <f t="shared" si="41"/>
        <v>5.8471082341155171E-3</v>
      </c>
      <c r="AG57">
        <f t="shared" si="42"/>
        <v>5.2949046463638639E-3</v>
      </c>
      <c r="AH57" s="7"/>
      <c r="AI57" s="7"/>
      <c r="AJ57" s="7"/>
      <c r="AK57" s="7"/>
      <c r="AL57" s="7"/>
      <c r="AM57" s="7"/>
      <c r="AN57" s="7"/>
      <c r="AO57" s="39"/>
    </row>
    <row r="58" spans="1:41" x14ac:dyDescent="0.2">
      <c r="Y58" s="72"/>
      <c r="AA58" s="72"/>
      <c r="AC58" s="35"/>
      <c r="AD58" s="35"/>
      <c r="AE58" s="79"/>
      <c r="AF58" s="35"/>
      <c r="AG58" s="35"/>
      <c r="AH58" s="7"/>
      <c r="AI58" s="7"/>
      <c r="AJ58" s="7"/>
      <c r="AK58" s="7"/>
      <c r="AL58" s="7"/>
      <c r="AM58" s="7"/>
      <c r="AN58" s="7"/>
      <c r="AO58" s="39"/>
    </row>
    <row r="59" spans="1:41" x14ac:dyDescent="0.2">
      <c r="M59" t="s">
        <v>49</v>
      </c>
      <c r="N59" s="7">
        <f t="shared" ref="N59:S59" si="56">SUM(N38:N57)</f>
        <v>942.78041074249609</v>
      </c>
      <c r="O59" s="7">
        <f t="shared" si="56"/>
        <v>974.28120063191159</v>
      </c>
      <c r="P59" s="7">
        <f t="shared" si="56"/>
        <v>933.22274881516591</v>
      </c>
      <c r="Q59" s="7">
        <f t="shared" si="56"/>
        <v>454.94470774091633</v>
      </c>
      <c r="R59" s="7">
        <f t="shared" si="56"/>
        <v>398.51500789889423</v>
      </c>
      <c r="S59" s="7">
        <f t="shared" si="56"/>
        <v>354.6129541864139</v>
      </c>
      <c r="AC59" s="35"/>
      <c r="AD59" s="25"/>
      <c r="AE59" s="33"/>
      <c r="AF59" s="33"/>
      <c r="AG59" s="33"/>
      <c r="AH59" s="7"/>
      <c r="AI59" s="7"/>
      <c r="AJ59" s="7"/>
      <c r="AK59" s="7"/>
      <c r="AL59" s="7"/>
      <c r="AM59" s="7"/>
      <c r="AN59" s="7"/>
      <c r="AO59" s="39"/>
    </row>
    <row r="60" spans="1:41" x14ac:dyDescent="0.2">
      <c r="M60" s="1" t="s">
        <v>48</v>
      </c>
      <c r="N60">
        <f>3.17-(N59/1000)</f>
        <v>2.227219589257504</v>
      </c>
      <c r="O60">
        <f>3.44-(O59/1000)</f>
        <v>2.4657187993680885</v>
      </c>
      <c r="P60">
        <f>3.1-(P59/1000)</f>
        <v>2.1667772511848344</v>
      </c>
      <c r="Q60">
        <f>2.8-(Q59/1000)</f>
        <v>2.3450552922590835</v>
      </c>
      <c r="R60">
        <f>2.46-(R59/1000)</f>
        <v>2.0614849921011058</v>
      </c>
      <c r="S60">
        <f>2.09-(S59/1000)</f>
        <v>1.735387045813586</v>
      </c>
      <c r="AC60" s="35"/>
      <c r="AD60" s="25"/>
      <c r="AE60" s="35"/>
      <c r="AF60" s="35"/>
      <c r="AG60" s="25"/>
      <c r="AH60" s="7"/>
      <c r="AI60" s="7"/>
      <c r="AJ60" s="7"/>
      <c r="AK60" s="7"/>
      <c r="AL60" s="7"/>
      <c r="AM60" s="7"/>
      <c r="AN60" s="7"/>
      <c r="AO60" s="39"/>
    </row>
    <row r="61" spans="1:41" x14ac:dyDescent="0.2">
      <c r="A61" s="2"/>
      <c r="F61" s="12"/>
      <c r="G61" s="12"/>
      <c r="H61" s="12"/>
      <c r="I61" s="12"/>
      <c r="J61" s="12"/>
      <c r="K61" s="12"/>
      <c r="L61" s="12"/>
      <c r="M61" s="12" t="s">
        <v>50</v>
      </c>
      <c r="N61">
        <f t="shared" ref="N61:S61" si="57">N59/1000/N60</f>
        <v>0.42329926303171306</v>
      </c>
      <c r="O61">
        <f t="shared" si="57"/>
        <v>0.39513070220399799</v>
      </c>
      <c r="P61">
        <f t="shared" si="57"/>
        <v>0.43069620945340004</v>
      </c>
      <c r="Q61">
        <f t="shared" si="57"/>
        <v>0.1940016976327455</v>
      </c>
      <c r="R61">
        <f t="shared" si="57"/>
        <v>0.1933145326916593</v>
      </c>
      <c r="S61">
        <f t="shared" si="57"/>
        <v>0.20434228493400092</v>
      </c>
      <c r="AC61" s="35"/>
      <c r="AD61" s="34"/>
      <c r="AE61" s="35"/>
      <c r="AF61" s="35"/>
      <c r="AG61" s="35"/>
      <c r="AH61" s="7"/>
      <c r="AI61" s="7"/>
      <c r="AJ61" s="7"/>
      <c r="AK61" s="7"/>
      <c r="AL61" s="7"/>
      <c r="AM61" s="7"/>
      <c r="AN61" s="7"/>
      <c r="AO61" s="39"/>
    </row>
    <row r="62" spans="1:41" x14ac:dyDescent="0.2">
      <c r="A62" s="2"/>
      <c r="F62" s="12"/>
      <c r="G62" s="12"/>
      <c r="H62" s="12"/>
      <c r="I62" s="12"/>
      <c r="J62" s="12"/>
      <c r="K62" s="12"/>
      <c r="L62" s="12"/>
      <c r="M62" s="12" t="s">
        <v>51</v>
      </c>
      <c r="N62">
        <f>AVERAGE(N61:P61)</f>
        <v>0.41637539156303705</v>
      </c>
      <c r="Q62">
        <f>AVERAGE(Q61:S61)</f>
        <v>0.19721950508613525</v>
      </c>
      <c r="AC62" s="35"/>
      <c r="AD62" s="34"/>
      <c r="AE62" s="35"/>
      <c r="AF62" s="35"/>
      <c r="AG62" s="35"/>
      <c r="AH62" s="7"/>
      <c r="AI62" s="7"/>
      <c r="AJ62" s="7"/>
      <c r="AK62" s="7"/>
      <c r="AL62" s="7"/>
      <c r="AM62" s="7"/>
      <c r="AN62" s="7"/>
      <c r="AO62" s="39"/>
    </row>
    <row r="63" spans="1:41" x14ac:dyDescent="0.2">
      <c r="A63" s="2"/>
      <c r="F63" s="12"/>
      <c r="G63" s="12"/>
      <c r="H63" s="12"/>
      <c r="I63" s="12"/>
      <c r="J63" s="12"/>
      <c r="K63" s="12"/>
      <c r="L63" s="12"/>
      <c r="M63" s="12" t="s">
        <v>52</v>
      </c>
      <c r="N63">
        <f>_xlfn.STDEV.S(N61:P61)/SQRT(3)</f>
        <v>1.0834840770447851E-2</v>
      </c>
      <c r="Q63">
        <f>_xlfn.STDEV.S(Q61:S61)/SQRT(3)</f>
        <v>3.5669101233857664E-3</v>
      </c>
      <c r="AC63" s="35"/>
      <c r="AD63" s="34"/>
      <c r="AE63" s="35"/>
      <c r="AF63" s="35"/>
      <c r="AG63" s="35"/>
      <c r="AH63" s="7"/>
      <c r="AI63" s="7"/>
      <c r="AJ63" s="7"/>
      <c r="AK63" s="7"/>
      <c r="AL63" s="7"/>
      <c r="AM63" s="7"/>
      <c r="AN63" s="7"/>
      <c r="AO63" s="39"/>
    </row>
    <row r="64" spans="1:41" x14ac:dyDescent="0.2">
      <c r="A64" s="2"/>
      <c r="F64" s="12"/>
      <c r="G64" s="12"/>
      <c r="H64" s="12"/>
      <c r="I64" s="12"/>
      <c r="J64" s="12"/>
      <c r="K64" s="12"/>
      <c r="L64" s="12"/>
      <c r="M64" s="12"/>
      <c r="AC64" s="35"/>
      <c r="AD64" s="34"/>
      <c r="AE64" s="35"/>
      <c r="AF64" s="35"/>
      <c r="AG64" s="35"/>
      <c r="AH64" s="7"/>
      <c r="AI64" s="7"/>
      <c r="AJ64" s="7"/>
      <c r="AK64" s="7"/>
      <c r="AL64" s="7"/>
      <c r="AM64" s="7"/>
      <c r="AN64" s="7"/>
      <c r="AO64" s="39"/>
    </row>
    <row r="65" spans="13:41" x14ac:dyDescent="0.2">
      <c r="N65" s="23" t="s">
        <v>42</v>
      </c>
      <c r="S65" s="1" t="s">
        <v>43</v>
      </c>
      <c r="T65" s="23" t="s">
        <v>44</v>
      </c>
      <c r="Y65" s="55"/>
      <c r="Z65" s="32"/>
      <c r="AA65" s="32"/>
      <c r="AB65" s="32"/>
      <c r="AC65" s="35"/>
      <c r="AD65" s="35"/>
      <c r="AE65" s="35"/>
      <c r="AF65" s="35"/>
      <c r="AG65" s="34"/>
      <c r="AH65" s="7"/>
      <c r="AI65" s="7"/>
      <c r="AJ65" s="7"/>
      <c r="AK65" s="7"/>
      <c r="AL65" s="7"/>
      <c r="AM65" s="7"/>
      <c r="AN65" s="7"/>
      <c r="AO65" s="39"/>
    </row>
    <row r="66" spans="13:41" x14ac:dyDescent="0.2">
      <c r="N66" t="s">
        <v>12</v>
      </c>
      <c r="T66" t="s">
        <v>12</v>
      </c>
      <c r="Y66" s="32"/>
      <c r="Z66" s="32"/>
      <c r="AA66" s="32"/>
      <c r="AB66" s="32"/>
      <c r="AC66" s="35"/>
      <c r="AD66" s="35"/>
      <c r="AE66" s="35"/>
      <c r="AF66" s="35"/>
      <c r="AG66" s="35"/>
      <c r="AH66" s="7"/>
      <c r="AI66" s="7"/>
      <c r="AJ66" s="7"/>
      <c r="AK66" s="7"/>
      <c r="AL66" s="7"/>
      <c r="AM66" s="7"/>
      <c r="AN66" s="7"/>
      <c r="AO66" s="39"/>
    </row>
    <row r="67" spans="13:41" x14ac:dyDescent="0.2">
      <c r="N67" s="1" t="s">
        <v>45</v>
      </c>
      <c r="T67" s="1" t="s">
        <v>45</v>
      </c>
      <c r="Y67" s="31"/>
      <c r="Z67" s="32"/>
      <c r="AA67" s="32"/>
      <c r="AB67" s="32"/>
      <c r="AC67" s="35"/>
      <c r="AD67" s="35"/>
      <c r="AE67" s="35"/>
      <c r="AF67" s="35"/>
      <c r="AG67" s="35"/>
      <c r="AH67" s="7"/>
      <c r="AI67" s="7"/>
      <c r="AJ67" s="7"/>
      <c r="AK67" s="7"/>
      <c r="AL67" s="7"/>
      <c r="AM67" s="7"/>
      <c r="AN67" s="7"/>
      <c r="AO67" s="39"/>
    </row>
    <row r="68" spans="13:41" x14ac:dyDescent="0.2">
      <c r="N68" s="31"/>
      <c r="T68" s="1"/>
      <c r="Y68" s="31"/>
      <c r="Z68" s="32"/>
      <c r="AA68" s="32"/>
      <c r="AB68" s="32"/>
      <c r="AC68" s="35"/>
      <c r="AD68" s="35"/>
      <c r="AE68" s="35"/>
      <c r="AF68" s="35"/>
      <c r="AG68" s="35"/>
      <c r="AH68" s="7"/>
      <c r="AI68" s="7"/>
      <c r="AJ68" s="7"/>
      <c r="AK68" s="7"/>
      <c r="AL68" s="7"/>
      <c r="AM68" s="7"/>
      <c r="AN68" s="7"/>
      <c r="AO68" s="39"/>
    </row>
    <row r="69" spans="13:41" ht="51" x14ac:dyDescent="0.2">
      <c r="N69" s="24" t="s">
        <v>24</v>
      </c>
      <c r="O69" s="11" t="s">
        <v>13</v>
      </c>
      <c r="P69" s="24" t="s">
        <v>25</v>
      </c>
      <c r="Q69" s="24"/>
      <c r="S69" s="24"/>
      <c r="T69" s="24" t="s">
        <v>24</v>
      </c>
      <c r="U69" s="11" t="s">
        <v>13</v>
      </c>
      <c r="V69" s="11" t="s">
        <v>14</v>
      </c>
      <c r="W69" s="24"/>
      <c r="Y69" s="56"/>
      <c r="Z69" s="57"/>
      <c r="AA69" s="56"/>
      <c r="AB69" s="32"/>
      <c r="AC69" s="35"/>
      <c r="AD69" s="35"/>
      <c r="AE69" s="35"/>
      <c r="AF69" s="35"/>
      <c r="AG69" s="35"/>
      <c r="AH69" s="7"/>
      <c r="AI69" s="7"/>
      <c r="AJ69" s="7"/>
      <c r="AK69" s="7"/>
      <c r="AL69" s="7"/>
      <c r="AM69" s="7"/>
      <c r="AN69" s="7"/>
      <c r="AO69" s="39"/>
    </row>
    <row r="70" spans="13:41" x14ac:dyDescent="0.2">
      <c r="M70" s="68" t="s">
        <v>40</v>
      </c>
      <c r="N70" s="32">
        <v>4.5999999999999996</v>
      </c>
      <c r="O70" s="32">
        <f>$N$70/100*3.17</f>
        <v>0.14582000000000001</v>
      </c>
      <c r="P70">
        <f>O70*1000</f>
        <v>145.82</v>
      </c>
      <c r="S70" s="68" t="s">
        <v>28</v>
      </c>
      <c r="T70" s="1">
        <v>4.0999999999999996</v>
      </c>
      <c r="U70" s="50">
        <f>$T$70/100*2.8</f>
        <v>0.11479999999999997</v>
      </c>
      <c r="V70">
        <f>U70*1000</f>
        <v>114.79999999999997</v>
      </c>
      <c r="X70" s="1"/>
      <c r="Y70" s="31"/>
      <c r="Z70" s="32"/>
      <c r="AA70" s="32"/>
      <c r="AB70" s="32"/>
      <c r="AC70" s="35"/>
      <c r="AD70" s="35"/>
      <c r="AE70" s="35"/>
      <c r="AF70" s="36"/>
      <c r="AG70" s="36"/>
      <c r="AH70" s="40"/>
      <c r="AI70" s="40"/>
      <c r="AJ70" s="40"/>
      <c r="AK70" s="40"/>
      <c r="AL70" s="40"/>
      <c r="AM70" s="40"/>
      <c r="AN70" s="40"/>
      <c r="AO70" s="41"/>
    </row>
    <row r="71" spans="13:41" x14ac:dyDescent="0.2">
      <c r="M71" s="68" t="s">
        <v>41</v>
      </c>
      <c r="O71" s="32">
        <f>$N$70/100*3.44</f>
        <v>0.15823999999999999</v>
      </c>
      <c r="P71">
        <f>O71*1000</f>
        <v>158.23999999999998</v>
      </c>
      <c r="S71" s="68" t="s">
        <v>29</v>
      </c>
      <c r="T71" s="1"/>
      <c r="U71" s="50">
        <f>$T$70/100*2.46</f>
        <v>0.10085999999999999</v>
      </c>
      <c r="V71">
        <f>U71*1000</f>
        <v>100.85999999999999</v>
      </c>
      <c r="X71" s="1"/>
      <c r="Y71" s="31"/>
      <c r="Z71" s="32"/>
      <c r="AA71" s="32"/>
      <c r="AB71" s="32"/>
      <c r="AC71" s="35"/>
      <c r="AD71" s="34"/>
      <c r="AE71" s="35"/>
      <c r="AF71" s="35"/>
      <c r="AG71" s="35"/>
      <c r="AH71" s="7"/>
      <c r="AI71" s="7"/>
      <c r="AJ71" s="7"/>
      <c r="AK71" s="7"/>
      <c r="AL71" s="7"/>
      <c r="AM71" s="7"/>
      <c r="AN71" s="7"/>
      <c r="AO71" s="39"/>
    </row>
    <row r="72" spans="13:41" x14ac:dyDescent="0.2">
      <c r="M72" s="68" t="s">
        <v>38</v>
      </c>
      <c r="O72" s="32">
        <f>$N$70/100*3.1</f>
        <v>0.1426</v>
      </c>
      <c r="P72">
        <f>O72*1000</f>
        <v>142.6</v>
      </c>
      <c r="S72" s="68" t="s">
        <v>39</v>
      </c>
      <c r="T72" s="1"/>
      <c r="U72" s="50">
        <f>$T$70/100*2.09</f>
        <v>8.5689999999999988E-2</v>
      </c>
      <c r="V72">
        <f>U72*1000</f>
        <v>85.689999999999984</v>
      </c>
      <c r="X72" s="1"/>
      <c r="Y72" s="31"/>
      <c r="Z72" s="32"/>
      <c r="AA72" s="32"/>
      <c r="AB72" s="32"/>
      <c r="AC72" s="35"/>
      <c r="AD72" s="34"/>
      <c r="AE72" s="35"/>
      <c r="AF72" s="35"/>
      <c r="AG72" s="35"/>
      <c r="AH72" s="7"/>
      <c r="AI72" s="7"/>
      <c r="AJ72" s="7"/>
      <c r="AK72" s="7"/>
      <c r="AL72" s="7"/>
      <c r="AM72" s="7"/>
      <c r="AN72" s="7"/>
      <c r="AO72" s="39"/>
    </row>
    <row r="73" spans="13:41" x14ac:dyDescent="0.2">
      <c r="Y73" s="32"/>
      <c r="Z73" s="32"/>
      <c r="AA73" s="32"/>
      <c r="AB73" s="32"/>
      <c r="AC73" s="35"/>
      <c r="AD73" s="35"/>
      <c r="AE73" s="35"/>
      <c r="AF73" s="35"/>
      <c r="AG73" s="35"/>
      <c r="AH73" s="7"/>
      <c r="AI73" s="7"/>
      <c r="AJ73" s="7"/>
      <c r="AK73" s="7"/>
      <c r="AL73" s="7"/>
      <c r="AM73" s="7"/>
      <c r="AN73" s="7"/>
      <c r="AO73" s="39"/>
    </row>
    <row r="74" spans="13:41" x14ac:dyDescent="0.2">
      <c r="M74" s="68" t="s">
        <v>40</v>
      </c>
      <c r="N74" s="1" t="s">
        <v>16</v>
      </c>
      <c r="O74" s="1" t="s">
        <v>17</v>
      </c>
      <c r="Q74" s="53" t="s">
        <v>31</v>
      </c>
      <c r="R74" s="53"/>
      <c r="S74" s="68" t="s">
        <v>28</v>
      </c>
      <c r="T74" s="1" t="s">
        <v>16</v>
      </c>
      <c r="U74" s="1" t="s">
        <v>17</v>
      </c>
      <c r="W74" s="53" t="s">
        <v>31</v>
      </c>
      <c r="X74" s="53"/>
      <c r="Y74" s="31"/>
      <c r="Z74" s="32"/>
      <c r="AA74" s="58"/>
      <c r="AB74" s="58"/>
      <c r="AC74" s="35"/>
      <c r="AD74" s="34"/>
      <c r="AE74" s="35"/>
      <c r="AF74" s="35"/>
      <c r="AG74" s="35"/>
      <c r="AH74" s="7"/>
      <c r="AI74" s="7"/>
      <c r="AJ74" s="7"/>
      <c r="AK74" s="7"/>
      <c r="AL74" s="7"/>
      <c r="AM74" s="7"/>
      <c r="AN74" s="7"/>
      <c r="AO74" s="39"/>
    </row>
    <row r="75" spans="13:41" x14ac:dyDescent="0.2">
      <c r="N75" s="2">
        <f t="shared" ref="N75:N93" si="58">A37</f>
        <v>0.33333333333333331</v>
      </c>
      <c r="O75">
        <f>T37</f>
        <v>25.529754595843347</v>
      </c>
      <c r="P75">
        <f>O75/$O$95*100</f>
        <v>3.7986926629536786</v>
      </c>
      <c r="Q75" s="53"/>
      <c r="R75" s="53"/>
      <c r="T75" s="2">
        <f t="shared" ref="T75:T93" si="59">A37</f>
        <v>0.33333333333333331</v>
      </c>
      <c r="U75">
        <f>W37</f>
        <v>25.13472155710048</v>
      </c>
      <c r="V75">
        <f>U75/$U$95*100</f>
        <v>5.964179007004196</v>
      </c>
      <c r="W75" s="53"/>
      <c r="X75" s="53"/>
      <c r="Y75" s="32"/>
      <c r="Z75" s="32"/>
      <c r="AA75" s="58"/>
      <c r="AB75" s="58"/>
      <c r="AC75" s="35"/>
      <c r="AD75" s="34"/>
      <c r="AE75" s="35"/>
      <c r="AF75" s="35"/>
      <c r="AG75" s="35"/>
      <c r="AH75" s="7"/>
      <c r="AI75" s="7"/>
      <c r="AJ75" s="7"/>
      <c r="AK75" s="7"/>
      <c r="AL75" s="7"/>
      <c r="AM75" s="7"/>
      <c r="AN75" s="7"/>
      <c r="AO75" s="39"/>
    </row>
    <row r="76" spans="13:41" x14ac:dyDescent="0.2">
      <c r="N76" s="2">
        <f t="shared" si="58"/>
        <v>0.66666666666666663</v>
      </c>
      <c r="O76">
        <f t="shared" ref="O76:O93" si="60">T38+O75</f>
        <v>46.921013008528554</v>
      </c>
      <c r="P76">
        <f t="shared" ref="P76:P95" si="61">O76/$O$95*100</f>
        <v>6.9815989489719428</v>
      </c>
      <c r="Q76" s="53">
        <f>T38</f>
        <v>21.391258412685207</v>
      </c>
      <c r="R76" s="53">
        <f>Q76/$Q$95*100</f>
        <v>3.3085894299406817</v>
      </c>
      <c r="T76" s="2">
        <f t="shared" si="59"/>
        <v>0.66666666666666663</v>
      </c>
      <c r="U76">
        <f t="shared" ref="U76:U93" si="62">W38+U75</f>
        <v>28.361708803276262</v>
      </c>
      <c r="V76">
        <f t="shared" ref="V76:V95" si="63">U76/$U$95*100</f>
        <v>6.7299057943803167</v>
      </c>
      <c r="W76" s="53">
        <f>W38</f>
        <v>3.2269872461757805</v>
      </c>
      <c r="X76" s="53">
        <f>W76/$W$95*100</f>
        <v>0.81429265921244531</v>
      </c>
      <c r="Y76" s="32"/>
      <c r="Z76" s="32"/>
      <c r="AA76" s="58"/>
      <c r="AB76" s="58"/>
      <c r="AC76" s="42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39"/>
    </row>
    <row r="77" spans="13:41" x14ac:dyDescent="0.2">
      <c r="N77" s="2">
        <f t="shared" si="58"/>
        <v>1</v>
      </c>
      <c r="O77">
        <f t="shared" si="60"/>
        <v>70.955708773806919</v>
      </c>
      <c r="P77">
        <f t="shared" si="61"/>
        <v>10.557834753242147</v>
      </c>
      <c r="Q77" s="53">
        <f t="shared" ref="Q77:Q93" si="64">Q76+T39</f>
        <v>45.425954177963575</v>
      </c>
      <c r="R77" s="53">
        <f t="shared" ref="R77:R95" si="65">Q77/$Q$95*100</f>
        <v>7.0260397466403033</v>
      </c>
      <c r="T77" s="2">
        <f t="shared" si="59"/>
        <v>1</v>
      </c>
      <c r="U77">
        <f t="shared" si="62"/>
        <v>31.822635423375232</v>
      </c>
      <c r="V77">
        <f t="shared" si="63"/>
        <v>7.5511436921419124</v>
      </c>
      <c r="W77" s="53">
        <f t="shared" ref="W77:W93" si="66">W76+W39</f>
        <v>6.6879138662747524</v>
      </c>
      <c r="X77" s="53">
        <f t="shared" ref="X77:X95" si="67">W77/$W$95*100</f>
        <v>1.6876171956385861</v>
      </c>
      <c r="Y77" s="32"/>
      <c r="Z77" s="32"/>
      <c r="AA77" s="58"/>
      <c r="AB77" s="58"/>
      <c r="AC77" s="42"/>
      <c r="AD77" s="43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39"/>
    </row>
    <row r="78" spans="13:41" x14ac:dyDescent="0.2">
      <c r="N78" s="2">
        <f t="shared" si="58"/>
        <v>2</v>
      </c>
      <c r="O78">
        <f t="shared" si="60"/>
        <v>133.51525382523803</v>
      </c>
      <c r="P78">
        <f t="shared" si="61"/>
        <v>19.866364684167682</v>
      </c>
      <c r="Q78" s="53">
        <f t="shared" si="64"/>
        <v>107.98549922939469</v>
      </c>
      <c r="R78" s="53">
        <f t="shared" si="65"/>
        <v>16.702134790039882</v>
      </c>
      <c r="T78" s="2">
        <f t="shared" si="59"/>
        <v>2</v>
      </c>
      <c r="U78">
        <f t="shared" si="62"/>
        <v>40.71921220227776</v>
      </c>
      <c r="V78">
        <f t="shared" si="63"/>
        <v>9.6621985665072092</v>
      </c>
      <c r="W78" s="53">
        <f t="shared" si="66"/>
        <v>15.584490645177276</v>
      </c>
      <c r="X78" s="53">
        <f t="shared" si="67"/>
        <v>3.9325647614417667</v>
      </c>
      <c r="Y78" s="32"/>
      <c r="Z78" s="32"/>
      <c r="AA78" s="58"/>
      <c r="AB78" s="58"/>
      <c r="AC78" s="42"/>
      <c r="AD78" s="43"/>
      <c r="AE78" s="7"/>
      <c r="AF78" s="35"/>
      <c r="AG78" s="7"/>
      <c r="AH78" s="7"/>
      <c r="AI78" s="7"/>
      <c r="AJ78" s="7"/>
      <c r="AK78" s="7"/>
      <c r="AL78" s="7"/>
      <c r="AM78" s="7"/>
      <c r="AN78" s="7"/>
      <c r="AO78" s="39"/>
    </row>
    <row r="79" spans="13:41" x14ac:dyDescent="0.2">
      <c r="N79" s="2">
        <f t="shared" si="58"/>
        <v>4</v>
      </c>
      <c r="O79">
        <f t="shared" si="60"/>
        <v>200.66831296478185</v>
      </c>
      <c r="P79">
        <f t="shared" si="61"/>
        <v>29.858385253367082</v>
      </c>
      <c r="Q79" s="53">
        <f t="shared" si="64"/>
        <v>175.1385583689385</v>
      </c>
      <c r="R79" s="53">
        <f t="shared" si="65"/>
        <v>27.088709407151711</v>
      </c>
      <c r="T79" s="2">
        <f t="shared" si="59"/>
        <v>4</v>
      </c>
      <c r="U79">
        <f t="shared" si="62"/>
        <v>56.455075383522981</v>
      </c>
      <c r="V79">
        <f t="shared" si="63"/>
        <v>13.396137079789058</v>
      </c>
      <c r="W79" s="53">
        <f t="shared" si="66"/>
        <v>31.320353826422497</v>
      </c>
      <c r="X79" s="53">
        <f t="shared" si="67"/>
        <v>7.903326619904159</v>
      </c>
      <c r="Y79" s="32"/>
      <c r="Z79" s="32"/>
      <c r="AA79" s="58"/>
      <c r="AB79" s="58"/>
      <c r="AC79" s="44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45"/>
    </row>
    <row r="80" spans="13:41" x14ac:dyDescent="0.2">
      <c r="N80" s="2">
        <f t="shared" si="58"/>
        <v>8</v>
      </c>
      <c r="O80">
        <f t="shared" si="60"/>
        <v>273.97494758085401</v>
      </c>
      <c r="P80">
        <f t="shared" si="61"/>
        <v>40.766025356857881</v>
      </c>
      <c r="Q80" s="53">
        <f t="shared" si="64"/>
        <v>248.44519298501066</v>
      </c>
      <c r="R80" s="53">
        <f t="shared" si="65"/>
        <v>38.427058547538458</v>
      </c>
      <c r="T80" s="2">
        <f t="shared" si="59"/>
        <v>8</v>
      </c>
      <c r="U80">
        <f t="shared" si="62"/>
        <v>76.47065299359835</v>
      </c>
      <c r="V80">
        <f t="shared" si="63"/>
        <v>18.145602377181671</v>
      </c>
      <c r="W80" s="53">
        <f t="shared" si="66"/>
        <v>51.335931436497859</v>
      </c>
      <c r="X80" s="53">
        <f t="shared" si="67"/>
        <v>12.954024585040628</v>
      </c>
      <c r="Y80" s="32"/>
      <c r="Z80" s="32"/>
      <c r="AA80" s="58"/>
      <c r="AB80" s="58"/>
    </row>
    <row r="81" spans="14:28" x14ac:dyDescent="0.2">
      <c r="N81" s="2">
        <f t="shared" si="58"/>
        <v>21</v>
      </c>
      <c r="O81">
        <f t="shared" si="60"/>
        <v>364.22558227666264</v>
      </c>
      <c r="P81">
        <f t="shared" si="61"/>
        <v>54.194843192094723</v>
      </c>
      <c r="Q81" s="53">
        <f t="shared" si="64"/>
        <v>338.69582768081932</v>
      </c>
      <c r="R81" s="53">
        <f t="shared" si="65"/>
        <v>52.386138945675128</v>
      </c>
      <c r="T81" s="2">
        <f t="shared" si="59"/>
        <v>21</v>
      </c>
      <c r="U81">
        <f t="shared" si="62"/>
        <v>123.84337621304451</v>
      </c>
      <c r="V81">
        <f t="shared" si="63"/>
        <v>29.386602230240495</v>
      </c>
      <c r="W81" s="53">
        <f t="shared" si="66"/>
        <v>98.708654655944017</v>
      </c>
      <c r="X81" s="53">
        <f t="shared" si="67"/>
        <v>24.907979720813945</v>
      </c>
      <c r="Y81" s="32"/>
      <c r="Z81" s="32"/>
      <c r="AA81" s="58"/>
      <c r="AB81" s="58"/>
    </row>
    <row r="82" spans="14:28" x14ac:dyDescent="0.2">
      <c r="N82" s="2">
        <f t="shared" si="58"/>
        <v>24</v>
      </c>
      <c r="O82">
        <f t="shared" si="60"/>
        <v>403.81755688753026</v>
      </c>
      <c r="P82">
        <f t="shared" si="61"/>
        <v>60.085919931650942</v>
      </c>
      <c r="Q82" s="53">
        <f t="shared" si="64"/>
        <v>378.28780229168694</v>
      </c>
      <c r="R82" s="53">
        <f t="shared" si="65"/>
        <v>58.509836120513434</v>
      </c>
      <c r="T82" s="2">
        <f t="shared" si="59"/>
        <v>24</v>
      </c>
      <c r="U82">
        <f t="shared" si="62"/>
        <v>143.17089684099284</v>
      </c>
      <c r="V82">
        <f t="shared" si="63"/>
        <v>33.972799555911124</v>
      </c>
      <c r="W82" s="53">
        <f t="shared" si="66"/>
        <v>118.03617528389235</v>
      </c>
      <c r="X82" s="53">
        <f t="shared" si="67"/>
        <v>29.785054517674837</v>
      </c>
      <c r="Y82" s="32"/>
      <c r="Z82" s="32"/>
      <c r="AA82" s="58"/>
      <c r="AB82" s="58"/>
    </row>
    <row r="83" spans="14:28" x14ac:dyDescent="0.2">
      <c r="N83" s="2">
        <f t="shared" si="58"/>
        <v>48</v>
      </c>
      <c r="O83">
        <f t="shared" si="60"/>
        <v>436.24841637518443</v>
      </c>
      <c r="P83">
        <f t="shared" si="61"/>
        <v>64.911460558237764</v>
      </c>
      <c r="Q83" s="53">
        <f t="shared" si="64"/>
        <v>410.71866177934112</v>
      </c>
      <c r="R83" s="53">
        <f t="shared" si="65"/>
        <v>63.525922450484273</v>
      </c>
      <c r="T83" s="2">
        <f t="shared" si="59"/>
        <v>48</v>
      </c>
      <c r="U83">
        <f t="shared" si="62"/>
        <v>180.67688293673734</v>
      </c>
      <c r="V83">
        <f t="shared" si="63"/>
        <v>42.872536694476644</v>
      </c>
      <c r="W83" s="53">
        <f t="shared" si="66"/>
        <v>155.54216137963687</v>
      </c>
      <c r="X83" s="53">
        <f t="shared" si="67"/>
        <v>39.249253420376419</v>
      </c>
      <c r="Y83" s="32"/>
      <c r="Z83" s="32"/>
      <c r="AA83" s="58"/>
      <c r="AB83" s="58"/>
    </row>
    <row r="84" spans="14:28" x14ac:dyDescent="0.2">
      <c r="N84" s="2">
        <f t="shared" si="58"/>
        <v>68</v>
      </c>
      <c r="O84">
        <f t="shared" si="60"/>
        <v>467.09754695513942</v>
      </c>
      <c r="P84">
        <f t="shared" si="61"/>
        <v>69.501648276362346</v>
      </c>
      <c r="Q84" s="53">
        <f t="shared" si="64"/>
        <v>441.56779235929611</v>
      </c>
      <c r="R84" s="53">
        <f t="shared" si="65"/>
        <v>68.297362512148538</v>
      </c>
      <c r="T84" s="2">
        <f t="shared" si="59"/>
        <v>68</v>
      </c>
      <c r="U84">
        <f t="shared" si="62"/>
        <v>214.86643437862955</v>
      </c>
      <c r="V84">
        <f t="shared" si="63"/>
        <v>50.985322209342186</v>
      </c>
      <c r="W84" s="53">
        <f t="shared" si="66"/>
        <v>189.73171282152907</v>
      </c>
      <c r="X84" s="53">
        <f t="shared" si="67"/>
        <v>47.876588651989714</v>
      </c>
      <c r="Y84" s="32"/>
      <c r="Z84" s="32"/>
      <c r="AA84" s="58"/>
      <c r="AB84" s="58"/>
    </row>
    <row r="85" spans="14:28" x14ac:dyDescent="0.2">
      <c r="N85" s="2">
        <f t="shared" si="58"/>
        <v>72</v>
      </c>
      <c r="O85">
        <f t="shared" si="60"/>
        <v>477.26503037894548</v>
      </c>
      <c r="P85">
        <f t="shared" si="61"/>
        <v>71.014516116032212</v>
      </c>
      <c r="Q85" s="53">
        <f t="shared" si="64"/>
        <v>451.73527578310217</v>
      </c>
      <c r="R85" s="53">
        <f t="shared" si="65"/>
        <v>69.86996883273568</v>
      </c>
      <c r="T85" s="2">
        <f t="shared" si="59"/>
        <v>72</v>
      </c>
      <c r="U85">
        <f t="shared" si="62"/>
        <v>227.60236911780092</v>
      </c>
      <c r="V85">
        <f t="shared" si="63"/>
        <v>54.007412365916174</v>
      </c>
      <c r="W85" s="53">
        <f t="shared" si="66"/>
        <v>202.46764756070044</v>
      </c>
      <c r="X85" s="53">
        <f t="shared" si="67"/>
        <v>51.090353496770604</v>
      </c>
      <c r="Y85" s="32"/>
      <c r="Z85" s="32"/>
      <c r="AA85" s="58"/>
      <c r="AB85" s="58"/>
    </row>
    <row r="86" spans="14:28" x14ac:dyDescent="0.2">
      <c r="N86" s="2">
        <f t="shared" si="58"/>
        <v>94</v>
      </c>
      <c r="O86">
        <f t="shared" si="60"/>
        <v>499.51215580333093</v>
      </c>
      <c r="P86">
        <f t="shared" si="61"/>
        <v>74.32477089361565</v>
      </c>
      <c r="Q86" s="53">
        <f t="shared" si="64"/>
        <v>473.98240120748761</v>
      </c>
      <c r="R86" s="53">
        <f t="shared" si="65"/>
        <v>73.310935353061438</v>
      </c>
      <c r="T86" s="2">
        <f t="shared" si="59"/>
        <v>94</v>
      </c>
      <c r="U86">
        <f t="shared" si="62"/>
        <v>255.8195859548305</v>
      </c>
      <c r="V86">
        <f t="shared" si="63"/>
        <v>60.703031886234868</v>
      </c>
      <c r="W86" s="53">
        <f t="shared" si="66"/>
        <v>230.68486439773002</v>
      </c>
      <c r="X86" s="53">
        <f t="shared" si="67"/>
        <v>58.210639627751924</v>
      </c>
      <c r="Y86" s="32"/>
      <c r="Z86" s="32"/>
      <c r="AA86" s="58"/>
      <c r="AB86" s="58"/>
    </row>
    <row r="87" spans="14:28" x14ac:dyDescent="0.2">
      <c r="N87" s="2">
        <f t="shared" si="58"/>
        <v>96</v>
      </c>
      <c r="O87">
        <f t="shared" si="60"/>
        <v>506.89536299920076</v>
      </c>
      <c r="P87">
        <f t="shared" si="61"/>
        <v>75.423353134143099</v>
      </c>
      <c r="Q87" s="53">
        <f t="shared" si="64"/>
        <v>481.36560840335744</v>
      </c>
      <c r="R87" s="53">
        <f t="shared" si="65"/>
        <v>74.452897215054136</v>
      </c>
      <c r="T87" s="2">
        <f t="shared" si="59"/>
        <v>96</v>
      </c>
      <c r="U87">
        <f t="shared" si="62"/>
        <v>265.40421971586005</v>
      </c>
      <c r="V87">
        <f t="shared" si="63"/>
        <v>62.977354732322155</v>
      </c>
      <c r="W87" s="53">
        <f t="shared" si="66"/>
        <v>240.26949815875957</v>
      </c>
      <c r="X87" s="53">
        <f t="shared" si="67"/>
        <v>60.62921036183068</v>
      </c>
      <c r="Y87" s="32"/>
      <c r="Z87" s="32"/>
      <c r="AA87" s="58"/>
      <c r="AB87" s="58"/>
    </row>
    <row r="88" spans="14:28" x14ac:dyDescent="0.2">
      <c r="N88" s="2">
        <f t="shared" si="58"/>
        <v>117</v>
      </c>
      <c r="O88">
        <f t="shared" si="60"/>
        <v>522.75057023493878</v>
      </c>
      <c r="P88">
        <f t="shared" si="61"/>
        <v>77.782524240543566</v>
      </c>
      <c r="Q88" s="53">
        <f t="shared" si="64"/>
        <v>497.22081563909552</v>
      </c>
      <c r="R88" s="53">
        <f t="shared" si="65"/>
        <v>76.905224705921796</v>
      </c>
      <c r="T88" s="2">
        <f t="shared" si="59"/>
        <v>117</v>
      </c>
      <c r="U88">
        <f t="shared" si="62"/>
        <v>287.36011801553366</v>
      </c>
      <c r="V88">
        <f t="shared" si="63"/>
        <v>68.187235709970778</v>
      </c>
      <c r="W88" s="53">
        <f t="shared" si="66"/>
        <v>262.22539645843318</v>
      </c>
      <c r="X88" s="53">
        <f t="shared" si="67"/>
        <v>66.169525661504267</v>
      </c>
      <c r="Y88" s="32"/>
      <c r="Z88" s="32"/>
      <c r="AA88" s="58"/>
      <c r="AB88" s="58"/>
    </row>
    <row r="89" spans="14:28" x14ac:dyDescent="0.2">
      <c r="N89" s="2">
        <f t="shared" si="58"/>
        <v>152</v>
      </c>
      <c r="O89">
        <f t="shared" si="60"/>
        <v>545.49604860284592</v>
      </c>
      <c r="P89">
        <f t="shared" si="61"/>
        <v>81.166931304354833</v>
      </c>
      <c r="Q89" s="53">
        <f t="shared" si="64"/>
        <v>519.9662940070026</v>
      </c>
      <c r="R89" s="53">
        <f t="shared" si="65"/>
        <v>80.423271557357822</v>
      </c>
      <c r="T89" s="2">
        <f t="shared" si="59"/>
        <v>152</v>
      </c>
      <c r="U89">
        <f t="shared" si="62"/>
        <v>316.55437576718361</v>
      </c>
      <c r="V89">
        <f t="shared" si="63"/>
        <v>75.1146957501347</v>
      </c>
      <c r="W89" s="53">
        <f t="shared" si="66"/>
        <v>291.41965421008314</v>
      </c>
      <c r="X89" s="53">
        <f t="shared" si="67"/>
        <v>73.536356691436893</v>
      </c>
      <c r="Y89" s="32"/>
      <c r="Z89" s="32"/>
      <c r="AA89" s="58"/>
      <c r="AB89" s="58"/>
    </row>
    <row r="90" spans="14:28" x14ac:dyDescent="0.2">
      <c r="N90" s="2">
        <f t="shared" si="58"/>
        <v>164</v>
      </c>
      <c r="O90">
        <f t="shared" si="60"/>
        <v>554.15763943644527</v>
      </c>
      <c r="P90">
        <f t="shared" si="61"/>
        <v>82.455730279118882</v>
      </c>
      <c r="Q90" s="53">
        <f t="shared" si="64"/>
        <v>528.62788484060195</v>
      </c>
      <c r="R90" s="53">
        <f t="shared" si="65"/>
        <v>81.762961225242151</v>
      </c>
      <c r="T90" s="2">
        <f t="shared" si="59"/>
        <v>164</v>
      </c>
      <c r="U90">
        <f t="shared" si="62"/>
        <v>327.34998981675676</v>
      </c>
      <c r="V90">
        <f t="shared" si="63"/>
        <v>77.676370226452676</v>
      </c>
      <c r="W90" s="53">
        <f t="shared" si="66"/>
        <v>302.21526825965628</v>
      </c>
      <c r="X90" s="53">
        <f t="shared" si="67"/>
        <v>76.260504201680675</v>
      </c>
      <c r="Y90" s="32"/>
      <c r="Z90" s="32"/>
      <c r="AA90" s="32"/>
      <c r="AB90" s="32"/>
    </row>
    <row r="91" spans="14:28" x14ac:dyDescent="0.2">
      <c r="N91" s="2">
        <f t="shared" si="58"/>
        <v>261</v>
      </c>
      <c r="O91">
        <f t="shared" si="60"/>
        <v>585.0067700164002</v>
      </c>
      <c r="P91">
        <f t="shared" si="61"/>
        <v>87.045917997243478</v>
      </c>
      <c r="Q91" s="53">
        <f t="shared" si="64"/>
        <v>559.47701542055688</v>
      </c>
      <c r="R91" s="53">
        <f t="shared" si="65"/>
        <v>86.534401286906402</v>
      </c>
      <c r="T91" s="2">
        <f t="shared" si="59"/>
        <v>261</v>
      </c>
      <c r="U91">
        <f t="shared" si="62"/>
        <v>361.95237544792519</v>
      </c>
      <c r="V91">
        <f t="shared" si="63"/>
        <v>85.887116524351413</v>
      </c>
      <c r="W91" s="53">
        <f t="shared" si="66"/>
        <v>336.81765389082472</v>
      </c>
      <c r="X91" s="53">
        <f t="shared" si="67"/>
        <v>84.992013334259326</v>
      </c>
    </row>
    <row r="92" spans="14:28" x14ac:dyDescent="0.2">
      <c r="N92" s="2">
        <f t="shared" si="58"/>
        <v>384</v>
      </c>
      <c r="O92">
        <f t="shared" si="60"/>
        <v>613.40747091731396</v>
      </c>
      <c r="P92">
        <f t="shared" si="61"/>
        <v>91.271792309118311</v>
      </c>
      <c r="Q92" s="53">
        <f t="shared" si="64"/>
        <v>587.87771632147064</v>
      </c>
      <c r="R92" s="53">
        <f t="shared" si="65"/>
        <v>90.927142330507067</v>
      </c>
      <c r="T92" s="2">
        <f t="shared" si="59"/>
        <v>384</v>
      </c>
      <c r="U92">
        <f t="shared" si="62"/>
        <v>385.97244469397987</v>
      </c>
      <c r="V92">
        <f t="shared" si="63"/>
        <v>91.586801417165987</v>
      </c>
      <c r="W92" s="53">
        <f t="shared" si="66"/>
        <v>360.83772313687939</v>
      </c>
      <c r="X92" s="53">
        <f t="shared" si="67"/>
        <v>91.053198138759626</v>
      </c>
    </row>
    <row r="93" spans="14:28" x14ac:dyDescent="0.2">
      <c r="N93" s="2">
        <f t="shared" si="58"/>
        <v>508</v>
      </c>
      <c r="O93">
        <f t="shared" si="60"/>
        <v>638.6555477624712</v>
      </c>
      <c r="P93">
        <f t="shared" si="61"/>
        <v>95.028572810291053</v>
      </c>
      <c r="Q93" s="53">
        <f t="shared" si="64"/>
        <v>613.12579316662789</v>
      </c>
      <c r="R93" s="53">
        <f t="shared" si="65"/>
        <v>94.832266496866524</v>
      </c>
      <c r="T93" s="2">
        <f t="shared" si="59"/>
        <v>508</v>
      </c>
      <c r="U93">
        <f t="shared" si="62"/>
        <v>402.38260371770957</v>
      </c>
      <c r="V93">
        <f t="shared" si="63"/>
        <v>95.480742542735385</v>
      </c>
      <c r="W93" s="53">
        <f t="shared" si="66"/>
        <v>377.24788216060909</v>
      </c>
      <c r="X93" s="53">
        <f t="shared" si="67"/>
        <v>95.194110702132079</v>
      </c>
    </row>
    <row r="94" spans="14:28" x14ac:dyDescent="0.2">
      <c r="N94" s="2">
        <f>A56</f>
        <v>522</v>
      </c>
      <c r="O94">
        <f>T56+O93</f>
        <v>642.72362450795777</v>
      </c>
      <c r="P94">
        <f t="shared" si="61"/>
        <v>95.633881146781235</v>
      </c>
      <c r="Q94" s="53">
        <f>Q93+T56</f>
        <v>617.19386991211445</v>
      </c>
      <c r="R94" s="53">
        <f t="shared" si="65"/>
        <v>95.461476591038576</v>
      </c>
      <c r="T94" s="2">
        <f>A56</f>
        <v>522</v>
      </c>
      <c r="U94">
        <f>W56+U93</f>
        <v>405.2793236124644</v>
      </c>
      <c r="V94">
        <f t="shared" si="63"/>
        <v>96.168100703684956</v>
      </c>
      <c r="W94" s="53">
        <f>W93+W56</f>
        <v>380.14460205536392</v>
      </c>
      <c r="X94" s="53">
        <f t="shared" si="67"/>
        <v>95.925064240572254</v>
      </c>
    </row>
    <row r="95" spans="14:28" x14ac:dyDescent="0.2">
      <c r="N95" s="2">
        <f>A57</f>
        <v>1107</v>
      </c>
      <c r="O95">
        <f>T57+O94</f>
        <v>672.06686249770598</v>
      </c>
      <c r="P95">
        <f t="shared" si="61"/>
        <v>100</v>
      </c>
      <c r="Q95" s="53">
        <f>Q94+T57</f>
        <v>646.53710790186267</v>
      </c>
      <c r="R95" s="53">
        <f t="shared" si="65"/>
        <v>100</v>
      </c>
      <c r="T95" s="2">
        <f>A57</f>
        <v>1107</v>
      </c>
      <c r="U95">
        <f>W57+U94</f>
        <v>421.42802098298586</v>
      </c>
      <c r="V95">
        <f t="shared" si="63"/>
        <v>100</v>
      </c>
      <c r="W95" s="53">
        <f>W94+W57</f>
        <v>396.29329942588538</v>
      </c>
      <c r="X95" s="53">
        <f t="shared" si="67"/>
        <v>100</v>
      </c>
    </row>
    <row r="96" spans="14:28" x14ac:dyDescent="0.2">
      <c r="O96" s="29"/>
    </row>
    <row r="97" spans="13:24" x14ac:dyDescent="0.2">
      <c r="M97" s="68" t="s">
        <v>41</v>
      </c>
      <c r="T97" s="1" t="s">
        <v>29</v>
      </c>
    </row>
    <row r="99" spans="13:24" x14ac:dyDescent="0.2">
      <c r="N99" s="1" t="s">
        <v>16</v>
      </c>
      <c r="O99" s="1" t="s">
        <v>17</v>
      </c>
      <c r="Q99" s="53" t="s">
        <v>31</v>
      </c>
      <c r="R99" s="53"/>
      <c r="T99" s="1" t="s">
        <v>16</v>
      </c>
      <c r="U99" s="1" t="s">
        <v>17</v>
      </c>
      <c r="W99" s="53" t="s">
        <v>31</v>
      </c>
      <c r="X99" s="53"/>
    </row>
    <row r="100" spans="13:24" x14ac:dyDescent="0.2">
      <c r="N100">
        <f t="shared" ref="N100:N118" si="68">N75</f>
        <v>0.33333333333333331</v>
      </c>
      <c r="O100">
        <f>U37</f>
        <v>25.822155878965624</v>
      </c>
      <c r="P100">
        <f>O100/$O$120*100</f>
        <v>4.0251484239439126</v>
      </c>
      <c r="Q100" s="53"/>
      <c r="R100" s="53"/>
      <c r="T100">
        <f t="shared" ref="T100:T118" si="69">T75</f>
        <v>0.33333333333333331</v>
      </c>
      <c r="U100">
        <f>X37</f>
        <v>24.771170148414008</v>
      </c>
      <c r="V100">
        <f>U100/$U$120*100</f>
        <v>5.8994684323416955</v>
      </c>
      <c r="W100" s="53"/>
      <c r="X100" s="53"/>
    </row>
    <row r="101" spans="13:24" x14ac:dyDescent="0.2">
      <c r="N101">
        <f t="shared" si="68"/>
        <v>0.66666666666666663</v>
      </c>
      <c r="O101">
        <f t="shared" ref="O101:O118" si="70">U38+O100</f>
        <v>49.088552274066878</v>
      </c>
      <c r="P101">
        <f t="shared" ref="P101:P120" si="71">O101/$O$120*100</f>
        <v>7.6519059735287911</v>
      </c>
      <c r="Q101" s="53">
        <f>U38</f>
        <v>23.266396395101253</v>
      </c>
      <c r="R101" s="53">
        <f>Q101/$Q$120*100</f>
        <v>3.7788623686600062</v>
      </c>
      <c r="T101">
        <f t="shared" si="69"/>
        <v>0.66666666666666663</v>
      </c>
      <c r="U101">
        <f t="shared" ref="U101:U118" si="72">X38+U100</f>
        <v>28.882730163563345</v>
      </c>
      <c r="V101">
        <f t="shared" ref="V101:V120" si="73">U101/$U$120*100</f>
        <v>6.8786720134290782</v>
      </c>
      <c r="W101" s="53">
        <f>X38</f>
        <v>4.1115600151493377</v>
      </c>
      <c r="X101" s="53">
        <f>W101/$W$120*100</f>
        <v>1.04059303892809</v>
      </c>
    </row>
    <row r="102" spans="13:24" x14ac:dyDescent="0.2">
      <c r="N102">
        <f t="shared" si="68"/>
        <v>1</v>
      </c>
      <c r="O102">
        <f t="shared" si="70"/>
        <v>74.351635765937175</v>
      </c>
      <c r="P102">
        <f t="shared" si="71"/>
        <v>11.589906393706666</v>
      </c>
      <c r="Q102" s="53">
        <f t="shared" ref="Q102:Q118" si="74">Q101+U39</f>
        <v>48.529479886971544</v>
      </c>
      <c r="R102" s="53">
        <f t="shared" ref="R102:R120" si="75">Q102/$Q$120*100</f>
        <v>7.8820210143987506</v>
      </c>
      <c r="T102">
        <f t="shared" si="69"/>
        <v>1</v>
      </c>
      <c r="U102">
        <f t="shared" si="72"/>
        <v>31.94486343198885</v>
      </c>
      <c r="V102">
        <f t="shared" si="73"/>
        <v>7.6079455376293943</v>
      </c>
      <c r="W102" s="53">
        <f t="shared" ref="W102:W118" si="76">W101+X39</f>
        <v>7.1736932835748437</v>
      </c>
      <c r="X102" s="53">
        <f t="shared" ref="X102:X120" si="77">W102/$W$120*100</f>
        <v>1.8155870926821531</v>
      </c>
    </row>
    <row r="103" spans="13:24" x14ac:dyDescent="0.2">
      <c r="N103">
        <f t="shared" si="68"/>
        <v>2</v>
      </c>
      <c r="O103">
        <f t="shared" si="70"/>
        <v>131.54174593514443</v>
      </c>
      <c r="P103">
        <f t="shared" si="71"/>
        <v>20.504680314666533</v>
      </c>
      <c r="Q103" s="53">
        <f t="shared" si="74"/>
        <v>105.71959005617882</v>
      </c>
      <c r="R103" s="53">
        <f t="shared" si="75"/>
        <v>17.170677130626533</v>
      </c>
      <c r="T103">
        <f t="shared" si="69"/>
        <v>2</v>
      </c>
      <c r="U103">
        <f t="shared" si="72"/>
        <v>44.34219582052485</v>
      </c>
      <c r="V103">
        <f t="shared" si="73"/>
        <v>10.560477478317635</v>
      </c>
      <c r="W103" s="53">
        <f t="shared" si="76"/>
        <v>19.571025672110846</v>
      </c>
      <c r="X103" s="53">
        <f t="shared" si="77"/>
        <v>4.9532228652977084</v>
      </c>
    </row>
    <row r="104" spans="13:24" x14ac:dyDescent="0.2">
      <c r="N104">
        <f t="shared" si="68"/>
        <v>4</v>
      </c>
      <c r="O104">
        <f t="shared" si="70"/>
        <v>194.24271249143425</v>
      </c>
      <c r="P104">
        <f t="shared" si="71"/>
        <v>30.27848455846307</v>
      </c>
      <c r="Q104" s="53">
        <f t="shared" si="74"/>
        <v>168.42055661246863</v>
      </c>
      <c r="R104" s="53">
        <f t="shared" si="75"/>
        <v>27.354390971591634</v>
      </c>
      <c r="T104">
        <f t="shared" si="69"/>
        <v>4</v>
      </c>
      <c r="U104">
        <f t="shared" si="72"/>
        <v>60.639636566288225</v>
      </c>
      <c r="V104">
        <f t="shared" si="73"/>
        <v>14.441853958780193</v>
      </c>
      <c r="W104" s="53">
        <f t="shared" si="76"/>
        <v>35.868466417874217</v>
      </c>
      <c r="X104" s="53">
        <f t="shared" si="77"/>
        <v>9.0779354634107641</v>
      </c>
    </row>
    <row r="105" spans="13:24" x14ac:dyDescent="0.2">
      <c r="N105">
        <f t="shared" si="68"/>
        <v>8</v>
      </c>
      <c r="O105">
        <f t="shared" si="70"/>
        <v>244.18484849936991</v>
      </c>
      <c r="P105">
        <f t="shared" si="71"/>
        <v>38.063446859170377</v>
      </c>
      <c r="Q105" s="53">
        <f t="shared" si="74"/>
        <v>218.36269262040429</v>
      </c>
      <c r="R105" s="53">
        <f t="shared" si="75"/>
        <v>35.465851602023598</v>
      </c>
      <c r="T105">
        <f t="shared" si="69"/>
        <v>8</v>
      </c>
      <c r="U105">
        <f t="shared" si="72"/>
        <v>88.183172896345781</v>
      </c>
      <c r="V105">
        <f t="shared" si="73"/>
        <v>21.001585377226522</v>
      </c>
      <c r="W105" s="53">
        <f t="shared" si="76"/>
        <v>63.41200274793178</v>
      </c>
      <c r="X105" s="53">
        <f t="shared" si="77"/>
        <v>16.048917783239514</v>
      </c>
    </row>
    <row r="106" spans="13:24" x14ac:dyDescent="0.2">
      <c r="N106">
        <f t="shared" si="68"/>
        <v>21</v>
      </c>
      <c r="O106">
        <f t="shared" si="70"/>
        <v>339.69138405557504</v>
      </c>
      <c r="P106">
        <f t="shared" si="71"/>
        <v>52.950971466809818</v>
      </c>
      <c r="Q106" s="53">
        <f t="shared" si="74"/>
        <v>313.86922817660945</v>
      </c>
      <c r="R106" s="53">
        <f t="shared" si="75"/>
        <v>50.977753275392381</v>
      </c>
      <c r="T106">
        <f t="shared" si="69"/>
        <v>21</v>
      </c>
      <c r="U106">
        <f t="shared" si="72"/>
        <v>138.40685742425569</v>
      </c>
      <c r="V106">
        <f t="shared" si="73"/>
        <v>32.962790263918677</v>
      </c>
      <c r="W106" s="53">
        <f t="shared" si="76"/>
        <v>113.63568727584169</v>
      </c>
      <c r="X106" s="53">
        <f t="shared" si="77"/>
        <v>28.760009513993495</v>
      </c>
    </row>
    <row r="107" spans="13:24" x14ac:dyDescent="0.2">
      <c r="N107">
        <f t="shared" si="68"/>
        <v>24</v>
      </c>
      <c r="O107">
        <f t="shared" si="70"/>
        <v>380.02945512805161</v>
      </c>
      <c r="P107">
        <f t="shared" si="71"/>
        <v>59.238855559964811</v>
      </c>
      <c r="Q107" s="53">
        <f t="shared" si="74"/>
        <v>354.20729924908602</v>
      </c>
      <c r="R107" s="53">
        <f t="shared" si="75"/>
        <v>57.529348813075607</v>
      </c>
      <c r="T107">
        <f t="shared" si="69"/>
        <v>24</v>
      </c>
      <c r="U107">
        <f t="shared" si="72"/>
        <v>158.7767004707384</v>
      </c>
      <c r="V107">
        <f t="shared" si="73"/>
        <v>37.814044577077311</v>
      </c>
      <c r="W107" s="53">
        <f t="shared" si="76"/>
        <v>134.0055303223244</v>
      </c>
      <c r="X107" s="53">
        <f t="shared" si="77"/>
        <v>33.915404741140094</v>
      </c>
    </row>
    <row r="108" spans="13:24" x14ac:dyDescent="0.2">
      <c r="N108">
        <f t="shared" si="68"/>
        <v>48</v>
      </c>
      <c r="O108">
        <f t="shared" si="70"/>
        <v>411.51221892635749</v>
      </c>
      <c r="P108">
        <f t="shared" si="71"/>
        <v>64.14637752203987</v>
      </c>
      <c r="Q108" s="53">
        <f t="shared" si="74"/>
        <v>385.6900630473919</v>
      </c>
      <c r="R108" s="53">
        <f t="shared" si="75"/>
        <v>62.642690361914624</v>
      </c>
      <c r="T108">
        <f t="shared" si="69"/>
        <v>48</v>
      </c>
      <c r="U108">
        <f t="shared" si="72"/>
        <v>195.78074060708244</v>
      </c>
      <c r="V108">
        <f t="shared" si="73"/>
        <v>46.626876806863748</v>
      </c>
      <c r="W108" s="53">
        <f t="shared" si="76"/>
        <v>171.00957045866843</v>
      </c>
      <c r="X108" s="53">
        <f t="shared" si="77"/>
        <v>43.280742091492897</v>
      </c>
    </row>
    <row r="109" spans="13:24" x14ac:dyDescent="0.2">
      <c r="N109">
        <f t="shared" si="68"/>
        <v>68</v>
      </c>
      <c r="O109">
        <f t="shared" si="70"/>
        <v>439.88015085370364</v>
      </c>
      <c r="P109">
        <f t="shared" si="71"/>
        <v>68.568360605989852</v>
      </c>
      <c r="Q109" s="53">
        <f t="shared" si="74"/>
        <v>414.05799497473805</v>
      </c>
      <c r="R109" s="53">
        <f t="shared" si="75"/>
        <v>67.250129718510806</v>
      </c>
      <c r="T109">
        <f t="shared" si="69"/>
        <v>68</v>
      </c>
      <c r="U109">
        <f t="shared" si="72"/>
        <v>229.90277296137896</v>
      </c>
      <c r="V109">
        <f t="shared" si="73"/>
        <v>54.753333955049897</v>
      </c>
      <c r="W109" s="53">
        <f t="shared" si="76"/>
        <v>205.13160281296496</v>
      </c>
      <c r="X109" s="53">
        <f t="shared" si="77"/>
        <v>51.916673273606598</v>
      </c>
    </row>
    <row r="110" spans="13:24" x14ac:dyDescent="0.2">
      <c r="N110">
        <f t="shared" si="68"/>
        <v>72</v>
      </c>
      <c r="O110">
        <f t="shared" si="70"/>
        <v>448.73046641013241</v>
      </c>
      <c r="P110">
        <f t="shared" si="71"/>
        <v>69.9479446298933</v>
      </c>
      <c r="Q110" s="53">
        <f t="shared" si="74"/>
        <v>422.90831053116682</v>
      </c>
      <c r="R110" s="53">
        <f t="shared" si="75"/>
        <v>68.687572966662316</v>
      </c>
      <c r="T110">
        <f t="shared" si="69"/>
        <v>72</v>
      </c>
      <c r="U110">
        <f t="shared" si="72"/>
        <v>241.64225574749108</v>
      </c>
      <c r="V110">
        <f t="shared" si="73"/>
        <v>57.549193322764161</v>
      </c>
      <c r="W110" s="53">
        <f t="shared" si="76"/>
        <v>216.87108559907708</v>
      </c>
      <c r="X110" s="53">
        <f t="shared" si="77"/>
        <v>54.887814159993653</v>
      </c>
    </row>
    <row r="111" spans="13:24" x14ac:dyDescent="0.2">
      <c r="N111">
        <f t="shared" si="68"/>
        <v>94</v>
      </c>
      <c r="O111">
        <f t="shared" si="70"/>
        <v>470.4094965633023</v>
      </c>
      <c r="P111">
        <f t="shared" si="71"/>
        <v>73.327264097356746</v>
      </c>
      <c r="Q111" s="53">
        <f t="shared" si="74"/>
        <v>444.58734068433671</v>
      </c>
      <c r="R111" s="53">
        <f t="shared" si="75"/>
        <v>72.208619795044726</v>
      </c>
      <c r="T111">
        <f t="shared" si="69"/>
        <v>94</v>
      </c>
      <c r="U111">
        <f t="shared" si="72"/>
        <v>268.77855184747671</v>
      </c>
      <c r="V111">
        <f t="shared" si="73"/>
        <v>64.01193695794089</v>
      </c>
      <c r="W111" s="53">
        <f t="shared" si="76"/>
        <v>244.00738169906271</v>
      </c>
      <c r="X111" s="53">
        <f t="shared" si="77"/>
        <v>61.755728216919046</v>
      </c>
    </row>
    <row r="112" spans="13:24" x14ac:dyDescent="0.2">
      <c r="N112">
        <f t="shared" si="68"/>
        <v>96</v>
      </c>
      <c r="O112">
        <f t="shared" si="70"/>
        <v>477.00355570038204</v>
      </c>
      <c r="P112">
        <f t="shared" si="71"/>
        <v>74.355143677490119</v>
      </c>
      <c r="Q112" s="53">
        <f t="shared" si="74"/>
        <v>451.18139982141645</v>
      </c>
      <c r="R112" s="53">
        <f t="shared" si="75"/>
        <v>73.279608250097255</v>
      </c>
      <c r="T112">
        <f t="shared" si="69"/>
        <v>96</v>
      </c>
      <c r="U112">
        <f t="shared" si="72"/>
        <v>276.61792627636146</v>
      </c>
      <c r="V112">
        <f t="shared" si="73"/>
        <v>65.87895178588083</v>
      </c>
      <c r="W112" s="53">
        <f t="shared" si="76"/>
        <v>251.84675612794743</v>
      </c>
      <c r="X112" s="53">
        <f t="shared" si="77"/>
        <v>63.739792277808604</v>
      </c>
    </row>
    <row r="113" spans="13:24" x14ac:dyDescent="0.2">
      <c r="N113">
        <f t="shared" si="68"/>
        <v>117</v>
      </c>
      <c r="O113">
        <f t="shared" si="70"/>
        <v>492.99202762776014</v>
      </c>
      <c r="P113">
        <f t="shared" si="71"/>
        <v>76.847420963763525</v>
      </c>
      <c r="Q113" s="53">
        <f t="shared" si="74"/>
        <v>467.16987174879455</v>
      </c>
      <c r="R113" s="53">
        <f t="shared" si="75"/>
        <v>75.876410688805265</v>
      </c>
      <c r="T113">
        <f t="shared" si="69"/>
        <v>117</v>
      </c>
      <c r="U113">
        <f t="shared" si="72"/>
        <v>297.70827126835604</v>
      </c>
      <c r="V113">
        <f t="shared" si="73"/>
        <v>70.901799869439529</v>
      </c>
      <c r="W113" s="53">
        <f t="shared" si="76"/>
        <v>272.93710111994204</v>
      </c>
      <c r="X113" s="53">
        <f t="shared" si="77"/>
        <v>69.07753904701498</v>
      </c>
    </row>
    <row r="114" spans="13:24" x14ac:dyDescent="0.2">
      <c r="N114">
        <f t="shared" si="68"/>
        <v>152</v>
      </c>
      <c r="O114">
        <f t="shared" si="70"/>
        <v>514.77089213576846</v>
      </c>
      <c r="P114">
        <f t="shared" si="71"/>
        <v>80.242302574756636</v>
      </c>
      <c r="Q114" s="53">
        <f t="shared" si="74"/>
        <v>488.94873625680287</v>
      </c>
      <c r="R114" s="53">
        <f t="shared" si="75"/>
        <v>79.413672331041624</v>
      </c>
      <c r="T114">
        <f t="shared" si="69"/>
        <v>152</v>
      </c>
      <c r="U114">
        <f t="shared" si="72"/>
        <v>326.9747470333333</v>
      </c>
      <c r="V114">
        <f t="shared" si="73"/>
        <v>77.871864217103422</v>
      </c>
      <c r="W114" s="53">
        <f t="shared" si="76"/>
        <v>302.2035768849193</v>
      </c>
      <c r="X114" s="53">
        <f t="shared" si="77"/>
        <v>76.484579402204062</v>
      </c>
    </row>
    <row r="115" spans="13:24" x14ac:dyDescent="0.2">
      <c r="N115">
        <f t="shared" si="68"/>
        <v>164</v>
      </c>
      <c r="O115">
        <f t="shared" si="70"/>
        <v>523.20190340187571</v>
      </c>
      <c r="P115">
        <f t="shared" si="71"/>
        <v>81.556525595835552</v>
      </c>
      <c r="Q115" s="53">
        <f t="shared" si="74"/>
        <v>497.37974752291018</v>
      </c>
      <c r="R115" s="53">
        <f t="shared" si="75"/>
        <v>80.783013361006596</v>
      </c>
      <c r="T115">
        <f t="shared" si="69"/>
        <v>164</v>
      </c>
      <c r="U115">
        <f t="shared" si="72"/>
        <v>336.34910386787379</v>
      </c>
      <c r="V115">
        <f t="shared" si="73"/>
        <v>80.104448381982664</v>
      </c>
      <c r="W115" s="53">
        <f t="shared" si="76"/>
        <v>311.57793371945979</v>
      </c>
      <c r="X115" s="53">
        <f t="shared" si="77"/>
        <v>78.857131530960118</v>
      </c>
    </row>
    <row r="116" spans="13:24" x14ac:dyDescent="0.2">
      <c r="N116">
        <f t="shared" si="68"/>
        <v>261</v>
      </c>
      <c r="O116">
        <f t="shared" si="70"/>
        <v>551.53988502277036</v>
      </c>
      <c r="P116">
        <f t="shared" si="71"/>
        <v>85.973840036726628</v>
      </c>
      <c r="Q116" s="53">
        <f t="shared" si="74"/>
        <v>525.71772914380483</v>
      </c>
      <c r="R116" s="53">
        <f t="shared" si="75"/>
        <v>85.385588273446601</v>
      </c>
      <c r="T116">
        <f t="shared" si="69"/>
        <v>261</v>
      </c>
      <c r="U116">
        <f t="shared" si="72"/>
        <v>366.02281986292303</v>
      </c>
      <c r="V116">
        <f t="shared" si="73"/>
        <v>87.171500512916168</v>
      </c>
      <c r="W116" s="53">
        <f t="shared" si="76"/>
        <v>341.25164971450903</v>
      </c>
      <c r="X116" s="53">
        <f t="shared" si="77"/>
        <v>86.367240149052563</v>
      </c>
    </row>
    <row r="117" spans="13:24" x14ac:dyDescent="0.2">
      <c r="N117">
        <f t="shared" si="68"/>
        <v>384</v>
      </c>
      <c r="O117">
        <f t="shared" si="70"/>
        <v>580.48685620817957</v>
      </c>
      <c r="P117">
        <f t="shared" si="71"/>
        <v>90.486083553148589</v>
      </c>
      <c r="Q117" s="53">
        <f t="shared" si="74"/>
        <v>554.66470032921404</v>
      </c>
      <c r="R117" s="53">
        <f t="shared" si="75"/>
        <v>90.08707355039563</v>
      </c>
      <c r="T117">
        <f t="shared" si="69"/>
        <v>384</v>
      </c>
      <c r="U117">
        <f t="shared" si="72"/>
        <v>387.26979571263757</v>
      </c>
      <c r="V117">
        <f t="shared" si="73"/>
        <v>92.231651590040101</v>
      </c>
      <c r="W117" s="53">
        <f t="shared" si="76"/>
        <v>362.49862556422363</v>
      </c>
      <c r="X117" s="53">
        <f t="shared" si="77"/>
        <v>91.74462855783716</v>
      </c>
    </row>
    <row r="118" spans="13:24" x14ac:dyDescent="0.2">
      <c r="N118">
        <f t="shared" si="68"/>
        <v>508</v>
      </c>
      <c r="O118">
        <f t="shared" si="70"/>
        <v>605.25076792585764</v>
      </c>
      <c r="P118">
        <f t="shared" si="71"/>
        <v>94.346273255678227</v>
      </c>
      <c r="Q118" s="53">
        <f t="shared" si="74"/>
        <v>579.42861204689211</v>
      </c>
      <c r="R118" s="53">
        <f t="shared" si="75"/>
        <v>94.109158126864685</v>
      </c>
      <c r="T118">
        <f t="shared" si="69"/>
        <v>508</v>
      </c>
      <c r="U118">
        <f t="shared" si="72"/>
        <v>403.11300697101302</v>
      </c>
      <c r="V118">
        <f t="shared" si="73"/>
        <v>96.004849389163482</v>
      </c>
      <c r="W118" s="53">
        <f t="shared" si="76"/>
        <v>378.34183682259908</v>
      </c>
      <c r="X118" s="53">
        <f t="shared" si="77"/>
        <v>95.754380401173407</v>
      </c>
    </row>
    <row r="119" spans="13:24" x14ac:dyDescent="0.2">
      <c r="N119">
        <f>N94</f>
        <v>522</v>
      </c>
      <c r="O119">
        <f>U56+O118</f>
        <v>611.00621848229446</v>
      </c>
      <c r="P119">
        <f t="shared" si="71"/>
        <v>95.243430830162552</v>
      </c>
      <c r="Q119" s="53">
        <f>Q118+U56</f>
        <v>585.18406260332893</v>
      </c>
      <c r="R119" s="53">
        <f t="shared" si="75"/>
        <v>95.043942145544165</v>
      </c>
      <c r="T119">
        <f>T94</f>
        <v>522</v>
      </c>
      <c r="U119">
        <f>X56+U118</f>
        <v>405.6269322374186</v>
      </c>
      <c r="V119">
        <f t="shared" si="73"/>
        <v>96.603562435885479</v>
      </c>
      <c r="W119" s="53">
        <f>W118+X56</f>
        <v>380.85576208900466</v>
      </c>
      <c r="X119" s="53">
        <f t="shared" si="77"/>
        <v>96.390628716403711</v>
      </c>
    </row>
    <row r="120" spans="13:24" x14ac:dyDescent="0.2">
      <c r="N120">
        <f>N95</f>
        <v>1107</v>
      </c>
      <c r="O120">
        <f>U57+O119</f>
        <v>641.52058903866737</v>
      </c>
      <c r="P120">
        <f t="shared" si="71"/>
        <v>100</v>
      </c>
      <c r="Q120" s="53">
        <f>Q119+U57</f>
        <v>615.69843315970184</v>
      </c>
      <c r="R120" s="53">
        <f t="shared" si="75"/>
        <v>100</v>
      </c>
      <c r="T120">
        <f>T95</f>
        <v>1107</v>
      </c>
      <c r="U120">
        <f>X57+U119</f>
        <v>419.88817183282231</v>
      </c>
      <c r="V120">
        <f t="shared" si="73"/>
        <v>100</v>
      </c>
      <c r="W120" s="53">
        <f>W119+X57</f>
        <v>395.11700168440836</v>
      </c>
      <c r="X120" s="53">
        <f t="shared" si="77"/>
        <v>100</v>
      </c>
    </row>
    <row r="121" spans="13:24" x14ac:dyDescent="0.2">
      <c r="T121" s="29"/>
    </row>
    <row r="122" spans="13:24" x14ac:dyDescent="0.2">
      <c r="M122" s="68" t="s">
        <v>38</v>
      </c>
      <c r="T122" s="28" t="s">
        <v>39</v>
      </c>
    </row>
    <row r="124" spans="13:24" x14ac:dyDescent="0.2">
      <c r="N124" s="1" t="s">
        <v>16</v>
      </c>
      <c r="O124" s="1" t="s">
        <v>17</v>
      </c>
      <c r="Q124" s="53" t="s">
        <v>31</v>
      </c>
      <c r="R124" s="53"/>
      <c r="T124" s="1" t="s">
        <v>16</v>
      </c>
      <c r="U124" s="1" t="s">
        <v>17</v>
      </c>
      <c r="W124" s="53" t="s">
        <v>31</v>
      </c>
      <c r="X124" s="53"/>
    </row>
    <row r="125" spans="13:24" x14ac:dyDescent="0.2">
      <c r="N125">
        <f t="shared" ref="N125:N143" si="78">N100</f>
        <v>0.33333333333333331</v>
      </c>
      <c r="O125">
        <f>V37</f>
        <v>28.709655262568994</v>
      </c>
      <c r="P125">
        <f>O125/$O$145*100</f>
        <v>4.2025800906518338</v>
      </c>
      <c r="Q125" s="53"/>
      <c r="R125" s="53"/>
      <c r="T125">
        <f t="shared" ref="T125:T143" si="79">T100</f>
        <v>0.33333333333333331</v>
      </c>
      <c r="U125">
        <f>Y37</f>
        <v>28.511237741688749</v>
      </c>
      <c r="V125">
        <f>U125/$U$145*100</f>
        <v>6.4454956550732492</v>
      </c>
      <c r="W125" s="53"/>
      <c r="X125" s="53"/>
    </row>
    <row r="126" spans="13:24" x14ac:dyDescent="0.2">
      <c r="N126">
        <f t="shared" si="78"/>
        <v>0.66666666666666663</v>
      </c>
      <c r="O126">
        <f t="shared" ref="O126:O143" si="80">O125+V38</f>
        <v>54.129027826707343</v>
      </c>
      <c r="P126">
        <f t="shared" ref="P126:P145" si="81">O126/$O$145*100</f>
        <v>7.9235216372467123</v>
      </c>
      <c r="Q126" s="53">
        <f>V38</f>
        <v>25.419372564138353</v>
      </c>
      <c r="R126" s="53">
        <f>Q126/$Q$145*100</f>
        <v>3.8841772044758174</v>
      </c>
      <c r="T126">
        <f t="shared" si="79"/>
        <v>0.66666666666666663</v>
      </c>
      <c r="U126">
        <f t="shared" ref="U126:U143" si="82">U125+Y38</f>
        <v>33.055705962397624</v>
      </c>
      <c r="V126">
        <f t="shared" ref="V126:V145" si="83">U126/$U$145*100</f>
        <v>7.4728572321670459</v>
      </c>
      <c r="W126" s="53">
        <f>Y38</f>
        <v>4.5444682207088754</v>
      </c>
      <c r="X126" s="53">
        <f>W126/$W$145*100</f>
        <v>1.0981422907292735</v>
      </c>
    </row>
    <row r="127" spans="13:24" x14ac:dyDescent="0.2">
      <c r="N127">
        <f t="shared" si="78"/>
        <v>1</v>
      </c>
      <c r="O127">
        <f t="shared" si="80"/>
        <v>81.941333262431613</v>
      </c>
      <c r="P127">
        <f t="shared" si="81"/>
        <v>11.99474576133756</v>
      </c>
      <c r="Q127" s="53">
        <f t="shared" ref="Q127:Q143" si="84">Q126+V39</f>
        <v>53.231677999862626</v>
      </c>
      <c r="R127" s="53">
        <f t="shared" ref="R127:R145" si="85">Q127/$Q$145*100</f>
        <v>8.1340036903492265</v>
      </c>
      <c r="T127">
        <f t="shared" si="79"/>
        <v>1</v>
      </c>
      <c r="U127">
        <f t="shared" si="82"/>
        <v>39.443771838566491</v>
      </c>
      <c r="V127">
        <f t="shared" si="83"/>
        <v>8.9169983537208015</v>
      </c>
      <c r="W127" s="53">
        <f t="shared" ref="W127:W143" si="86">W126+Y39</f>
        <v>10.932534096877742</v>
      </c>
      <c r="X127" s="53">
        <f t="shared" ref="X127:X145" si="87">W127/$W$145*100</f>
        <v>2.6417784113690028</v>
      </c>
    </row>
    <row r="128" spans="13:24" x14ac:dyDescent="0.2">
      <c r="N128">
        <f t="shared" si="78"/>
        <v>2</v>
      </c>
      <c r="O128">
        <f t="shared" si="80"/>
        <v>146.35664891908121</v>
      </c>
      <c r="P128">
        <f t="shared" si="81"/>
        <v>21.423995978237073</v>
      </c>
      <c r="Q128" s="53">
        <f t="shared" si="84"/>
        <v>117.64699365651222</v>
      </c>
      <c r="R128" s="53">
        <f t="shared" si="85"/>
        <v>17.976909925008041</v>
      </c>
      <c r="T128">
        <f t="shared" si="79"/>
        <v>2</v>
      </c>
      <c r="U128">
        <f t="shared" si="82"/>
        <v>52.560969157164322</v>
      </c>
      <c r="V128">
        <f t="shared" si="83"/>
        <v>11.882384812553401</v>
      </c>
      <c r="W128" s="53">
        <f t="shared" si="86"/>
        <v>24.04973141547557</v>
      </c>
      <c r="X128" s="53">
        <f t="shared" si="87"/>
        <v>5.8114670111818958</v>
      </c>
    </row>
    <row r="129" spans="14:24" x14ac:dyDescent="0.2">
      <c r="N129">
        <f t="shared" si="78"/>
        <v>4</v>
      </c>
      <c r="O129">
        <f t="shared" si="80"/>
        <v>216.02312282171101</v>
      </c>
      <c r="P129">
        <f t="shared" si="81"/>
        <v>31.621921851308286</v>
      </c>
      <c r="Q129" s="53">
        <f t="shared" si="84"/>
        <v>187.313467559142</v>
      </c>
      <c r="R129" s="53">
        <f t="shared" si="85"/>
        <v>28.622213193844896</v>
      </c>
      <c r="T129">
        <f t="shared" si="79"/>
        <v>4</v>
      </c>
      <c r="U129">
        <f t="shared" si="82"/>
        <v>78.509606157763685</v>
      </c>
      <c r="V129">
        <f t="shared" si="83"/>
        <v>17.74855690082731</v>
      </c>
      <c r="W129" s="53">
        <f t="shared" si="86"/>
        <v>49.998368416074932</v>
      </c>
      <c r="X129" s="53">
        <f t="shared" si="87"/>
        <v>12.081792667171561</v>
      </c>
    </row>
    <row r="130" spans="14:24" x14ac:dyDescent="0.2">
      <c r="N130">
        <f t="shared" si="78"/>
        <v>8</v>
      </c>
      <c r="O130">
        <f t="shared" si="80"/>
        <v>298.65131644543118</v>
      </c>
      <c r="P130">
        <f t="shared" si="81"/>
        <v>43.71721168581599</v>
      </c>
      <c r="Q130" s="53">
        <f t="shared" si="84"/>
        <v>269.94166118286216</v>
      </c>
      <c r="R130" s="53">
        <f t="shared" si="85"/>
        <v>41.248116736918725</v>
      </c>
      <c r="T130">
        <f t="shared" si="79"/>
        <v>8</v>
      </c>
      <c r="U130">
        <f t="shared" si="82"/>
        <v>111.371734366338</v>
      </c>
      <c r="V130">
        <f t="shared" si="83"/>
        <v>25.177652280826056</v>
      </c>
      <c r="W130" s="53">
        <f t="shared" si="86"/>
        <v>82.860496624649244</v>
      </c>
      <c r="X130" s="53">
        <f t="shared" si="87"/>
        <v>20.022720185325433</v>
      </c>
    </row>
    <row r="131" spans="14:24" x14ac:dyDescent="0.2">
      <c r="N131">
        <f t="shared" si="78"/>
        <v>21</v>
      </c>
      <c r="O131">
        <f t="shared" si="80"/>
        <v>398.6947437456933</v>
      </c>
      <c r="P131">
        <f t="shared" si="81"/>
        <v>58.361780278766552</v>
      </c>
      <c r="Q131" s="53">
        <f t="shared" si="84"/>
        <v>369.98508848312429</v>
      </c>
      <c r="R131" s="53">
        <f t="shared" si="85"/>
        <v>56.535134494608364</v>
      </c>
      <c r="T131">
        <f t="shared" si="79"/>
        <v>21</v>
      </c>
      <c r="U131">
        <f t="shared" si="82"/>
        <v>167.68442475236341</v>
      </c>
      <c r="V131">
        <f t="shared" si="83"/>
        <v>37.908183466355474</v>
      </c>
      <c r="W131" s="53">
        <f t="shared" si="86"/>
        <v>139.17318701067464</v>
      </c>
      <c r="X131" s="53">
        <f t="shared" si="87"/>
        <v>33.6303292199403</v>
      </c>
    </row>
    <row r="132" spans="14:24" x14ac:dyDescent="0.2">
      <c r="N132">
        <f t="shared" si="78"/>
        <v>24</v>
      </c>
      <c r="O132">
        <f t="shared" si="80"/>
        <v>447.42305502194631</v>
      </c>
      <c r="P132">
        <f t="shared" si="81"/>
        <v>65.494733598748056</v>
      </c>
      <c r="Q132" s="53">
        <f t="shared" si="84"/>
        <v>418.7133997593773</v>
      </c>
      <c r="R132" s="53">
        <f t="shared" si="85"/>
        <v>63.981006551216282</v>
      </c>
      <c r="T132">
        <f t="shared" si="79"/>
        <v>24</v>
      </c>
      <c r="U132">
        <f t="shared" si="82"/>
        <v>191.78946409750279</v>
      </c>
      <c r="V132">
        <f t="shared" si="83"/>
        <v>43.357576010169424</v>
      </c>
      <c r="W132" s="53">
        <f t="shared" si="86"/>
        <v>163.27822635581401</v>
      </c>
      <c r="X132" s="53">
        <f t="shared" si="87"/>
        <v>39.455161046019512</v>
      </c>
    </row>
    <row r="133" spans="14:24" x14ac:dyDescent="0.2">
      <c r="N133">
        <f t="shared" si="78"/>
        <v>48</v>
      </c>
      <c r="O133">
        <f t="shared" si="80"/>
        <v>480.15416691593055</v>
      </c>
      <c r="P133">
        <f t="shared" si="81"/>
        <v>70.285983021025061</v>
      </c>
      <c r="Q133" s="53">
        <f t="shared" si="84"/>
        <v>451.44451165336153</v>
      </c>
      <c r="R133" s="53">
        <f t="shared" si="85"/>
        <v>68.982445448851422</v>
      </c>
      <c r="T133">
        <f t="shared" si="79"/>
        <v>48</v>
      </c>
      <c r="U133">
        <f t="shared" si="82"/>
        <v>240.10094065883183</v>
      </c>
      <c r="V133">
        <f t="shared" si="83"/>
        <v>54.279283972742618</v>
      </c>
      <c r="W133" s="53">
        <f t="shared" si="86"/>
        <v>211.58970291714306</v>
      </c>
      <c r="X133" s="53">
        <f t="shared" si="87"/>
        <v>51.129326858823006</v>
      </c>
    </row>
    <row r="134" spans="14:24" x14ac:dyDescent="0.2">
      <c r="N134">
        <f t="shared" si="78"/>
        <v>68</v>
      </c>
      <c r="O134">
        <f t="shared" si="80"/>
        <v>503.92285893439157</v>
      </c>
      <c r="P134">
        <f t="shared" si="81"/>
        <v>73.765294456291713</v>
      </c>
      <c r="Q134" s="53">
        <f t="shared" si="84"/>
        <v>475.21320367182255</v>
      </c>
      <c r="R134" s="53">
        <f t="shared" si="85"/>
        <v>72.614392361992785</v>
      </c>
      <c r="T134">
        <f t="shared" si="79"/>
        <v>68</v>
      </c>
      <c r="U134">
        <f t="shared" si="82"/>
        <v>275.76533730370534</v>
      </c>
      <c r="V134">
        <f t="shared" si="83"/>
        <v>62.341884260320512</v>
      </c>
      <c r="W134" s="53">
        <f t="shared" si="86"/>
        <v>247.25409956201656</v>
      </c>
      <c r="X134" s="53">
        <f t="shared" si="87"/>
        <v>59.747404998440778</v>
      </c>
    </row>
    <row r="135" spans="14:24" x14ac:dyDescent="0.2">
      <c r="N135">
        <f t="shared" si="78"/>
        <v>72</v>
      </c>
      <c r="O135">
        <f t="shared" si="80"/>
        <v>511.30660781824349</v>
      </c>
      <c r="P135">
        <f t="shared" si="81"/>
        <v>74.846143242870696</v>
      </c>
      <c r="Q135" s="53">
        <f t="shared" si="84"/>
        <v>482.59695255567448</v>
      </c>
      <c r="R135" s="53">
        <f t="shared" si="85"/>
        <v>73.742657390008972</v>
      </c>
      <c r="T135">
        <f t="shared" si="79"/>
        <v>72</v>
      </c>
      <c r="U135">
        <f t="shared" si="82"/>
        <v>287.46296442759899</v>
      </c>
      <c r="V135">
        <f t="shared" si="83"/>
        <v>64.986350469918946</v>
      </c>
      <c r="W135" s="53">
        <f t="shared" si="86"/>
        <v>258.95172668591022</v>
      </c>
      <c r="X135" s="53">
        <f t="shared" si="87"/>
        <v>62.574063349222619</v>
      </c>
    </row>
    <row r="136" spans="14:24" x14ac:dyDescent="0.2">
      <c r="N136">
        <f t="shared" si="78"/>
        <v>94</v>
      </c>
      <c r="O136">
        <f t="shared" si="80"/>
        <v>527.92973640071875</v>
      </c>
      <c r="P136">
        <f t="shared" si="81"/>
        <v>77.279471981447983</v>
      </c>
      <c r="Q136" s="53">
        <f t="shared" si="84"/>
        <v>499.22008113814979</v>
      </c>
      <c r="R136" s="53">
        <f t="shared" si="85"/>
        <v>76.282734921199193</v>
      </c>
      <c r="T136">
        <f t="shared" si="79"/>
        <v>94</v>
      </c>
      <c r="U136">
        <f t="shared" si="82"/>
        <v>313.28254959231617</v>
      </c>
      <c r="V136">
        <f t="shared" si="83"/>
        <v>70.823347990080663</v>
      </c>
      <c r="W136" s="53">
        <f t="shared" si="86"/>
        <v>284.7713118506274</v>
      </c>
      <c r="X136" s="53">
        <f t="shared" si="87"/>
        <v>68.813204437118557</v>
      </c>
    </row>
    <row r="137" spans="14:24" x14ac:dyDescent="0.2">
      <c r="N137">
        <f t="shared" si="78"/>
        <v>96</v>
      </c>
      <c r="O137">
        <f t="shared" si="80"/>
        <v>533.89545099029749</v>
      </c>
      <c r="P137">
        <f t="shared" si="81"/>
        <v>78.152745907288619</v>
      </c>
      <c r="Q137" s="53">
        <f t="shared" si="84"/>
        <v>505.18579572772859</v>
      </c>
      <c r="R137" s="53">
        <f t="shared" si="85"/>
        <v>77.194318893572358</v>
      </c>
      <c r="T137">
        <f t="shared" si="79"/>
        <v>96</v>
      </c>
      <c r="U137">
        <f t="shared" si="82"/>
        <v>323.0628351545314</v>
      </c>
      <c r="V137">
        <f t="shared" si="83"/>
        <v>73.034363473440735</v>
      </c>
      <c r="W137" s="53">
        <f t="shared" si="86"/>
        <v>294.55159741284263</v>
      </c>
      <c r="X137" s="53">
        <f t="shared" si="87"/>
        <v>71.176549204793531</v>
      </c>
    </row>
    <row r="138" spans="14:24" x14ac:dyDescent="0.2">
      <c r="N138">
        <f t="shared" si="78"/>
        <v>117</v>
      </c>
      <c r="O138">
        <f t="shared" si="80"/>
        <v>547.78221652054265</v>
      </c>
      <c r="P138">
        <f t="shared" si="81"/>
        <v>80.18552003178489</v>
      </c>
      <c r="Q138" s="53">
        <f t="shared" si="84"/>
        <v>519.07256125797369</v>
      </c>
      <c r="R138" s="53">
        <f t="shared" si="85"/>
        <v>79.316269700201431</v>
      </c>
      <c r="T138">
        <f t="shared" si="79"/>
        <v>117</v>
      </c>
      <c r="U138">
        <f t="shared" si="82"/>
        <v>341.48959372085397</v>
      </c>
      <c r="V138">
        <f t="shared" si="83"/>
        <v>77.20007502031801</v>
      </c>
      <c r="W138" s="53">
        <f t="shared" si="86"/>
        <v>312.9783559791652</v>
      </c>
      <c r="X138" s="53">
        <f t="shared" si="87"/>
        <v>75.629260034748526</v>
      </c>
    </row>
    <row r="139" spans="14:24" x14ac:dyDescent="0.2">
      <c r="N139">
        <f t="shared" si="78"/>
        <v>152</v>
      </c>
      <c r="O139">
        <f t="shared" si="80"/>
        <v>566.10033922039133</v>
      </c>
      <c r="P139">
        <f t="shared" si="81"/>
        <v>82.866965596088505</v>
      </c>
      <c r="Q139" s="53">
        <f t="shared" si="84"/>
        <v>537.39068395782238</v>
      </c>
      <c r="R139" s="53">
        <f t="shared" si="85"/>
        <v>82.115348805714959</v>
      </c>
      <c r="T139">
        <f t="shared" si="79"/>
        <v>152</v>
      </c>
      <c r="U139">
        <f t="shared" si="82"/>
        <v>365.63150501910252</v>
      </c>
      <c r="V139">
        <f t="shared" si="83"/>
        <v>82.657803155021142</v>
      </c>
      <c r="W139" s="53">
        <f t="shared" si="86"/>
        <v>337.12026727741375</v>
      </c>
      <c r="X139" s="53">
        <f t="shared" si="87"/>
        <v>81.463001737425927</v>
      </c>
    </row>
    <row r="140" spans="14:24" x14ac:dyDescent="0.2">
      <c r="N140">
        <f t="shared" si="78"/>
        <v>164</v>
      </c>
      <c r="O140">
        <f t="shared" si="80"/>
        <v>573.04095238728291</v>
      </c>
      <c r="P140">
        <f t="shared" si="81"/>
        <v>83.882947238686768</v>
      </c>
      <c r="Q140" s="53">
        <f t="shared" si="84"/>
        <v>544.33129712471396</v>
      </c>
      <c r="R140" s="53">
        <f t="shared" si="85"/>
        <v>83.175901003842696</v>
      </c>
      <c r="T140">
        <f t="shared" si="79"/>
        <v>164</v>
      </c>
      <c r="U140">
        <f t="shared" si="82"/>
        <v>373.99222038661355</v>
      </c>
      <c r="V140">
        <f t="shared" si="83"/>
        <v>84.547898389147065</v>
      </c>
      <c r="W140" s="53">
        <f t="shared" si="86"/>
        <v>345.48098264492478</v>
      </c>
      <c r="X140" s="53">
        <f t="shared" si="87"/>
        <v>83.483316256069855</v>
      </c>
    </row>
    <row r="141" spans="14:24" x14ac:dyDescent="0.2">
      <c r="N141">
        <f t="shared" si="78"/>
        <v>261</v>
      </c>
      <c r="O141">
        <f t="shared" si="80"/>
        <v>599.60139942259423</v>
      </c>
      <c r="P141">
        <f t="shared" si="81"/>
        <v>87.77092168103205</v>
      </c>
      <c r="Q141" s="53">
        <f t="shared" si="84"/>
        <v>570.89174416002527</v>
      </c>
      <c r="R141" s="53">
        <f t="shared" si="85"/>
        <v>87.234438745281267</v>
      </c>
      <c r="T141">
        <f t="shared" si="79"/>
        <v>261</v>
      </c>
      <c r="U141">
        <f t="shared" si="82"/>
        <v>397.24920481024134</v>
      </c>
      <c r="V141">
        <f t="shared" si="83"/>
        <v>89.805572342509421</v>
      </c>
      <c r="W141" s="53">
        <f t="shared" si="86"/>
        <v>368.73796706855256</v>
      </c>
      <c r="X141" s="53">
        <f t="shared" si="87"/>
        <v>89.103220920390243</v>
      </c>
    </row>
    <row r="142" spans="14:24" x14ac:dyDescent="0.2">
      <c r="N142">
        <f t="shared" si="78"/>
        <v>384</v>
      </c>
      <c r="O142">
        <f t="shared" si="80"/>
        <v>626.62713896071386</v>
      </c>
      <c r="P142">
        <f t="shared" si="81"/>
        <v>91.727006624557077</v>
      </c>
      <c r="Q142" s="53">
        <f t="shared" si="84"/>
        <v>597.91748369814491</v>
      </c>
      <c r="R142" s="53">
        <f t="shared" si="85"/>
        <v>91.364074958102691</v>
      </c>
      <c r="T142">
        <f t="shared" si="79"/>
        <v>384</v>
      </c>
      <c r="U142">
        <f t="shared" si="82"/>
        <v>413.35303033068436</v>
      </c>
      <c r="V142">
        <f t="shared" si="83"/>
        <v>93.446141663367158</v>
      </c>
      <c r="W142" s="53">
        <f t="shared" si="86"/>
        <v>384.84179258899559</v>
      </c>
      <c r="X142" s="53">
        <f t="shared" si="87"/>
        <v>92.994609524658074</v>
      </c>
    </row>
    <row r="143" spans="14:24" x14ac:dyDescent="0.2">
      <c r="N143">
        <f t="shared" si="78"/>
        <v>508</v>
      </c>
      <c r="O143">
        <f t="shared" si="80"/>
        <v>648.56789614671345</v>
      </c>
      <c r="P143">
        <f t="shared" si="81"/>
        <v>94.938741090903207</v>
      </c>
      <c r="Q143" s="53">
        <f t="shared" si="84"/>
        <v>619.85824088414449</v>
      </c>
      <c r="R143" s="53">
        <f t="shared" si="85"/>
        <v>94.716706447954238</v>
      </c>
      <c r="T143">
        <f t="shared" si="79"/>
        <v>508</v>
      </c>
      <c r="U143">
        <f t="shared" si="82"/>
        <v>425.25345319667861</v>
      </c>
      <c r="V143">
        <f t="shared" si="83"/>
        <v>96.136453622856195</v>
      </c>
      <c r="W143" s="53">
        <f t="shared" si="86"/>
        <v>396.74221545498983</v>
      </c>
      <c r="X143" s="53">
        <f t="shared" si="87"/>
        <v>95.87027219673007</v>
      </c>
    </row>
    <row r="144" spans="14:24" x14ac:dyDescent="0.2">
      <c r="N144">
        <f>N119</f>
        <v>522</v>
      </c>
      <c r="O144">
        <f>O143+V56</f>
        <v>653.3039091217272</v>
      </c>
      <c r="P144">
        <f t="shared" si="81"/>
        <v>95.632008692197289</v>
      </c>
      <c r="Q144" s="53">
        <f>Q143+V56</f>
        <v>624.59425385915824</v>
      </c>
      <c r="R144" s="53">
        <f t="shared" si="85"/>
        <v>95.440387317386964</v>
      </c>
      <c r="T144">
        <f>T119</f>
        <v>522</v>
      </c>
      <c r="U144">
        <f>U143+Y56</f>
        <v>429.42920188629546</v>
      </c>
      <c r="V144">
        <f t="shared" si="83"/>
        <v>97.080459291057991</v>
      </c>
      <c r="W144" s="53">
        <f>W143+Y56</f>
        <v>400.91796414460669</v>
      </c>
      <c r="X144" s="53">
        <f t="shared" si="87"/>
        <v>96.879315721477255</v>
      </c>
    </row>
    <row r="145" spans="14:25" x14ac:dyDescent="0.2">
      <c r="N145">
        <f>N120</f>
        <v>1107</v>
      </c>
      <c r="O145">
        <f>O144+V57</f>
        <v>683.14356046254511</v>
      </c>
      <c r="P145">
        <f t="shared" si="81"/>
        <v>100</v>
      </c>
      <c r="Q145" s="53">
        <f>Q144+V57</f>
        <v>654.43390519997615</v>
      </c>
      <c r="R145" s="53">
        <f t="shared" si="85"/>
        <v>100</v>
      </c>
      <c r="T145">
        <f>T120</f>
        <v>1107</v>
      </c>
      <c r="U145">
        <f>U144+Y57</f>
        <v>442.34360346279271</v>
      </c>
      <c r="V145">
        <f t="shared" si="83"/>
        <v>100</v>
      </c>
      <c r="W145" s="53">
        <f>W144+Y57</f>
        <v>413.83236572110394</v>
      </c>
      <c r="X145" s="53">
        <f t="shared" si="87"/>
        <v>100</v>
      </c>
    </row>
    <row r="147" spans="14:25" x14ac:dyDescent="0.2">
      <c r="N147" t="s">
        <v>30</v>
      </c>
      <c r="T147" t="s">
        <v>30</v>
      </c>
    </row>
    <row r="148" spans="14:25" x14ac:dyDescent="0.2">
      <c r="Q148" s="53" t="s">
        <v>31</v>
      </c>
      <c r="R148" s="53"/>
      <c r="W148" s="53" t="s">
        <v>31</v>
      </c>
      <c r="X148" s="53"/>
    </row>
    <row r="149" spans="14:25" x14ac:dyDescent="0.2">
      <c r="N149">
        <f t="shared" ref="N149:N167" si="88">N125</f>
        <v>0.33333333333333331</v>
      </c>
      <c r="O149">
        <f t="shared" ref="O149:O163" si="89">AVERAGE(P75,P100,P125)</f>
        <v>4.008807059183142</v>
      </c>
      <c r="P149">
        <f t="shared" ref="P149:P167" si="90">_xlfn.STDEV.S(P75,P100,P125)/SQRT(3)</f>
        <v>0.11687820400576772</v>
      </c>
      <c r="Q149" s="53"/>
      <c r="R149" s="53"/>
      <c r="T149">
        <f t="shared" ref="T149:T167" si="91">T125</f>
        <v>0.33333333333333331</v>
      </c>
      <c r="U149">
        <f t="shared" ref="U149:U167" si="92">AVERAGE(V75,V100,V125)</f>
        <v>6.1030476981397142</v>
      </c>
      <c r="V149">
        <f t="shared" ref="V149:V167" si="93">_xlfn.STDEV.S(V75,V100,V125)/SQRT(3)</f>
        <v>0.17223996538187863</v>
      </c>
      <c r="W149" s="53"/>
      <c r="X149" s="53"/>
    </row>
    <row r="150" spans="14:25" x14ac:dyDescent="0.2">
      <c r="N150">
        <f t="shared" si="88"/>
        <v>0.66666666666666663</v>
      </c>
      <c r="O150">
        <f t="shared" si="89"/>
        <v>7.5190088532491481</v>
      </c>
      <c r="P150">
        <f t="shared" si="90"/>
        <v>0.27991118895443634</v>
      </c>
      <c r="Q150" s="53">
        <f t="shared" ref="Q150:Q167" si="94">AVERAGE(Q76,Q101,Q126)</f>
        <v>23.359009123974939</v>
      </c>
      <c r="R150" s="53">
        <f>Q150/$Q$169*100</f>
        <v>3.6561874301596395</v>
      </c>
      <c r="S150" s="53">
        <f t="shared" ref="S150:S167" si="95">_xlfn.STDEV.S(R76,R101,R126)/SQRT(3)</f>
        <v>0.176941474588026</v>
      </c>
      <c r="T150">
        <f t="shared" si="91"/>
        <v>0.66666666666666663</v>
      </c>
      <c r="U150">
        <f t="shared" si="92"/>
        <v>7.0271450133254802</v>
      </c>
      <c r="V150">
        <f t="shared" si="93"/>
        <v>0.22695622448761626</v>
      </c>
      <c r="W150" s="53">
        <f t="shared" ref="W150:W167" si="96">AVERAGE(W76,W101,W126)</f>
        <v>3.9610051606779977</v>
      </c>
      <c r="X150" s="53">
        <f>W150/$W$169*100</f>
        <v>0.98594381107288809</v>
      </c>
      <c r="Y150" s="53">
        <f t="shared" ref="Y150:Y166" si="97">_xlfn.STDEV.S(X76,X101,X126)/SQRT(3)</f>
        <v>8.663281119329648E-2</v>
      </c>
    </row>
    <row r="151" spans="14:25" x14ac:dyDescent="0.2">
      <c r="N151">
        <f t="shared" si="88"/>
        <v>1</v>
      </c>
      <c r="O151">
        <f t="shared" si="89"/>
        <v>11.380828969428791</v>
      </c>
      <c r="P151">
        <f t="shared" si="90"/>
        <v>0.42777070894871033</v>
      </c>
      <c r="Q151" s="53">
        <f t="shared" si="94"/>
        <v>49.062370688265922</v>
      </c>
      <c r="R151" s="53">
        <f t="shared" ref="R151:R169" si="98">Q151/$Q$169*100</f>
        <v>7.6793164492649408</v>
      </c>
      <c r="S151" s="53">
        <f t="shared" si="95"/>
        <v>0.33530941766039452</v>
      </c>
      <c r="T151">
        <f t="shared" si="91"/>
        <v>1</v>
      </c>
      <c r="U151">
        <f t="shared" si="92"/>
        <v>8.025362527830703</v>
      </c>
      <c r="V151">
        <f t="shared" si="93"/>
        <v>0.44611935881209153</v>
      </c>
      <c r="W151" s="53">
        <f t="shared" si="96"/>
        <v>8.2647137489091129</v>
      </c>
      <c r="X151" s="53">
        <f t="shared" ref="X151:X169" si="99">W151/$W$169*100</f>
        <v>2.0571907989211446</v>
      </c>
      <c r="Y151" s="53">
        <f t="shared" si="97"/>
        <v>0.29901616597202851</v>
      </c>
    </row>
    <row r="152" spans="14:25" x14ac:dyDescent="0.2">
      <c r="N152">
        <f t="shared" si="88"/>
        <v>2</v>
      </c>
      <c r="O152">
        <f t="shared" si="89"/>
        <v>20.598346992357097</v>
      </c>
      <c r="P152">
        <f t="shared" si="90"/>
        <v>0.45208181300448369</v>
      </c>
      <c r="Q152" s="53">
        <f t="shared" si="94"/>
        <v>110.45069431402858</v>
      </c>
      <c r="R152" s="53">
        <f t="shared" si="98"/>
        <v>17.287909690864389</v>
      </c>
      <c r="S152" s="53">
        <f t="shared" si="95"/>
        <v>0.37227490502403082</v>
      </c>
      <c r="T152">
        <f t="shared" si="91"/>
        <v>2</v>
      </c>
      <c r="U152">
        <f t="shared" si="92"/>
        <v>10.701686952459417</v>
      </c>
      <c r="V152">
        <f t="shared" si="93"/>
        <v>0.64478984392170202</v>
      </c>
      <c r="W152" s="53">
        <f t="shared" si="96"/>
        <v>19.735082577587896</v>
      </c>
      <c r="X152" s="53">
        <f t="shared" si="99"/>
        <v>4.9123093101586948</v>
      </c>
      <c r="Y152" s="53">
        <f t="shared" si="97"/>
        <v>0.54306740133092224</v>
      </c>
    </row>
    <row r="153" spans="14:25" x14ac:dyDescent="0.2">
      <c r="N153">
        <f t="shared" si="88"/>
        <v>4</v>
      </c>
      <c r="O153">
        <f t="shared" si="89"/>
        <v>30.586263887712814</v>
      </c>
      <c r="P153">
        <f t="shared" si="90"/>
        <v>0.53184001971287553</v>
      </c>
      <c r="Q153" s="53">
        <f t="shared" si="94"/>
        <v>176.95752751351634</v>
      </c>
      <c r="R153" s="53">
        <f t="shared" si="98"/>
        <v>27.697659790842639</v>
      </c>
      <c r="S153" s="53">
        <f t="shared" si="95"/>
        <v>0.47314513539861824</v>
      </c>
      <c r="T153">
        <f t="shared" si="91"/>
        <v>4</v>
      </c>
      <c r="U153">
        <f t="shared" si="92"/>
        <v>15.195515979798854</v>
      </c>
      <c r="V153">
        <f t="shared" si="93"/>
        <v>1.3117284279512234</v>
      </c>
      <c r="W153" s="53">
        <f t="shared" si="96"/>
        <v>39.06239622012388</v>
      </c>
      <c r="X153" s="53">
        <f t="shared" si="99"/>
        <v>9.7231198235338478</v>
      </c>
      <c r="Y153" s="53">
        <f t="shared" si="97"/>
        <v>1.2441517088628842</v>
      </c>
    </row>
    <row r="154" spans="14:25" x14ac:dyDescent="0.2">
      <c r="N154">
        <f t="shared" si="88"/>
        <v>8</v>
      </c>
      <c r="O154">
        <f t="shared" si="89"/>
        <v>40.848894633948078</v>
      </c>
      <c r="P154">
        <f t="shared" si="90"/>
        <v>1.6326271942861363</v>
      </c>
      <c r="Q154" s="53">
        <f t="shared" si="94"/>
        <v>245.58318226275904</v>
      </c>
      <c r="R154" s="53">
        <f t="shared" si="98"/>
        <v>38.439051043741806</v>
      </c>
      <c r="S154" s="53">
        <f t="shared" si="95"/>
        <v>1.6693595906524334</v>
      </c>
      <c r="T154">
        <f t="shared" si="91"/>
        <v>8</v>
      </c>
      <c r="U154">
        <f t="shared" si="92"/>
        <v>21.441613345078082</v>
      </c>
      <c r="V154">
        <f t="shared" si="93"/>
        <v>2.0418659702345003</v>
      </c>
      <c r="W154" s="53">
        <f t="shared" si="96"/>
        <v>65.869476936359618</v>
      </c>
      <c r="X154" s="53">
        <f t="shared" si="99"/>
        <v>16.395738073942784</v>
      </c>
      <c r="Y154" s="53">
        <f t="shared" si="97"/>
        <v>2.045807731388587</v>
      </c>
    </row>
    <row r="155" spans="14:25" x14ac:dyDescent="0.2">
      <c r="N155">
        <f t="shared" si="88"/>
        <v>21</v>
      </c>
      <c r="O155">
        <f t="shared" si="89"/>
        <v>55.169198312557029</v>
      </c>
      <c r="P155">
        <f t="shared" si="90"/>
        <v>1.6361783649168062</v>
      </c>
      <c r="Q155" s="53">
        <f t="shared" si="94"/>
        <v>340.85004811351769</v>
      </c>
      <c r="R155" s="53">
        <f t="shared" si="98"/>
        <v>53.350364943471853</v>
      </c>
      <c r="S155" s="53">
        <f t="shared" si="95"/>
        <v>1.6680361086722466</v>
      </c>
      <c r="T155">
        <f t="shared" si="91"/>
        <v>21</v>
      </c>
      <c r="U155">
        <f t="shared" si="92"/>
        <v>33.419191986838221</v>
      </c>
      <c r="V155">
        <f t="shared" si="93"/>
        <v>2.4705305496619672</v>
      </c>
      <c r="W155" s="53">
        <f t="shared" si="96"/>
        <v>117.17250964748678</v>
      </c>
      <c r="X155" s="53">
        <f t="shared" si="99"/>
        <v>29.165705680384313</v>
      </c>
      <c r="Y155" s="53">
        <f t="shared" si="97"/>
        <v>2.5236385587148709</v>
      </c>
    </row>
    <row r="156" spans="14:25" x14ac:dyDescent="0.2">
      <c r="N156">
        <f t="shared" si="88"/>
        <v>24</v>
      </c>
      <c r="O156">
        <f t="shared" si="89"/>
        <v>61.606503030121267</v>
      </c>
      <c r="P156">
        <f t="shared" si="90"/>
        <v>1.9594329305990412</v>
      </c>
      <c r="Q156" s="53">
        <f t="shared" si="94"/>
        <v>383.73616710005012</v>
      </c>
      <c r="R156" s="53">
        <f t="shared" si="98"/>
        <v>60.062965137028698</v>
      </c>
      <c r="S156" s="53">
        <f t="shared" si="95"/>
        <v>2.0071946815276833</v>
      </c>
      <c r="T156">
        <f t="shared" si="91"/>
        <v>24</v>
      </c>
      <c r="U156">
        <f t="shared" si="92"/>
        <v>38.381473381052622</v>
      </c>
      <c r="V156">
        <f t="shared" si="93"/>
        <v>2.7239670127582851</v>
      </c>
      <c r="W156" s="53">
        <f t="shared" si="96"/>
        <v>138.43997732067692</v>
      </c>
      <c r="X156" s="53">
        <f t="shared" si="99"/>
        <v>34.459444839761069</v>
      </c>
      <c r="Y156" s="53">
        <f t="shared" si="97"/>
        <v>2.8013851053785732</v>
      </c>
    </row>
    <row r="157" spans="14:25" x14ac:dyDescent="0.2">
      <c r="N157">
        <f t="shared" si="88"/>
        <v>48</v>
      </c>
      <c r="O157">
        <f t="shared" si="89"/>
        <v>66.447940367100898</v>
      </c>
      <c r="P157">
        <f t="shared" si="90"/>
        <v>1.9316889477928696</v>
      </c>
      <c r="Q157" s="53">
        <f t="shared" si="94"/>
        <v>415.95107882669822</v>
      </c>
      <c r="R157" s="53">
        <f t="shared" si="98"/>
        <v>65.105291833916866</v>
      </c>
      <c r="S157" s="53">
        <f t="shared" si="95"/>
        <v>1.9825101473234734</v>
      </c>
      <c r="T157">
        <f t="shared" si="91"/>
        <v>48</v>
      </c>
      <c r="U157">
        <f t="shared" si="92"/>
        <v>47.926232491360999</v>
      </c>
      <c r="V157">
        <f t="shared" si="93"/>
        <v>3.3563231252708454</v>
      </c>
      <c r="W157" s="53">
        <f t="shared" si="96"/>
        <v>179.38047825181613</v>
      </c>
      <c r="X157" s="53">
        <f t="shared" si="99"/>
        <v>44.650048456235858</v>
      </c>
      <c r="Y157" s="53">
        <f t="shared" si="97"/>
        <v>3.4879899389682438</v>
      </c>
    </row>
    <row r="158" spans="14:25" x14ac:dyDescent="0.2">
      <c r="N158">
        <f t="shared" si="88"/>
        <v>68</v>
      </c>
      <c r="O158">
        <f t="shared" si="89"/>
        <v>70.611767779547975</v>
      </c>
      <c r="P158">
        <f t="shared" si="90"/>
        <v>1.5996149895749032</v>
      </c>
      <c r="Q158" s="53">
        <f t="shared" si="94"/>
        <v>443.61299700195224</v>
      </c>
      <c r="R158" s="53">
        <f t="shared" si="98"/>
        <v>69.434977095380475</v>
      </c>
      <c r="S158" s="53">
        <f t="shared" si="95"/>
        <v>1.6416244826521484</v>
      </c>
      <c r="T158">
        <f t="shared" si="91"/>
        <v>68</v>
      </c>
      <c r="U158">
        <f t="shared" si="92"/>
        <v>56.026846808237529</v>
      </c>
      <c r="V158">
        <f t="shared" si="93"/>
        <v>3.3396233143303173</v>
      </c>
      <c r="W158" s="53">
        <f t="shared" si="96"/>
        <v>214.03913839883685</v>
      </c>
      <c r="X158" s="53">
        <f t="shared" si="99"/>
        <v>53.277023197714001</v>
      </c>
      <c r="Y158" s="53">
        <f t="shared" si="97"/>
        <v>3.4845605798796333</v>
      </c>
    </row>
    <row r="159" spans="14:25" x14ac:dyDescent="0.2">
      <c r="N159">
        <f t="shared" si="88"/>
        <v>72</v>
      </c>
      <c r="O159">
        <f t="shared" si="89"/>
        <v>71.936201329598745</v>
      </c>
      <c r="P159">
        <f t="shared" si="90"/>
        <v>1.487191440010756</v>
      </c>
      <c r="Q159" s="53">
        <f t="shared" si="94"/>
        <v>452.41351295664782</v>
      </c>
      <c r="R159" s="53">
        <f t="shared" si="98"/>
        <v>70.812447160215228</v>
      </c>
      <c r="S159" s="53">
        <f t="shared" si="95"/>
        <v>1.5266094453050902</v>
      </c>
      <c r="T159">
        <f t="shared" si="91"/>
        <v>72</v>
      </c>
      <c r="U159">
        <f t="shared" si="92"/>
        <v>58.84765205286643</v>
      </c>
      <c r="V159">
        <f t="shared" si="93"/>
        <v>3.2351592839825312</v>
      </c>
      <c r="W159" s="53">
        <f t="shared" si="96"/>
        <v>226.0968199485626</v>
      </c>
      <c r="X159" s="53">
        <f t="shared" si="99"/>
        <v>56.278331203534663</v>
      </c>
      <c r="Y159" s="53">
        <f t="shared" si="97"/>
        <v>3.3778257805128704</v>
      </c>
    </row>
    <row r="160" spans="14:25" x14ac:dyDescent="0.2">
      <c r="N160">
        <f t="shared" si="88"/>
        <v>94</v>
      </c>
      <c r="O160">
        <f t="shared" si="89"/>
        <v>74.977168990806788</v>
      </c>
      <c r="P160">
        <f t="shared" si="90"/>
        <v>1.1866204458716925</v>
      </c>
      <c r="Q160" s="53">
        <f t="shared" si="94"/>
        <v>472.5966076766581</v>
      </c>
      <c r="R160" s="53">
        <f t="shared" si="98"/>
        <v>73.971535665441422</v>
      </c>
      <c r="S160" s="53">
        <f t="shared" si="95"/>
        <v>1.2166690941480365</v>
      </c>
      <c r="T160">
        <f t="shared" si="91"/>
        <v>94</v>
      </c>
      <c r="U160">
        <f t="shared" si="92"/>
        <v>65.179438944752135</v>
      </c>
      <c r="V160">
        <f t="shared" si="93"/>
        <v>2.9792334124371824</v>
      </c>
      <c r="W160" s="53">
        <f t="shared" si="96"/>
        <v>253.15451931580671</v>
      </c>
      <c r="X160" s="53">
        <f t="shared" si="99"/>
        <v>63.013331576126653</v>
      </c>
      <c r="Y160" s="53">
        <f t="shared" si="97"/>
        <v>3.1161764698330785</v>
      </c>
    </row>
    <row r="161" spans="14:25" x14ac:dyDescent="0.2">
      <c r="N161">
        <f t="shared" si="88"/>
        <v>96</v>
      </c>
      <c r="O161">
        <f t="shared" si="89"/>
        <v>75.977080906307279</v>
      </c>
      <c r="P161">
        <f t="shared" si="90"/>
        <v>1.130693962159532</v>
      </c>
      <c r="Q161" s="53">
        <f t="shared" si="94"/>
        <v>479.24426798416749</v>
      </c>
      <c r="R161" s="53">
        <f t="shared" si="98"/>
        <v>75.012037508961015</v>
      </c>
      <c r="S161" s="53">
        <f t="shared" si="95"/>
        <v>1.1599080240566135</v>
      </c>
      <c r="T161">
        <f t="shared" si="91"/>
        <v>96</v>
      </c>
      <c r="U161">
        <f t="shared" si="92"/>
        <v>67.296889997214578</v>
      </c>
      <c r="V161">
        <f t="shared" si="93"/>
        <v>2.9885206921989647</v>
      </c>
      <c r="W161" s="53">
        <f t="shared" si="96"/>
        <v>262.2226172331832</v>
      </c>
      <c r="X161" s="53">
        <f t="shared" si="99"/>
        <v>65.270494760006471</v>
      </c>
      <c r="Y161" s="53">
        <f t="shared" si="97"/>
        <v>3.1289635319360252</v>
      </c>
    </row>
    <row r="162" spans="14:25" x14ac:dyDescent="0.2">
      <c r="N162">
        <f t="shared" si="88"/>
        <v>117</v>
      </c>
      <c r="O162">
        <f t="shared" si="89"/>
        <v>78.271821745363994</v>
      </c>
      <c r="P162">
        <f t="shared" si="90"/>
        <v>0.99419739541483032</v>
      </c>
      <c r="Q162" s="53">
        <f t="shared" si="94"/>
        <v>494.4877495486212</v>
      </c>
      <c r="R162" s="53">
        <f t="shared" si="98"/>
        <v>77.397970293696446</v>
      </c>
      <c r="S162" s="53">
        <f t="shared" si="95"/>
        <v>1.0193741616125649</v>
      </c>
      <c r="T162">
        <f t="shared" si="91"/>
        <v>117</v>
      </c>
      <c r="U162">
        <f t="shared" si="92"/>
        <v>72.09637019990943</v>
      </c>
      <c r="V162">
        <f t="shared" si="93"/>
        <v>2.6694610451277954</v>
      </c>
      <c r="W162" s="53">
        <f t="shared" si="96"/>
        <v>282.71361785251344</v>
      </c>
      <c r="X162" s="53">
        <f t="shared" si="99"/>
        <v>70.370961541489081</v>
      </c>
      <c r="Y162" s="53">
        <f t="shared" si="97"/>
        <v>2.7975005129952533</v>
      </c>
    </row>
    <row r="163" spans="14:25" x14ac:dyDescent="0.2">
      <c r="N163">
        <f t="shared" si="88"/>
        <v>152</v>
      </c>
      <c r="O163">
        <f t="shared" si="89"/>
        <v>81.425399825066663</v>
      </c>
      <c r="P163">
        <f t="shared" si="90"/>
        <v>0.76861747660674362</v>
      </c>
      <c r="Q163" s="53">
        <f t="shared" si="94"/>
        <v>515.43523807387589</v>
      </c>
      <c r="R163" s="53">
        <f t="shared" si="98"/>
        <v>80.676702873189384</v>
      </c>
      <c r="S163" s="53">
        <f t="shared" si="95"/>
        <v>0.78815790105753214</v>
      </c>
      <c r="T163">
        <f t="shared" si="91"/>
        <v>152</v>
      </c>
      <c r="U163">
        <f t="shared" si="92"/>
        <v>78.548121040753088</v>
      </c>
      <c r="V163">
        <f t="shared" si="93"/>
        <v>2.2036038511994183</v>
      </c>
      <c r="W163" s="53">
        <f t="shared" si="96"/>
        <v>310.24783279080538</v>
      </c>
      <c r="X163" s="53">
        <f t="shared" si="99"/>
        <v>77.224572609875793</v>
      </c>
      <c r="Y163" s="53">
        <f t="shared" si="97"/>
        <v>2.3131076713328729</v>
      </c>
    </row>
    <row r="164" spans="14:25" x14ac:dyDescent="0.2">
      <c r="N164">
        <f t="shared" si="88"/>
        <v>164</v>
      </c>
      <c r="O164">
        <f>AVERAGE(P92,P115,P140)</f>
        <v>85.570421714546868</v>
      </c>
      <c r="P164">
        <f t="shared" si="90"/>
        <v>0.67732131602050283</v>
      </c>
      <c r="Q164" s="53">
        <f t="shared" si="94"/>
        <v>523.44630982940873</v>
      </c>
      <c r="R164" s="53">
        <f t="shared" si="98"/>
        <v>81.930607938221613</v>
      </c>
      <c r="S164" s="53">
        <f t="shared" si="95"/>
        <v>0.69452653360278049</v>
      </c>
      <c r="T164">
        <f t="shared" si="91"/>
        <v>164</v>
      </c>
      <c r="U164">
        <f t="shared" si="92"/>
        <v>80.776238999194135</v>
      </c>
      <c r="V164">
        <f t="shared" si="93"/>
        <v>2.0118773817594318</v>
      </c>
      <c r="W164" s="53">
        <f t="shared" si="96"/>
        <v>319.75806154134693</v>
      </c>
      <c r="X164" s="53">
        <f t="shared" si="99"/>
        <v>79.591787697492322</v>
      </c>
      <c r="Y164" s="53">
        <f t="shared" si="97"/>
        <v>2.1123061721864986</v>
      </c>
    </row>
    <row r="165" spans="14:25" x14ac:dyDescent="0.2">
      <c r="N165">
        <f t="shared" si="88"/>
        <v>261</v>
      </c>
      <c r="O165">
        <f>AVERAGE(P93,P116,P141)</f>
        <v>89.591111509349915</v>
      </c>
      <c r="P165">
        <f t="shared" si="90"/>
        <v>0.52198786337702696</v>
      </c>
      <c r="Q165" s="53">
        <f t="shared" si="94"/>
        <v>552.02882957479562</v>
      </c>
      <c r="R165" s="53">
        <f t="shared" si="98"/>
        <v>86.404387149520204</v>
      </c>
      <c r="S165" s="53">
        <f t="shared" si="95"/>
        <v>0.53893268236733927</v>
      </c>
      <c r="T165">
        <f t="shared" si="91"/>
        <v>261</v>
      </c>
      <c r="U165">
        <f t="shared" si="92"/>
        <v>87.621396459925677</v>
      </c>
      <c r="V165">
        <f t="shared" si="93"/>
        <v>1.1533109976737654</v>
      </c>
      <c r="W165" s="53">
        <f t="shared" si="96"/>
        <v>348.9357568912954</v>
      </c>
      <c r="X165" s="53">
        <f t="shared" si="99"/>
        <v>86.854481631152282</v>
      </c>
      <c r="Y165" s="53">
        <f t="shared" si="97"/>
        <v>1.2082785594370813</v>
      </c>
    </row>
    <row r="166" spans="14:25" x14ac:dyDescent="0.2">
      <c r="N166">
        <f t="shared" si="88"/>
        <v>384</v>
      </c>
      <c r="O166">
        <f>AVERAGE(P96,P117,P142)</f>
        <v>91.10654508885284</v>
      </c>
      <c r="P166">
        <f t="shared" si="90"/>
        <v>0.36243377872851545</v>
      </c>
      <c r="Q166" s="53">
        <f t="shared" si="94"/>
        <v>580.15330011627645</v>
      </c>
      <c r="R166" s="53">
        <f t="shared" si="98"/>
        <v>90.806471806789219</v>
      </c>
      <c r="S166" s="53">
        <f t="shared" si="95"/>
        <v>0.37471161293730282</v>
      </c>
      <c r="T166">
        <f t="shared" si="91"/>
        <v>384</v>
      </c>
      <c r="U166">
        <f t="shared" si="92"/>
        <v>92.421531556857744</v>
      </c>
      <c r="V166">
        <f t="shared" si="93"/>
        <v>0.54507716246872207</v>
      </c>
      <c r="W166" s="53">
        <f t="shared" si="96"/>
        <v>369.3927137633662</v>
      </c>
      <c r="X166" s="53">
        <f t="shared" si="99"/>
        <v>91.946474497415252</v>
      </c>
      <c r="Y166" s="53">
        <f t="shared" si="97"/>
        <v>0.56811611739230905</v>
      </c>
    </row>
    <row r="167" spans="14:25" x14ac:dyDescent="0.2">
      <c r="N167">
        <f t="shared" si="88"/>
        <v>508</v>
      </c>
      <c r="O167">
        <f>AVERAGE(P97,P118,P143)</f>
        <v>94.64250717329071</v>
      </c>
      <c r="P167">
        <f t="shared" si="90"/>
        <v>0.21403797116519233</v>
      </c>
      <c r="Q167" s="53">
        <f t="shared" si="94"/>
        <v>604.1375486992215</v>
      </c>
      <c r="R167" s="53">
        <f t="shared" si="98"/>
        <v>94.560522662516007</v>
      </c>
      <c r="S167" s="53">
        <f t="shared" si="95"/>
        <v>0.22427101686848791</v>
      </c>
      <c r="T167">
        <f t="shared" si="91"/>
        <v>508</v>
      </c>
      <c r="U167">
        <f t="shared" si="92"/>
        <v>95.874015184918349</v>
      </c>
      <c r="V167">
        <f t="shared" si="93"/>
        <v>0.20027268652068833</v>
      </c>
      <c r="W167" s="53">
        <f t="shared" si="96"/>
        <v>384.11064481273269</v>
      </c>
      <c r="X167" s="53">
        <f t="shared" si="99"/>
        <v>95.609951933389254</v>
      </c>
      <c r="Y167" s="53">
        <f>_xlfn.STDEV.S(X93,X118,X143)/SQRT(3)</f>
        <v>0.20876986408725509</v>
      </c>
    </row>
    <row r="168" spans="14:25" x14ac:dyDescent="0.2">
      <c r="N168">
        <f>N144</f>
        <v>522</v>
      </c>
      <c r="O168">
        <f>AVERAGE(P98,P119,P144)</f>
        <v>95.43771976117992</v>
      </c>
      <c r="P168">
        <f>_xlfn.STDEV.S(P94,P119,P144)/SQRT(3)</f>
        <v>0.12983915491811085</v>
      </c>
      <c r="Q168" s="53">
        <f>AVERAGE(Q94,Q119,Q144)</f>
        <v>608.9907287915338</v>
      </c>
      <c r="R168" s="53">
        <f t="shared" si="98"/>
        <v>95.320149749248955</v>
      </c>
      <c r="S168" s="53">
        <f>_xlfn.STDEV.S(R94,R119,R144)/SQRT(3)</f>
        <v>0.13579980054701127</v>
      </c>
      <c r="T168">
        <f>T144</f>
        <v>522</v>
      </c>
      <c r="U168">
        <f>AVERAGE(V94,V119,V144)</f>
        <v>96.617374143542804</v>
      </c>
      <c r="V168">
        <f>_xlfn.STDEV.S(V94,V119,V144)/SQRT(3)</f>
        <v>0.26346576022931872</v>
      </c>
      <c r="W168" s="53">
        <f>AVERAGE(W94,W119,W144)</f>
        <v>387.30610942965842</v>
      </c>
      <c r="X168" s="53">
        <f t="shared" si="99"/>
        <v>96.405343111829694</v>
      </c>
      <c r="Y168" s="53">
        <f>_xlfn.STDEV.S(X94,X119,X144)/SQRT(3)</f>
        <v>0.27549563002113475</v>
      </c>
    </row>
    <row r="169" spans="14:25" x14ac:dyDescent="0.2">
      <c r="N169">
        <f>N145</f>
        <v>1107</v>
      </c>
      <c r="O169">
        <f>AVERAGE(P99,P120,P145)</f>
        <v>100</v>
      </c>
      <c r="P169">
        <f>_xlfn.STDEV.S(P95,P120,P145)/SQRT(3)</f>
        <v>0</v>
      </c>
      <c r="Q169" s="53">
        <f>AVERAGE(Q95,Q120,Q145)</f>
        <v>638.88981542051363</v>
      </c>
      <c r="R169" s="53">
        <f t="shared" si="98"/>
        <v>100</v>
      </c>
      <c r="S169" s="53">
        <f>_xlfn.STDEV.S(R95,R120,R145)/SQRT(3)</f>
        <v>0</v>
      </c>
      <c r="T169">
        <f>T145</f>
        <v>1107</v>
      </c>
      <c r="U169">
        <f>AVERAGE(V95,V120,V145)</f>
        <v>100</v>
      </c>
      <c r="V169">
        <f>_xlfn.STDEV.S(V95,V120,V145)/SQRT(3)</f>
        <v>0</v>
      </c>
      <c r="W169" s="53">
        <f>AVERAGE(W95,W120,W145)</f>
        <v>401.74755561046589</v>
      </c>
      <c r="X169" s="53">
        <f t="shared" si="99"/>
        <v>100</v>
      </c>
      <c r="Y169" s="53">
        <f>_xlfn.STDEV.S(X95,X120,X145)/SQRT(3)</f>
        <v>0</v>
      </c>
    </row>
    <row r="170" spans="14:25" x14ac:dyDescent="0.2">
      <c r="Q170" s="53"/>
      <c r="R170" s="53"/>
      <c r="S170" s="53"/>
      <c r="W170" s="53"/>
      <c r="X170" s="53"/>
      <c r="Y170" s="53"/>
    </row>
    <row r="171" spans="14:25" x14ac:dyDescent="0.2">
      <c r="N171" s="1" t="s">
        <v>46</v>
      </c>
    </row>
    <row r="172" spans="14:25" x14ac:dyDescent="0.2">
      <c r="N172">
        <f t="shared" ref="N172:N190" si="100">N149</f>
        <v>0.33333333333333331</v>
      </c>
      <c r="O172">
        <f t="shared" ref="O172:O190" si="101">AVERAGE(P75,P125)</f>
        <v>4.0006363768027562</v>
      </c>
      <c r="P172">
        <f t="shared" ref="P172:P190" si="102">_xlfn.STDEV.S(P75,P125)/SQRT(3)</f>
        <v>0.16488635189761897</v>
      </c>
    </row>
    <row r="173" spans="14:25" x14ac:dyDescent="0.2">
      <c r="N173">
        <f t="shared" si="100"/>
        <v>0.66666666666666663</v>
      </c>
      <c r="O173">
        <f t="shared" si="101"/>
        <v>7.4525602931093271</v>
      </c>
      <c r="P173">
        <f t="shared" si="102"/>
        <v>0.38453832723730086</v>
      </c>
      <c r="Q173">
        <f t="shared" ref="Q173:Q190" si="103">AVERAGE(Q76,Q126)</f>
        <v>23.40531548841178</v>
      </c>
      <c r="R173" s="53">
        <f>Q173/$Q$190*100</f>
        <v>3.7965318028518746</v>
      </c>
      <c r="S173" s="53">
        <f t="shared" ref="S173:S189" si="104">_xlfn.STDEV.S(R76,R126)/SQRT(3)</f>
        <v>0.23498272496586856</v>
      </c>
    </row>
    <row r="174" spans="14:25" x14ac:dyDescent="0.2">
      <c r="N174">
        <f t="shared" si="100"/>
        <v>1</v>
      </c>
      <c r="O174">
        <f t="shared" si="101"/>
        <v>11.276290257289855</v>
      </c>
      <c r="P174">
        <f t="shared" si="102"/>
        <v>0.5866164626036583</v>
      </c>
      <c r="Q174">
        <f t="shared" si="103"/>
        <v>49.328816088913101</v>
      </c>
      <c r="R174" s="53">
        <f t="shared" ref="R174:R190" si="105">Q174/$Q$190*100</f>
        <v>8.0015336333028007</v>
      </c>
      <c r="S174" s="53">
        <f t="shared" si="104"/>
        <v>0.45232438591476765</v>
      </c>
    </row>
    <row r="175" spans="14:25" x14ac:dyDescent="0.2">
      <c r="N175">
        <f t="shared" si="100"/>
        <v>2</v>
      </c>
      <c r="O175">
        <f t="shared" si="101"/>
        <v>20.645180331202376</v>
      </c>
      <c r="P175">
        <f t="shared" si="102"/>
        <v>0.6359003129768438</v>
      </c>
      <c r="Q175">
        <f t="shared" si="103"/>
        <v>112.81624644295346</v>
      </c>
      <c r="R175" s="53">
        <f t="shared" si="105"/>
        <v>18.299709213965031</v>
      </c>
      <c r="S175" s="53">
        <f t="shared" si="104"/>
        <v>0.52042476957659123</v>
      </c>
    </row>
    <row r="176" spans="14:25" x14ac:dyDescent="0.2">
      <c r="N176">
        <f t="shared" si="100"/>
        <v>4</v>
      </c>
      <c r="O176">
        <f t="shared" si="101"/>
        <v>30.740153552337684</v>
      </c>
      <c r="P176">
        <f t="shared" si="102"/>
        <v>0.71996080127995365</v>
      </c>
      <c r="Q176">
        <f t="shared" si="103"/>
        <v>181.22601296404025</v>
      </c>
      <c r="R176" s="53">
        <f t="shared" si="105"/>
        <v>29.396327601850786</v>
      </c>
      <c r="S176" s="53">
        <f t="shared" si="104"/>
        <v>0.62605029933735312</v>
      </c>
    </row>
    <row r="177" spans="14:19" x14ac:dyDescent="0.2">
      <c r="N177">
        <f t="shared" si="100"/>
        <v>8</v>
      </c>
      <c r="O177">
        <f t="shared" si="101"/>
        <v>42.241618521336932</v>
      </c>
      <c r="P177">
        <f t="shared" si="102"/>
        <v>1.2048167736374715</v>
      </c>
      <c r="Q177">
        <f t="shared" si="103"/>
        <v>259.1934270839364</v>
      </c>
      <c r="R177" s="53">
        <f t="shared" si="105"/>
        <v>42.043273866636824</v>
      </c>
      <c r="S177" s="53">
        <f t="shared" si="104"/>
        <v>1.1516921831135747</v>
      </c>
    </row>
    <row r="178" spans="14:19" x14ac:dyDescent="0.2">
      <c r="N178">
        <f t="shared" si="100"/>
        <v>21</v>
      </c>
      <c r="O178">
        <f t="shared" si="101"/>
        <v>56.278311735430634</v>
      </c>
      <c r="P178">
        <f t="shared" si="102"/>
        <v>1.7011449421042444</v>
      </c>
      <c r="Q178">
        <f t="shared" si="103"/>
        <v>354.3404580819718</v>
      </c>
      <c r="R178" s="53">
        <f t="shared" si="105"/>
        <v>57.476893178874789</v>
      </c>
      <c r="S178" s="53">
        <f t="shared" si="104"/>
        <v>1.6938203399941705</v>
      </c>
    </row>
    <row r="179" spans="14:19" x14ac:dyDescent="0.2">
      <c r="N179">
        <f t="shared" si="100"/>
        <v>24</v>
      </c>
      <c r="O179">
        <f t="shared" si="101"/>
        <v>62.790326765199495</v>
      </c>
      <c r="P179">
        <f t="shared" si="102"/>
        <v>2.208138933029975</v>
      </c>
      <c r="Q179">
        <f t="shared" si="103"/>
        <v>398.50060102553209</v>
      </c>
      <c r="R179" s="53">
        <f t="shared" si="105"/>
        <v>64.640026151242509</v>
      </c>
      <c r="S179" s="53">
        <f t="shared" si="104"/>
        <v>2.2335959751708749</v>
      </c>
    </row>
    <row r="180" spans="14:19" x14ac:dyDescent="0.2">
      <c r="N180">
        <f t="shared" si="100"/>
        <v>48</v>
      </c>
      <c r="O180">
        <f t="shared" si="101"/>
        <v>67.598721789631412</v>
      </c>
      <c r="P180">
        <f t="shared" si="102"/>
        <v>2.194139607492545</v>
      </c>
      <c r="Q180">
        <f t="shared" si="103"/>
        <v>431.08158671635135</v>
      </c>
      <c r="R180" s="53">
        <f t="shared" si="105"/>
        <v>69.924926002504932</v>
      </c>
      <c r="S180" s="53">
        <f t="shared" si="104"/>
        <v>2.2276161859601404</v>
      </c>
    </row>
    <row r="181" spans="14:19" x14ac:dyDescent="0.2">
      <c r="N181">
        <f t="shared" si="100"/>
        <v>68</v>
      </c>
      <c r="O181">
        <f t="shared" si="101"/>
        <v>71.633471366327029</v>
      </c>
      <c r="P181">
        <f t="shared" si="102"/>
        <v>1.7406262640989443</v>
      </c>
      <c r="Q181">
        <f t="shared" si="103"/>
        <v>458.39049801555933</v>
      </c>
      <c r="R181" s="53">
        <f t="shared" si="105"/>
        <v>74.35465267292885</v>
      </c>
      <c r="S181" s="53">
        <f t="shared" si="104"/>
        <v>1.7624200560803809</v>
      </c>
    </row>
    <row r="182" spans="14:19" x14ac:dyDescent="0.2">
      <c r="N182">
        <f t="shared" si="100"/>
        <v>72</v>
      </c>
      <c r="O182">
        <f t="shared" si="101"/>
        <v>72.930329679451461</v>
      </c>
      <c r="P182">
        <f t="shared" si="102"/>
        <v>1.5642552242267742</v>
      </c>
      <c r="Q182">
        <f t="shared" si="103"/>
        <v>467.16611416938832</v>
      </c>
      <c r="R182" s="53">
        <f t="shared" si="105"/>
        <v>75.778128713408975</v>
      </c>
      <c r="S182" s="53">
        <f t="shared" si="104"/>
        <v>1.5810184830057858</v>
      </c>
    </row>
    <row r="183" spans="14:19" x14ac:dyDescent="0.2">
      <c r="N183">
        <f t="shared" si="100"/>
        <v>94</v>
      </c>
      <c r="O183">
        <f t="shared" si="101"/>
        <v>75.80212143753181</v>
      </c>
      <c r="P183">
        <f t="shared" si="102"/>
        <v>1.2062516679392665</v>
      </c>
      <c r="Q183">
        <f t="shared" si="103"/>
        <v>486.60124117281873</v>
      </c>
      <c r="R183" s="53">
        <f t="shared" si="105"/>
        <v>78.930663777399928</v>
      </c>
      <c r="S183" s="53">
        <f t="shared" si="104"/>
        <v>1.2132320932934846</v>
      </c>
    </row>
    <row r="184" spans="14:19" x14ac:dyDescent="0.2">
      <c r="N184">
        <f t="shared" si="100"/>
        <v>96</v>
      </c>
      <c r="O184">
        <f t="shared" si="101"/>
        <v>76.788049520715859</v>
      </c>
      <c r="P184">
        <f t="shared" si="102"/>
        <v>1.1142699336410808</v>
      </c>
      <c r="Q184">
        <f t="shared" si="103"/>
        <v>493.27570206554299</v>
      </c>
      <c r="R184" s="53">
        <f t="shared" si="105"/>
        <v>80.013315410900233</v>
      </c>
      <c r="S184" s="53">
        <f t="shared" si="104"/>
        <v>1.119180713695638</v>
      </c>
    </row>
    <row r="185" spans="14:19" x14ac:dyDescent="0.2">
      <c r="N185">
        <f t="shared" si="100"/>
        <v>117</v>
      </c>
      <c r="O185">
        <f t="shared" si="101"/>
        <v>78.984022136164228</v>
      </c>
      <c r="P185">
        <f t="shared" si="102"/>
        <v>0.98101892376612843</v>
      </c>
      <c r="Q185">
        <f t="shared" si="103"/>
        <v>508.14668844853463</v>
      </c>
      <c r="R185" s="53">
        <f t="shared" si="105"/>
        <v>82.425509887439446</v>
      </c>
      <c r="S185" s="53">
        <f t="shared" si="104"/>
        <v>0.98430499714611552</v>
      </c>
    </row>
    <row r="186" spans="14:19" x14ac:dyDescent="0.2">
      <c r="N186">
        <f t="shared" si="100"/>
        <v>152</v>
      </c>
      <c r="O186">
        <f t="shared" si="101"/>
        <v>82.016948450221662</v>
      </c>
      <c r="P186">
        <f t="shared" si="102"/>
        <v>0.69403609333021599</v>
      </c>
      <c r="Q186">
        <f t="shared" si="103"/>
        <v>528.67848898241255</v>
      </c>
      <c r="R186" s="53">
        <f t="shared" si="105"/>
        <v>85.75593428335381</v>
      </c>
      <c r="S186" s="53">
        <f t="shared" si="104"/>
        <v>0.69078764397459858</v>
      </c>
    </row>
    <row r="187" spans="14:19" x14ac:dyDescent="0.2">
      <c r="N187">
        <f t="shared" si="100"/>
        <v>164</v>
      </c>
      <c r="O187">
        <f t="shared" si="101"/>
        <v>83.169338758902825</v>
      </c>
      <c r="P187">
        <f t="shared" si="102"/>
        <v>0.58265888386462183</v>
      </c>
      <c r="Q187">
        <f t="shared" si="103"/>
        <v>536.47959098265801</v>
      </c>
      <c r="R187" s="53">
        <f t="shared" si="105"/>
        <v>87.021336232577141</v>
      </c>
      <c r="S187" s="53">
        <f t="shared" si="104"/>
        <v>0.57683024914206182</v>
      </c>
    </row>
    <row r="188" spans="14:19" x14ac:dyDescent="0.2">
      <c r="N188">
        <f t="shared" si="100"/>
        <v>261</v>
      </c>
      <c r="O188">
        <f t="shared" si="101"/>
        <v>87.408419839137764</v>
      </c>
      <c r="P188">
        <f t="shared" si="102"/>
        <v>0.29598151448668747</v>
      </c>
      <c r="Q188">
        <f t="shared" si="103"/>
        <v>565.18437979029113</v>
      </c>
      <c r="R188" s="53">
        <f t="shared" si="105"/>
        <v>91.677485544312859</v>
      </c>
      <c r="S188" s="53">
        <f t="shared" si="104"/>
        <v>0.28578909564220645</v>
      </c>
    </row>
    <row r="189" spans="14:19" x14ac:dyDescent="0.2">
      <c r="N189">
        <f t="shared" si="100"/>
        <v>384</v>
      </c>
      <c r="O189">
        <f t="shared" si="101"/>
        <v>91.499399466837701</v>
      </c>
      <c r="P189">
        <f t="shared" si="102"/>
        <v>0.18584046607255408</v>
      </c>
      <c r="Q189">
        <f t="shared" si="103"/>
        <v>592.89760000980777</v>
      </c>
      <c r="R189" s="53">
        <f t="shared" si="105"/>
        <v>96.17279439733494</v>
      </c>
      <c r="S189" s="53">
        <f t="shared" si="104"/>
        <v>0.17837699826379722</v>
      </c>
    </row>
    <row r="190" spans="14:19" x14ac:dyDescent="0.2">
      <c r="N190">
        <f t="shared" si="100"/>
        <v>508</v>
      </c>
      <c r="O190">
        <f t="shared" si="101"/>
        <v>94.983656950597123</v>
      </c>
      <c r="P190">
        <f t="shared" si="102"/>
        <v>3.6673645869517393E-2</v>
      </c>
      <c r="Q190">
        <f t="shared" si="103"/>
        <v>616.49201702538619</v>
      </c>
      <c r="R190" s="53">
        <f t="shared" si="105"/>
        <v>100</v>
      </c>
      <c r="S190" s="53">
        <f>_xlfn.STDEV.S(R93,R143)/SQRT(3)</f>
        <v>4.7177192414361205E-2</v>
      </c>
    </row>
    <row r="191" spans="14:19" x14ac:dyDescent="0.2">
      <c r="R191" s="53"/>
      <c r="S191" s="53"/>
    </row>
    <row r="192" spans="14:19" x14ac:dyDescent="0.2">
      <c r="R192" s="53"/>
      <c r="S192" s="53"/>
    </row>
    <row r="193" spans="20:20" x14ac:dyDescent="0.2">
      <c r="T193" s="1" t="s">
        <v>47</v>
      </c>
    </row>
    <row r="194" spans="20:20" x14ac:dyDescent="0.2">
      <c r="T194">
        <f t="shared" ref="T194:T204" si="106">T149/24</f>
        <v>1.3888888888888888E-2</v>
      </c>
    </row>
    <row r="195" spans="20:20" x14ac:dyDescent="0.2">
      <c r="T195">
        <f t="shared" si="106"/>
        <v>2.7777777777777776E-2</v>
      </c>
    </row>
    <row r="196" spans="20:20" x14ac:dyDescent="0.2">
      <c r="T196">
        <f t="shared" si="106"/>
        <v>4.1666666666666664E-2</v>
      </c>
    </row>
    <row r="197" spans="20:20" x14ac:dyDescent="0.2">
      <c r="T197">
        <f t="shared" si="106"/>
        <v>8.3333333333333329E-2</v>
      </c>
    </row>
    <row r="198" spans="20:20" x14ac:dyDescent="0.2">
      <c r="T198">
        <f t="shared" si="106"/>
        <v>0.16666666666666666</v>
      </c>
    </row>
    <row r="199" spans="20:20" x14ac:dyDescent="0.2">
      <c r="T199">
        <f t="shared" si="106"/>
        <v>0.33333333333333331</v>
      </c>
    </row>
    <row r="200" spans="20:20" x14ac:dyDescent="0.2">
      <c r="T200">
        <f t="shared" si="106"/>
        <v>0.875</v>
      </c>
    </row>
    <row r="201" spans="20:20" x14ac:dyDescent="0.2">
      <c r="T201">
        <f t="shared" si="106"/>
        <v>1</v>
      </c>
    </row>
    <row r="202" spans="20:20" x14ac:dyDescent="0.2">
      <c r="T202">
        <f t="shared" si="106"/>
        <v>2</v>
      </c>
    </row>
    <row r="203" spans="20:20" x14ac:dyDescent="0.2">
      <c r="T203">
        <f t="shared" si="106"/>
        <v>2.8333333333333335</v>
      </c>
    </row>
    <row r="204" spans="20:20" x14ac:dyDescent="0.2">
      <c r="T204">
        <f t="shared" si="106"/>
        <v>3</v>
      </c>
    </row>
    <row r="205" spans="20:20" x14ac:dyDescent="0.2">
      <c r="T205">
        <f t="shared" ref="T205:T214" si="107">T160/24</f>
        <v>3.9166666666666665</v>
      </c>
    </row>
    <row r="206" spans="20:20" x14ac:dyDescent="0.2">
      <c r="T206">
        <f t="shared" si="107"/>
        <v>4</v>
      </c>
    </row>
    <row r="207" spans="20:20" x14ac:dyDescent="0.2">
      <c r="T207">
        <f t="shared" si="107"/>
        <v>4.875</v>
      </c>
    </row>
    <row r="208" spans="20:20" x14ac:dyDescent="0.2">
      <c r="T208">
        <f t="shared" si="107"/>
        <v>6.333333333333333</v>
      </c>
    </row>
    <row r="209" spans="20:20" x14ac:dyDescent="0.2">
      <c r="T209">
        <f t="shared" si="107"/>
        <v>6.833333333333333</v>
      </c>
    </row>
    <row r="210" spans="20:20" x14ac:dyDescent="0.2">
      <c r="T210">
        <f t="shared" si="107"/>
        <v>10.875</v>
      </c>
    </row>
    <row r="211" spans="20:20" x14ac:dyDescent="0.2">
      <c r="T211">
        <f t="shared" si="107"/>
        <v>16</v>
      </c>
    </row>
    <row r="212" spans="20:20" x14ac:dyDescent="0.2">
      <c r="T212">
        <f t="shared" si="107"/>
        <v>21.166666666666668</v>
      </c>
    </row>
    <row r="213" spans="20:20" x14ac:dyDescent="0.2">
      <c r="T213">
        <f t="shared" si="107"/>
        <v>21.75</v>
      </c>
    </row>
    <row r="214" spans="20:20" x14ac:dyDescent="0.2">
      <c r="T214">
        <f t="shared" si="107"/>
        <v>46.125</v>
      </c>
    </row>
  </sheetData>
  <mergeCells count="4">
    <mergeCell ref="P4:S4"/>
    <mergeCell ref="P5:S5"/>
    <mergeCell ref="D4:O4"/>
    <mergeCell ref="D5:O5"/>
  </mergeCells>
  <phoneticPr fontId="0" type="noConversion"/>
  <hyperlinks>
    <hyperlink ref="B31" r:id="rId1"/>
  </hyperlinks>
  <printOptions gridLines="1"/>
  <pageMargins left="0.74803149606299213" right="0.74803149606299213" top="0.98425196850393704" bottom="0.98425196850393704" header="0.51181102362204722" footer="0.51181102362204722"/>
  <pageSetup paperSize="9" scale="26" fitToHeight="0" orientation="landscape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214"/>
  <sheetViews>
    <sheetView tabSelected="1" topLeftCell="A145" zoomScale="75" zoomScaleNormal="75" zoomScalePageLayoutView="75" workbookViewId="0">
      <selection activeCell="T195" sqref="T195"/>
    </sheetView>
  </sheetViews>
  <sheetFormatPr defaultColWidth="8.85546875" defaultRowHeight="12.75" x14ac:dyDescent="0.2"/>
  <cols>
    <col min="1" max="1" width="13.140625" customWidth="1"/>
    <col min="2" max="2" width="14.42578125" bestFit="1" customWidth="1"/>
    <col min="3" max="3" width="13.140625" customWidth="1"/>
    <col min="4" max="4" width="12" bestFit="1" customWidth="1"/>
    <col min="5" max="5" width="8.42578125" customWidth="1"/>
    <col min="6" max="6" width="11" customWidth="1"/>
    <col min="7" max="7" width="5.28515625" customWidth="1"/>
    <col min="8" max="8" width="12.28515625" customWidth="1"/>
    <col min="9" max="9" width="12.7109375" customWidth="1"/>
    <col min="10" max="10" width="11" customWidth="1"/>
    <col min="11" max="11" width="9.42578125" customWidth="1"/>
    <col min="12" max="12" width="13.85546875" customWidth="1"/>
    <col min="13" max="13" width="12.85546875" customWidth="1"/>
    <col min="14" max="14" width="14.85546875" customWidth="1"/>
    <col min="15" max="15" width="12.42578125" bestFit="1" customWidth="1"/>
    <col min="16" max="16" width="13.7109375" bestFit="1" customWidth="1"/>
    <col min="17" max="17" width="13.42578125" customWidth="1"/>
    <col min="18" max="18" width="12.42578125" customWidth="1"/>
    <col min="19" max="25" width="13.7109375" customWidth="1"/>
    <col min="26" max="26" width="13.7109375" bestFit="1" customWidth="1"/>
    <col min="27" max="27" width="14.28515625" customWidth="1"/>
    <col min="28" max="28" width="9.42578125" bestFit="1" customWidth="1"/>
    <col min="29" max="29" width="18.42578125" customWidth="1"/>
    <col min="30" max="30" width="10.140625" bestFit="1" customWidth="1"/>
    <col min="31" max="32" width="9.42578125" bestFit="1" customWidth="1"/>
    <col min="33" max="33" width="12" bestFit="1" customWidth="1"/>
    <col min="34" max="37" width="13" bestFit="1" customWidth="1"/>
    <col min="38" max="38" width="12" customWidth="1"/>
  </cols>
  <sheetData>
    <row r="2" spans="1:21" x14ac:dyDescent="0.2">
      <c r="A2" s="1" t="s">
        <v>0</v>
      </c>
      <c r="C2" s="1" t="s">
        <v>1</v>
      </c>
    </row>
    <row r="3" spans="1:21" x14ac:dyDescent="0.2">
      <c r="A3" s="1"/>
      <c r="C3" s="1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7"/>
    </row>
    <row r="4" spans="1:21" x14ac:dyDescent="0.2">
      <c r="A4" s="1" t="s">
        <v>8</v>
      </c>
      <c r="D4" s="91" t="s">
        <v>6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88" t="s">
        <v>9</v>
      </c>
      <c r="Q4" s="88"/>
      <c r="R4" s="88"/>
      <c r="S4" s="88"/>
    </row>
    <row r="5" spans="1:21" x14ac:dyDescent="0.2">
      <c r="A5" s="1"/>
      <c r="C5" s="45"/>
      <c r="D5" s="94" t="s">
        <v>26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9" t="s">
        <v>18</v>
      </c>
      <c r="Q5" s="89"/>
      <c r="R5" s="90"/>
      <c r="S5" s="90"/>
    </row>
    <row r="6" spans="1:21" x14ac:dyDescent="0.2">
      <c r="A6" s="6" t="s">
        <v>4</v>
      </c>
      <c r="B6" s="6" t="s">
        <v>3</v>
      </c>
      <c r="C6" s="54" t="s">
        <v>7</v>
      </c>
      <c r="D6" s="8" t="s">
        <v>32</v>
      </c>
      <c r="E6" s="25" t="s">
        <v>27</v>
      </c>
      <c r="F6" s="8" t="s">
        <v>33</v>
      </c>
      <c r="G6" s="25" t="s">
        <v>27</v>
      </c>
      <c r="H6" s="8" t="s">
        <v>34</v>
      </c>
      <c r="I6" s="25" t="s">
        <v>27</v>
      </c>
      <c r="J6" s="8" t="s">
        <v>35</v>
      </c>
      <c r="K6" s="8" t="s">
        <v>27</v>
      </c>
      <c r="L6" s="73" t="s">
        <v>36</v>
      </c>
      <c r="M6" s="8" t="s">
        <v>27</v>
      </c>
      <c r="N6" s="8" t="s">
        <v>37</v>
      </c>
      <c r="O6" s="60" t="s">
        <v>27</v>
      </c>
      <c r="P6" s="59" t="s">
        <v>32</v>
      </c>
      <c r="Q6" s="8" t="s">
        <v>33</v>
      </c>
      <c r="R6" s="8" t="s">
        <v>34</v>
      </c>
      <c r="S6" s="62" t="s">
        <v>35</v>
      </c>
      <c r="T6" s="62" t="s">
        <v>36</v>
      </c>
      <c r="U6" s="62" t="s">
        <v>37</v>
      </c>
    </row>
    <row r="7" spans="1:21" x14ac:dyDescent="0.2">
      <c r="A7" s="26">
        <v>42338</v>
      </c>
      <c r="B7" s="27">
        <v>0.56597222222222221</v>
      </c>
      <c r="C7" s="18">
        <f>20/60</f>
        <v>0.33333333333333331</v>
      </c>
      <c r="D7" s="19">
        <v>0.48199999999999998</v>
      </c>
      <c r="E7" s="66">
        <v>5</v>
      </c>
      <c r="F7" s="66">
        <v>0.52800000000000002</v>
      </c>
      <c r="G7" s="66">
        <v>5</v>
      </c>
      <c r="H7" s="19">
        <v>0.52900000000000003</v>
      </c>
      <c r="I7" s="66">
        <v>5</v>
      </c>
      <c r="J7" s="66">
        <v>0.376</v>
      </c>
      <c r="K7" s="66">
        <v>5</v>
      </c>
      <c r="L7" s="22">
        <v>0.32700000000000001</v>
      </c>
      <c r="M7" s="66">
        <v>5</v>
      </c>
      <c r="N7" s="66">
        <v>0.32</v>
      </c>
      <c r="O7" s="64">
        <v>5</v>
      </c>
      <c r="P7" s="61">
        <f>D7*E7</f>
        <v>2.41</v>
      </c>
      <c r="Q7" s="80">
        <f>G7*F7</f>
        <v>2.64</v>
      </c>
      <c r="R7" s="80">
        <f>I7*H7</f>
        <v>2.645</v>
      </c>
      <c r="S7" s="18">
        <f>J7*K7</f>
        <v>1.88</v>
      </c>
      <c r="T7" s="18">
        <f>M7*L7</f>
        <v>1.635</v>
      </c>
      <c r="U7" s="18">
        <f>N7*O7</f>
        <v>1.6</v>
      </c>
    </row>
    <row r="8" spans="1:21" x14ac:dyDescent="0.2">
      <c r="A8" s="26"/>
      <c r="B8" s="27">
        <v>0.57986111111111105</v>
      </c>
      <c r="C8" s="18">
        <f>40/60</f>
        <v>0.66666666666666663</v>
      </c>
      <c r="D8" s="17">
        <v>0.50700000000000001</v>
      </c>
      <c r="E8" s="17">
        <v>4</v>
      </c>
      <c r="F8" s="17">
        <v>0.59599999999999997</v>
      </c>
      <c r="G8" s="17">
        <v>4</v>
      </c>
      <c r="H8" s="17">
        <v>0.58699999999999997</v>
      </c>
      <c r="I8" s="17">
        <v>4</v>
      </c>
      <c r="J8" s="17">
        <v>0.28799999999999998</v>
      </c>
      <c r="K8" s="17">
        <v>1</v>
      </c>
      <c r="L8" s="20">
        <v>0.316</v>
      </c>
      <c r="M8" s="17">
        <v>1</v>
      </c>
      <c r="N8" s="17">
        <v>0.3</v>
      </c>
      <c r="O8" s="48">
        <v>1</v>
      </c>
      <c r="P8" s="61">
        <f t="shared" ref="P8:P27" si="0">D8*E8</f>
        <v>2.028</v>
      </c>
      <c r="Q8" s="80">
        <f t="shared" ref="Q8:Q27" si="1">G8*F8</f>
        <v>2.3839999999999999</v>
      </c>
      <c r="R8" s="80">
        <f t="shared" ref="R8:R27" si="2">I8*H8</f>
        <v>2.3479999999999999</v>
      </c>
      <c r="S8" s="18">
        <f t="shared" ref="S8:S27" si="3">J8*K8</f>
        <v>0.28799999999999998</v>
      </c>
      <c r="T8" s="18">
        <f t="shared" ref="T8:T27" si="4">M8*L8</f>
        <v>0.316</v>
      </c>
      <c r="U8" s="18">
        <f t="shared" ref="U8:U27" si="5">N8*O8</f>
        <v>0.3</v>
      </c>
    </row>
    <row r="9" spans="1:21" x14ac:dyDescent="0.2">
      <c r="A9" s="26"/>
      <c r="B9" s="27">
        <v>0.59375</v>
      </c>
      <c r="C9" s="17">
        <v>1</v>
      </c>
      <c r="D9" s="17">
        <v>1.1359999999999999</v>
      </c>
      <c r="E9" s="17">
        <v>2</v>
      </c>
      <c r="F9" s="17">
        <v>1.292</v>
      </c>
      <c r="G9" s="17">
        <v>2</v>
      </c>
      <c r="H9" s="17">
        <v>1.282</v>
      </c>
      <c r="I9" s="17">
        <v>2</v>
      </c>
      <c r="J9" s="17">
        <v>0.30499999999999999</v>
      </c>
      <c r="K9" s="20">
        <v>1</v>
      </c>
      <c r="L9" s="20">
        <v>0.249</v>
      </c>
      <c r="M9" s="17">
        <v>1</v>
      </c>
      <c r="N9" s="17">
        <v>0.4</v>
      </c>
      <c r="O9" s="48">
        <v>1</v>
      </c>
      <c r="P9" s="61">
        <f t="shared" si="0"/>
        <v>2.2719999999999998</v>
      </c>
      <c r="Q9" s="80">
        <f t="shared" si="1"/>
        <v>2.5840000000000001</v>
      </c>
      <c r="R9" s="80">
        <f t="shared" si="2"/>
        <v>2.5640000000000001</v>
      </c>
      <c r="S9" s="18">
        <f t="shared" si="3"/>
        <v>0.30499999999999999</v>
      </c>
      <c r="T9" s="18">
        <f t="shared" si="4"/>
        <v>0.249</v>
      </c>
      <c r="U9" s="18">
        <f t="shared" si="5"/>
        <v>0.4</v>
      </c>
    </row>
    <row r="10" spans="1:21" x14ac:dyDescent="0.2">
      <c r="A10" s="26"/>
      <c r="B10" s="27">
        <v>0.63541666666666663</v>
      </c>
      <c r="C10" s="17">
        <v>2</v>
      </c>
      <c r="D10" s="17">
        <v>2.9140000000000001</v>
      </c>
      <c r="E10" s="17">
        <v>2</v>
      </c>
      <c r="F10" s="17">
        <v>2.891</v>
      </c>
      <c r="G10" s="17">
        <v>2</v>
      </c>
      <c r="H10" s="17">
        <v>2.9340000000000002</v>
      </c>
      <c r="I10" s="17">
        <v>2</v>
      </c>
      <c r="J10" s="17">
        <v>0.7</v>
      </c>
      <c r="K10" s="20">
        <v>1</v>
      </c>
      <c r="L10" s="20">
        <v>0.84499999999999997</v>
      </c>
      <c r="M10" s="17">
        <v>1</v>
      </c>
      <c r="N10" s="17">
        <v>0.76500000000000001</v>
      </c>
      <c r="O10" s="48">
        <v>1</v>
      </c>
      <c r="P10" s="61">
        <f t="shared" si="0"/>
        <v>5.8280000000000003</v>
      </c>
      <c r="Q10" s="80">
        <f t="shared" si="1"/>
        <v>5.782</v>
      </c>
      <c r="R10" s="80">
        <f t="shared" si="2"/>
        <v>5.8680000000000003</v>
      </c>
      <c r="S10" s="18">
        <f t="shared" si="3"/>
        <v>0.7</v>
      </c>
      <c r="T10" s="18">
        <f t="shared" si="4"/>
        <v>0.84499999999999997</v>
      </c>
      <c r="U10" s="18">
        <f t="shared" si="5"/>
        <v>0.76500000000000001</v>
      </c>
    </row>
    <row r="11" spans="1:21" x14ac:dyDescent="0.2">
      <c r="A11" s="26"/>
      <c r="B11" s="27">
        <v>0.71875</v>
      </c>
      <c r="C11" s="17">
        <v>4</v>
      </c>
      <c r="D11" s="17">
        <v>3.1259999999999999</v>
      </c>
      <c r="E11" s="17">
        <v>2</v>
      </c>
      <c r="F11" s="17">
        <v>3.1669999999999998</v>
      </c>
      <c r="G11" s="17">
        <v>2</v>
      </c>
      <c r="H11" s="17">
        <v>3.1709999999999998</v>
      </c>
      <c r="I11" s="17">
        <v>2</v>
      </c>
      <c r="J11" s="17">
        <v>1.1970000000000001</v>
      </c>
      <c r="K11" s="20">
        <v>1</v>
      </c>
      <c r="L11" s="20">
        <v>1.0940000000000001</v>
      </c>
      <c r="M11" s="17">
        <v>1</v>
      </c>
      <c r="N11" s="17">
        <v>1.4610000000000001</v>
      </c>
      <c r="O11" s="48">
        <v>1</v>
      </c>
      <c r="P11" s="61">
        <f t="shared" si="0"/>
        <v>6.2519999999999998</v>
      </c>
      <c r="Q11" s="80">
        <f t="shared" si="1"/>
        <v>6.3339999999999996</v>
      </c>
      <c r="R11" s="80">
        <f t="shared" si="2"/>
        <v>6.3419999999999996</v>
      </c>
      <c r="S11" s="18">
        <f t="shared" si="3"/>
        <v>1.1970000000000001</v>
      </c>
      <c r="T11" s="18">
        <f t="shared" si="4"/>
        <v>1.0940000000000001</v>
      </c>
      <c r="U11" s="18">
        <f t="shared" si="5"/>
        <v>1.4610000000000001</v>
      </c>
    </row>
    <row r="12" spans="1:21" x14ac:dyDescent="0.2">
      <c r="A12" s="26"/>
      <c r="B12" s="27">
        <v>0.88541666666666663</v>
      </c>
      <c r="C12" s="17">
        <v>8</v>
      </c>
      <c r="D12" s="80">
        <v>1.7050000000000001</v>
      </c>
      <c r="E12" s="80">
        <v>4</v>
      </c>
      <c r="F12" s="80">
        <v>1.264</v>
      </c>
      <c r="G12" s="80">
        <v>4</v>
      </c>
      <c r="H12" s="80">
        <v>1.8779999999999999</v>
      </c>
      <c r="I12" s="80">
        <v>4</v>
      </c>
      <c r="J12" s="80">
        <v>0.377</v>
      </c>
      <c r="K12" s="80">
        <v>4</v>
      </c>
      <c r="L12" s="80">
        <v>0.45300000000000001</v>
      </c>
      <c r="M12" s="80">
        <v>4</v>
      </c>
      <c r="N12" s="80">
        <v>0.45900000000000002</v>
      </c>
      <c r="O12" s="63">
        <v>4</v>
      </c>
      <c r="P12" s="61">
        <f t="shared" si="0"/>
        <v>6.82</v>
      </c>
      <c r="Q12" s="80">
        <f t="shared" si="1"/>
        <v>5.056</v>
      </c>
      <c r="R12" s="80">
        <f t="shared" si="2"/>
        <v>7.5119999999999996</v>
      </c>
      <c r="S12" s="18">
        <f t="shared" si="3"/>
        <v>1.508</v>
      </c>
      <c r="T12" s="18">
        <f t="shared" si="4"/>
        <v>1.8120000000000001</v>
      </c>
      <c r="U12" s="18">
        <f t="shared" si="5"/>
        <v>1.8360000000000001</v>
      </c>
    </row>
    <row r="13" spans="1:21" x14ac:dyDescent="0.2">
      <c r="A13" s="26">
        <v>42339</v>
      </c>
      <c r="B13" s="27">
        <v>0.42708333333333331</v>
      </c>
      <c r="C13" s="17">
        <v>21</v>
      </c>
      <c r="D13" s="80">
        <v>2.0960000000000001</v>
      </c>
      <c r="E13" s="80">
        <v>4</v>
      </c>
      <c r="F13" s="80">
        <v>2.4049999999999998</v>
      </c>
      <c r="G13" s="80">
        <v>4</v>
      </c>
      <c r="H13" s="80">
        <v>2.2709999999999999</v>
      </c>
      <c r="I13" s="80">
        <v>4</v>
      </c>
      <c r="J13" s="80">
        <v>0.874</v>
      </c>
      <c r="K13" s="80">
        <v>4</v>
      </c>
      <c r="L13" s="80">
        <v>0.81499999999999995</v>
      </c>
      <c r="M13" s="80">
        <v>4</v>
      </c>
      <c r="N13" s="80">
        <v>0.77700000000000002</v>
      </c>
      <c r="O13" s="63">
        <v>4</v>
      </c>
      <c r="P13" s="61">
        <f t="shared" si="0"/>
        <v>8.3840000000000003</v>
      </c>
      <c r="Q13" s="80">
        <f t="shared" si="1"/>
        <v>9.6199999999999992</v>
      </c>
      <c r="R13" s="80">
        <f t="shared" si="2"/>
        <v>9.0839999999999996</v>
      </c>
      <c r="S13" s="18">
        <f t="shared" si="3"/>
        <v>3.496</v>
      </c>
      <c r="T13" s="18">
        <f t="shared" si="4"/>
        <v>3.26</v>
      </c>
      <c r="U13" s="18">
        <f t="shared" si="5"/>
        <v>3.1080000000000001</v>
      </c>
    </row>
    <row r="14" spans="1:21" x14ac:dyDescent="0.2">
      <c r="B14" s="27">
        <v>0.55208333333333337</v>
      </c>
      <c r="C14" s="18">
        <v>24</v>
      </c>
      <c r="D14" s="20">
        <v>1.8540000000000001</v>
      </c>
      <c r="E14" s="20">
        <v>2</v>
      </c>
      <c r="F14" s="20">
        <v>2.0470000000000002</v>
      </c>
      <c r="G14" s="20">
        <v>2</v>
      </c>
      <c r="H14" s="20">
        <v>2.226</v>
      </c>
      <c r="I14" s="20">
        <v>2</v>
      </c>
      <c r="J14" s="20">
        <v>1.458</v>
      </c>
      <c r="K14" s="20">
        <v>1</v>
      </c>
      <c r="L14" s="20">
        <v>1.3540000000000001</v>
      </c>
      <c r="M14" s="20">
        <v>1</v>
      </c>
      <c r="N14" s="20">
        <v>1.361</v>
      </c>
      <c r="O14" s="48">
        <v>1</v>
      </c>
      <c r="P14" s="61">
        <f t="shared" si="0"/>
        <v>3.7080000000000002</v>
      </c>
      <c r="Q14" s="80">
        <f t="shared" si="1"/>
        <v>4.0940000000000003</v>
      </c>
      <c r="R14" s="80">
        <f t="shared" si="2"/>
        <v>4.452</v>
      </c>
      <c r="S14" s="18">
        <f t="shared" si="3"/>
        <v>1.458</v>
      </c>
      <c r="T14" s="18">
        <f t="shared" si="4"/>
        <v>1.3540000000000001</v>
      </c>
      <c r="U14" s="18">
        <f t="shared" si="5"/>
        <v>1.361</v>
      </c>
    </row>
    <row r="15" spans="1:21" x14ac:dyDescent="0.2">
      <c r="A15" s="26">
        <v>42340</v>
      </c>
      <c r="B15" s="27">
        <v>0.55208333333333337</v>
      </c>
      <c r="C15" s="20">
        <v>48</v>
      </c>
      <c r="D15" s="20">
        <v>3.0470000000000002</v>
      </c>
      <c r="E15" s="20">
        <v>1</v>
      </c>
      <c r="F15" s="20">
        <v>3.2069999999999999</v>
      </c>
      <c r="G15" s="20">
        <v>1</v>
      </c>
      <c r="H15" s="20">
        <v>3.008</v>
      </c>
      <c r="I15" s="20">
        <v>1</v>
      </c>
      <c r="J15" s="20">
        <v>2.7789999999999999</v>
      </c>
      <c r="K15" s="20">
        <v>1</v>
      </c>
      <c r="L15" s="20">
        <v>2.4159999999999999</v>
      </c>
      <c r="M15" s="20">
        <v>1</v>
      </c>
      <c r="N15" s="20">
        <v>2.6739999999999999</v>
      </c>
      <c r="O15" s="48">
        <v>1</v>
      </c>
      <c r="P15" s="61">
        <f t="shared" si="0"/>
        <v>3.0470000000000002</v>
      </c>
      <c r="Q15" s="80">
        <f t="shared" si="1"/>
        <v>3.2069999999999999</v>
      </c>
      <c r="R15" s="80">
        <f t="shared" si="2"/>
        <v>3.008</v>
      </c>
      <c r="S15" s="18">
        <f t="shared" si="3"/>
        <v>2.7789999999999999</v>
      </c>
      <c r="T15" s="18">
        <f t="shared" si="4"/>
        <v>2.4159999999999999</v>
      </c>
      <c r="U15" s="18">
        <f t="shared" si="5"/>
        <v>2.6739999999999999</v>
      </c>
    </row>
    <row r="16" spans="1:21" x14ac:dyDescent="0.2">
      <c r="A16" s="26">
        <v>42341</v>
      </c>
      <c r="B16" s="27">
        <v>0.38541666666666669</v>
      </c>
      <c r="C16" s="18">
        <v>68</v>
      </c>
      <c r="D16" s="22">
        <v>2.9009999999999998</v>
      </c>
      <c r="E16" s="22">
        <v>1</v>
      </c>
      <c r="F16" s="22">
        <v>2.895</v>
      </c>
      <c r="G16" s="22">
        <v>1</v>
      </c>
      <c r="H16" s="22">
        <v>2.1989999999999998</v>
      </c>
      <c r="I16" s="22">
        <v>1</v>
      </c>
      <c r="J16" s="22">
        <v>2.5379999999999998</v>
      </c>
      <c r="K16" s="22">
        <v>1</v>
      </c>
      <c r="L16" s="22">
        <v>2.2320000000000002</v>
      </c>
      <c r="M16" s="22">
        <v>1</v>
      </c>
      <c r="N16" s="22">
        <v>1.988</v>
      </c>
      <c r="O16" s="64">
        <v>1</v>
      </c>
      <c r="P16" s="61">
        <f t="shared" si="0"/>
        <v>2.9009999999999998</v>
      </c>
      <c r="Q16" s="80">
        <f t="shared" si="1"/>
        <v>2.895</v>
      </c>
      <c r="R16" s="80">
        <f t="shared" si="2"/>
        <v>2.1989999999999998</v>
      </c>
      <c r="S16" s="18">
        <f t="shared" si="3"/>
        <v>2.5379999999999998</v>
      </c>
      <c r="T16" s="18">
        <f t="shared" si="4"/>
        <v>2.2320000000000002</v>
      </c>
      <c r="U16" s="18">
        <f t="shared" si="5"/>
        <v>1.988</v>
      </c>
    </row>
    <row r="17" spans="1:27" x14ac:dyDescent="0.2">
      <c r="A17" s="26"/>
      <c r="B17" s="27">
        <v>0.55208333333333337</v>
      </c>
      <c r="C17" s="18">
        <v>72</v>
      </c>
      <c r="D17" s="17">
        <v>0.99199999999999999</v>
      </c>
      <c r="E17" s="17">
        <v>1</v>
      </c>
      <c r="F17" s="17">
        <v>0.94</v>
      </c>
      <c r="G17" s="17">
        <v>1</v>
      </c>
      <c r="H17" s="17">
        <v>0.72</v>
      </c>
      <c r="I17" s="17">
        <v>1</v>
      </c>
      <c r="J17" s="17">
        <v>0.97899999999999998</v>
      </c>
      <c r="K17" s="20">
        <v>1</v>
      </c>
      <c r="L17" s="20">
        <v>0.80300000000000005</v>
      </c>
      <c r="M17" s="17">
        <v>1</v>
      </c>
      <c r="N17" s="17">
        <v>0.68799999999999994</v>
      </c>
      <c r="O17" s="48">
        <v>1</v>
      </c>
      <c r="P17" s="61">
        <f t="shared" si="0"/>
        <v>0.99199999999999999</v>
      </c>
      <c r="Q17" s="80">
        <f t="shared" si="1"/>
        <v>0.94</v>
      </c>
      <c r="R17" s="80">
        <f t="shared" si="2"/>
        <v>0.72</v>
      </c>
      <c r="S17" s="18">
        <f t="shared" si="3"/>
        <v>0.97899999999999998</v>
      </c>
      <c r="T17" s="18">
        <f t="shared" si="4"/>
        <v>0.80300000000000005</v>
      </c>
      <c r="U17" s="18">
        <f t="shared" si="5"/>
        <v>0.68799999999999994</v>
      </c>
    </row>
    <row r="18" spans="1:27" x14ac:dyDescent="0.2">
      <c r="A18" s="26">
        <v>42342</v>
      </c>
      <c r="B18" s="27">
        <v>0.46875</v>
      </c>
      <c r="C18" s="17">
        <v>94</v>
      </c>
      <c r="D18" s="22">
        <v>2.1070000000000002</v>
      </c>
      <c r="E18" s="22">
        <v>1</v>
      </c>
      <c r="F18" s="22">
        <v>2.2250000000000001</v>
      </c>
      <c r="G18" s="22">
        <v>1</v>
      </c>
      <c r="H18" s="22">
        <v>1.554</v>
      </c>
      <c r="I18" s="22">
        <v>1</v>
      </c>
      <c r="J18" s="22">
        <v>2.1040000000000001</v>
      </c>
      <c r="K18" s="22">
        <v>1</v>
      </c>
      <c r="L18" s="22">
        <v>1.786</v>
      </c>
      <c r="M18" s="17">
        <v>1</v>
      </c>
      <c r="N18" s="17">
        <v>1.454</v>
      </c>
      <c r="O18" s="48">
        <v>1</v>
      </c>
      <c r="P18" s="61">
        <f t="shared" si="0"/>
        <v>2.1070000000000002</v>
      </c>
      <c r="Q18" s="80">
        <f t="shared" si="1"/>
        <v>2.2250000000000001</v>
      </c>
      <c r="R18" s="80">
        <f t="shared" si="2"/>
        <v>1.554</v>
      </c>
      <c r="S18" s="18">
        <f t="shared" si="3"/>
        <v>2.1040000000000001</v>
      </c>
      <c r="T18" s="18">
        <f t="shared" si="4"/>
        <v>1.786</v>
      </c>
      <c r="U18" s="18">
        <f t="shared" si="5"/>
        <v>1.454</v>
      </c>
    </row>
    <row r="19" spans="1:27" x14ac:dyDescent="0.2">
      <c r="B19" s="27">
        <v>0.55208333333333337</v>
      </c>
      <c r="C19" s="17">
        <v>96</v>
      </c>
      <c r="D19" s="17">
        <v>0.73499999999999999</v>
      </c>
      <c r="E19" s="22">
        <v>1</v>
      </c>
      <c r="F19" s="17">
        <v>0.71399999999999997</v>
      </c>
      <c r="G19" s="17">
        <v>1</v>
      </c>
      <c r="H19" s="17">
        <v>0.59199999999999997</v>
      </c>
      <c r="I19" s="17">
        <v>1</v>
      </c>
      <c r="J19" s="17">
        <v>0.75</v>
      </c>
      <c r="K19" s="20">
        <v>1</v>
      </c>
      <c r="L19" s="22">
        <v>0.55400000000000005</v>
      </c>
      <c r="M19" s="17">
        <v>1</v>
      </c>
      <c r="N19" s="17">
        <v>0.58399999999999996</v>
      </c>
      <c r="O19" s="48">
        <v>1</v>
      </c>
      <c r="P19" s="61">
        <f t="shared" si="0"/>
        <v>0.73499999999999999</v>
      </c>
      <c r="Q19" s="80">
        <f t="shared" si="1"/>
        <v>0.71399999999999997</v>
      </c>
      <c r="R19" s="80">
        <f t="shared" si="2"/>
        <v>0.59199999999999997</v>
      </c>
      <c r="S19" s="18">
        <f t="shared" si="3"/>
        <v>0.75</v>
      </c>
      <c r="T19" s="18">
        <f t="shared" si="4"/>
        <v>0.55400000000000005</v>
      </c>
      <c r="U19" s="18">
        <f t="shared" si="5"/>
        <v>0.58399999999999996</v>
      </c>
    </row>
    <row r="20" spans="1:27" x14ac:dyDescent="0.2">
      <c r="A20" s="26">
        <v>42343</v>
      </c>
      <c r="B20" s="27">
        <v>0.42708333333333331</v>
      </c>
      <c r="C20" s="17">
        <f>4*24+21</f>
        <v>117</v>
      </c>
      <c r="D20" s="17">
        <v>1.5169999999999999</v>
      </c>
      <c r="E20" s="22">
        <v>1</v>
      </c>
      <c r="F20" s="17">
        <v>1.655</v>
      </c>
      <c r="G20" s="17">
        <v>1</v>
      </c>
      <c r="H20" s="17">
        <v>1.3069999999999999</v>
      </c>
      <c r="I20" s="17">
        <v>1</v>
      </c>
      <c r="J20" s="17">
        <v>1.649</v>
      </c>
      <c r="K20" s="20">
        <v>1</v>
      </c>
      <c r="L20" s="22">
        <v>1.4</v>
      </c>
      <c r="M20" s="17">
        <v>1</v>
      </c>
      <c r="N20" s="17">
        <v>1.0529999999999999</v>
      </c>
      <c r="O20" s="48">
        <v>1</v>
      </c>
      <c r="P20" s="61">
        <f t="shared" si="0"/>
        <v>1.5169999999999999</v>
      </c>
      <c r="Q20" s="80">
        <f t="shared" si="1"/>
        <v>1.655</v>
      </c>
      <c r="R20" s="80">
        <f t="shared" si="2"/>
        <v>1.3069999999999999</v>
      </c>
      <c r="S20" s="18">
        <f t="shared" si="3"/>
        <v>1.649</v>
      </c>
      <c r="T20" s="18">
        <f t="shared" si="4"/>
        <v>1.4</v>
      </c>
      <c r="U20" s="18">
        <f t="shared" si="5"/>
        <v>1.0529999999999999</v>
      </c>
    </row>
    <row r="21" spans="1:27" x14ac:dyDescent="0.2">
      <c r="A21" s="26">
        <v>42344</v>
      </c>
      <c r="B21" s="27">
        <v>0.88541666666666663</v>
      </c>
      <c r="C21" s="17">
        <f>6*24+8</f>
        <v>152</v>
      </c>
      <c r="D21" s="17">
        <v>2.153</v>
      </c>
      <c r="E21" s="22">
        <v>1</v>
      </c>
      <c r="F21" s="17">
        <v>2.2349999999999999</v>
      </c>
      <c r="G21" s="17">
        <v>1</v>
      </c>
      <c r="H21" s="17">
        <v>1.7070000000000001</v>
      </c>
      <c r="I21" s="17">
        <v>1</v>
      </c>
      <c r="J21" s="17">
        <v>2.1749999999999998</v>
      </c>
      <c r="K21" s="20">
        <v>1</v>
      </c>
      <c r="L21" s="61">
        <v>1.9219999999999999</v>
      </c>
      <c r="M21" s="17">
        <v>1</v>
      </c>
      <c r="N21" s="80">
        <v>1.363</v>
      </c>
      <c r="O21" s="48">
        <v>1</v>
      </c>
      <c r="P21" s="61">
        <f t="shared" si="0"/>
        <v>2.153</v>
      </c>
      <c r="Q21" s="80">
        <f t="shared" si="1"/>
        <v>2.2349999999999999</v>
      </c>
      <c r="R21" s="80">
        <f t="shared" si="2"/>
        <v>1.7070000000000001</v>
      </c>
      <c r="S21" s="18">
        <f t="shared" si="3"/>
        <v>2.1749999999999998</v>
      </c>
      <c r="T21" s="18">
        <f t="shared" si="4"/>
        <v>1.9219999999999999</v>
      </c>
      <c r="U21" s="18">
        <f t="shared" si="5"/>
        <v>1.363</v>
      </c>
    </row>
    <row r="22" spans="1:27" x14ac:dyDescent="0.2">
      <c r="A22" s="26">
        <v>42345</v>
      </c>
      <c r="B22" s="27">
        <v>0.38541666666666669</v>
      </c>
      <c r="C22" s="28">
        <f>6*24+20</f>
        <v>164</v>
      </c>
      <c r="D22" s="28">
        <v>0.85299999999999998</v>
      </c>
      <c r="E22" s="22">
        <v>1</v>
      </c>
      <c r="F22" s="28">
        <v>0.89800000000000002</v>
      </c>
      <c r="G22" s="17">
        <v>1</v>
      </c>
      <c r="H22" s="28">
        <v>0.68</v>
      </c>
      <c r="I22" s="17">
        <v>1</v>
      </c>
      <c r="J22" s="28">
        <v>0.83799999999999997</v>
      </c>
      <c r="K22" s="20">
        <v>1</v>
      </c>
      <c r="L22" s="22">
        <v>0.65200000000000002</v>
      </c>
      <c r="M22" s="17">
        <v>1</v>
      </c>
      <c r="N22" s="80">
        <v>0.50700000000000001</v>
      </c>
      <c r="O22" s="48">
        <v>1</v>
      </c>
      <c r="P22" s="61">
        <f t="shared" si="0"/>
        <v>0.85299999999999998</v>
      </c>
      <c r="Q22" s="80">
        <f t="shared" si="1"/>
        <v>0.89800000000000002</v>
      </c>
      <c r="R22" s="80">
        <f t="shared" si="2"/>
        <v>0.68</v>
      </c>
      <c r="S22" s="18">
        <f t="shared" si="3"/>
        <v>0.83799999999999997</v>
      </c>
      <c r="T22" s="18">
        <f t="shared" si="4"/>
        <v>0.65200000000000002</v>
      </c>
      <c r="U22" s="18">
        <f t="shared" si="5"/>
        <v>0.50700000000000001</v>
      </c>
    </row>
    <row r="23" spans="1:27" x14ac:dyDescent="0.2">
      <c r="A23" s="26">
        <v>42349</v>
      </c>
      <c r="B23" s="27">
        <v>0.42708333333333331</v>
      </c>
      <c r="C23" s="28">
        <f>10*24+21</f>
        <v>261</v>
      </c>
      <c r="D23" s="28">
        <v>2.9009999999999998</v>
      </c>
      <c r="E23" s="28">
        <v>1</v>
      </c>
      <c r="F23" s="28">
        <v>2.8919999999999999</v>
      </c>
      <c r="G23" s="28">
        <v>1</v>
      </c>
      <c r="H23" s="28">
        <v>2.4510000000000001</v>
      </c>
      <c r="I23" s="28">
        <v>1</v>
      </c>
      <c r="J23" s="28">
        <v>2.5680000000000001</v>
      </c>
      <c r="K23" s="49">
        <v>1</v>
      </c>
      <c r="L23" s="22">
        <v>1.948</v>
      </c>
      <c r="M23" s="20">
        <v>1</v>
      </c>
      <c r="N23" s="80">
        <v>1.3149999999999999</v>
      </c>
      <c r="O23" s="63">
        <v>1</v>
      </c>
      <c r="P23" s="80">
        <f t="shared" si="0"/>
        <v>2.9009999999999998</v>
      </c>
      <c r="Q23" s="61">
        <f t="shared" si="1"/>
        <v>2.8919999999999999</v>
      </c>
      <c r="R23" s="61">
        <f t="shared" si="2"/>
        <v>2.4510000000000001</v>
      </c>
      <c r="S23" s="18">
        <f t="shared" si="3"/>
        <v>2.5680000000000001</v>
      </c>
      <c r="T23" s="18">
        <f t="shared" si="4"/>
        <v>1.948</v>
      </c>
      <c r="U23" s="18">
        <f t="shared" si="5"/>
        <v>1.3149999999999999</v>
      </c>
    </row>
    <row r="24" spans="1:27" x14ac:dyDescent="0.2">
      <c r="A24" s="26">
        <v>42354</v>
      </c>
      <c r="B24" s="27">
        <v>0.55208333333333337</v>
      </c>
      <c r="C24" s="28">
        <f>16*24</f>
        <v>384</v>
      </c>
      <c r="D24" s="28">
        <v>2.6749999999999998</v>
      </c>
      <c r="E24" s="28">
        <v>1</v>
      </c>
      <c r="F24" s="28">
        <v>2.9529999999999998</v>
      </c>
      <c r="G24" s="28">
        <v>1</v>
      </c>
      <c r="H24" s="28">
        <v>2.4929999999999999</v>
      </c>
      <c r="I24" s="28">
        <v>1</v>
      </c>
      <c r="J24" s="28">
        <v>1.7989999999999999</v>
      </c>
      <c r="K24" s="49">
        <v>1</v>
      </c>
      <c r="L24" s="22">
        <v>1.41</v>
      </c>
      <c r="M24" s="20">
        <v>1</v>
      </c>
      <c r="N24" s="80">
        <v>0.92700000000000005</v>
      </c>
      <c r="O24" s="63">
        <v>1</v>
      </c>
      <c r="P24" s="80">
        <f t="shared" si="0"/>
        <v>2.6749999999999998</v>
      </c>
      <c r="Q24" s="61">
        <f t="shared" si="1"/>
        <v>2.9529999999999998</v>
      </c>
      <c r="R24" s="61">
        <f t="shared" si="2"/>
        <v>2.4929999999999999</v>
      </c>
      <c r="S24" s="18">
        <f t="shared" si="3"/>
        <v>1.7989999999999999</v>
      </c>
      <c r="T24" s="18">
        <f t="shared" si="4"/>
        <v>1.41</v>
      </c>
      <c r="U24" s="18">
        <f t="shared" si="5"/>
        <v>0.92700000000000005</v>
      </c>
    </row>
    <row r="25" spans="1:27" x14ac:dyDescent="0.2">
      <c r="A25" s="26">
        <v>42359</v>
      </c>
      <c r="B25" s="27">
        <v>0.71875</v>
      </c>
      <c r="C25" s="28">
        <f>21*24+4</f>
        <v>508</v>
      </c>
      <c r="D25" s="28">
        <v>2.3839999999999999</v>
      </c>
      <c r="E25" s="28">
        <v>1</v>
      </c>
      <c r="F25" s="28">
        <v>2.5339999999999998</v>
      </c>
      <c r="G25" s="28">
        <v>1</v>
      </c>
      <c r="H25" s="28">
        <v>2.0339999999999998</v>
      </c>
      <c r="I25" s="28">
        <v>1</v>
      </c>
      <c r="J25" s="28">
        <v>1.246</v>
      </c>
      <c r="K25" s="49">
        <v>1</v>
      </c>
      <c r="L25" s="22">
        <v>1.0649999999999999</v>
      </c>
      <c r="M25" s="20">
        <v>1</v>
      </c>
      <c r="N25" s="80">
        <v>0.69899999999999995</v>
      </c>
      <c r="O25" s="63">
        <v>1</v>
      </c>
      <c r="P25" s="80">
        <f t="shared" si="0"/>
        <v>2.3839999999999999</v>
      </c>
      <c r="Q25" s="61">
        <f t="shared" si="1"/>
        <v>2.5339999999999998</v>
      </c>
      <c r="R25" s="61">
        <f t="shared" si="2"/>
        <v>2.0339999999999998</v>
      </c>
      <c r="S25" s="18">
        <f t="shared" si="3"/>
        <v>1.246</v>
      </c>
      <c r="T25" s="18">
        <f t="shared" si="4"/>
        <v>1.0649999999999999</v>
      </c>
      <c r="U25" s="18">
        <f t="shared" si="5"/>
        <v>0.69899999999999995</v>
      </c>
    </row>
    <row r="26" spans="1:27" x14ac:dyDescent="0.2">
      <c r="A26" s="26">
        <v>42360</v>
      </c>
      <c r="B26" s="27">
        <v>0.30208333333333331</v>
      </c>
      <c r="C26" s="28">
        <f>21*24+18</f>
        <v>522</v>
      </c>
      <c r="D26" s="28">
        <v>0.42899999999999999</v>
      </c>
      <c r="E26" s="28">
        <v>1</v>
      </c>
      <c r="F26" s="28">
        <v>0.63</v>
      </c>
      <c r="G26" s="28">
        <v>1</v>
      </c>
      <c r="H26" s="28">
        <v>0.48099999999999998</v>
      </c>
      <c r="I26" s="28">
        <v>1</v>
      </c>
      <c r="J26" s="28">
        <v>0.26400000000000001</v>
      </c>
      <c r="K26" s="49">
        <v>1</v>
      </c>
      <c r="L26" s="22">
        <v>0.214</v>
      </c>
      <c r="M26" s="20">
        <v>1</v>
      </c>
      <c r="N26" s="49">
        <v>0.28000000000000003</v>
      </c>
      <c r="O26" s="78">
        <v>1</v>
      </c>
      <c r="P26" s="18">
        <f t="shared" si="0"/>
        <v>0.42899999999999999</v>
      </c>
      <c r="Q26" s="61">
        <f t="shared" si="1"/>
        <v>0.63</v>
      </c>
      <c r="R26" s="61">
        <f t="shared" si="2"/>
        <v>0.48099999999999998</v>
      </c>
      <c r="S26" s="18">
        <f t="shared" si="3"/>
        <v>0.26400000000000001</v>
      </c>
      <c r="T26" s="18">
        <f t="shared" si="4"/>
        <v>0.214</v>
      </c>
      <c r="U26" s="18">
        <f t="shared" si="5"/>
        <v>0.28000000000000003</v>
      </c>
    </row>
    <row r="27" spans="1:27" x14ac:dyDescent="0.2">
      <c r="A27" s="26">
        <v>42384</v>
      </c>
      <c r="B27" s="27">
        <v>0.67708333333333337</v>
      </c>
      <c r="C27" s="28">
        <f>46*24+3</f>
        <v>1107</v>
      </c>
      <c r="D27" s="28">
        <v>2.762</v>
      </c>
      <c r="E27" s="28">
        <v>1</v>
      </c>
      <c r="F27" s="28">
        <v>3.11</v>
      </c>
      <c r="G27" s="28">
        <v>1</v>
      </c>
      <c r="H27" s="28">
        <v>2.7469999999999999</v>
      </c>
      <c r="I27" s="28">
        <v>1</v>
      </c>
      <c r="J27" s="28">
        <v>1.2270000000000001</v>
      </c>
      <c r="K27" s="49">
        <v>1</v>
      </c>
      <c r="L27" s="22">
        <v>0.96399999999999997</v>
      </c>
      <c r="M27" s="20">
        <v>1</v>
      </c>
      <c r="N27" s="49">
        <v>0.754</v>
      </c>
      <c r="O27" s="78">
        <v>1</v>
      </c>
      <c r="P27" s="18">
        <f t="shared" si="0"/>
        <v>2.762</v>
      </c>
      <c r="Q27" s="61">
        <f t="shared" si="1"/>
        <v>3.11</v>
      </c>
      <c r="R27" s="61">
        <f t="shared" si="2"/>
        <v>2.7469999999999999</v>
      </c>
      <c r="S27" s="18">
        <f t="shared" si="3"/>
        <v>1.2270000000000001</v>
      </c>
      <c r="T27" s="18">
        <f t="shared" si="4"/>
        <v>0.96399999999999997</v>
      </c>
      <c r="U27" s="18">
        <f t="shared" si="5"/>
        <v>0.754</v>
      </c>
    </row>
    <row r="28" spans="1:27" x14ac:dyDescent="0.2">
      <c r="A28" s="26"/>
      <c r="B28" s="2"/>
      <c r="C28" s="2"/>
      <c r="D28" s="2"/>
      <c r="E28" s="2"/>
      <c r="F28" s="2"/>
      <c r="G28" s="2"/>
      <c r="H28" s="2"/>
      <c r="I28" s="2"/>
      <c r="J28" s="2"/>
      <c r="K28" s="67"/>
      <c r="L28" s="7"/>
      <c r="N28" s="7"/>
      <c r="O28" s="72"/>
    </row>
    <row r="29" spans="1:27" x14ac:dyDescent="0.2">
      <c r="A29" s="26"/>
      <c r="B29" s="2"/>
      <c r="C29" s="2"/>
      <c r="D29" s="2"/>
      <c r="E29" s="2"/>
      <c r="F29" s="2"/>
      <c r="G29" s="2"/>
      <c r="H29" s="2"/>
      <c r="I29" s="2"/>
      <c r="J29" s="2"/>
      <c r="K29" s="2"/>
      <c r="L29" s="7"/>
    </row>
    <row r="30" spans="1:27" x14ac:dyDescent="0.2">
      <c r="A30" s="26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27" ht="13.5" thickBot="1" x14ac:dyDescent="0.25">
      <c r="A31" s="2"/>
      <c r="B31" s="3" t="s">
        <v>22</v>
      </c>
      <c r="C31" s="2"/>
      <c r="D31" s="2"/>
      <c r="E31" s="2"/>
      <c r="F31" s="2"/>
      <c r="G31" s="2"/>
      <c r="H31" s="2"/>
      <c r="I31" s="2"/>
      <c r="J31" s="2"/>
      <c r="K31" s="2"/>
    </row>
    <row r="32" spans="1:27" ht="15.75" thickTop="1" x14ac:dyDescent="0.2">
      <c r="A32" s="2"/>
      <c r="B32" s="5" t="s">
        <v>20</v>
      </c>
      <c r="C32" s="2"/>
      <c r="D32" s="2"/>
      <c r="E32" s="2"/>
      <c r="F32" s="2"/>
      <c r="G32" s="2"/>
      <c r="H32" s="2"/>
      <c r="I32" s="2"/>
      <c r="J32" s="2"/>
      <c r="K32" s="2"/>
      <c r="AA32" s="83"/>
    </row>
    <row r="33" spans="1:33" ht="15" x14ac:dyDescent="0.2">
      <c r="A33" s="2"/>
      <c r="B33" s="5" t="s">
        <v>21</v>
      </c>
      <c r="C33" s="2"/>
      <c r="D33" s="2"/>
      <c r="E33" s="2"/>
      <c r="F33" s="2"/>
      <c r="G33" s="2"/>
      <c r="H33" s="2"/>
      <c r="I33" s="2"/>
      <c r="J33" s="2"/>
      <c r="K33" s="2"/>
    </row>
    <row r="34" spans="1:33" x14ac:dyDescent="0.2">
      <c r="A34" s="9"/>
      <c r="C34" s="10" t="s">
        <v>2</v>
      </c>
      <c r="D34" s="9"/>
      <c r="E34" s="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33" ht="15" x14ac:dyDescent="0.25">
      <c r="A35" s="9" t="s">
        <v>5</v>
      </c>
      <c r="B35" s="4" t="s">
        <v>19</v>
      </c>
      <c r="C35" s="14"/>
      <c r="D35" s="14"/>
      <c r="E35" s="14"/>
      <c r="G35" s="52"/>
      <c r="H35" s="74" t="s">
        <v>10</v>
      </c>
      <c r="I35" s="52"/>
      <c r="J35" s="52"/>
      <c r="K35" s="52"/>
      <c r="L35" s="52"/>
      <c r="M35" s="47"/>
      <c r="N35" s="46" t="s">
        <v>23</v>
      </c>
      <c r="S35" s="72"/>
      <c r="T35" s="71" t="s">
        <v>15</v>
      </c>
      <c r="Y35" s="72"/>
      <c r="Z35" s="14" t="s">
        <v>53</v>
      </c>
      <c r="AA35" s="72"/>
      <c r="AB35" s="81" t="s">
        <v>56</v>
      </c>
    </row>
    <row r="36" spans="1:33" x14ac:dyDescent="0.2">
      <c r="A36" s="15" t="s">
        <v>11</v>
      </c>
      <c r="B36" s="16" t="s">
        <v>32</v>
      </c>
      <c r="C36" s="16" t="s">
        <v>33</v>
      </c>
      <c r="D36" s="16" t="s">
        <v>38</v>
      </c>
      <c r="E36" s="16" t="s">
        <v>28</v>
      </c>
      <c r="F36" s="51" t="s">
        <v>29</v>
      </c>
      <c r="G36" s="13" t="s">
        <v>39</v>
      </c>
      <c r="H36" s="75" t="s">
        <v>32</v>
      </c>
      <c r="I36" s="16" t="s">
        <v>33</v>
      </c>
      <c r="J36" s="16" t="s">
        <v>38</v>
      </c>
      <c r="K36" s="16" t="s">
        <v>28</v>
      </c>
      <c r="L36" s="51" t="s">
        <v>29</v>
      </c>
      <c r="M36" s="69" t="s">
        <v>39</v>
      </c>
      <c r="N36" s="16" t="s">
        <v>32</v>
      </c>
      <c r="O36" s="16" t="s">
        <v>33</v>
      </c>
      <c r="P36" s="16" t="s">
        <v>38</v>
      </c>
      <c r="Q36" s="16" t="s">
        <v>28</v>
      </c>
      <c r="R36" s="51" t="s">
        <v>29</v>
      </c>
      <c r="S36" s="69" t="s">
        <v>39</v>
      </c>
      <c r="T36" s="16" t="s">
        <v>32</v>
      </c>
      <c r="U36" s="16" t="s">
        <v>33</v>
      </c>
      <c r="V36" s="16" t="s">
        <v>38</v>
      </c>
      <c r="W36" s="16" t="s">
        <v>28</v>
      </c>
      <c r="X36" s="51" t="s">
        <v>29</v>
      </c>
      <c r="Y36" s="69" t="s">
        <v>39</v>
      </c>
      <c r="Z36" s="16" t="s">
        <v>54</v>
      </c>
      <c r="AA36" s="82" t="s">
        <v>55</v>
      </c>
      <c r="AB36" s="16" t="s">
        <v>32</v>
      </c>
      <c r="AC36" s="16" t="s">
        <v>33</v>
      </c>
      <c r="AD36" s="16" t="s">
        <v>38</v>
      </c>
      <c r="AE36" s="16" t="s">
        <v>28</v>
      </c>
      <c r="AF36" s="51" t="s">
        <v>29</v>
      </c>
      <c r="AG36" s="69" t="s">
        <v>39</v>
      </c>
    </row>
    <row r="37" spans="1:33" x14ac:dyDescent="0.2">
      <c r="A37" s="2">
        <f t="shared" ref="A37:A54" si="6">C7</f>
        <v>0.33333333333333331</v>
      </c>
      <c r="B37">
        <f t="shared" ref="B37:G52" si="7">P7</f>
        <v>2.41</v>
      </c>
      <c r="C37">
        <f t="shared" si="7"/>
        <v>2.64</v>
      </c>
      <c r="D37">
        <f t="shared" si="7"/>
        <v>2.645</v>
      </c>
      <c r="E37">
        <f t="shared" si="7"/>
        <v>1.88</v>
      </c>
      <c r="F37">
        <f t="shared" si="7"/>
        <v>1.635</v>
      </c>
      <c r="G37">
        <f t="shared" si="7"/>
        <v>1.6</v>
      </c>
      <c r="H37" s="76">
        <f t="shared" ref="H37:M52" si="8">(B37-0.0535)/0.0633</f>
        <v>37.227488151658768</v>
      </c>
      <c r="I37" s="12">
        <f t="shared" si="8"/>
        <v>40.8609794628752</v>
      </c>
      <c r="J37" s="12">
        <f t="shared" si="8"/>
        <v>40.939968404423382</v>
      </c>
      <c r="K37" s="12">
        <f t="shared" si="8"/>
        <v>28.854660347551341</v>
      </c>
      <c r="L37" s="12">
        <f>(F37-0.0535)/0.0633</f>
        <v>24.984202211690363</v>
      </c>
      <c r="M37" s="70">
        <f>(G37-0.0535)/0.0633</f>
        <v>24.431279620853083</v>
      </c>
      <c r="N37" s="7">
        <f t="shared" ref="N37:S52" si="9">H37</f>
        <v>37.227488151658768</v>
      </c>
      <c r="O37" s="7">
        <f t="shared" si="9"/>
        <v>40.8609794628752</v>
      </c>
      <c r="P37" s="7">
        <f t="shared" si="9"/>
        <v>40.939968404423382</v>
      </c>
      <c r="Q37" s="7">
        <f t="shared" si="9"/>
        <v>28.854660347551341</v>
      </c>
      <c r="R37" s="7">
        <f t="shared" si="9"/>
        <v>24.984202211690363</v>
      </c>
      <c r="S37" s="72">
        <f t="shared" si="9"/>
        <v>24.431279620853083</v>
      </c>
      <c r="T37" s="7">
        <f t="shared" ref="T37:T54" si="10">N37/$P$70*100</f>
        <v>25.529754595843347</v>
      </c>
      <c r="U37" s="7">
        <f t="shared" ref="U37:U54" si="11">O37/$P$71*100</f>
        <v>25.822155878965624</v>
      </c>
      <c r="V37" s="7">
        <f t="shared" ref="V37:V54" si="12">P37/$P$72*100</f>
        <v>28.709655262568994</v>
      </c>
      <c r="W37" s="7">
        <f t="shared" ref="W37:W54" si="13">Q37/$V$70*100</f>
        <v>25.13472155710048</v>
      </c>
      <c r="X37" s="7">
        <f t="shared" ref="X37:X54" si="14">R37/$V$71*100</f>
        <v>24.771170148414008</v>
      </c>
      <c r="Y37" s="72">
        <f t="shared" ref="Y37:Y54" si="15">S37/$V$72*100</f>
        <v>28.511237741688749</v>
      </c>
      <c r="Z37">
        <f>STDEVA(B37:D37)</f>
        <v>0.13425721582097547</v>
      </c>
      <c r="AA37" s="72">
        <f>STDEVA(E37:G37)</f>
        <v>0.15256146302392348</v>
      </c>
      <c r="AB37">
        <f>N37/1000/3.17</f>
        <v>1.1743687114087938E-2</v>
      </c>
      <c r="AC37">
        <f>O37/1000/3.44</f>
        <v>1.1878191704324187E-2</v>
      </c>
      <c r="AD37">
        <f>P37/1000/3.1</f>
        <v>1.3206441420781737E-2</v>
      </c>
      <c r="AE37">
        <f>Q37/1000/2.8</f>
        <v>1.0305235838411194E-2</v>
      </c>
      <c r="AF37">
        <f>R37/1000/2.46</f>
        <v>1.0156179760849742E-2</v>
      </c>
      <c r="AG37">
        <f>S37/1000/2.09</f>
        <v>1.1689607474092386E-2</v>
      </c>
    </row>
    <row r="38" spans="1:33" x14ac:dyDescent="0.2">
      <c r="A38" s="2">
        <f t="shared" si="6"/>
        <v>0.66666666666666663</v>
      </c>
      <c r="B38">
        <f t="shared" si="7"/>
        <v>2.028</v>
      </c>
      <c r="C38">
        <f t="shared" si="7"/>
        <v>2.3839999999999999</v>
      </c>
      <c r="D38">
        <f t="shared" si="7"/>
        <v>2.3479999999999999</v>
      </c>
      <c r="E38">
        <f t="shared" si="7"/>
        <v>0.28799999999999998</v>
      </c>
      <c r="F38">
        <f t="shared" si="7"/>
        <v>0.316</v>
      </c>
      <c r="G38">
        <f t="shared" si="7"/>
        <v>0.3</v>
      </c>
      <c r="H38" s="76">
        <f t="shared" si="8"/>
        <v>31.192733017377567</v>
      </c>
      <c r="I38" s="12">
        <f t="shared" si="8"/>
        <v>36.816745655608216</v>
      </c>
      <c r="J38" s="12">
        <f t="shared" si="8"/>
        <v>36.248025276461291</v>
      </c>
      <c r="K38" s="12">
        <f t="shared" si="8"/>
        <v>3.7045813586097949</v>
      </c>
      <c r="L38" s="12">
        <f t="shared" si="8"/>
        <v>4.1469194312796214</v>
      </c>
      <c r="M38" s="70">
        <f t="shared" si="8"/>
        <v>3.8941548183254349</v>
      </c>
      <c r="N38" s="7">
        <f t="shared" si="9"/>
        <v>31.192733017377567</v>
      </c>
      <c r="O38" s="7">
        <f t="shared" si="9"/>
        <v>36.816745655608216</v>
      </c>
      <c r="P38" s="7">
        <f t="shared" si="9"/>
        <v>36.248025276461291</v>
      </c>
      <c r="Q38" s="7">
        <f t="shared" si="9"/>
        <v>3.7045813586097949</v>
      </c>
      <c r="R38" s="7">
        <f t="shared" si="9"/>
        <v>4.1469194312796214</v>
      </c>
      <c r="S38" s="72">
        <f t="shared" si="9"/>
        <v>3.8941548183254349</v>
      </c>
      <c r="T38" s="7">
        <f t="shared" si="10"/>
        <v>21.391258412685207</v>
      </c>
      <c r="U38" s="7">
        <f t="shared" si="11"/>
        <v>23.266396395101253</v>
      </c>
      <c r="V38" s="7">
        <f t="shared" si="12"/>
        <v>25.419372564138353</v>
      </c>
      <c r="W38" s="7">
        <f t="shared" si="13"/>
        <v>3.2269872461757805</v>
      </c>
      <c r="X38" s="7">
        <f t="shared" si="14"/>
        <v>4.1115600151493377</v>
      </c>
      <c r="Y38" s="72">
        <f t="shared" si="15"/>
        <v>4.5444682207088754</v>
      </c>
      <c r="Z38">
        <f t="shared" ref="Z38:Z57" si="16">STDEVA(B38:D38)</f>
        <v>0.19597278722652617</v>
      </c>
      <c r="AA38" s="72">
        <f t="shared" ref="AA38:AA57" si="17">STDEVA(E38:G38)</f>
        <v>1.4047538337136997E-2</v>
      </c>
      <c r="AB38">
        <f>(N38+SUM(N37))/1000/3.17</f>
        <v>2.1583665983923136E-2</v>
      </c>
      <c r="AC38">
        <f t="shared" ref="AC38:AC57" si="18">O38/1000/3.44</f>
        <v>1.0702542341746576E-2</v>
      </c>
      <c r="AD38">
        <f t="shared" ref="AD38:AD57" si="19">P38/1000/3.1</f>
        <v>1.1692911379503642E-2</v>
      </c>
      <c r="AE38">
        <f t="shared" ref="AE38:AE57" si="20">Q38/1000/2.8</f>
        <v>1.3230647709320696E-3</v>
      </c>
      <c r="AF38">
        <f t="shared" ref="AF38:AF57" si="21">R38/1000/2.46</f>
        <v>1.685739606211228E-3</v>
      </c>
      <c r="AG38">
        <f t="shared" ref="AG38:AG57" si="22">S38/1000/2.09</f>
        <v>1.8632319704906387E-3</v>
      </c>
    </row>
    <row r="39" spans="1:33" x14ac:dyDescent="0.2">
      <c r="A39" s="2">
        <f t="shared" si="6"/>
        <v>1</v>
      </c>
      <c r="B39">
        <f t="shared" si="7"/>
        <v>2.2719999999999998</v>
      </c>
      <c r="C39">
        <f t="shared" si="7"/>
        <v>2.5840000000000001</v>
      </c>
      <c r="D39">
        <f t="shared" si="7"/>
        <v>2.5640000000000001</v>
      </c>
      <c r="E39">
        <f t="shared" si="7"/>
        <v>0.30499999999999999</v>
      </c>
      <c r="F39">
        <f t="shared" si="7"/>
        <v>0.249</v>
      </c>
      <c r="G39">
        <f t="shared" si="7"/>
        <v>0.4</v>
      </c>
      <c r="H39" s="76">
        <f t="shared" si="8"/>
        <v>35.047393364928908</v>
      </c>
      <c r="I39" s="12">
        <f t="shared" si="8"/>
        <v>39.976303317535546</v>
      </c>
      <c r="J39" s="12">
        <f t="shared" si="8"/>
        <v>39.660347551342817</v>
      </c>
      <c r="K39" s="12">
        <f t="shared" si="8"/>
        <v>3.9731437598736181</v>
      </c>
      <c r="L39" s="12">
        <f t="shared" si="8"/>
        <v>3.0884676145339656</v>
      </c>
      <c r="M39" s="70">
        <f t="shared" si="8"/>
        <v>5.4739336492891004</v>
      </c>
      <c r="N39" s="7">
        <f t="shared" si="9"/>
        <v>35.047393364928908</v>
      </c>
      <c r="O39" s="7">
        <f t="shared" si="9"/>
        <v>39.976303317535546</v>
      </c>
      <c r="P39" s="7">
        <f t="shared" si="9"/>
        <v>39.660347551342817</v>
      </c>
      <c r="Q39" s="7">
        <f t="shared" si="9"/>
        <v>3.9731437598736181</v>
      </c>
      <c r="R39" s="7">
        <f t="shared" si="9"/>
        <v>3.0884676145339656</v>
      </c>
      <c r="S39" s="72">
        <f t="shared" si="9"/>
        <v>5.4739336492891004</v>
      </c>
      <c r="T39" s="7">
        <f t="shared" si="10"/>
        <v>24.034695765278364</v>
      </c>
      <c r="U39" s="7">
        <f t="shared" si="11"/>
        <v>25.26308349187029</v>
      </c>
      <c r="V39" s="7">
        <f t="shared" si="12"/>
        <v>27.812305435724276</v>
      </c>
      <c r="W39" s="7">
        <f t="shared" si="13"/>
        <v>3.4609266200989719</v>
      </c>
      <c r="X39" s="7">
        <f t="shared" si="14"/>
        <v>3.0621332684255065</v>
      </c>
      <c r="Y39" s="72">
        <f t="shared" si="15"/>
        <v>6.3880658761688665</v>
      </c>
      <c r="Z39">
        <f t="shared" si="16"/>
        <v>0.17464630924624025</v>
      </c>
      <c r="AA39" s="72">
        <f t="shared" si="17"/>
        <v>7.6334788923530794E-2</v>
      </c>
      <c r="AB39">
        <f>(N39+SUM(N38))/1000/3.17</f>
        <v>2.0895938921863241E-2</v>
      </c>
      <c r="AC39">
        <f t="shared" si="18"/>
        <v>1.1621018406260333E-2</v>
      </c>
      <c r="AD39">
        <f t="shared" si="19"/>
        <v>1.2793660500433167E-2</v>
      </c>
      <c r="AE39">
        <f t="shared" si="20"/>
        <v>1.4189799142405781E-3</v>
      </c>
      <c r="AF39">
        <f t="shared" si="21"/>
        <v>1.2554746400544575E-3</v>
      </c>
      <c r="AG39">
        <f t="shared" si="22"/>
        <v>2.6191070092292349E-3</v>
      </c>
    </row>
    <row r="40" spans="1:33" x14ac:dyDescent="0.2">
      <c r="A40" s="2">
        <f t="shared" si="6"/>
        <v>2</v>
      </c>
      <c r="B40">
        <f t="shared" si="7"/>
        <v>5.8280000000000003</v>
      </c>
      <c r="C40">
        <f t="shared" si="7"/>
        <v>5.782</v>
      </c>
      <c r="D40">
        <f t="shared" si="7"/>
        <v>5.8680000000000003</v>
      </c>
      <c r="E40">
        <f t="shared" si="7"/>
        <v>0.7</v>
      </c>
      <c r="F40">
        <f t="shared" si="7"/>
        <v>0.84499999999999997</v>
      </c>
      <c r="G40">
        <f t="shared" si="7"/>
        <v>0.76500000000000001</v>
      </c>
      <c r="H40" s="76">
        <f t="shared" si="8"/>
        <v>91.224328593996859</v>
      </c>
      <c r="I40" s="12">
        <f t="shared" si="8"/>
        <v>90.49763033175357</v>
      </c>
      <c r="J40" s="12">
        <f t="shared" si="8"/>
        <v>91.856240126382318</v>
      </c>
      <c r="K40" s="12">
        <f t="shared" si="8"/>
        <v>10.213270142180095</v>
      </c>
      <c r="L40" s="12">
        <f t="shared" si="8"/>
        <v>12.50394944707741</v>
      </c>
      <c r="M40" s="70">
        <f t="shared" si="8"/>
        <v>11.240126382306478</v>
      </c>
      <c r="N40" s="7">
        <f t="shared" si="9"/>
        <v>91.224328593996859</v>
      </c>
      <c r="O40" s="7">
        <f t="shared" si="9"/>
        <v>90.49763033175357</v>
      </c>
      <c r="P40" s="7">
        <f t="shared" si="9"/>
        <v>91.856240126382318</v>
      </c>
      <c r="Q40" s="7">
        <f t="shared" si="9"/>
        <v>10.213270142180095</v>
      </c>
      <c r="R40" s="7">
        <f t="shared" si="9"/>
        <v>12.50394944707741</v>
      </c>
      <c r="S40" s="72">
        <f t="shared" si="9"/>
        <v>11.240126382306478</v>
      </c>
      <c r="T40" s="7">
        <f t="shared" si="10"/>
        <v>62.559545051431122</v>
      </c>
      <c r="U40" s="7">
        <f t="shared" si="11"/>
        <v>57.190110169207266</v>
      </c>
      <c r="V40" s="7">
        <f t="shared" si="12"/>
        <v>64.415315656649597</v>
      </c>
      <c r="W40" s="7">
        <f t="shared" si="13"/>
        <v>8.8965767789025243</v>
      </c>
      <c r="X40" s="7">
        <f t="shared" si="14"/>
        <v>12.397332388536002</v>
      </c>
      <c r="Y40" s="72">
        <f t="shared" si="15"/>
        <v>13.117197318597828</v>
      </c>
      <c r="Z40">
        <f t="shared" si="16"/>
        <v>4.3034869582700176E-2</v>
      </c>
      <c r="AA40" s="72">
        <f t="shared" si="17"/>
        <v>7.262919523166976E-2</v>
      </c>
      <c r="AB40">
        <f t="shared" ref="AB40:AB57" si="23">(N40+SUM(N39))/1000/3.17</f>
        <v>3.9833350775686366E-2</v>
      </c>
      <c r="AC40">
        <f t="shared" si="18"/>
        <v>2.630745067783534E-2</v>
      </c>
      <c r="AD40">
        <f t="shared" si="19"/>
        <v>2.9631045202058809E-2</v>
      </c>
      <c r="AE40">
        <f t="shared" si="20"/>
        <v>3.647596479350034E-3</v>
      </c>
      <c r="AF40">
        <f t="shared" si="21"/>
        <v>5.0829062792997603E-3</v>
      </c>
      <c r="AG40">
        <f t="shared" si="22"/>
        <v>5.3780509006251098E-3</v>
      </c>
    </row>
    <row r="41" spans="1:33" x14ac:dyDescent="0.2">
      <c r="A41" s="2">
        <f t="shared" si="6"/>
        <v>4</v>
      </c>
      <c r="B41">
        <f t="shared" si="7"/>
        <v>6.2519999999999998</v>
      </c>
      <c r="C41">
        <f t="shared" si="7"/>
        <v>6.3339999999999996</v>
      </c>
      <c r="D41">
        <f t="shared" si="7"/>
        <v>6.3419999999999996</v>
      </c>
      <c r="E41">
        <f t="shared" si="7"/>
        <v>1.1970000000000001</v>
      </c>
      <c r="F41">
        <f t="shared" si="7"/>
        <v>1.0940000000000001</v>
      </c>
      <c r="G41">
        <f t="shared" si="7"/>
        <v>1.4610000000000001</v>
      </c>
      <c r="H41" s="76">
        <f t="shared" si="8"/>
        <v>97.922590837282783</v>
      </c>
      <c r="I41" s="12">
        <f t="shared" si="8"/>
        <v>99.218009478672997</v>
      </c>
      <c r="J41" s="12">
        <f t="shared" si="8"/>
        <v>99.34439178515008</v>
      </c>
      <c r="K41" s="12">
        <f t="shared" si="8"/>
        <v>18.064770932069511</v>
      </c>
      <c r="L41" s="12">
        <f t="shared" si="8"/>
        <v>16.437598736176938</v>
      </c>
      <c r="M41" s="70">
        <f t="shared" si="8"/>
        <v>22.235387045813589</v>
      </c>
      <c r="N41" s="7">
        <f t="shared" si="9"/>
        <v>97.922590837282783</v>
      </c>
      <c r="O41" s="7">
        <f t="shared" si="9"/>
        <v>99.218009478672997</v>
      </c>
      <c r="P41" s="7">
        <f t="shared" si="9"/>
        <v>99.34439178515008</v>
      </c>
      <c r="Q41" s="7">
        <f t="shared" si="9"/>
        <v>18.064770932069511</v>
      </c>
      <c r="R41" s="7">
        <f t="shared" si="9"/>
        <v>16.437598736176938</v>
      </c>
      <c r="S41" s="72">
        <f t="shared" si="9"/>
        <v>22.235387045813589</v>
      </c>
      <c r="T41" s="7">
        <f t="shared" si="10"/>
        <v>67.153059139543814</v>
      </c>
      <c r="U41" s="7">
        <f t="shared" si="11"/>
        <v>62.700966556289814</v>
      </c>
      <c r="V41" s="7">
        <f t="shared" si="12"/>
        <v>69.666473902629789</v>
      </c>
      <c r="W41" s="7">
        <f t="shared" si="13"/>
        <v>15.735863181245222</v>
      </c>
      <c r="X41" s="7">
        <f t="shared" si="14"/>
        <v>16.297440745763375</v>
      </c>
      <c r="Y41" s="72">
        <f t="shared" si="15"/>
        <v>25.948637000599362</v>
      </c>
      <c r="Z41">
        <f t="shared" si="16"/>
        <v>4.9812983581926963E-2</v>
      </c>
      <c r="AA41" s="72">
        <f t="shared" si="17"/>
        <v>0.18929430348886103</v>
      </c>
      <c r="AB41">
        <f t="shared" si="23"/>
        <v>5.9667797927848459E-2</v>
      </c>
      <c r="AC41">
        <f t="shared" si="18"/>
        <v>2.8842444615893314E-2</v>
      </c>
      <c r="AD41">
        <f t="shared" si="19"/>
        <v>3.2046577995209699E-2</v>
      </c>
      <c r="AE41">
        <f t="shared" si="20"/>
        <v>6.4517039043105393E-3</v>
      </c>
      <c r="AF41">
        <f t="shared" si="21"/>
        <v>6.6819507057629826E-3</v>
      </c>
      <c r="AG41">
        <f t="shared" si="22"/>
        <v>1.0638941170245737E-2</v>
      </c>
    </row>
    <row r="42" spans="1:33" x14ac:dyDescent="0.2">
      <c r="A42" s="2">
        <f t="shared" si="6"/>
        <v>8</v>
      </c>
      <c r="B42">
        <f t="shared" si="7"/>
        <v>6.82</v>
      </c>
      <c r="C42">
        <f t="shared" si="7"/>
        <v>5.056</v>
      </c>
      <c r="D42">
        <f t="shared" si="7"/>
        <v>7.5119999999999996</v>
      </c>
      <c r="E42">
        <f t="shared" si="7"/>
        <v>1.508</v>
      </c>
      <c r="F42">
        <f t="shared" si="7"/>
        <v>1.8120000000000001</v>
      </c>
      <c r="G42">
        <f t="shared" si="7"/>
        <v>1.8360000000000001</v>
      </c>
      <c r="H42" s="76">
        <f t="shared" si="8"/>
        <v>106.89573459715642</v>
      </c>
      <c r="I42" s="12">
        <f t="shared" si="8"/>
        <v>79.028436018957365</v>
      </c>
      <c r="J42" s="12">
        <f t="shared" si="8"/>
        <v>117.82780410742497</v>
      </c>
      <c r="K42" s="12">
        <f t="shared" si="8"/>
        <v>22.977883096366508</v>
      </c>
      <c r="L42" s="12">
        <f t="shared" si="8"/>
        <v>27.780410742496052</v>
      </c>
      <c r="M42" s="70">
        <f t="shared" si="8"/>
        <v>28.15955766192733</v>
      </c>
      <c r="N42" s="7">
        <f t="shared" si="9"/>
        <v>106.89573459715642</v>
      </c>
      <c r="O42" s="7">
        <f t="shared" si="9"/>
        <v>79.028436018957365</v>
      </c>
      <c r="P42" s="7">
        <f t="shared" si="9"/>
        <v>117.82780410742497</v>
      </c>
      <c r="Q42" s="7">
        <f t="shared" si="9"/>
        <v>22.977883096366508</v>
      </c>
      <c r="R42" s="7">
        <f t="shared" si="9"/>
        <v>27.780410742496052</v>
      </c>
      <c r="S42" s="72">
        <f t="shared" si="9"/>
        <v>28.15955766192733</v>
      </c>
      <c r="T42" s="7">
        <f t="shared" si="10"/>
        <v>73.306634616072159</v>
      </c>
      <c r="U42" s="7">
        <f t="shared" si="11"/>
        <v>49.942136007935652</v>
      </c>
      <c r="V42" s="7">
        <f t="shared" si="12"/>
        <v>82.628193623720179</v>
      </c>
      <c r="W42" s="7">
        <f t="shared" si="13"/>
        <v>20.015577610075361</v>
      </c>
      <c r="X42" s="7">
        <f t="shared" si="14"/>
        <v>27.54353633005756</v>
      </c>
      <c r="Y42" s="72">
        <f t="shared" si="15"/>
        <v>32.862128208574319</v>
      </c>
      <c r="Z42">
        <f t="shared" si="16"/>
        <v>1.2663922509764969</v>
      </c>
      <c r="AA42" s="72">
        <f t="shared" si="17"/>
        <v>0.18283690364183414</v>
      </c>
      <c r="AB42">
        <f t="shared" si="23"/>
        <v>6.4611459127583343E-2</v>
      </c>
      <c r="AC42">
        <f t="shared" si="18"/>
        <v>2.2973382563650398E-2</v>
      </c>
      <c r="AD42">
        <f t="shared" si="19"/>
        <v>3.8008969066911279E-2</v>
      </c>
      <c r="AE42">
        <f t="shared" si="20"/>
        <v>8.2063868201308968E-3</v>
      </c>
      <c r="AF42">
        <f t="shared" si="21"/>
        <v>1.1292849895323599E-2</v>
      </c>
      <c r="AG42">
        <f t="shared" si="22"/>
        <v>1.347347256551547E-2</v>
      </c>
    </row>
    <row r="43" spans="1:33" x14ac:dyDescent="0.2">
      <c r="A43" s="2">
        <f t="shared" si="6"/>
        <v>21</v>
      </c>
      <c r="B43">
        <f t="shared" si="7"/>
        <v>8.3840000000000003</v>
      </c>
      <c r="C43">
        <f t="shared" si="7"/>
        <v>9.6199999999999992</v>
      </c>
      <c r="D43">
        <f t="shared" si="7"/>
        <v>9.0839999999999996</v>
      </c>
      <c r="E43">
        <f t="shared" si="7"/>
        <v>3.496</v>
      </c>
      <c r="F43">
        <f t="shared" si="7"/>
        <v>3.26</v>
      </c>
      <c r="G43">
        <f t="shared" si="7"/>
        <v>3.1080000000000001</v>
      </c>
      <c r="H43" s="76">
        <f t="shared" si="8"/>
        <v>131.60347551342815</v>
      </c>
      <c r="I43" s="12">
        <f t="shared" si="8"/>
        <v>151.12954186413901</v>
      </c>
      <c r="J43" s="12">
        <f t="shared" si="8"/>
        <v>142.6619273301738</v>
      </c>
      <c r="K43" s="12">
        <f t="shared" si="8"/>
        <v>54.383886255924175</v>
      </c>
      <c r="L43" s="12">
        <f t="shared" si="8"/>
        <v>50.65560821484992</v>
      </c>
      <c r="M43" s="70">
        <f t="shared" si="8"/>
        <v>48.254344391785153</v>
      </c>
      <c r="N43" s="7">
        <f t="shared" si="9"/>
        <v>131.60347551342815</v>
      </c>
      <c r="O43" s="7">
        <f t="shared" si="9"/>
        <v>151.12954186413901</v>
      </c>
      <c r="P43" s="7">
        <f t="shared" si="9"/>
        <v>142.6619273301738</v>
      </c>
      <c r="Q43" s="7">
        <f t="shared" si="9"/>
        <v>54.383886255924175</v>
      </c>
      <c r="R43" s="7">
        <f t="shared" si="9"/>
        <v>50.65560821484992</v>
      </c>
      <c r="S43" s="72">
        <f t="shared" si="9"/>
        <v>48.254344391785153</v>
      </c>
      <c r="T43" s="7">
        <f t="shared" si="10"/>
        <v>90.250634695808643</v>
      </c>
      <c r="U43" s="7">
        <f t="shared" si="11"/>
        <v>95.506535556205151</v>
      </c>
      <c r="V43" s="7">
        <f t="shared" si="12"/>
        <v>100.04342730026212</v>
      </c>
      <c r="W43" s="7">
        <f t="shared" si="13"/>
        <v>47.372723219446158</v>
      </c>
      <c r="X43" s="7">
        <f t="shared" si="14"/>
        <v>50.22368452790991</v>
      </c>
      <c r="Y43" s="72">
        <f t="shared" si="15"/>
        <v>56.312690386025402</v>
      </c>
      <c r="Z43">
        <f t="shared" si="16"/>
        <v>0.61981072379665447</v>
      </c>
      <c r="AA43" s="72">
        <f t="shared" si="17"/>
        <v>0.19550959055759898</v>
      </c>
      <c r="AB43">
        <f t="shared" si="23"/>
        <v>7.5236343883465159E-2</v>
      </c>
      <c r="AC43">
        <f t="shared" si="18"/>
        <v>4.3933006355854363E-2</v>
      </c>
      <c r="AD43">
        <f t="shared" si="19"/>
        <v>4.6019976558120582E-2</v>
      </c>
      <c r="AE43">
        <f t="shared" si="20"/>
        <v>1.9422816519972921E-2</v>
      </c>
      <c r="AF43">
        <f t="shared" si="21"/>
        <v>2.0591710656443059E-2</v>
      </c>
      <c r="AG43">
        <f t="shared" si="22"/>
        <v>2.3088203058270407E-2</v>
      </c>
    </row>
    <row r="44" spans="1:33" x14ac:dyDescent="0.2">
      <c r="A44" s="2">
        <f t="shared" si="6"/>
        <v>24</v>
      </c>
      <c r="B44">
        <f t="shared" si="7"/>
        <v>3.7080000000000002</v>
      </c>
      <c r="C44">
        <f t="shared" si="7"/>
        <v>4.0940000000000003</v>
      </c>
      <c r="D44">
        <f t="shared" si="7"/>
        <v>4.452</v>
      </c>
      <c r="E44">
        <f t="shared" si="7"/>
        <v>1.458</v>
      </c>
      <c r="F44">
        <f t="shared" si="7"/>
        <v>1.3540000000000001</v>
      </c>
      <c r="G44">
        <f t="shared" si="7"/>
        <v>1.361</v>
      </c>
      <c r="H44" s="76">
        <f t="shared" si="8"/>
        <v>57.733017377567144</v>
      </c>
      <c r="I44" s="12">
        <f t="shared" si="8"/>
        <v>63.830963665086905</v>
      </c>
      <c r="J44" s="12">
        <f t="shared" si="8"/>
        <v>69.486571879936818</v>
      </c>
      <c r="K44" s="12">
        <f t="shared" si="8"/>
        <v>22.187993680884677</v>
      </c>
      <c r="L44" s="12">
        <f t="shared" si="8"/>
        <v>20.545023696682467</v>
      </c>
      <c r="M44" s="70">
        <f t="shared" si="8"/>
        <v>20.65560821484992</v>
      </c>
      <c r="N44" s="7">
        <f t="shared" si="9"/>
        <v>57.733017377567144</v>
      </c>
      <c r="O44" s="7">
        <f t="shared" si="9"/>
        <v>63.830963665086905</v>
      </c>
      <c r="P44" s="7">
        <f t="shared" si="9"/>
        <v>69.486571879936818</v>
      </c>
      <c r="Q44" s="7">
        <f t="shared" si="9"/>
        <v>22.187993680884677</v>
      </c>
      <c r="R44" s="7">
        <f t="shared" si="9"/>
        <v>20.545023696682467</v>
      </c>
      <c r="S44" s="72">
        <f t="shared" si="9"/>
        <v>20.65560821484992</v>
      </c>
      <c r="T44" s="7">
        <f t="shared" si="10"/>
        <v>39.591974610867609</v>
      </c>
      <c r="U44" s="7">
        <f t="shared" si="11"/>
        <v>40.338071072476559</v>
      </c>
      <c r="V44" s="7">
        <f t="shared" si="12"/>
        <v>48.728311276253031</v>
      </c>
      <c r="W44" s="7">
        <f t="shared" si="13"/>
        <v>19.327520627948331</v>
      </c>
      <c r="X44" s="7">
        <f t="shared" si="14"/>
        <v>20.369843046482718</v>
      </c>
      <c r="Y44" s="72">
        <f t="shared" si="15"/>
        <v>24.105039345139367</v>
      </c>
      <c r="Z44">
        <f t="shared" si="16"/>
        <v>0.37208780325795854</v>
      </c>
      <c r="AA44" s="72">
        <f t="shared" si="17"/>
        <v>5.8129166517334435E-2</v>
      </c>
      <c r="AB44">
        <f t="shared" si="23"/>
        <v>5.9727600281071075E-2</v>
      </c>
      <c r="AC44">
        <f t="shared" si="18"/>
        <v>1.8555512693339219E-2</v>
      </c>
      <c r="AD44">
        <f t="shared" si="19"/>
        <v>2.2415023187076392E-2</v>
      </c>
      <c r="AE44">
        <f t="shared" si="20"/>
        <v>7.9242834574588146E-3</v>
      </c>
      <c r="AF44">
        <f t="shared" si="21"/>
        <v>8.3516356490579147E-3</v>
      </c>
      <c r="AG44">
        <f t="shared" si="22"/>
        <v>9.8830661315071396E-3</v>
      </c>
    </row>
    <row r="45" spans="1:33" x14ac:dyDescent="0.2">
      <c r="A45" s="2">
        <f t="shared" si="6"/>
        <v>48</v>
      </c>
      <c r="B45">
        <f t="shared" si="7"/>
        <v>3.0470000000000002</v>
      </c>
      <c r="C45">
        <f t="shared" si="7"/>
        <v>3.2069999999999999</v>
      </c>
      <c r="D45">
        <f t="shared" si="7"/>
        <v>3.008</v>
      </c>
      <c r="E45">
        <f t="shared" si="7"/>
        <v>2.7789999999999999</v>
      </c>
      <c r="F45">
        <f t="shared" si="7"/>
        <v>2.4159999999999999</v>
      </c>
      <c r="G45">
        <f t="shared" si="7"/>
        <v>2.6739999999999999</v>
      </c>
      <c r="H45" s="76">
        <f t="shared" si="8"/>
        <v>47.290679304897317</v>
      </c>
      <c r="I45" s="12">
        <f t="shared" si="8"/>
        <v>49.818325434439181</v>
      </c>
      <c r="J45" s="12">
        <f t="shared" si="8"/>
        <v>46.674565560821485</v>
      </c>
      <c r="K45" s="12">
        <f t="shared" si="8"/>
        <v>43.056872037914694</v>
      </c>
      <c r="L45" s="12">
        <f t="shared" si="8"/>
        <v>37.322274881516584</v>
      </c>
      <c r="M45" s="70">
        <f t="shared" si="8"/>
        <v>41.398104265402843</v>
      </c>
      <c r="N45" s="7">
        <f t="shared" si="9"/>
        <v>47.290679304897317</v>
      </c>
      <c r="O45" s="7">
        <f t="shared" si="9"/>
        <v>49.818325434439181</v>
      </c>
      <c r="P45" s="7">
        <f t="shared" si="9"/>
        <v>46.674565560821485</v>
      </c>
      <c r="Q45" s="7">
        <f t="shared" si="9"/>
        <v>43.056872037914694</v>
      </c>
      <c r="R45" s="7">
        <f t="shared" si="9"/>
        <v>37.322274881516584</v>
      </c>
      <c r="S45" s="72">
        <f t="shared" si="9"/>
        <v>41.398104265402843</v>
      </c>
      <c r="T45" s="7">
        <f t="shared" si="10"/>
        <v>32.430859487654175</v>
      </c>
      <c r="U45" s="7">
        <f t="shared" si="11"/>
        <v>31.482763798305857</v>
      </c>
      <c r="V45" s="7">
        <f t="shared" si="12"/>
        <v>32.731111893984213</v>
      </c>
      <c r="W45" s="7">
        <f t="shared" si="13"/>
        <v>37.505986095744518</v>
      </c>
      <c r="X45" s="7">
        <f t="shared" si="14"/>
        <v>37.004040136344031</v>
      </c>
      <c r="Y45" s="72">
        <f t="shared" si="15"/>
        <v>48.311476561329037</v>
      </c>
      <c r="Z45">
        <f t="shared" si="16"/>
        <v>0.10545299110662204</v>
      </c>
      <c r="AA45" s="72">
        <f t="shared" si="17"/>
        <v>0.18679668091269716</v>
      </c>
      <c r="AB45">
        <f t="shared" si="23"/>
        <v>3.3130503685320022E-2</v>
      </c>
      <c r="AC45">
        <f t="shared" si="18"/>
        <v>1.4482071347220692E-2</v>
      </c>
      <c r="AD45">
        <f t="shared" si="19"/>
        <v>1.5056311471232738E-2</v>
      </c>
      <c r="AE45">
        <f t="shared" si="20"/>
        <v>1.537745429925525E-2</v>
      </c>
      <c r="AF45">
        <f t="shared" si="21"/>
        <v>1.5171656455901052E-2</v>
      </c>
      <c r="AG45">
        <f t="shared" si="22"/>
        <v>1.9807705390144901E-2</v>
      </c>
    </row>
    <row r="46" spans="1:33" x14ac:dyDescent="0.2">
      <c r="A46" s="2">
        <f t="shared" si="6"/>
        <v>68</v>
      </c>
      <c r="B46">
        <f t="shared" si="7"/>
        <v>2.9009999999999998</v>
      </c>
      <c r="C46">
        <f t="shared" si="7"/>
        <v>2.895</v>
      </c>
      <c r="D46">
        <f t="shared" si="7"/>
        <v>2.1989999999999998</v>
      </c>
      <c r="E46">
        <f t="shared" si="7"/>
        <v>2.5379999999999998</v>
      </c>
      <c r="F46">
        <f t="shared" si="7"/>
        <v>2.2320000000000002</v>
      </c>
      <c r="G46">
        <f t="shared" si="7"/>
        <v>1.988</v>
      </c>
      <c r="H46" s="76">
        <f t="shared" si="8"/>
        <v>44.984202211690359</v>
      </c>
      <c r="I46" s="12">
        <f t="shared" si="8"/>
        <v>44.889415481832543</v>
      </c>
      <c r="J46" s="12">
        <f t="shared" si="8"/>
        <v>33.894154818325433</v>
      </c>
      <c r="K46" s="12">
        <f t="shared" si="8"/>
        <v>39.249605055292257</v>
      </c>
      <c r="L46" s="12">
        <f t="shared" si="8"/>
        <v>34.415481832543449</v>
      </c>
      <c r="M46" s="70">
        <f t="shared" si="8"/>
        <v>30.5608214849921</v>
      </c>
      <c r="N46" s="7">
        <f t="shared" si="9"/>
        <v>44.984202211690359</v>
      </c>
      <c r="O46" s="7">
        <f t="shared" si="9"/>
        <v>44.889415481832543</v>
      </c>
      <c r="P46" s="7">
        <f t="shared" si="9"/>
        <v>33.894154818325433</v>
      </c>
      <c r="Q46" s="7">
        <f t="shared" si="9"/>
        <v>39.249605055292257</v>
      </c>
      <c r="R46" s="7">
        <f t="shared" si="9"/>
        <v>34.415481832543449</v>
      </c>
      <c r="S46" s="72">
        <f t="shared" si="9"/>
        <v>30.5608214849921</v>
      </c>
      <c r="T46" s="7">
        <f t="shared" si="10"/>
        <v>30.849130579954988</v>
      </c>
      <c r="U46" s="7">
        <f t="shared" si="11"/>
        <v>28.367931927346152</v>
      </c>
      <c r="V46" s="7">
        <f t="shared" si="12"/>
        <v>23.768692018461032</v>
      </c>
      <c r="W46" s="7">
        <f t="shared" si="13"/>
        <v>34.18955144189222</v>
      </c>
      <c r="X46" s="7">
        <f t="shared" si="14"/>
        <v>34.122032354296508</v>
      </c>
      <c r="Y46" s="72">
        <f t="shared" si="15"/>
        <v>35.664396644873506</v>
      </c>
      <c r="Z46">
        <f t="shared" si="16"/>
        <v>0.40357898855118896</v>
      </c>
      <c r="AA46" s="72">
        <f t="shared" si="17"/>
        <v>0.27558180878521948</v>
      </c>
      <c r="AB46">
        <f t="shared" si="23"/>
        <v>2.9108795431100211E-2</v>
      </c>
      <c r="AC46">
        <f t="shared" si="18"/>
        <v>1.3049248686579227E-2</v>
      </c>
      <c r="AD46">
        <f t="shared" si="19"/>
        <v>1.0933598328492075E-2</v>
      </c>
      <c r="AE46">
        <f t="shared" si="20"/>
        <v>1.4017716091175808E-2</v>
      </c>
      <c r="AF46">
        <f t="shared" si="21"/>
        <v>1.3990033265261565E-2</v>
      </c>
      <c r="AG46">
        <f t="shared" si="22"/>
        <v>1.4622402624398135E-2</v>
      </c>
    </row>
    <row r="47" spans="1:33" x14ac:dyDescent="0.2">
      <c r="A47" s="2">
        <f t="shared" si="6"/>
        <v>72</v>
      </c>
      <c r="B47">
        <f t="shared" si="7"/>
        <v>0.99199999999999999</v>
      </c>
      <c r="C47">
        <f t="shared" si="7"/>
        <v>0.94</v>
      </c>
      <c r="D47">
        <f t="shared" si="7"/>
        <v>0.72</v>
      </c>
      <c r="E47">
        <f t="shared" si="7"/>
        <v>0.97899999999999998</v>
      </c>
      <c r="F47">
        <f t="shared" si="7"/>
        <v>0.80300000000000005</v>
      </c>
      <c r="G47">
        <f t="shared" si="7"/>
        <v>0.68799999999999994</v>
      </c>
      <c r="H47" s="76">
        <f t="shared" si="8"/>
        <v>14.826224328593998</v>
      </c>
      <c r="I47" s="12">
        <f t="shared" si="8"/>
        <v>14.004739336492891</v>
      </c>
      <c r="J47" s="12">
        <f t="shared" si="8"/>
        <v>10.529225908372828</v>
      </c>
      <c r="K47" s="12">
        <f t="shared" si="8"/>
        <v>14.620853080568722</v>
      </c>
      <c r="L47" s="12">
        <f t="shared" si="8"/>
        <v>11.840442338072672</v>
      </c>
      <c r="M47" s="70">
        <f t="shared" si="8"/>
        <v>10.023696682464456</v>
      </c>
      <c r="N47" s="7">
        <f t="shared" si="9"/>
        <v>14.826224328593998</v>
      </c>
      <c r="O47" s="7">
        <f t="shared" si="9"/>
        <v>14.004739336492891</v>
      </c>
      <c r="P47" s="7">
        <f t="shared" si="9"/>
        <v>10.529225908372828</v>
      </c>
      <c r="Q47" s="7">
        <f t="shared" si="9"/>
        <v>14.620853080568722</v>
      </c>
      <c r="R47" s="7">
        <f t="shared" si="9"/>
        <v>11.840442338072672</v>
      </c>
      <c r="S47" s="72">
        <f t="shared" si="9"/>
        <v>10.023696682464456</v>
      </c>
      <c r="T47" s="7">
        <f t="shared" si="10"/>
        <v>10.167483423806061</v>
      </c>
      <c r="U47" s="7">
        <f t="shared" si="11"/>
        <v>8.8503155564287734</v>
      </c>
      <c r="V47" s="7">
        <f t="shared" si="12"/>
        <v>7.3837488838519132</v>
      </c>
      <c r="W47" s="7">
        <f t="shared" si="13"/>
        <v>12.735934739171364</v>
      </c>
      <c r="X47" s="7">
        <f t="shared" si="14"/>
        <v>11.739482786112109</v>
      </c>
      <c r="Y47" s="72">
        <f t="shared" si="15"/>
        <v>11.697627123893637</v>
      </c>
      <c r="Z47">
        <f t="shared" si="16"/>
        <v>0.14438836518224027</v>
      </c>
      <c r="AA47" s="72">
        <f t="shared" si="17"/>
        <v>0.14656170486635842</v>
      </c>
      <c r="AB47">
        <f t="shared" si="23"/>
        <v>1.886764244173008E-2</v>
      </c>
      <c r="AC47">
        <f t="shared" si="18"/>
        <v>4.0711451559572358E-3</v>
      </c>
      <c r="AD47">
        <f t="shared" si="19"/>
        <v>3.3965244865718797E-3</v>
      </c>
      <c r="AE47">
        <f t="shared" si="20"/>
        <v>5.2217332430602578E-3</v>
      </c>
      <c r="AF47">
        <f t="shared" si="21"/>
        <v>4.8131879423059642E-3</v>
      </c>
      <c r="AG47">
        <f t="shared" si="22"/>
        <v>4.7960271207963907E-3</v>
      </c>
    </row>
    <row r="48" spans="1:33" x14ac:dyDescent="0.2">
      <c r="A48" s="2">
        <f t="shared" si="6"/>
        <v>94</v>
      </c>
      <c r="B48">
        <f t="shared" si="7"/>
        <v>2.1070000000000002</v>
      </c>
      <c r="C48">
        <f t="shared" si="7"/>
        <v>2.2250000000000001</v>
      </c>
      <c r="D48">
        <f t="shared" si="7"/>
        <v>1.554</v>
      </c>
      <c r="E48">
        <f t="shared" si="7"/>
        <v>2.1040000000000001</v>
      </c>
      <c r="F48">
        <f t="shared" si="7"/>
        <v>1.786</v>
      </c>
      <c r="G48">
        <f t="shared" si="7"/>
        <v>1.454</v>
      </c>
      <c r="H48" s="76">
        <f t="shared" si="8"/>
        <v>32.440758293838869</v>
      </c>
      <c r="I48" s="12">
        <f t="shared" si="8"/>
        <v>34.304897314375992</v>
      </c>
      <c r="J48" s="12">
        <f t="shared" si="8"/>
        <v>23.704581358609797</v>
      </c>
      <c r="K48" s="12">
        <f t="shared" si="8"/>
        <v>32.393364928909953</v>
      </c>
      <c r="L48" s="12">
        <f t="shared" si="8"/>
        <v>27.369668246445499</v>
      </c>
      <c r="M48" s="70">
        <f t="shared" si="8"/>
        <v>22.124802527646128</v>
      </c>
      <c r="N48" s="7">
        <f t="shared" si="9"/>
        <v>32.440758293838869</v>
      </c>
      <c r="O48" s="7">
        <f t="shared" si="9"/>
        <v>34.304897314375992</v>
      </c>
      <c r="P48" s="7">
        <f t="shared" si="9"/>
        <v>23.704581358609797</v>
      </c>
      <c r="Q48" s="7">
        <f t="shared" si="9"/>
        <v>32.393364928909953</v>
      </c>
      <c r="R48" s="7">
        <f t="shared" si="9"/>
        <v>27.369668246445499</v>
      </c>
      <c r="S48" s="72">
        <f t="shared" si="9"/>
        <v>22.124802527646128</v>
      </c>
      <c r="T48" s="7">
        <f t="shared" si="10"/>
        <v>22.247125424385455</v>
      </c>
      <c r="U48" s="7">
        <f t="shared" si="11"/>
        <v>21.679030153169869</v>
      </c>
      <c r="V48" s="7">
        <f t="shared" si="12"/>
        <v>16.623128582475314</v>
      </c>
      <c r="W48" s="7">
        <f t="shared" si="13"/>
        <v>28.217216837029586</v>
      </c>
      <c r="X48" s="7">
        <f t="shared" si="14"/>
        <v>27.136296099985628</v>
      </c>
      <c r="Y48" s="72">
        <f t="shared" si="15"/>
        <v>25.819585164717157</v>
      </c>
      <c r="Z48">
        <f t="shared" si="16"/>
        <v>0.35823037280498571</v>
      </c>
      <c r="AA48" s="72">
        <f t="shared" si="17"/>
        <v>0.3250251272337768</v>
      </c>
      <c r="AB48">
        <f t="shared" si="23"/>
        <v>1.4910720070168096E-2</v>
      </c>
      <c r="AC48">
        <f t="shared" si="18"/>
        <v>9.9723538704581376E-3</v>
      </c>
      <c r="AD48">
        <f t="shared" si="19"/>
        <v>7.6466391479386442E-3</v>
      </c>
      <c r="AE48">
        <f t="shared" si="20"/>
        <v>1.1569058903182128E-2</v>
      </c>
      <c r="AF48">
        <f t="shared" si="21"/>
        <v>1.1125881400994105E-2</v>
      </c>
      <c r="AG48">
        <f t="shared" si="22"/>
        <v>1.0586029917534033E-2</v>
      </c>
    </row>
    <row r="49" spans="1:41" x14ac:dyDescent="0.2">
      <c r="A49" s="2">
        <f t="shared" si="6"/>
        <v>96</v>
      </c>
      <c r="B49">
        <f t="shared" si="7"/>
        <v>0.73499999999999999</v>
      </c>
      <c r="C49">
        <f t="shared" si="7"/>
        <v>0.71399999999999997</v>
      </c>
      <c r="D49">
        <f t="shared" si="7"/>
        <v>0.59199999999999997</v>
      </c>
      <c r="E49">
        <f t="shared" si="7"/>
        <v>0.75</v>
      </c>
      <c r="F49">
        <f t="shared" si="7"/>
        <v>0.55400000000000005</v>
      </c>
      <c r="G49">
        <f t="shared" si="7"/>
        <v>0.58399999999999996</v>
      </c>
      <c r="H49" s="76">
        <f t="shared" si="8"/>
        <v>10.766192733017379</v>
      </c>
      <c r="I49" s="12">
        <f t="shared" si="8"/>
        <v>10.434439178515008</v>
      </c>
      <c r="J49" s="12">
        <f t="shared" si="8"/>
        <v>8.5071090047393376</v>
      </c>
      <c r="K49" s="12">
        <f t="shared" si="8"/>
        <v>11.003159557661927</v>
      </c>
      <c r="L49" s="12">
        <f t="shared" si="8"/>
        <v>7.9067930489731451</v>
      </c>
      <c r="M49" s="70">
        <f t="shared" si="8"/>
        <v>8.3807266982622437</v>
      </c>
      <c r="N49" s="7">
        <f t="shared" si="9"/>
        <v>10.766192733017379</v>
      </c>
      <c r="O49" s="7">
        <f t="shared" si="9"/>
        <v>10.434439178515008</v>
      </c>
      <c r="P49" s="7">
        <f t="shared" si="9"/>
        <v>8.5071090047393376</v>
      </c>
      <c r="Q49" s="7">
        <f t="shared" si="9"/>
        <v>11.003159557661927</v>
      </c>
      <c r="R49" s="7">
        <f t="shared" si="9"/>
        <v>7.9067930489731451</v>
      </c>
      <c r="S49" s="72">
        <f t="shared" si="9"/>
        <v>8.3807266982622437</v>
      </c>
      <c r="T49" s="7">
        <f t="shared" si="10"/>
        <v>7.3832071958698249</v>
      </c>
      <c r="U49" s="7">
        <f t="shared" si="11"/>
        <v>6.5940591370797579</v>
      </c>
      <c r="V49" s="7">
        <f t="shared" si="12"/>
        <v>5.9657145895787789</v>
      </c>
      <c r="W49" s="7">
        <f t="shared" si="13"/>
        <v>9.584633761029556</v>
      </c>
      <c r="X49" s="7">
        <f t="shared" si="14"/>
        <v>7.8393744288847378</v>
      </c>
      <c r="Y49" s="72">
        <f t="shared" si="15"/>
        <v>9.7802855622152478</v>
      </c>
      <c r="Z49">
        <f t="shared" si="16"/>
        <v>7.7216146843347044E-2</v>
      </c>
      <c r="AA49" s="72">
        <f t="shared" si="17"/>
        <v>0.10557146078999448</v>
      </c>
      <c r="AB49">
        <f t="shared" si="23"/>
        <v>1.3629953005317429E-2</v>
      </c>
      <c r="AC49">
        <f t="shared" si="18"/>
        <v>3.0332672030566887E-3</v>
      </c>
      <c r="AD49">
        <f t="shared" si="19"/>
        <v>2.744228711206238E-3</v>
      </c>
      <c r="AE49">
        <f t="shared" si="20"/>
        <v>3.929699842022117E-3</v>
      </c>
      <c r="AF49">
        <f t="shared" si="21"/>
        <v>3.2141435158427423E-3</v>
      </c>
      <c r="AG49">
        <f t="shared" si="22"/>
        <v>4.0099170805082502E-3</v>
      </c>
    </row>
    <row r="50" spans="1:41" x14ac:dyDescent="0.2">
      <c r="A50" s="2">
        <f t="shared" si="6"/>
        <v>117</v>
      </c>
      <c r="B50">
        <f t="shared" si="7"/>
        <v>1.5169999999999999</v>
      </c>
      <c r="C50">
        <f t="shared" si="7"/>
        <v>1.655</v>
      </c>
      <c r="D50">
        <f t="shared" si="7"/>
        <v>1.3069999999999999</v>
      </c>
      <c r="E50">
        <f t="shared" si="7"/>
        <v>1.649</v>
      </c>
      <c r="F50">
        <f t="shared" si="7"/>
        <v>1.4</v>
      </c>
      <c r="G50">
        <f t="shared" si="7"/>
        <v>1.0529999999999999</v>
      </c>
      <c r="H50" s="76">
        <f t="shared" si="8"/>
        <v>23.120063191153235</v>
      </c>
      <c r="I50" s="12">
        <f t="shared" si="8"/>
        <v>25.300157977883096</v>
      </c>
      <c r="J50" s="12">
        <f t="shared" si="8"/>
        <v>19.802527646129541</v>
      </c>
      <c r="K50" s="12">
        <f t="shared" si="8"/>
        <v>25.205371248025276</v>
      </c>
      <c r="L50" s="12">
        <f t="shared" si="8"/>
        <v>21.271721958925749</v>
      </c>
      <c r="M50" s="70">
        <f t="shared" si="8"/>
        <v>15.789889415481833</v>
      </c>
      <c r="N50" s="7">
        <f t="shared" si="9"/>
        <v>23.120063191153235</v>
      </c>
      <c r="O50" s="7">
        <f t="shared" si="9"/>
        <v>25.300157977883096</v>
      </c>
      <c r="P50" s="7">
        <f t="shared" si="9"/>
        <v>19.802527646129541</v>
      </c>
      <c r="Q50" s="7">
        <f t="shared" si="9"/>
        <v>25.205371248025276</v>
      </c>
      <c r="R50" s="7">
        <f t="shared" si="9"/>
        <v>21.271721958925749</v>
      </c>
      <c r="S50" s="72">
        <f t="shared" si="9"/>
        <v>15.789889415481833</v>
      </c>
      <c r="T50" s="7">
        <f t="shared" si="10"/>
        <v>15.855207235738058</v>
      </c>
      <c r="U50" s="7">
        <f t="shared" si="11"/>
        <v>15.988471927378095</v>
      </c>
      <c r="V50" s="7">
        <f t="shared" si="12"/>
        <v>13.886765530245121</v>
      </c>
      <c r="W50" s="7">
        <f t="shared" si="13"/>
        <v>21.955898299673592</v>
      </c>
      <c r="X50" s="7">
        <f t="shared" si="14"/>
        <v>21.090344991994598</v>
      </c>
      <c r="Y50" s="72">
        <f t="shared" si="15"/>
        <v>18.426758566322597</v>
      </c>
      <c r="Z50">
        <f t="shared" si="16"/>
        <v>0.17523698239812283</v>
      </c>
      <c r="AA50" s="72">
        <f t="shared" si="17"/>
        <v>0.29933982917970087</v>
      </c>
      <c r="AB50">
        <f t="shared" si="23"/>
        <v>1.0689670638539626E-2</v>
      </c>
      <c r="AC50">
        <f t="shared" si="18"/>
        <v>7.3546970865939225E-3</v>
      </c>
      <c r="AD50">
        <f t="shared" si="19"/>
        <v>6.387912143912754E-3</v>
      </c>
      <c r="AE50">
        <f t="shared" si="20"/>
        <v>9.0019183028661708E-3</v>
      </c>
      <c r="AF50">
        <f t="shared" si="21"/>
        <v>8.6470414467177837E-3</v>
      </c>
      <c r="AG50">
        <f t="shared" si="22"/>
        <v>7.5549710121922643E-3</v>
      </c>
    </row>
    <row r="51" spans="1:41" x14ac:dyDescent="0.2">
      <c r="A51" s="2">
        <f t="shared" si="6"/>
        <v>152</v>
      </c>
      <c r="B51">
        <f t="shared" si="7"/>
        <v>2.153</v>
      </c>
      <c r="C51">
        <f t="shared" si="7"/>
        <v>2.2349999999999999</v>
      </c>
      <c r="D51">
        <f t="shared" si="7"/>
        <v>1.7070000000000001</v>
      </c>
      <c r="E51">
        <f t="shared" si="7"/>
        <v>2.1749999999999998</v>
      </c>
      <c r="F51">
        <f t="shared" si="7"/>
        <v>1.9219999999999999</v>
      </c>
      <c r="G51">
        <f t="shared" si="7"/>
        <v>1.363</v>
      </c>
      <c r="H51" s="76">
        <f t="shared" si="8"/>
        <v>33.167456556082151</v>
      </c>
      <c r="I51" s="12">
        <f t="shared" si="8"/>
        <v>34.46287519747235</v>
      </c>
      <c r="J51" s="12">
        <f t="shared" si="8"/>
        <v>26.121642969984205</v>
      </c>
      <c r="K51" s="12">
        <f t="shared" si="8"/>
        <v>33.515007898894154</v>
      </c>
      <c r="L51" s="12">
        <f t="shared" si="8"/>
        <v>29.518167456556082</v>
      </c>
      <c r="M51" s="70">
        <f t="shared" si="8"/>
        <v>20.687203791469194</v>
      </c>
      <c r="N51" s="7">
        <f t="shared" si="9"/>
        <v>33.167456556082151</v>
      </c>
      <c r="O51" s="7">
        <f t="shared" si="9"/>
        <v>34.46287519747235</v>
      </c>
      <c r="P51" s="7">
        <f t="shared" si="9"/>
        <v>26.121642969984205</v>
      </c>
      <c r="Q51" s="7">
        <f t="shared" si="9"/>
        <v>33.515007898894154</v>
      </c>
      <c r="R51" s="7">
        <f t="shared" si="9"/>
        <v>29.518167456556082</v>
      </c>
      <c r="S51" s="72">
        <f t="shared" si="9"/>
        <v>20.687203791469194</v>
      </c>
      <c r="T51" s="7">
        <f t="shared" si="10"/>
        <v>22.745478367907111</v>
      </c>
      <c r="U51" s="7">
        <f t="shared" si="11"/>
        <v>21.778864508008315</v>
      </c>
      <c r="V51" s="7">
        <f t="shared" si="12"/>
        <v>18.318122699848672</v>
      </c>
      <c r="W51" s="7">
        <f t="shared" si="13"/>
        <v>29.194257751649964</v>
      </c>
      <c r="X51" s="7">
        <f t="shared" si="14"/>
        <v>29.26647576497728</v>
      </c>
      <c r="Y51" s="72">
        <f t="shared" si="15"/>
        <v>24.141911298248569</v>
      </c>
      <c r="Z51">
        <f t="shared" si="16"/>
        <v>0.28414315640770799</v>
      </c>
      <c r="AA51" s="72">
        <f t="shared" si="17"/>
        <v>0.41549849578548442</v>
      </c>
      <c r="AB51">
        <f t="shared" si="23"/>
        <v>1.7756315377676777E-2</v>
      </c>
      <c r="AC51">
        <f t="shared" si="18"/>
        <v>1.0018277673683823E-2</v>
      </c>
      <c r="AD51">
        <f t="shared" si="19"/>
        <v>8.4263364419303877E-3</v>
      </c>
      <c r="AE51">
        <f t="shared" si="20"/>
        <v>1.1969645678176485E-2</v>
      </c>
      <c r="AF51">
        <f t="shared" si="21"/>
        <v>1.1999255063640683E-2</v>
      </c>
      <c r="AG51">
        <f t="shared" si="22"/>
        <v>9.8981836322819122E-3</v>
      </c>
    </row>
    <row r="52" spans="1:41" x14ac:dyDescent="0.2">
      <c r="A52" s="2">
        <f t="shared" si="6"/>
        <v>164</v>
      </c>
      <c r="B52">
        <f t="shared" si="7"/>
        <v>0.85299999999999998</v>
      </c>
      <c r="C52">
        <f t="shared" si="7"/>
        <v>0.89800000000000002</v>
      </c>
      <c r="D52">
        <f t="shared" si="7"/>
        <v>0.68</v>
      </c>
      <c r="E52">
        <f t="shared" si="7"/>
        <v>0.83799999999999997</v>
      </c>
      <c r="F52">
        <f t="shared" si="7"/>
        <v>0.65200000000000002</v>
      </c>
      <c r="G52">
        <f t="shared" si="7"/>
        <v>0.50700000000000001</v>
      </c>
      <c r="H52" s="76">
        <f t="shared" si="8"/>
        <v>12.630331753554502</v>
      </c>
      <c r="I52" s="12">
        <f t="shared" si="8"/>
        <v>13.341232227488153</v>
      </c>
      <c r="J52" s="12">
        <f t="shared" si="8"/>
        <v>9.8973143759873636</v>
      </c>
      <c r="K52" s="12">
        <f t="shared" si="8"/>
        <v>12.393364928909953</v>
      </c>
      <c r="L52" s="12">
        <f t="shared" si="8"/>
        <v>9.4549763033175367</v>
      </c>
      <c r="M52" s="70">
        <f t="shared" si="8"/>
        <v>7.1642969984202223</v>
      </c>
      <c r="N52" s="7">
        <f t="shared" si="9"/>
        <v>12.630331753554502</v>
      </c>
      <c r="O52" s="7">
        <f t="shared" si="9"/>
        <v>13.341232227488153</v>
      </c>
      <c r="P52" s="7">
        <f t="shared" si="9"/>
        <v>9.8973143759873636</v>
      </c>
      <c r="Q52" s="7">
        <f t="shared" si="9"/>
        <v>12.393364928909953</v>
      </c>
      <c r="R52" s="7">
        <f t="shared" si="9"/>
        <v>9.4549763033175367</v>
      </c>
      <c r="S52" s="72">
        <f t="shared" si="9"/>
        <v>7.1642969984202223</v>
      </c>
      <c r="T52" s="7">
        <f t="shared" si="10"/>
        <v>8.6615908335993037</v>
      </c>
      <c r="U52" s="7">
        <f t="shared" si="11"/>
        <v>8.4310112661072765</v>
      </c>
      <c r="V52" s="7">
        <f t="shared" si="12"/>
        <v>6.94061316689156</v>
      </c>
      <c r="W52" s="7">
        <f t="shared" si="13"/>
        <v>10.795614049573134</v>
      </c>
      <c r="X52" s="7">
        <f t="shared" si="14"/>
        <v>9.3743568345404906</v>
      </c>
      <c r="Y52" s="72">
        <f t="shared" si="15"/>
        <v>8.3607153675110553</v>
      </c>
      <c r="Z52">
        <f t="shared" si="16"/>
        <v>0.11509271624795919</v>
      </c>
      <c r="AA52" s="72">
        <f t="shared" si="17"/>
        <v>0.16592267275250069</v>
      </c>
      <c r="AB52">
        <f t="shared" si="23"/>
        <v>1.4447251832692949E-2</v>
      </c>
      <c r="AC52">
        <f t="shared" si="18"/>
        <v>3.8782651824093468E-3</v>
      </c>
      <c r="AD52">
        <f t="shared" si="19"/>
        <v>3.1926820567701173E-3</v>
      </c>
      <c r="AE52">
        <f t="shared" si="20"/>
        <v>4.4262017603249838E-3</v>
      </c>
      <c r="AF52">
        <f t="shared" si="21"/>
        <v>3.8434863021616001E-3</v>
      </c>
      <c r="AG52">
        <f t="shared" si="22"/>
        <v>3.4278933006795325E-3</v>
      </c>
    </row>
    <row r="53" spans="1:41" x14ac:dyDescent="0.2">
      <c r="A53" s="2">
        <f t="shared" si="6"/>
        <v>261</v>
      </c>
      <c r="B53">
        <f t="shared" ref="B53:G57" si="24">P23</f>
        <v>2.9009999999999998</v>
      </c>
      <c r="C53">
        <f t="shared" si="24"/>
        <v>2.8919999999999999</v>
      </c>
      <c r="D53">
        <f t="shared" si="24"/>
        <v>2.4510000000000001</v>
      </c>
      <c r="E53">
        <f t="shared" si="24"/>
        <v>2.5680000000000001</v>
      </c>
      <c r="F53">
        <f t="shared" si="24"/>
        <v>1.948</v>
      </c>
      <c r="G53">
        <f t="shared" si="24"/>
        <v>1.3149999999999999</v>
      </c>
      <c r="H53" s="76">
        <f t="shared" ref="H53:M57" si="25">(B53-0.0535)/0.0633</f>
        <v>44.984202211690359</v>
      </c>
      <c r="I53" s="12">
        <f t="shared" si="25"/>
        <v>44.842022116903635</v>
      </c>
      <c r="J53" s="12">
        <f t="shared" si="25"/>
        <v>37.875197472353875</v>
      </c>
      <c r="K53" s="12">
        <f t="shared" si="25"/>
        <v>39.723538704581358</v>
      </c>
      <c r="L53" s="12">
        <f t="shared" si="25"/>
        <v>29.928909952606634</v>
      </c>
      <c r="M53" s="70">
        <f t="shared" si="25"/>
        <v>19.928909952606634</v>
      </c>
      <c r="N53" s="7">
        <f t="shared" ref="N53:S57" si="26">H53</f>
        <v>44.984202211690359</v>
      </c>
      <c r="O53" s="7">
        <f t="shared" si="26"/>
        <v>44.842022116903635</v>
      </c>
      <c r="P53" s="7">
        <f t="shared" si="26"/>
        <v>37.875197472353875</v>
      </c>
      <c r="Q53" s="7">
        <f t="shared" si="26"/>
        <v>39.723538704581358</v>
      </c>
      <c r="R53" s="7">
        <f t="shared" si="26"/>
        <v>29.928909952606634</v>
      </c>
      <c r="S53" s="72">
        <f t="shared" si="26"/>
        <v>19.928909952606634</v>
      </c>
      <c r="T53" s="7">
        <f t="shared" si="10"/>
        <v>30.849130579954988</v>
      </c>
      <c r="U53" s="7">
        <f t="shared" si="11"/>
        <v>28.337981620894613</v>
      </c>
      <c r="V53" s="7">
        <f t="shared" si="12"/>
        <v>26.560447035311274</v>
      </c>
      <c r="W53" s="7">
        <f t="shared" si="13"/>
        <v>34.602385631168445</v>
      </c>
      <c r="X53" s="7">
        <f t="shared" si="14"/>
        <v>29.673715995049214</v>
      </c>
      <c r="Y53" s="72">
        <f t="shared" si="15"/>
        <v>23.25698442362777</v>
      </c>
      <c r="Z53">
        <f t="shared" si="16"/>
        <v>0.25724890670321598</v>
      </c>
      <c r="AA53" s="72">
        <f t="shared" si="17"/>
        <v>0.62651123959058697</v>
      </c>
      <c r="AB53">
        <f t="shared" si="23"/>
        <v>1.8174931850234971E-2</v>
      </c>
      <c r="AC53">
        <f t="shared" si="18"/>
        <v>1.3035471545611521E-2</v>
      </c>
      <c r="AD53">
        <f t="shared" si="19"/>
        <v>1.2217805636243187E-2</v>
      </c>
      <c r="AE53">
        <f t="shared" si="20"/>
        <v>1.4186978108779058E-2</v>
      </c>
      <c r="AF53">
        <f t="shared" si="21"/>
        <v>1.2166223557970177E-2</v>
      </c>
      <c r="AG53">
        <f t="shared" si="22"/>
        <v>9.5353636136873855E-3</v>
      </c>
    </row>
    <row r="54" spans="1:41" x14ac:dyDescent="0.2">
      <c r="A54" s="2">
        <f t="shared" si="6"/>
        <v>384</v>
      </c>
      <c r="B54">
        <f t="shared" si="24"/>
        <v>2.6749999999999998</v>
      </c>
      <c r="C54">
        <f t="shared" si="24"/>
        <v>2.9529999999999998</v>
      </c>
      <c r="D54">
        <f t="shared" si="24"/>
        <v>2.4929999999999999</v>
      </c>
      <c r="E54">
        <f t="shared" si="24"/>
        <v>1.7989999999999999</v>
      </c>
      <c r="F54">
        <f t="shared" si="24"/>
        <v>1.41</v>
      </c>
      <c r="G54">
        <f t="shared" si="24"/>
        <v>0.92700000000000005</v>
      </c>
      <c r="H54" s="76">
        <f t="shared" si="25"/>
        <v>41.413902053712476</v>
      </c>
      <c r="I54" s="12">
        <f t="shared" si="25"/>
        <v>45.805687203791472</v>
      </c>
      <c r="J54" s="12">
        <f t="shared" si="25"/>
        <v>38.538704581358608</v>
      </c>
      <c r="K54" s="12">
        <f t="shared" si="25"/>
        <v>27.575039494470772</v>
      </c>
      <c r="L54" s="12">
        <f t="shared" si="25"/>
        <v>21.429699842022117</v>
      </c>
      <c r="M54" s="70">
        <f t="shared" si="25"/>
        <v>13.799368088467617</v>
      </c>
      <c r="N54" s="7">
        <f t="shared" si="26"/>
        <v>41.413902053712476</v>
      </c>
      <c r="O54" s="7">
        <f t="shared" si="26"/>
        <v>45.805687203791472</v>
      </c>
      <c r="P54" s="7">
        <f t="shared" si="26"/>
        <v>38.538704581358608</v>
      </c>
      <c r="Q54" s="7">
        <f t="shared" si="26"/>
        <v>27.575039494470772</v>
      </c>
      <c r="R54" s="7">
        <f t="shared" si="26"/>
        <v>21.429699842022117</v>
      </c>
      <c r="S54" s="72">
        <f t="shared" si="26"/>
        <v>13.799368088467617</v>
      </c>
      <c r="T54" s="7">
        <f t="shared" si="10"/>
        <v>28.400700900913783</v>
      </c>
      <c r="U54" s="7">
        <f t="shared" si="11"/>
        <v>28.946971185409176</v>
      </c>
      <c r="V54" s="7">
        <f t="shared" si="12"/>
        <v>27.025739538119641</v>
      </c>
      <c r="W54" s="7">
        <f t="shared" si="13"/>
        <v>24.020069246054689</v>
      </c>
      <c r="X54" s="7">
        <f t="shared" si="14"/>
        <v>21.246975849714573</v>
      </c>
      <c r="Y54" s="72">
        <f t="shared" si="15"/>
        <v>16.103825520443017</v>
      </c>
      <c r="Z54">
        <f t="shared" si="16"/>
        <v>0.23166354913969525</v>
      </c>
      <c r="AA54" s="72">
        <f t="shared" si="17"/>
        <v>0.43684360282981666</v>
      </c>
      <c r="AB54">
        <f t="shared" si="23"/>
        <v>2.7254922481199637E-2</v>
      </c>
      <c r="AC54">
        <f t="shared" si="18"/>
        <v>1.3315606745288219E-2</v>
      </c>
      <c r="AD54">
        <f t="shared" si="19"/>
        <v>1.2431840187535034E-2</v>
      </c>
      <c r="AE54">
        <f t="shared" si="20"/>
        <v>9.848228390882419E-3</v>
      </c>
      <c r="AF54">
        <f t="shared" si="21"/>
        <v>8.7112600983829756E-3</v>
      </c>
      <c r="AG54">
        <f t="shared" si="22"/>
        <v>6.6025684633816348E-3</v>
      </c>
    </row>
    <row r="55" spans="1:41" x14ac:dyDescent="0.2">
      <c r="A55" s="2">
        <f>C25</f>
        <v>508</v>
      </c>
      <c r="B55">
        <f t="shared" si="24"/>
        <v>2.3839999999999999</v>
      </c>
      <c r="C55">
        <f t="shared" si="24"/>
        <v>2.5339999999999998</v>
      </c>
      <c r="D55">
        <f t="shared" si="24"/>
        <v>2.0339999999999998</v>
      </c>
      <c r="E55">
        <f t="shared" si="24"/>
        <v>1.246</v>
      </c>
      <c r="F55">
        <f t="shared" si="24"/>
        <v>1.0649999999999999</v>
      </c>
      <c r="G55">
        <f t="shared" si="24"/>
        <v>0.69899999999999995</v>
      </c>
      <c r="H55" s="76">
        <f t="shared" si="25"/>
        <v>36.816745655608216</v>
      </c>
      <c r="I55" s="12">
        <f t="shared" si="25"/>
        <v>39.186413902053708</v>
      </c>
      <c r="J55" s="12">
        <f t="shared" si="25"/>
        <v>31.287519747235386</v>
      </c>
      <c r="K55" s="12">
        <f t="shared" si="25"/>
        <v>18.838862559241704</v>
      </c>
      <c r="L55" s="12">
        <f t="shared" si="25"/>
        <v>15.979462875197472</v>
      </c>
      <c r="M55" s="70">
        <f t="shared" si="25"/>
        <v>10.197472353870458</v>
      </c>
      <c r="N55" s="7">
        <f t="shared" si="26"/>
        <v>36.816745655608216</v>
      </c>
      <c r="O55" s="7">
        <f t="shared" si="26"/>
        <v>39.186413902053708</v>
      </c>
      <c r="P55" s="7">
        <f t="shared" si="26"/>
        <v>31.287519747235386</v>
      </c>
      <c r="Q55" s="7">
        <f t="shared" si="26"/>
        <v>18.838862559241704</v>
      </c>
      <c r="R55" s="7">
        <f t="shared" si="26"/>
        <v>15.979462875197472</v>
      </c>
      <c r="S55" s="72">
        <f t="shared" si="26"/>
        <v>10.197472353870458</v>
      </c>
      <c r="T55" s="7">
        <f>N55/$P$70*100</f>
        <v>25.24807684515719</v>
      </c>
      <c r="U55" s="7">
        <f>O55/$P$71*100</f>
        <v>24.763911717678027</v>
      </c>
      <c r="V55" s="7">
        <f>P55/$P$72*100</f>
        <v>21.940757185999573</v>
      </c>
      <c r="W55" s="7">
        <f>Q55/$V$70*100</f>
        <v>16.410159023729712</v>
      </c>
      <c r="X55" s="7">
        <f>R55/$V$71*100</f>
        <v>15.843211258375444</v>
      </c>
      <c r="Y55" s="72">
        <f>S55/$V$72*100</f>
        <v>11.900422865994233</v>
      </c>
      <c r="Z55">
        <f t="shared" si="16"/>
        <v>0.25658007197234423</v>
      </c>
      <c r="AA55" s="72">
        <f t="shared" si="17"/>
        <v>0.27866527112888234</v>
      </c>
      <c r="AB55">
        <f t="shared" si="23"/>
        <v>2.4678437763192645E-2</v>
      </c>
      <c r="AC55">
        <f t="shared" si="18"/>
        <v>1.1391399390131892E-2</v>
      </c>
      <c r="AD55">
        <f t="shared" si="19"/>
        <v>1.0092748305559802E-2</v>
      </c>
      <c r="AE55">
        <f t="shared" si="20"/>
        <v>6.7281651997291797E-3</v>
      </c>
      <c r="AF55">
        <f t="shared" si="21"/>
        <v>6.4957166159339327E-3</v>
      </c>
      <c r="AG55">
        <f t="shared" si="22"/>
        <v>4.8791733750576357E-3</v>
      </c>
    </row>
    <row r="56" spans="1:41" x14ac:dyDescent="0.2">
      <c r="A56" s="2">
        <f>C26</f>
        <v>522</v>
      </c>
      <c r="B56">
        <f t="shared" si="24"/>
        <v>0.42899999999999999</v>
      </c>
      <c r="C56">
        <f t="shared" si="24"/>
        <v>0.63</v>
      </c>
      <c r="D56">
        <f t="shared" si="24"/>
        <v>0.48099999999999998</v>
      </c>
      <c r="E56">
        <f t="shared" si="24"/>
        <v>0.26400000000000001</v>
      </c>
      <c r="F56">
        <f t="shared" si="24"/>
        <v>0.214</v>
      </c>
      <c r="G56">
        <f t="shared" si="24"/>
        <v>0.28000000000000003</v>
      </c>
      <c r="H56" s="76">
        <f t="shared" si="25"/>
        <v>5.9320695102685628</v>
      </c>
      <c r="I56" s="12">
        <f t="shared" si="25"/>
        <v>9.1074249605055293</v>
      </c>
      <c r="J56" s="12">
        <f t="shared" si="25"/>
        <v>6.7535545023696688</v>
      </c>
      <c r="K56" s="12">
        <f t="shared" si="25"/>
        <v>3.3254344391785158</v>
      </c>
      <c r="L56" s="12">
        <f t="shared" si="25"/>
        <v>2.5355450236966828</v>
      </c>
      <c r="M56" s="70">
        <f t="shared" si="25"/>
        <v>3.5781990521327023</v>
      </c>
      <c r="N56" s="7">
        <f t="shared" si="26"/>
        <v>5.9320695102685628</v>
      </c>
      <c r="O56" s="7">
        <f t="shared" si="26"/>
        <v>9.1074249605055293</v>
      </c>
      <c r="P56" s="7">
        <f t="shared" si="26"/>
        <v>6.7535545023696688</v>
      </c>
      <c r="Q56" s="7">
        <f t="shared" si="26"/>
        <v>3.3254344391785158</v>
      </c>
      <c r="R56" s="7">
        <f t="shared" si="26"/>
        <v>2.5355450236966828</v>
      </c>
      <c r="S56" s="72">
        <f t="shared" si="26"/>
        <v>3.5781990521327023</v>
      </c>
      <c r="T56" s="7">
        <f>N56/$P$70*100</f>
        <v>4.0680767454866018</v>
      </c>
      <c r="U56" s="7">
        <f>O56/$P$71*100</f>
        <v>5.7554505564367604</v>
      </c>
      <c r="V56" s="7">
        <f>P56/$P$72*100</f>
        <v>4.7360129750137929</v>
      </c>
      <c r="W56" s="7">
        <f>Q56/$V$70*100</f>
        <v>2.8967198947548054</v>
      </c>
      <c r="X56" s="7">
        <f>R56/$V$71*100</f>
        <v>2.5139252664055949</v>
      </c>
      <c r="Y56" s="72">
        <f>S56/$V$72*100</f>
        <v>4.1757486896168778</v>
      </c>
      <c r="Z56">
        <f t="shared" si="16"/>
        <v>0.10432800838381506</v>
      </c>
      <c r="AA56" s="72">
        <f t="shared" si="17"/>
        <v>3.4428670223134436E-2</v>
      </c>
      <c r="AB56">
        <f t="shared" si="23"/>
        <v>1.3485430651696145E-2</v>
      </c>
      <c r="AC56">
        <f t="shared" si="18"/>
        <v>2.6475072559609095E-3</v>
      </c>
      <c r="AD56">
        <f t="shared" si="19"/>
        <v>2.1785659685063445E-3</v>
      </c>
      <c r="AE56">
        <f t="shared" si="20"/>
        <v>1.18765515684947E-3</v>
      </c>
      <c r="AF56">
        <f t="shared" si="21"/>
        <v>1.0307093592262938E-3</v>
      </c>
      <c r="AG56">
        <f t="shared" si="22"/>
        <v>1.7120569627429199E-3</v>
      </c>
      <c r="AH56" s="37"/>
      <c r="AI56" s="37"/>
      <c r="AJ56" s="37"/>
      <c r="AK56" s="37"/>
      <c r="AL56" s="37"/>
      <c r="AM56" s="37"/>
      <c r="AN56" s="37"/>
      <c r="AO56" s="38"/>
    </row>
    <row r="57" spans="1:41" x14ac:dyDescent="0.2">
      <c r="A57" s="2">
        <f>C27</f>
        <v>1107</v>
      </c>
      <c r="B57">
        <f t="shared" si="24"/>
        <v>2.762</v>
      </c>
      <c r="C57">
        <f t="shared" si="24"/>
        <v>3.11</v>
      </c>
      <c r="D57">
        <f t="shared" si="24"/>
        <v>2.7469999999999999</v>
      </c>
      <c r="E57">
        <f t="shared" si="24"/>
        <v>1.2270000000000001</v>
      </c>
      <c r="F57">
        <f t="shared" si="24"/>
        <v>0.96399999999999997</v>
      </c>
      <c r="G57">
        <f t="shared" si="24"/>
        <v>0.754</v>
      </c>
      <c r="H57" s="76">
        <f t="shared" si="25"/>
        <v>42.788309636650872</v>
      </c>
      <c r="I57" s="12">
        <f t="shared" si="25"/>
        <v>48.285939968404421</v>
      </c>
      <c r="J57" s="12">
        <f t="shared" si="25"/>
        <v>42.551342812006318</v>
      </c>
      <c r="K57" s="12">
        <f t="shared" si="25"/>
        <v>18.538704581358612</v>
      </c>
      <c r="L57" s="12">
        <f t="shared" si="25"/>
        <v>14.383886255924171</v>
      </c>
      <c r="M57" s="70">
        <f t="shared" si="25"/>
        <v>11.066350710900474</v>
      </c>
      <c r="N57" s="7">
        <f t="shared" si="26"/>
        <v>42.788309636650872</v>
      </c>
      <c r="O57" s="7">
        <f t="shared" si="26"/>
        <v>48.285939968404421</v>
      </c>
      <c r="P57" s="7">
        <f t="shared" si="26"/>
        <v>42.551342812006318</v>
      </c>
      <c r="Q57" s="7">
        <f t="shared" si="26"/>
        <v>18.538704581358612</v>
      </c>
      <c r="R57" s="7">
        <f t="shared" si="26"/>
        <v>14.383886255924171</v>
      </c>
      <c r="S57" s="72">
        <f t="shared" si="26"/>
        <v>11.066350710900474</v>
      </c>
      <c r="T57" s="7">
        <f>N57/$P$70*100</f>
        <v>29.343237989748232</v>
      </c>
      <c r="U57" s="7">
        <f>O57/$P$71*100</f>
        <v>30.514370556372867</v>
      </c>
      <c r="V57" s="7">
        <f>P57/$P$72*100</f>
        <v>29.839651340817895</v>
      </c>
      <c r="W57" s="7">
        <f>Q57/$V$70*100</f>
        <v>16.148697370521443</v>
      </c>
      <c r="X57" s="7">
        <f>R57/$V$71*100</f>
        <v>14.261239595403701</v>
      </c>
      <c r="Y57" s="72">
        <f>S57/$V$72*100</f>
        <v>12.91440157649723</v>
      </c>
      <c r="Z57">
        <f t="shared" si="16"/>
        <v>0.20538500432115286</v>
      </c>
      <c r="AA57" s="72">
        <f t="shared" si="17"/>
        <v>0.23699437405418156</v>
      </c>
      <c r="AB57">
        <f t="shared" si="23"/>
        <v>1.5369204778208025E-2</v>
      </c>
      <c r="AC57">
        <f t="shared" si="18"/>
        <v>1.4036610455931518E-2</v>
      </c>
      <c r="AD57">
        <f t="shared" si="19"/>
        <v>1.372623961677623E-2</v>
      </c>
      <c r="AE57">
        <f t="shared" si="20"/>
        <v>6.6209659219137913E-3</v>
      </c>
      <c r="AF57">
        <f t="shared" si="21"/>
        <v>5.8471082341155171E-3</v>
      </c>
      <c r="AG57">
        <f t="shared" si="22"/>
        <v>5.2949046463638639E-3</v>
      </c>
      <c r="AH57" s="7"/>
      <c r="AI57" s="7"/>
      <c r="AJ57" s="7"/>
      <c r="AK57" s="7"/>
      <c r="AL57" s="7"/>
      <c r="AM57" s="7"/>
      <c r="AN57" s="7"/>
      <c r="AO57" s="39"/>
    </row>
    <row r="58" spans="1:41" x14ac:dyDescent="0.2">
      <c r="N58" s="7"/>
      <c r="O58" s="7"/>
      <c r="P58" s="7"/>
      <c r="Y58" s="72"/>
      <c r="AA58" s="72"/>
      <c r="AC58" s="35"/>
      <c r="AD58" s="35"/>
      <c r="AE58" s="79"/>
      <c r="AF58" s="35"/>
      <c r="AG58" s="35"/>
      <c r="AH58" s="7"/>
      <c r="AI58" s="7"/>
      <c r="AJ58" s="7"/>
      <c r="AK58" s="7"/>
      <c r="AL58" s="7"/>
      <c r="AM58" s="7"/>
      <c r="AN58" s="7"/>
      <c r="AO58" s="39"/>
    </row>
    <row r="59" spans="1:41" x14ac:dyDescent="0.2">
      <c r="M59" s="50" t="s">
        <v>49</v>
      </c>
      <c r="N59" s="7">
        <f>SUM(N38:N57)</f>
        <v>942.78041074249609</v>
      </c>
      <c r="O59" s="7">
        <f t="shared" ref="O59:S59" si="27">SUM(O38:O57)</f>
        <v>974.28120063191159</v>
      </c>
      <c r="P59" s="7">
        <f t="shared" si="27"/>
        <v>933.22274881516591</v>
      </c>
      <c r="Q59" s="7">
        <f t="shared" si="27"/>
        <v>454.94470774091633</v>
      </c>
      <c r="R59" s="7">
        <f t="shared" si="27"/>
        <v>398.51500789889423</v>
      </c>
      <c r="S59" s="7">
        <f t="shared" si="27"/>
        <v>354.6129541864139</v>
      </c>
      <c r="AC59" s="84" t="s">
        <v>58</v>
      </c>
      <c r="AD59" s="85"/>
      <c r="AE59" s="86"/>
      <c r="AF59" s="85"/>
      <c r="AG59" s="85"/>
      <c r="AH59" s="37"/>
      <c r="AI59" s="37"/>
      <c r="AJ59" s="37"/>
      <c r="AK59" s="37"/>
      <c r="AL59" s="37"/>
      <c r="AM59" s="37"/>
      <c r="AN59" s="37"/>
      <c r="AO59" s="38"/>
    </row>
    <row r="60" spans="1:41" x14ac:dyDescent="0.2">
      <c r="M60" s="1" t="s">
        <v>48</v>
      </c>
      <c r="N60">
        <f>3.17-(N59/1000)</f>
        <v>2.227219589257504</v>
      </c>
      <c r="O60">
        <f>3.44-(O59/1000)</f>
        <v>2.4657187993680885</v>
      </c>
      <c r="P60">
        <f>3.1-(P59/1000)</f>
        <v>2.1667772511848344</v>
      </c>
      <c r="Q60">
        <f>2.8-(Q59/1000)</f>
        <v>2.3450552922590835</v>
      </c>
      <c r="R60">
        <f>2.46-(R59/1000)</f>
        <v>2.0614849921011058</v>
      </c>
      <c r="S60">
        <f>2.09-(S59/1000)</f>
        <v>1.735387045813586</v>
      </c>
      <c r="AC60" s="87" t="s">
        <v>59</v>
      </c>
      <c r="AD60" s="25"/>
      <c r="AE60" s="33"/>
      <c r="AF60" s="33"/>
      <c r="AG60" s="33"/>
      <c r="AH60" s="7"/>
      <c r="AI60" s="7"/>
      <c r="AJ60" s="7"/>
      <c r="AK60" s="7"/>
      <c r="AL60" s="7"/>
      <c r="AM60" s="7"/>
      <c r="AN60" s="7"/>
      <c r="AO60" s="39"/>
    </row>
    <row r="61" spans="1:41" x14ac:dyDescent="0.2">
      <c r="A61" s="2"/>
      <c r="F61" s="12"/>
      <c r="G61" s="12"/>
      <c r="H61" s="12"/>
      <c r="I61" s="12"/>
      <c r="J61" s="12"/>
      <c r="K61" s="12"/>
      <c r="L61" s="12"/>
      <c r="M61" s="12" t="s">
        <v>50</v>
      </c>
      <c r="N61">
        <f t="shared" ref="N61:S61" si="28">N59/1000/N60</f>
        <v>0.42329926303171306</v>
      </c>
      <c r="O61">
        <f t="shared" si="28"/>
        <v>0.39513070220399799</v>
      </c>
      <c r="P61">
        <f t="shared" si="28"/>
        <v>0.43069620945340004</v>
      </c>
      <c r="Q61">
        <f t="shared" si="28"/>
        <v>0.1940016976327455</v>
      </c>
      <c r="R61">
        <f t="shared" si="28"/>
        <v>0.1933145326916593</v>
      </c>
      <c r="S61">
        <f t="shared" si="28"/>
        <v>0.20434228493400092</v>
      </c>
      <c r="AC61" s="87" t="s">
        <v>60</v>
      </c>
      <c r="AD61" s="25"/>
      <c r="AE61" s="35"/>
      <c r="AF61" s="35"/>
      <c r="AG61" s="25"/>
      <c r="AH61" s="7"/>
      <c r="AI61" s="7"/>
      <c r="AJ61" s="7"/>
      <c r="AK61" s="7"/>
      <c r="AL61" s="7"/>
      <c r="AM61" s="7"/>
      <c r="AN61" s="7"/>
      <c r="AO61" s="39"/>
    </row>
    <row r="62" spans="1:41" x14ac:dyDescent="0.2">
      <c r="A62" s="2"/>
      <c r="F62" s="12"/>
      <c r="G62" s="12"/>
      <c r="H62" s="12"/>
      <c r="I62" s="12"/>
      <c r="J62" s="12"/>
      <c r="K62" s="12"/>
      <c r="L62" s="12"/>
      <c r="M62" s="12" t="s">
        <v>51</v>
      </c>
      <c r="N62">
        <f>AVERAGE(N61:P61)</f>
        <v>0.41637539156303705</v>
      </c>
      <c r="Q62">
        <f>AVERAGE(Q61:S61)</f>
        <v>0.19721950508613525</v>
      </c>
      <c r="AC62" s="87"/>
      <c r="AD62" s="34"/>
      <c r="AE62" s="35"/>
      <c r="AF62" s="35"/>
      <c r="AG62" s="35"/>
      <c r="AH62" s="7"/>
      <c r="AI62" s="7"/>
      <c r="AJ62" s="7"/>
      <c r="AK62" s="7"/>
      <c r="AL62" s="7"/>
      <c r="AM62" s="7"/>
      <c r="AN62" s="7"/>
      <c r="AO62" s="39"/>
    </row>
    <row r="63" spans="1:41" x14ac:dyDescent="0.2">
      <c r="A63" s="2"/>
      <c r="F63" s="12"/>
      <c r="G63" s="12"/>
      <c r="H63" s="12"/>
      <c r="I63" s="12"/>
      <c r="J63" s="12"/>
      <c r="K63" s="12"/>
      <c r="L63" s="12"/>
      <c r="M63" s="12" t="s">
        <v>52</v>
      </c>
      <c r="N63">
        <f>_xlfn.STDEV.S(N61:P61)/SQRT(3)</f>
        <v>1.0834840770447851E-2</v>
      </c>
      <c r="Q63">
        <f>_xlfn.STDEV.S(Q61:S61)/SQRT(3)</f>
        <v>3.5669101233857664E-3</v>
      </c>
      <c r="AC63" s="87" t="s">
        <v>61</v>
      </c>
      <c r="AD63" s="35"/>
      <c r="AE63" s="35"/>
      <c r="AF63" s="35"/>
      <c r="AG63" s="34"/>
      <c r="AH63" s="7"/>
      <c r="AI63" s="7"/>
      <c r="AJ63" s="7"/>
      <c r="AK63" s="7"/>
      <c r="AL63" s="7"/>
      <c r="AM63" s="7"/>
      <c r="AN63" s="7"/>
      <c r="AO63" s="39"/>
    </row>
    <row r="64" spans="1:41" x14ac:dyDescent="0.2">
      <c r="A64" s="2"/>
      <c r="F64" s="12"/>
      <c r="G64" s="12"/>
      <c r="H64" s="12"/>
      <c r="I64" s="12"/>
      <c r="J64" s="12"/>
      <c r="K64" s="12"/>
      <c r="L64" s="12"/>
      <c r="M64" s="12"/>
      <c r="AC64" s="87" t="s">
        <v>62</v>
      </c>
      <c r="AD64" s="35">
        <v>819.46</v>
      </c>
      <c r="AE64" s="35">
        <f>2*680.66</f>
        <v>1361.32</v>
      </c>
      <c r="AF64" s="35">
        <f>SUM(AD64:AE64)</f>
        <v>2180.7799999999997</v>
      </c>
      <c r="AG64" s="35"/>
      <c r="AH64" s="7"/>
      <c r="AI64" s="7"/>
      <c r="AJ64" s="7"/>
      <c r="AK64" s="7"/>
      <c r="AL64" s="7"/>
      <c r="AM64" s="7"/>
      <c r="AN64" s="7"/>
      <c r="AO64" s="39"/>
    </row>
    <row r="65" spans="13:41" x14ac:dyDescent="0.2">
      <c r="N65" s="23" t="s">
        <v>42</v>
      </c>
      <c r="S65" s="1" t="s">
        <v>43</v>
      </c>
      <c r="T65" s="23" t="s">
        <v>44</v>
      </c>
      <c r="Y65" s="55"/>
      <c r="Z65" s="32"/>
      <c r="AA65" s="32"/>
      <c r="AB65" s="32"/>
      <c r="AC65" s="87"/>
      <c r="AD65" s="35"/>
      <c r="AE65" s="35">
        <f>AE64/AD64</f>
        <v>1.6612403289971442</v>
      </c>
      <c r="AF65" s="35"/>
      <c r="AG65" s="35"/>
      <c r="AH65" s="7"/>
      <c r="AI65" s="7"/>
      <c r="AJ65" s="7"/>
      <c r="AK65" s="7"/>
      <c r="AL65" s="7"/>
      <c r="AM65" s="7"/>
      <c r="AN65" s="7"/>
      <c r="AO65" s="39"/>
    </row>
    <row r="66" spans="13:41" x14ac:dyDescent="0.2">
      <c r="N66" t="s">
        <v>12</v>
      </c>
      <c r="T66" t="s">
        <v>12</v>
      </c>
      <c r="Y66" s="32"/>
      <c r="Z66" s="32"/>
      <c r="AA66" s="32"/>
      <c r="AB66" s="32"/>
      <c r="AC66" s="87"/>
      <c r="AD66" s="35"/>
      <c r="AE66" s="35"/>
      <c r="AF66" s="35"/>
      <c r="AG66" s="35"/>
      <c r="AH66" s="7"/>
      <c r="AI66" s="7"/>
      <c r="AJ66" s="7"/>
      <c r="AK66" s="7"/>
      <c r="AL66" s="7"/>
      <c r="AM66" s="7"/>
      <c r="AN66" s="7"/>
      <c r="AO66" s="39"/>
    </row>
    <row r="67" spans="13:41" x14ac:dyDescent="0.2">
      <c r="N67" s="1" t="s">
        <v>45</v>
      </c>
      <c r="T67" s="1" t="s">
        <v>45</v>
      </c>
      <c r="Y67" s="31"/>
      <c r="Z67" s="32"/>
      <c r="AA67" s="32"/>
      <c r="AB67" s="32"/>
      <c r="AC67" s="87"/>
      <c r="AD67" s="35"/>
      <c r="AE67" s="35"/>
      <c r="AF67" s="35"/>
      <c r="AG67" s="35"/>
      <c r="AH67" s="7"/>
      <c r="AI67" s="7"/>
      <c r="AJ67" s="7"/>
      <c r="AK67" s="7"/>
      <c r="AL67" s="7"/>
      <c r="AM67" s="7"/>
      <c r="AN67" s="7"/>
      <c r="AO67" s="39"/>
    </row>
    <row r="68" spans="13:41" ht="38.25" x14ac:dyDescent="0.2">
      <c r="N68" s="31"/>
      <c r="T68" s="1"/>
      <c r="Y68" s="31"/>
      <c r="Z68" s="32"/>
      <c r="AA68" s="32"/>
      <c r="AB68" s="32"/>
      <c r="AC68" s="87" t="s">
        <v>63</v>
      </c>
      <c r="AD68" s="35"/>
      <c r="AE68" s="35"/>
      <c r="AF68" s="36" t="s">
        <v>64</v>
      </c>
      <c r="AG68" s="40" t="s">
        <v>65</v>
      </c>
      <c r="AH68" s="40" t="s">
        <v>66</v>
      </c>
      <c r="AI68" s="40" t="s">
        <v>67</v>
      </c>
      <c r="AJ68" s="40" t="s">
        <v>68</v>
      </c>
      <c r="AK68" s="40" t="s">
        <v>69</v>
      </c>
      <c r="AL68" s="40" t="s">
        <v>70</v>
      </c>
      <c r="AM68" s="40" t="s">
        <v>71</v>
      </c>
      <c r="AN68" s="40" t="s">
        <v>72</v>
      </c>
      <c r="AO68" s="41" t="s">
        <v>73</v>
      </c>
    </row>
    <row r="69" spans="13:41" ht="51" x14ac:dyDescent="0.2">
      <c r="N69" s="24" t="s">
        <v>24</v>
      </c>
      <c r="O69" s="11" t="s">
        <v>13</v>
      </c>
      <c r="P69" s="24" t="s">
        <v>25</v>
      </c>
      <c r="Q69" s="24"/>
      <c r="S69" s="24"/>
      <c r="T69" s="24" t="s">
        <v>24</v>
      </c>
      <c r="U69" s="11" t="s">
        <v>13</v>
      </c>
      <c r="V69" s="11" t="s">
        <v>14</v>
      </c>
      <c r="W69" s="24"/>
      <c r="Y69" s="56"/>
      <c r="Z69" s="57"/>
      <c r="AA69" s="56"/>
      <c r="AB69" s="32"/>
      <c r="AC69" s="42">
        <v>1.0338000000000001</v>
      </c>
      <c r="AD69" s="43" t="s">
        <v>74</v>
      </c>
      <c r="AE69" s="7"/>
      <c r="AF69" s="35"/>
      <c r="AG69" s="35"/>
      <c r="AH69" s="7"/>
      <c r="AI69" s="7"/>
      <c r="AJ69" s="7"/>
      <c r="AK69" s="7"/>
      <c r="AL69" s="7"/>
      <c r="AM69" s="7"/>
      <c r="AN69" s="7"/>
      <c r="AO69" s="39"/>
    </row>
    <row r="70" spans="13:41" x14ac:dyDescent="0.2">
      <c r="M70" s="68" t="s">
        <v>40</v>
      </c>
      <c r="N70" s="32">
        <v>4.5999999999999996</v>
      </c>
      <c r="O70" s="32">
        <f>$N$70/100*3.17</f>
        <v>0.14582000000000001</v>
      </c>
      <c r="P70">
        <f>O70*1000</f>
        <v>145.82</v>
      </c>
      <c r="S70" s="68" t="s">
        <v>28</v>
      </c>
      <c r="T70" s="1">
        <v>4.0999999999999996</v>
      </c>
      <c r="U70" s="50">
        <f>$T$70/100*2.8</f>
        <v>0.11479999999999997</v>
      </c>
      <c r="V70">
        <f>U70*1000</f>
        <v>114.79999999999997</v>
      </c>
      <c r="X70" s="1"/>
      <c r="Y70" s="31"/>
      <c r="Z70" s="32"/>
      <c r="AA70" s="32"/>
      <c r="AB70" s="32"/>
      <c r="AC70" s="42">
        <v>8.61</v>
      </c>
      <c r="AD70" s="43" t="s">
        <v>75</v>
      </c>
      <c r="AE70" s="7"/>
      <c r="AF70" s="35">
        <f>AC70/100*AC69</f>
        <v>8.9010179999999994E-2</v>
      </c>
      <c r="AG70" s="7">
        <f>91.224</f>
        <v>91.224000000000004</v>
      </c>
      <c r="AH70" s="7">
        <f>AF70/1000/AG70</f>
        <v>9.7573204419889479E-7</v>
      </c>
      <c r="AI70" s="7">
        <f>AH70*6.022*10^23</f>
        <v>5.8758583701657434E+17</v>
      </c>
      <c r="AJ70" s="7">
        <f>AI70/6</f>
        <v>9.7930972836095728E+16</v>
      </c>
      <c r="AK70" s="7">
        <f>AJ70/(6.022*10^23)</f>
        <v>1.6262200736648245E-7</v>
      </c>
      <c r="AL70" s="7">
        <f>AK70*$AF$64</f>
        <v>3.5464282122467757E-4</v>
      </c>
      <c r="AM70" s="7">
        <f>AL70*1000</f>
        <v>0.35464282122467755</v>
      </c>
      <c r="AN70" s="7">
        <f>AC69-AM70</f>
        <v>0.67915717877532256</v>
      </c>
      <c r="AO70" s="39">
        <f>AN70/AC69*100</f>
        <v>65.695219459791304</v>
      </c>
    </row>
    <row r="71" spans="13:41" x14ac:dyDescent="0.2">
      <c r="M71" s="68" t="s">
        <v>41</v>
      </c>
      <c r="O71" s="32">
        <f>$N$70/100*3.44</f>
        <v>0.15823999999999999</v>
      </c>
      <c r="P71">
        <f>O71*1000</f>
        <v>158.23999999999998</v>
      </c>
      <c r="S71" s="68" t="s">
        <v>29</v>
      </c>
      <c r="T71" s="1"/>
      <c r="U71" s="50">
        <f>$T$70/100*2.46</f>
        <v>0.10085999999999999</v>
      </c>
      <c r="V71">
        <f>U71*1000</f>
        <v>100.85999999999999</v>
      </c>
      <c r="X71" s="1"/>
      <c r="Y71" s="31"/>
      <c r="Z71" s="32"/>
      <c r="AA71" s="32"/>
      <c r="AB71" s="32"/>
      <c r="AC71" s="42" t="s">
        <v>76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39"/>
    </row>
    <row r="72" spans="13:41" x14ac:dyDescent="0.2">
      <c r="M72" s="68" t="s">
        <v>38</v>
      </c>
      <c r="O72" s="32">
        <f>$N$70/100*3.1</f>
        <v>0.1426</v>
      </c>
      <c r="P72">
        <f>O72*1000</f>
        <v>142.6</v>
      </c>
      <c r="S72" s="68" t="s">
        <v>39</v>
      </c>
      <c r="T72" s="1"/>
      <c r="U72" s="50">
        <f>$T$70/100*2.09</f>
        <v>8.5689999999999988E-2</v>
      </c>
      <c r="V72">
        <f>U72*1000</f>
        <v>85.689999999999984</v>
      </c>
      <c r="X72" s="1"/>
      <c r="Y72" s="31"/>
      <c r="Z72" s="32"/>
      <c r="AA72" s="32"/>
      <c r="AB72" s="32"/>
      <c r="AC72" s="42">
        <v>1.1641999999999999</v>
      </c>
      <c r="AD72" s="43" t="s">
        <v>74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39"/>
    </row>
    <row r="73" spans="13:41" x14ac:dyDescent="0.2">
      <c r="Y73" s="32"/>
      <c r="Z73" s="32"/>
      <c r="AA73" s="32"/>
      <c r="AB73" s="32"/>
      <c r="AC73" s="42">
        <v>10.87</v>
      </c>
      <c r="AD73" s="43" t="s">
        <v>75</v>
      </c>
      <c r="AE73" s="7"/>
      <c r="AF73" s="35">
        <f>AC73/100*AC72</f>
        <v>0.12654853999999999</v>
      </c>
      <c r="AG73" s="7">
        <f>91.224</f>
        <v>91.224000000000004</v>
      </c>
      <c r="AH73" s="7">
        <f>AF73/1000/AG73</f>
        <v>1.3872285801981934E-6</v>
      </c>
      <c r="AI73" s="7">
        <f>AH73*6.022*10^23</f>
        <v>8.3538905099535194E+17</v>
      </c>
      <c r="AJ73" s="7">
        <f>AI73/6</f>
        <v>1.3923150849922533E+17</v>
      </c>
      <c r="AK73" s="7">
        <f>AJ73/(6.022*10^23)</f>
        <v>2.3120476336636554E-7</v>
      </c>
      <c r="AL73" s="7">
        <f>AK73*$AF$64</f>
        <v>5.0420672385410262E-4</v>
      </c>
      <c r="AM73" s="7">
        <f>AL73*1000</f>
        <v>0.50420672385410259</v>
      </c>
      <c r="AN73" s="7">
        <f>AC72-AM73</f>
        <v>0.65999327614589731</v>
      </c>
      <c r="AO73" s="39">
        <f>AN73/AC72*100</f>
        <v>56.690712604870072</v>
      </c>
    </row>
    <row r="74" spans="13:41" x14ac:dyDescent="0.2">
      <c r="M74" s="68" t="s">
        <v>40</v>
      </c>
      <c r="N74" s="1" t="s">
        <v>16</v>
      </c>
      <c r="O74" s="1" t="s">
        <v>17</v>
      </c>
      <c r="Q74" s="53" t="s">
        <v>31</v>
      </c>
      <c r="R74" s="53"/>
      <c r="S74" s="68" t="s">
        <v>28</v>
      </c>
      <c r="T74" s="1" t="s">
        <v>16</v>
      </c>
      <c r="U74" s="1" t="s">
        <v>17</v>
      </c>
      <c r="W74" s="53" t="s">
        <v>31</v>
      </c>
      <c r="X74" s="53"/>
      <c r="Y74" s="31"/>
      <c r="Z74" s="32"/>
      <c r="AA74" s="58"/>
      <c r="AB74" s="58"/>
      <c r="AC74" s="42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39"/>
    </row>
    <row r="75" spans="13:41" x14ac:dyDescent="0.2">
      <c r="N75" s="2">
        <f t="shared" ref="N75:N93" si="29">A37</f>
        <v>0.33333333333333331</v>
      </c>
      <c r="O75">
        <f>N37</f>
        <v>37.227488151658768</v>
      </c>
      <c r="P75">
        <f>O75/$O$95*100</f>
        <v>3.7986926629536786</v>
      </c>
      <c r="Q75" s="53"/>
      <c r="R75" s="53"/>
      <c r="T75" s="2">
        <f t="shared" ref="T75:T93" si="30">A37</f>
        <v>0.33333333333333331</v>
      </c>
      <c r="U75">
        <f>Q37</f>
        <v>28.854660347551341</v>
      </c>
      <c r="V75">
        <f>U75/$U$95*100</f>
        <v>5.9641790070041942</v>
      </c>
      <c r="W75" s="53"/>
      <c r="X75" s="53"/>
      <c r="Y75" s="32"/>
      <c r="Z75" s="32"/>
      <c r="AA75" s="58"/>
      <c r="AB75" s="58"/>
      <c r="AC75" s="42"/>
      <c r="AD75" s="43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39"/>
    </row>
    <row r="76" spans="13:41" x14ac:dyDescent="0.2">
      <c r="N76" s="2">
        <f t="shared" si="29"/>
        <v>0.66666666666666663</v>
      </c>
      <c r="O76">
        <f>N38+O75</f>
        <v>68.420221169036338</v>
      </c>
      <c r="P76">
        <f t="shared" ref="P76:P95" si="31">O76/$O$95*100</f>
        <v>6.9815989489719428</v>
      </c>
      <c r="Q76" s="53">
        <f>N38</f>
        <v>31.192733017377567</v>
      </c>
      <c r="R76" s="53">
        <f>Q76/$Q$95*100</f>
        <v>3.3085894299406817</v>
      </c>
      <c r="T76" s="2">
        <f t="shared" si="30"/>
        <v>0.66666666666666663</v>
      </c>
      <c r="U76">
        <f>Q38+U75</f>
        <v>32.559241706161139</v>
      </c>
      <c r="V76">
        <f t="shared" ref="V76:V95" si="32">U76/$U$95*100</f>
        <v>6.7299057943803158</v>
      </c>
      <c r="W76" s="53">
        <f>Q38</f>
        <v>3.7045813586097949</v>
      </c>
      <c r="X76" s="53">
        <f>W76/$W$95*100</f>
        <v>0.8142926592124452</v>
      </c>
      <c r="Y76" s="32"/>
      <c r="Z76" s="32"/>
      <c r="AA76" s="58"/>
      <c r="AB76" s="58"/>
      <c r="AC76" s="42"/>
      <c r="AD76" s="43"/>
      <c r="AE76" s="7"/>
      <c r="AF76" s="35"/>
      <c r="AG76" s="7"/>
      <c r="AH76" s="7"/>
      <c r="AI76" s="7"/>
      <c r="AJ76" s="7"/>
      <c r="AK76" s="7"/>
      <c r="AL76" s="7"/>
      <c r="AM76" s="7"/>
      <c r="AN76" s="7"/>
      <c r="AO76" s="39"/>
    </row>
    <row r="77" spans="13:41" x14ac:dyDescent="0.2">
      <c r="N77" s="2">
        <f t="shared" si="29"/>
        <v>1</v>
      </c>
      <c r="O77">
        <f t="shared" ref="O77:O95" si="33">N39+O76</f>
        <v>103.46761453396525</v>
      </c>
      <c r="P77">
        <f t="shared" si="31"/>
        <v>10.557834753242147</v>
      </c>
      <c r="Q77" s="53">
        <f>Q76+N39</f>
        <v>66.240126382306471</v>
      </c>
      <c r="R77" s="53">
        <f t="shared" ref="R77:R95" si="34">Q77/$Q$95*100</f>
        <v>7.0260397466403015</v>
      </c>
      <c r="T77" s="2">
        <f t="shared" si="30"/>
        <v>1</v>
      </c>
      <c r="U77">
        <f t="shared" ref="U77:U95" si="35">Q39+U76</f>
        <v>36.532385466034754</v>
      </c>
      <c r="V77">
        <f t="shared" si="32"/>
        <v>7.5511436921419106</v>
      </c>
      <c r="W77" s="53">
        <f>W76+Q39</f>
        <v>7.677725118483413</v>
      </c>
      <c r="X77" s="53">
        <f t="shared" ref="X77:X95" si="36">W77/$W$95*100</f>
        <v>1.6876171956385859</v>
      </c>
      <c r="Y77" s="32"/>
      <c r="Z77" s="32"/>
      <c r="AA77" s="58"/>
      <c r="AB77" s="58"/>
      <c r="AC77" s="44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45"/>
    </row>
    <row r="78" spans="13:41" x14ac:dyDescent="0.2">
      <c r="N78" s="2">
        <f t="shared" si="29"/>
        <v>2</v>
      </c>
      <c r="O78">
        <f t="shared" si="33"/>
        <v>194.69194312796211</v>
      </c>
      <c r="P78">
        <f t="shared" si="31"/>
        <v>19.866364684167682</v>
      </c>
      <c r="Q78" s="53">
        <f t="shared" ref="Q78:Q95" si="37">Q77+N40</f>
        <v>157.46445497630333</v>
      </c>
      <c r="R78" s="53">
        <f t="shared" si="34"/>
        <v>16.702134790039882</v>
      </c>
      <c r="T78" s="2">
        <f t="shared" si="30"/>
        <v>2</v>
      </c>
      <c r="U78">
        <f t="shared" si="35"/>
        <v>46.745655608214847</v>
      </c>
      <c r="V78">
        <f t="shared" si="32"/>
        <v>9.6621985665072057</v>
      </c>
      <c r="W78" s="53">
        <f t="shared" ref="W78:W95" si="38">W77+Q40</f>
        <v>17.890995260663509</v>
      </c>
      <c r="X78" s="53">
        <f t="shared" si="36"/>
        <v>3.9325647614417667</v>
      </c>
      <c r="Y78" s="32"/>
      <c r="Z78" s="32"/>
      <c r="AA78" s="58"/>
      <c r="AB78" s="58"/>
      <c r="AC78" s="42"/>
      <c r="AD78" s="43"/>
      <c r="AE78" s="7"/>
      <c r="AF78" s="35"/>
      <c r="AG78" s="7"/>
      <c r="AH78" s="7"/>
      <c r="AI78" s="7"/>
      <c r="AJ78" s="7"/>
      <c r="AK78" s="7"/>
      <c r="AL78" s="7"/>
      <c r="AM78" s="7"/>
      <c r="AN78" s="7"/>
      <c r="AO78" s="39"/>
    </row>
    <row r="79" spans="13:41" x14ac:dyDescent="0.2">
      <c r="N79" s="2">
        <f t="shared" si="29"/>
        <v>4</v>
      </c>
      <c r="O79">
        <f t="shared" si="33"/>
        <v>292.6145339652449</v>
      </c>
      <c r="P79">
        <f t="shared" si="31"/>
        <v>29.858385253367082</v>
      </c>
      <c r="Q79" s="53">
        <f t="shared" si="37"/>
        <v>255.3870458135861</v>
      </c>
      <c r="R79" s="53">
        <f t="shared" si="34"/>
        <v>27.088709407151711</v>
      </c>
      <c r="T79" s="2">
        <f t="shared" si="30"/>
        <v>4</v>
      </c>
      <c r="U79">
        <f t="shared" si="35"/>
        <v>64.810426540284354</v>
      </c>
      <c r="V79">
        <f t="shared" si="32"/>
        <v>13.396137079789053</v>
      </c>
      <c r="W79" s="53">
        <f t="shared" si="38"/>
        <v>35.955766192733023</v>
      </c>
      <c r="X79" s="53">
        <f t="shared" si="36"/>
        <v>7.9033266199041607</v>
      </c>
      <c r="Y79" s="32"/>
      <c r="Z79" s="32"/>
      <c r="AA79" s="58"/>
      <c r="AB79" s="58"/>
      <c r="AC79" s="44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45"/>
    </row>
    <row r="80" spans="13:41" x14ac:dyDescent="0.2">
      <c r="N80" s="2">
        <f t="shared" si="29"/>
        <v>8</v>
      </c>
      <c r="O80">
        <f t="shared" si="33"/>
        <v>399.51026856240134</v>
      </c>
      <c r="P80">
        <f t="shared" si="31"/>
        <v>40.766025356857881</v>
      </c>
      <c r="Q80" s="53">
        <f t="shared" si="37"/>
        <v>362.28278041074253</v>
      </c>
      <c r="R80" s="53">
        <f t="shared" si="34"/>
        <v>38.427058547538458</v>
      </c>
      <c r="T80" s="2">
        <f t="shared" si="30"/>
        <v>8</v>
      </c>
      <c r="U80">
        <f t="shared" si="35"/>
        <v>87.788309636650865</v>
      </c>
      <c r="V80">
        <f t="shared" si="32"/>
        <v>18.145602377181664</v>
      </c>
      <c r="W80" s="53">
        <f t="shared" si="38"/>
        <v>58.933649289099534</v>
      </c>
      <c r="X80" s="53">
        <f t="shared" si="36"/>
        <v>12.954024585040628</v>
      </c>
      <c r="Y80" s="32"/>
      <c r="Z80" s="32"/>
      <c r="AA80" s="58"/>
      <c r="AB80" s="58"/>
    </row>
    <row r="81" spans="14:28" x14ac:dyDescent="0.2">
      <c r="N81" s="2">
        <f t="shared" si="29"/>
        <v>21</v>
      </c>
      <c r="O81">
        <f t="shared" si="33"/>
        <v>531.11374407582946</v>
      </c>
      <c r="P81">
        <f t="shared" si="31"/>
        <v>54.194843192094723</v>
      </c>
      <c r="Q81" s="53">
        <f t="shared" si="37"/>
        <v>493.88625592417065</v>
      </c>
      <c r="R81" s="53">
        <f t="shared" si="34"/>
        <v>52.386138945675121</v>
      </c>
      <c r="T81" s="2">
        <f t="shared" si="30"/>
        <v>21</v>
      </c>
      <c r="U81">
        <f t="shared" si="35"/>
        <v>142.17219589257505</v>
      </c>
      <c r="V81">
        <f t="shared" si="32"/>
        <v>29.386602230240488</v>
      </c>
      <c r="W81" s="53">
        <f t="shared" si="38"/>
        <v>113.3175355450237</v>
      </c>
      <c r="X81" s="53">
        <f t="shared" si="36"/>
        <v>24.907979720813945</v>
      </c>
      <c r="Y81" s="32"/>
      <c r="Z81" s="32"/>
      <c r="AA81" s="58"/>
      <c r="AB81" s="58"/>
    </row>
    <row r="82" spans="14:28" x14ac:dyDescent="0.2">
      <c r="N82" s="2">
        <f t="shared" si="29"/>
        <v>24</v>
      </c>
      <c r="O82">
        <f t="shared" si="33"/>
        <v>588.84676145339665</v>
      </c>
      <c r="P82">
        <f t="shared" si="31"/>
        <v>60.085919931650942</v>
      </c>
      <c r="Q82" s="53">
        <f t="shared" si="37"/>
        <v>551.61927330173785</v>
      </c>
      <c r="R82" s="53">
        <f t="shared" si="34"/>
        <v>58.509836120513427</v>
      </c>
      <c r="T82" s="2">
        <f t="shared" si="30"/>
        <v>24</v>
      </c>
      <c r="U82">
        <f t="shared" si="35"/>
        <v>164.36018957345973</v>
      </c>
      <c r="V82">
        <f t="shared" si="32"/>
        <v>33.972799555911116</v>
      </c>
      <c r="W82" s="53">
        <f t="shared" si="38"/>
        <v>135.50552922590839</v>
      </c>
      <c r="X82" s="53">
        <f t="shared" si="36"/>
        <v>29.785054517674837</v>
      </c>
      <c r="Y82" s="32"/>
      <c r="Z82" s="32"/>
      <c r="AA82" s="58"/>
      <c r="AB82" s="58"/>
    </row>
    <row r="83" spans="14:28" x14ac:dyDescent="0.2">
      <c r="N83" s="2">
        <f t="shared" si="29"/>
        <v>48</v>
      </c>
      <c r="O83">
        <f t="shared" si="33"/>
        <v>636.13744075829402</v>
      </c>
      <c r="P83">
        <f t="shared" si="31"/>
        <v>64.911460558237764</v>
      </c>
      <c r="Q83" s="53">
        <f t="shared" si="37"/>
        <v>598.90995260663522</v>
      </c>
      <c r="R83" s="53">
        <f t="shared" si="34"/>
        <v>63.525922450484273</v>
      </c>
      <c r="T83" s="2">
        <f t="shared" si="30"/>
        <v>48</v>
      </c>
      <c r="U83">
        <f t="shared" si="35"/>
        <v>207.41706161137444</v>
      </c>
      <c r="V83">
        <f t="shared" si="32"/>
        <v>42.872536694476644</v>
      </c>
      <c r="W83" s="53">
        <f t="shared" si="38"/>
        <v>178.56240126382309</v>
      </c>
      <c r="X83" s="53">
        <f t="shared" si="36"/>
        <v>39.249253420376419</v>
      </c>
      <c r="Y83" s="32"/>
      <c r="Z83" s="32"/>
      <c r="AA83" s="58"/>
      <c r="AB83" s="58"/>
    </row>
    <row r="84" spans="14:28" x14ac:dyDescent="0.2">
      <c r="N84" s="2">
        <f t="shared" si="29"/>
        <v>68</v>
      </c>
      <c r="O84">
        <f t="shared" si="33"/>
        <v>681.12164296998435</v>
      </c>
      <c r="P84">
        <f t="shared" si="31"/>
        <v>69.50164827636236</v>
      </c>
      <c r="Q84" s="53">
        <f t="shared" si="37"/>
        <v>643.89415481832555</v>
      </c>
      <c r="R84" s="53">
        <f t="shared" si="34"/>
        <v>68.297362512148538</v>
      </c>
      <c r="T84" s="2">
        <f t="shared" si="30"/>
        <v>68</v>
      </c>
      <c r="U84">
        <f t="shared" si="35"/>
        <v>246.66666666666669</v>
      </c>
      <c r="V84">
        <f t="shared" si="32"/>
        <v>50.985322209342186</v>
      </c>
      <c r="W84" s="53">
        <f t="shared" si="38"/>
        <v>217.81200631911534</v>
      </c>
      <c r="X84" s="53">
        <f t="shared" si="36"/>
        <v>47.876588651989721</v>
      </c>
      <c r="Y84" s="32"/>
      <c r="Z84" s="32"/>
      <c r="AA84" s="58"/>
      <c r="AB84" s="58"/>
    </row>
    <row r="85" spans="14:28" x14ac:dyDescent="0.2">
      <c r="N85" s="2">
        <f t="shared" si="29"/>
        <v>72</v>
      </c>
      <c r="O85">
        <f t="shared" si="33"/>
        <v>695.94786729857833</v>
      </c>
      <c r="P85">
        <f t="shared" si="31"/>
        <v>71.014516116032212</v>
      </c>
      <c r="Q85" s="53">
        <f t="shared" si="37"/>
        <v>658.72037914691953</v>
      </c>
      <c r="R85" s="53">
        <f t="shared" si="34"/>
        <v>69.86996883273568</v>
      </c>
      <c r="T85" s="2">
        <f t="shared" si="30"/>
        <v>72</v>
      </c>
      <c r="U85">
        <f t="shared" si="35"/>
        <v>261.28751974723542</v>
      </c>
      <c r="V85">
        <f t="shared" si="32"/>
        <v>54.007412365916174</v>
      </c>
      <c r="W85" s="53">
        <f t="shared" si="38"/>
        <v>232.43285939968405</v>
      </c>
      <c r="X85" s="53">
        <f t="shared" si="36"/>
        <v>51.090353496770604</v>
      </c>
      <c r="Y85" s="32"/>
      <c r="Z85" s="32"/>
      <c r="AA85" s="58"/>
      <c r="AB85" s="58"/>
    </row>
    <row r="86" spans="14:28" x14ac:dyDescent="0.2">
      <c r="N86" s="2">
        <f t="shared" si="29"/>
        <v>94</v>
      </c>
      <c r="O86">
        <f t="shared" si="33"/>
        <v>728.38862559241716</v>
      </c>
      <c r="P86">
        <f t="shared" si="31"/>
        <v>74.32477089361565</v>
      </c>
      <c r="Q86" s="53">
        <f t="shared" si="37"/>
        <v>691.16113744075835</v>
      </c>
      <c r="R86" s="53">
        <f t="shared" si="34"/>
        <v>73.310935353061438</v>
      </c>
      <c r="T86" s="2">
        <f t="shared" si="30"/>
        <v>94</v>
      </c>
      <c r="U86">
        <f t="shared" si="35"/>
        <v>293.68088467614535</v>
      </c>
      <c r="V86">
        <f t="shared" si="32"/>
        <v>60.703031886234868</v>
      </c>
      <c r="W86" s="53">
        <f t="shared" si="38"/>
        <v>264.82622432859398</v>
      </c>
      <c r="X86" s="53">
        <f t="shared" si="36"/>
        <v>58.210639627751917</v>
      </c>
      <c r="Y86" s="32"/>
      <c r="Z86" s="32"/>
      <c r="AA86" s="58"/>
      <c r="AB86" s="58"/>
    </row>
    <row r="87" spans="14:28" x14ac:dyDescent="0.2">
      <c r="N87" s="2">
        <f t="shared" si="29"/>
        <v>96</v>
      </c>
      <c r="O87">
        <f t="shared" si="33"/>
        <v>739.15481832543458</v>
      </c>
      <c r="P87">
        <f t="shared" si="31"/>
        <v>75.423353134143099</v>
      </c>
      <c r="Q87" s="53">
        <f t="shared" si="37"/>
        <v>701.92733017377577</v>
      </c>
      <c r="R87" s="53">
        <f t="shared" si="34"/>
        <v>74.452897215054136</v>
      </c>
      <c r="T87" s="2">
        <f t="shared" si="30"/>
        <v>96</v>
      </c>
      <c r="U87">
        <f t="shared" si="35"/>
        <v>304.6840442338073</v>
      </c>
      <c r="V87">
        <f t="shared" si="32"/>
        <v>62.977354732322155</v>
      </c>
      <c r="W87" s="53">
        <f t="shared" si="38"/>
        <v>275.82938388625593</v>
      </c>
      <c r="X87" s="53">
        <f t="shared" si="36"/>
        <v>60.62921036183068</v>
      </c>
      <c r="Y87" s="32"/>
      <c r="Z87" s="32"/>
      <c r="AA87" s="58"/>
      <c r="AB87" s="58"/>
    </row>
    <row r="88" spans="14:28" x14ac:dyDescent="0.2">
      <c r="N88" s="2">
        <f t="shared" si="29"/>
        <v>117</v>
      </c>
      <c r="O88">
        <f t="shared" si="33"/>
        <v>762.27488151658781</v>
      </c>
      <c r="P88">
        <f t="shared" si="31"/>
        <v>77.782524240543566</v>
      </c>
      <c r="Q88" s="53">
        <f t="shared" si="37"/>
        <v>725.04739336492901</v>
      </c>
      <c r="R88" s="53">
        <f t="shared" si="34"/>
        <v>76.905224705921796</v>
      </c>
      <c r="T88" s="2">
        <f t="shared" si="30"/>
        <v>117</v>
      </c>
      <c r="U88">
        <f t="shared" si="35"/>
        <v>329.8894154818326</v>
      </c>
      <c r="V88">
        <f t="shared" si="32"/>
        <v>68.187235709970778</v>
      </c>
      <c r="W88" s="53">
        <f t="shared" si="38"/>
        <v>301.03475513428123</v>
      </c>
      <c r="X88" s="53">
        <f t="shared" si="36"/>
        <v>66.169525661504267</v>
      </c>
      <c r="Y88" s="32"/>
      <c r="Z88" s="32"/>
      <c r="AA88" s="58"/>
      <c r="AB88" s="58"/>
    </row>
    <row r="89" spans="14:28" x14ac:dyDescent="0.2">
      <c r="N89" s="2">
        <f t="shared" si="29"/>
        <v>152</v>
      </c>
      <c r="O89">
        <f t="shared" si="33"/>
        <v>795.44233807266994</v>
      </c>
      <c r="P89">
        <f t="shared" si="31"/>
        <v>81.166931304354833</v>
      </c>
      <c r="Q89" s="53">
        <f t="shared" si="37"/>
        <v>758.21484992101114</v>
      </c>
      <c r="R89" s="53">
        <f t="shared" si="34"/>
        <v>80.423271557357822</v>
      </c>
      <c r="T89" s="2">
        <f t="shared" si="30"/>
        <v>152</v>
      </c>
      <c r="U89">
        <f t="shared" si="35"/>
        <v>363.40442338072677</v>
      </c>
      <c r="V89">
        <f t="shared" si="32"/>
        <v>75.1146957501347</v>
      </c>
      <c r="W89" s="53">
        <f t="shared" si="38"/>
        <v>334.5497630331754</v>
      </c>
      <c r="X89" s="53">
        <f t="shared" si="36"/>
        <v>73.536356691436907</v>
      </c>
      <c r="Y89" s="32"/>
      <c r="Z89" s="32"/>
      <c r="AA89" s="58"/>
      <c r="AB89" s="58"/>
    </row>
    <row r="90" spans="14:28" x14ac:dyDescent="0.2">
      <c r="N90" s="2">
        <f t="shared" si="29"/>
        <v>164</v>
      </c>
      <c r="O90">
        <f t="shared" si="33"/>
        <v>808.07266982622446</v>
      </c>
      <c r="P90">
        <f t="shared" si="31"/>
        <v>82.455730279118882</v>
      </c>
      <c r="Q90" s="53">
        <f t="shared" si="37"/>
        <v>770.84518167456565</v>
      </c>
      <c r="R90" s="53">
        <f t="shared" si="34"/>
        <v>81.762961225242137</v>
      </c>
      <c r="T90" s="2">
        <f t="shared" si="30"/>
        <v>164</v>
      </c>
      <c r="U90">
        <f t="shared" si="35"/>
        <v>375.7977883096367</v>
      </c>
      <c r="V90">
        <f t="shared" si="32"/>
        <v>77.676370226452676</v>
      </c>
      <c r="W90" s="53">
        <f t="shared" si="38"/>
        <v>346.94312796208533</v>
      </c>
      <c r="X90" s="53">
        <f t="shared" si="36"/>
        <v>76.260504201680675</v>
      </c>
      <c r="Y90" s="32"/>
      <c r="Z90" s="32"/>
      <c r="AA90" s="32"/>
      <c r="AB90" s="32"/>
    </row>
    <row r="91" spans="14:28" x14ac:dyDescent="0.2">
      <c r="N91" s="2">
        <f t="shared" si="29"/>
        <v>261</v>
      </c>
      <c r="O91">
        <f t="shared" si="33"/>
        <v>853.05687203791479</v>
      </c>
      <c r="P91">
        <f t="shared" si="31"/>
        <v>87.045917997243478</v>
      </c>
      <c r="Q91" s="53">
        <f t="shared" si="37"/>
        <v>815.82938388625598</v>
      </c>
      <c r="R91" s="53">
        <f t="shared" si="34"/>
        <v>86.534401286906402</v>
      </c>
      <c r="T91" s="2">
        <f t="shared" si="30"/>
        <v>261</v>
      </c>
      <c r="U91">
        <f t="shared" si="35"/>
        <v>415.52132701421806</v>
      </c>
      <c r="V91">
        <f t="shared" si="32"/>
        <v>85.887116524351413</v>
      </c>
      <c r="W91" s="53">
        <f t="shared" si="38"/>
        <v>386.66666666666669</v>
      </c>
      <c r="X91" s="53">
        <f t="shared" si="36"/>
        <v>84.992013334259326</v>
      </c>
    </row>
    <row r="92" spans="14:28" x14ac:dyDescent="0.2">
      <c r="N92" s="2">
        <f t="shared" si="29"/>
        <v>384</v>
      </c>
      <c r="O92">
        <f t="shared" si="33"/>
        <v>894.47077409162728</v>
      </c>
      <c r="P92">
        <f t="shared" si="31"/>
        <v>91.271792309118311</v>
      </c>
      <c r="Q92" s="53">
        <f t="shared" si="37"/>
        <v>857.24328593996847</v>
      </c>
      <c r="R92" s="53">
        <f t="shared" si="34"/>
        <v>90.927142330507067</v>
      </c>
      <c r="T92" s="2">
        <f t="shared" si="30"/>
        <v>384</v>
      </c>
      <c r="U92">
        <f t="shared" si="35"/>
        <v>443.09636650868885</v>
      </c>
      <c r="V92">
        <f t="shared" si="32"/>
        <v>91.586801417165987</v>
      </c>
      <c r="W92" s="53">
        <f t="shared" si="38"/>
        <v>414.24170616113747</v>
      </c>
      <c r="X92" s="53">
        <f t="shared" si="36"/>
        <v>91.053198138759626</v>
      </c>
    </row>
    <row r="93" spans="14:28" x14ac:dyDescent="0.2">
      <c r="N93" s="2">
        <f t="shared" si="29"/>
        <v>508</v>
      </c>
      <c r="O93">
        <f t="shared" si="33"/>
        <v>931.28751974723548</v>
      </c>
      <c r="P93">
        <f t="shared" si="31"/>
        <v>95.028572810291053</v>
      </c>
      <c r="Q93" s="53">
        <f t="shared" si="37"/>
        <v>894.06003159557667</v>
      </c>
      <c r="R93" s="53">
        <f t="shared" si="34"/>
        <v>94.832266496866524</v>
      </c>
      <c r="T93" s="2">
        <f t="shared" si="30"/>
        <v>508</v>
      </c>
      <c r="U93">
        <f t="shared" si="35"/>
        <v>461.93522906793055</v>
      </c>
      <c r="V93">
        <f t="shared" si="32"/>
        <v>95.480742542735385</v>
      </c>
      <c r="W93" s="53">
        <f t="shared" si="38"/>
        <v>433.08056872037918</v>
      </c>
      <c r="X93" s="53">
        <f t="shared" si="36"/>
        <v>95.194110702132079</v>
      </c>
    </row>
    <row r="94" spans="14:28" x14ac:dyDescent="0.2">
      <c r="N94" s="2">
        <f>A56</f>
        <v>522</v>
      </c>
      <c r="O94">
        <f t="shared" si="33"/>
        <v>937.21958925750403</v>
      </c>
      <c r="P94">
        <f t="shared" si="31"/>
        <v>95.633881146781235</v>
      </c>
      <c r="Q94" s="53">
        <f t="shared" si="37"/>
        <v>899.99210110584522</v>
      </c>
      <c r="R94" s="53">
        <f t="shared" si="34"/>
        <v>95.461476591038576</v>
      </c>
      <c r="T94" s="2">
        <f>A56</f>
        <v>522</v>
      </c>
      <c r="U94">
        <f t="shared" si="35"/>
        <v>465.26066350710909</v>
      </c>
      <c r="V94">
        <f t="shared" si="32"/>
        <v>96.168100703684956</v>
      </c>
      <c r="W94" s="53">
        <f t="shared" si="38"/>
        <v>436.40600315955771</v>
      </c>
      <c r="X94" s="53">
        <f t="shared" si="36"/>
        <v>95.925064240572269</v>
      </c>
    </row>
    <row r="95" spans="14:28" x14ac:dyDescent="0.2">
      <c r="N95" s="2">
        <f>A57</f>
        <v>1107</v>
      </c>
      <c r="O95">
        <f t="shared" si="33"/>
        <v>980.00789889415489</v>
      </c>
      <c r="P95">
        <f t="shared" si="31"/>
        <v>100</v>
      </c>
      <c r="Q95" s="53">
        <f t="shared" si="37"/>
        <v>942.78041074249609</v>
      </c>
      <c r="R95" s="53">
        <f t="shared" si="34"/>
        <v>100</v>
      </c>
      <c r="T95" s="2">
        <f>A57</f>
        <v>1107</v>
      </c>
      <c r="U95">
        <f t="shared" si="35"/>
        <v>483.7993680884677</v>
      </c>
      <c r="V95">
        <f t="shared" si="32"/>
        <v>100</v>
      </c>
      <c r="W95" s="53">
        <f t="shared" si="38"/>
        <v>454.94470774091633</v>
      </c>
      <c r="X95" s="53">
        <f t="shared" si="36"/>
        <v>100</v>
      </c>
    </row>
    <row r="96" spans="14:28" x14ac:dyDescent="0.2">
      <c r="O96" s="29"/>
    </row>
    <row r="97" spans="13:24" x14ac:dyDescent="0.2">
      <c r="M97" s="68" t="s">
        <v>41</v>
      </c>
      <c r="T97" s="1" t="s">
        <v>29</v>
      </c>
    </row>
    <row r="99" spans="13:24" x14ac:dyDescent="0.2">
      <c r="N99" s="1" t="s">
        <v>16</v>
      </c>
      <c r="O99" s="1" t="s">
        <v>17</v>
      </c>
      <c r="Q99" s="53" t="s">
        <v>31</v>
      </c>
      <c r="R99" s="53"/>
      <c r="T99" s="1" t="s">
        <v>16</v>
      </c>
      <c r="U99" s="1" t="s">
        <v>17</v>
      </c>
      <c r="W99" s="53" t="s">
        <v>31</v>
      </c>
      <c r="X99" s="53"/>
    </row>
    <row r="100" spans="13:24" x14ac:dyDescent="0.2">
      <c r="N100">
        <f t="shared" ref="N100:N118" si="39">N75</f>
        <v>0.33333333333333331</v>
      </c>
      <c r="O100">
        <f>O37</f>
        <v>40.8609794628752</v>
      </c>
      <c r="P100">
        <f>O100/$O$120*100</f>
        <v>4.0251484239439135</v>
      </c>
      <c r="Q100" s="53"/>
      <c r="R100" s="53"/>
      <c r="T100">
        <f t="shared" ref="T100:T118" si="40">T75</f>
        <v>0.33333333333333331</v>
      </c>
      <c r="U100">
        <f>R37</f>
        <v>24.984202211690363</v>
      </c>
      <c r="V100">
        <f>U100/$U$120*100</f>
        <v>5.8994684323416937</v>
      </c>
      <c r="W100" s="53"/>
      <c r="X100" s="53"/>
    </row>
    <row r="101" spans="13:24" x14ac:dyDescent="0.2">
      <c r="N101">
        <f t="shared" si="39"/>
        <v>0.66666666666666663</v>
      </c>
      <c r="O101">
        <f>O38+O100</f>
        <v>77.677725118483409</v>
      </c>
      <c r="P101">
        <f t="shared" ref="P101:P120" si="41">O101/$O$120*100</f>
        <v>7.6519059735287929</v>
      </c>
      <c r="Q101" s="53">
        <f>O38</f>
        <v>36.816745655608216</v>
      </c>
      <c r="R101" s="53">
        <f>Q101/$Q$120*100</f>
        <v>3.7788623686600076</v>
      </c>
      <c r="T101">
        <f t="shared" si="40"/>
        <v>0.66666666666666663</v>
      </c>
      <c r="U101">
        <f>R38+U100</f>
        <v>29.131121642969983</v>
      </c>
      <c r="V101">
        <f t="shared" ref="V101:V120" si="42">U101/$U$120*100</f>
        <v>6.8786720134290755</v>
      </c>
      <c r="W101" s="53">
        <f>R38</f>
        <v>4.1469194312796214</v>
      </c>
      <c r="X101" s="53">
        <f>W101/$W$120*100</f>
        <v>1.04059303892809</v>
      </c>
    </row>
    <row r="102" spans="13:24" x14ac:dyDescent="0.2">
      <c r="N102">
        <f t="shared" si="39"/>
        <v>1</v>
      </c>
      <c r="O102">
        <f t="shared" ref="O102:O120" si="43">O39+O101</f>
        <v>117.65402843601896</v>
      </c>
      <c r="P102">
        <f t="shared" si="41"/>
        <v>11.589906393706666</v>
      </c>
      <c r="Q102" s="53">
        <f>Q101+O39</f>
        <v>76.793048973143755</v>
      </c>
      <c r="R102" s="53">
        <f t="shared" ref="R102:R120" si="44">Q102/$Q$120*100</f>
        <v>7.8820210143987532</v>
      </c>
      <c r="T102">
        <f t="shared" si="40"/>
        <v>1</v>
      </c>
      <c r="U102">
        <f t="shared" ref="U102:U120" si="45">R39+U101</f>
        <v>32.219589257503948</v>
      </c>
      <c r="V102">
        <f t="shared" si="42"/>
        <v>7.6079455376293934</v>
      </c>
      <c r="W102" s="53">
        <f>W101+R39</f>
        <v>7.2353870458135869</v>
      </c>
      <c r="X102" s="53">
        <f t="shared" ref="X102:X120" si="46">W102/$W$120*100</f>
        <v>1.8155870926821533</v>
      </c>
    </row>
    <row r="103" spans="13:24" x14ac:dyDescent="0.2">
      <c r="N103">
        <f t="shared" si="39"/>
        <v>2</v>
      </c>
      <c r="O103">
        <f t="shared" si="43"/>
        <v>208.15165876777252</v>
      </c>
      <c r="P103">
        <f t="shared" si="41"/>
        <v>20.50468031466654</v>
      </c>
      <c r="Q103" s="53">
        <f t="shared" ref="Q103:Q120" si="47">Q102+O40</f>
        <v>167.29067930489731</v>
      </c>
      <c r="R103" s="53">
        <f t="shared" si="44"/>
        <v>17.170677130626537</v>
      </c>
      <c r="T103">
        <f t="shared" si="40"/>
        <v>2</v>
      </c>
      <c r="U103">
        <f t="shared" si="45"/>
        <v>44.723538704581358</v>
      </c>
      <c r="V103">
        <f t="shared" si="42"/>
        <v>10.560477478317633</v>
      </c>
      <c r="W103" s="53">
        <f t="shared" ref="W103:W120" si="48">W102+R40</f>
        <v>19.739336492890999</v>
      </c>
      <c r="X103" s="53">
        <f t="shared" si="46"/>
        <v>4.9532228652977084</v>
      </c>
    </row>
    <row r="104" spans="13:24" x14ac:dyDescent="0.2">
      <c r="N104">
        <f t="shared" si="39"/>
        <v>4</v>
      </c>
      <c r="O104">
        <f t="shared" si="43"/>
        <v>307.36966824644549</v>
      </c>
      <c r="P104">
        <f t="shared" si="41"/>
        <v>30.278484558463077</v>
      </c>
      <c r="Q104" s="53">
        <f t="shared" si="47"/>
        <v>266.50868878357028</v>
      </c>
      <c r="R104" s="53">
        <f t="shared" si="44"/>
        <v>27.354390971591641</v>
      </c>
      <c r="T104">
        <f t="shared" si="40"/>
        <v>4</v>
      </c>
      <c r="U104">
        <f t="shared" si="45"/>
        <v>61.161137440758296</v>
      </c>
      <c r="V104">
        <f t="shared" si="42"/>
        <v>14.44185395878019</v>
      </c>
      <c r="W104" s="53">
        <f t="shared" si="48"/>
        <v>36.176935229067936</v>
      </c>
      <c r="X104" s="53">
        <f t="shared" si="46"/>
        <v>9.0779354634107658</v>
      </c>
    </row>
    <row r="105" spans="13:24" x14ac:dyDescent="0.2">
      <c r="N105">
        <f t="shared" si="39"/>
        <v>8</v>
      </c>
      <c r="O105">
        <f t="shared" si="43"/>
        <v>386.39810426540282</v>
      </c>
      <c r="P105">
        <f t="shared" si="41"/>
        <v>38.063446859170377</v>
      </c>
      <c r="Q105" s="53">
        <f t="shared" si="47"/>
        <v>345.53712480252761</v>
      </c>
      <c r="R105" s="53">
        <f t="shared" si="44"/>
        <v>35.465851602023605</v>
      </c>
      <c r="T105">
        <f t="shared" si="40"/>
        <v>8</v>
      </c>
      <c r="U105">
        <f t="shared" si="45"/>
        <v>88.941548183254355</v>
      </c>
      <c r="V105">
        <f t="shared" si="42"/>
        <v>21.001585377226519</v>
      </c>
      <c r="W105" s="53">
        <f t="shared" si="48"/>
        <v>63.957345971563988</v>
      </c>
      <c r="X105" s="53">
        <f t="shared" si="46"/>
        <v>16.048917783239514</v>
      </c>
    </row>
    <row r="106" spans="13:24" x14ac:dyDescent="0.2">
      <c r="N106">
        <f t="shared" si="39"/>
        <v>21</v>
      </c>
      <c r="O106">
        <f t="shared" si="43"/>
        <v>537.52764612954184</v>
      </c>
      <c r="P106">
        <f t="shared" si="41"/>
        <v>52.950971466809825</v>
      </c>
      <c r="Q106" s="53">
        <f t="shared" si="47"/>
        <v>496.66666666666663</v>
      </c>
      <c r="R106" s="53">
        <f t="shared" si="44"/>
        <v>50.977753275392388</v>
      </c>
      <c r="T106">
        <f t="shared" si="40"/>
        <v>21</v>
      </c>
      <c r="U106">
        <f t="shared" si="45"/>
        <v>139.59715639810429</v>
      </c>
      <c r="V106">
        <f t="shared" si="42"/>
        <v>32.962790263918677</v>
      </c>
      <c r="W106" s="53">
        <f t="shared" si="48"/>
        <v>114.6129541864139</v>
      </c>
      <c r="X106" s="53">
        <f t="shared" si="46"/>
        <v>28.760009513993495</v>
      </c>
    </row>
    <row r="107" spans="13:24" x14ac:dyDescent="0.2">
      <c r="N107">
        <f t="shared" si="39"/>
        <v>24</v>
      </c>
      <c r="O107">
        <f t="shared" si="43"/>
        <v>601.35860979462871</v>
      </c>
      <c r="P107">
        <f t="shared" si="41"/>
        <v>59.238855559964811</v>
      </c>
      <c r="Q107" s="53">
        <f t="shared" si="47"/>
        <v>560.4976303317535</v>
      </c>
      <c r="R107" s="53">
        <f t="shared" si="44"/>
        <v>57.529348813075622</v>
      </c>
      <c r="T107">
        <f t="shared" si="40"/>
        <v>24</v>
      </c>
      <c r="U107">
        <f t="shared" si="45"/>
        <v>160.14218009478677</v>
      </c>
      <c r="V107">
        <f t="shared" si="42"/>
        <v>37.814044577077311</v>
      </c>
      <c r="W107" s="53">
        <f t="shared" si="48"/>
        <v>135.15797788309638</v>
      </c>
      <c r="X107" s="53">
        <f t="shared" si="46"/>
        <v>33.915404741140094</v>
      </c>
    </row>
    <row r="108" spans="13:24" x14ac:dyDescent="0.2">
      <c r="N108">
        <f t="shared" si="39"/>
        <v>48</v>
      </c>
      <c r="O108">
        <f t="shared" si="43"/>
        <v>651.17693522906791</v>
      </c>
      <c r="P108">
        <f t="shared" si="41"/>
        <v>64.14637752203987</v>
      </c>
      <c r="Q108" s="53">
        <f t="shared" si="47"/>
        <v>610.3159557661927</v>
      </c>
      <c r="R108" s="53">
        <f t="shared" si="44"/>
        <v>62.642690361914646</v>
      </c>
      <c r="T108">
        <f t="shared" si="40"/>
        <v>48</v>
      </c>
      <c r="U108">
        <f t="shared" si="45"/>
        <v>197.46445497630336</v>
      </c>
      <c r="V108">
        <f t="shared" si="42"/>
        <v>46.626876806863748</v>
      </c>
      <c r="W108" s="53">
        <f t="shared" si="48"/>
        <v>172.48025276461297</v>
      </c>
      <c r="X108" s="53">
        <f t="shared" si="46"/>
        <v>43.280742091492904</v>
      </c>
    </row>
    <row r="109" spans="13:24" x14ac:dyDescent="0.2">
      <c r="N109">
        <f t="shared" si="39"/>
        <v>68</v>
      </c>
      <c r="O109">
        <f t="shared" si="43"/>
        <v>696.06635071090045</v>
      </c>
      <c r="P109">
        <f t="shared" si="41"/>
        <v>68.568360605989852</v>
      </c>
      <c r="Q109" s="53">
        <f t="shared" si="47"/>
        <v>655.20537124802524</v>
      </c>
      <c r="R109" s="53">
        <f t="shared" si="44"/>
        <v>67.25012971851082</v>
      </c>
      <c r="T109">
        <f t="shared" si="40"/>
        <v>68</v>
      </c>
      <c r="U109">
        <f t="shared" si="45"/>
        <v>231.87993680884682</v>
      </c>
      <c r="V109">
        <f t="shared" si="42"/>
        <v>54.753333955049897</v>
      </c>
      <c r="W109" s="53">
        <f t="shared" si="48"/>
        <v>206.89573459715643</v>
      </c>
      <c r="X109" s="53">
        <f t="shared" si="46"/>
        <v>51.916673273606598</v>
      </c>
    </row>
    <row r="110" spans="13:24" x14ac:dyDescent="0.2">
      <c r="N110">
        <f t="shared" si="39"/>
        <v>72</v>
      </c>
      <c r="O110">
        <f t="shared" si="43"/>
        <v>710.07109004739334</v>
      </c>
      <c r="P110">
        <f t="shared" si="41"/>
        <v>69.947944629893314</v>
      </c>
      <c r="Q110" s="53">
        <f t="shared" si="47"/>
        <v>669.21011058451813</v>
      </c>
      <c r="R110" s="53">
        <f t="shared" si="44"/>
        <v>68.68757296666233</v>
      </c>
      <c r="T110">
        <f t="shared" si="40"/>
        <v>72</v>
      </c>
      <c r="U110">
        <f t="shared" si="45"/>
        <v>243.7203791469195</v>
      </c>
      <c r="V110">
        <f t="shared" si="42"/>
        <v>57.549193322764161</v>
      </c>
      <c r="W110" s="53">
        <f t="shared" si="48"/>
        <v>218.73617693522911</v>
      </c>
      <c r="X110" s="53">
        <f t="shared" si="46"/>
        <v>54.887814159993653</v>
      </c>
    </row>
    <row r="111" spans="13:24" x14ac:dyDescent="0.2">
      <c r="N111">
        <f t="shared" si="39"/>
        <v>94</v>
      </c>
      <c r="O111">
        <f t="shared" si="43"/>
        <v>744.37598736176938</v>
      </c>
      <c r="P111">
        <f t="shared" si="41"/>
        <v>73.32726409735676</v>
      </c>
      <c r="Q111" s="53">
        <f t="shared" si="47"/>
        <v>703.51500789889417</v>
      </c>
      <c r="R111" s="53">
        <f t="shared" si="44"/>
        <v>72.208619795044754</v>
      </c>
      <c r="T111">
        <f t="shared" si="40"/>
        <v>94</v>
      </c>
      <c r="U111">
        <f t="shared" si="45"/>
        <v>271.09004739336501</v>
      </c>
      <c r="V111">
        <f t="shared" si="42"/>
        <v>64.01193695794089</v>
      </c>
      <c r="W111" s="53">
        <f t="shared" si="48"/>
        <v>246.10584518167462</v>
      </c>
      <c r="X111" s="53">
        <f t="shared" si="46"/>
        <v>61.75572821691906</v>
      </c>
    </row>
    <row r="112" spans="13:24" x14ac:dyDescent="0.2">
      <c r="N112">
        <f t="shared" si="39"/>
        <v>96</v>
      </c>
      <c r="O112">
        <f t="shared" si="43"/>
        <v>754.81042654028442</v>
      </c>
      <c r="P112">
        <f t="shared" si="41"/>
        <v>74.355143677490133</v>
      </c>
      <c r="Q112" s="53">
        <f t="shared" si="47"/>
        <v>713.94944707740922</v>
      </c>
      <c r="R112" s="53">
        <f t="shared" si="44"/>
        <v>73.279608250097297</v>
      </c>
      <c r="T112">
        <f t="shared" si="40"/>
        <v>96</v>
      </c>
      <c r="U112">
        <f t="shared" si="45"/>
        <v>278.99684044233817</v>
      </c>
      <c r="V112">
        <f t="shared" si="42"/>
        <v>65.87895178588083</v>
      </c>
      <c r="W112" s="53">
        <f t="shared" si="48"/>
        <v>254.01263823064778</v>
      </c>
      <c r="X112" s="53">
        <f t="shared" si="46"/>
        <v>63.739792277808618</v>
      </c>
    </row>
    <row r="113" spans="13:24" x14ac:dyDescent="0.2">
      <c r="N113">
        <f t="shared" si="39"/>
        <v>117</v>
      </c>
      <c r="O113">
        <f t="shared" si="43"/>
        <v>780.11058451816757</v>
      </c>
      <c r="P113">
        <f t="shared" si="41"/>
        <v>76.84742096376354</v>
      </c>
      <c r="Q113" s="53">
        <f t="shared" si="47"/>
        <v>739.24960505529236</v>
      </c>
      <c r="R113" s="53">
        <f t="shared" si="44"/>
        <v>75.876410688805294</v>
      </c>
      <c r="T113">
        <f t="shared" si="40"/>
        <v>117</v>
      </c>
      <c r="U113">
        <f t="shared" si="45"/>
        <v>300.26856240126392</v>
      </c>
      <c r="V113">
        <f t="shared" si="42"/>
        <v>70.901799869439529</v>
      </c>
      <c r="W113" s="53">
        <f t="shared" si="48"/>
        <v>275.28436018957353</v>
      </c>
      <c r="X113" s="53">
        <f t="shared" si="46"/>
        <v>69.077539047014994</v>
      </c>
    </row>
    <row r="114" spans="13:24" x14ac:dyDescent="0.2">
      <c r="N114">
        <f t="shared" si="39"/>
        <v>152</v>
      </c>
      <c r="O114">
        <f t="shared" si="43"/>
        <v>814.57345971563996</v>
      </c>
      <c r="P114">
        <f t="shared" si="41"/>
        <v>80.24230257475665</v>
      </c>
      <c r="Q114" s="53">
        <f t="shared" si="47"/>
        <v>773.71248025276475</v>
      </c>
      <c r="R114" s="53">
        <f t="shared" si="44"/>
        <v>79.413672331041653</v>
      </c>
      <c r="T114">
        <f t="shared" si="40"/>
        <v>152</v>
      </c>
      <c r="U114">
        <f t="shared" si="45"/>
        <v>329.78672985781998</v>
      </c>
      <c r="V114">
        <f t="shared" si="42"/>
        <v>77.871864217103422</v>
      </c>
      <c r="W114" s="53">
        <f t="shared" si="48"/>
        <v>304.80252764612959</v>
      </c>
      <c r="X114" s="53">
        <f t="shared" si="46"/>
        <v>76.484579402204076</v>
      </c>
    </row>
    <row r="115" spans="13:24" x14ac:dyDescent="0.2">
      <c r="N115">
        <f t="shared" si="39"/>
        <v>164</v>
      </c>
      <c r="O115">
        <f t="shared" si="43"/>
        <v>827.9146919431281</v>
      </c>
      <c r="P115">
        <f t="shared" si="41"/>
        <v>81.556525595835566</v>
      </c>
      <c r="Q115" s="53">
        <f t="shared" si="47"/>
        <v>787.0537124802529</v>
      </c>
      <c r="R115" s="53">
        <f t="shared" si="44"/>
        <v>80.783013361006624</v>
      </c>
      <c r="T115">
        <f t="shared" si="40"/>
        <v>164</v>
      </c>
      <c r="U115">
        <f t="shared" si="45"/>
        <v>339.24170616113753</v>
      </c>
      <c r="V115">
        <f t="shared" si="42"/>
        <v>80.104448381982664</v>
      </c>
      <c r="W115" s="53">
        <f t="shared" si="48"/>
        <v>314.25750394944714</v>
      </c>
      <c r="X115" s="53">
        <f t="shared" si="46"/>
        <v>78.857131530960118</v>
      </c>
    </row>
    <row r="116" spans="13:24" x14ac:dyDescent="0.2">
      <c r="N116">
        <f t="shared" si="39"/>
        <v>261</v>
      </c>
      <c r="O116">
        <f t="shared" si="43"/>
        <v>872.75671406003175</v>
      </c>
      <c r="P116">
        <f t="shared" si="41"/>
        <v>85.973840036726656</v>
      </c>
      <c r="Q116" s="53">
        <f t="shared" si="47"/>
        <v>831.89573459715655</v>
      </c>
      <c r="R116" s="53">
        <f t="shared" si="44"/>
        <v>85.385588273446629</v>
      </c>
      <c r="T116">
        <f t="shared" si="40"/>
        <v>261</v>
      </c>
      <c r="U116">
        <f t="shared" si="45"/>
        <v>369.17061611374419</v>
      </c>
      <c r="V116">
        <f t="shared" si="42"/>
        <v>87.171500512916168</v>
      </c>
      <c r="W116" s="53">
        <f t="shared" si="48"/>
        <v>344.1864139020538</v>
      </c>
      <c r="X116" s="53">
        <f t="shared" si="46"/>
        <v>86.367240149052577</v>
      </c>
    </row>
    <row r="117" spans="13:24" x14ac:dyDescent="0.2">
      <c r="N117">
        <f t="shared" si="39"/>
        <v>384</v>
      </c>
      <c r="O117">
        <f t="shared" si="43"/>
        <v>918.56240126382318</v>
      </c>
      <c r="P117">
        <f t="shared" si="41"/>
        <v>90.486083553148617</v>
      </c>
      <c r="Q117" s="53">
        <f t="shared" si="47"/>
        <v>877.70142180094797</v>
      </c>
      <c r="R117" s="53">
        <f t="shared" si="44"/>
        <v>90.087073550395644</v>
      </c>
      <c r="T117">
        <f t="shared" si="40"/>
        <v>384</v>
      </c>
      <c r="U117">
        <f t="shared" si="45"/>
        <v>390.60031595576629</v>
      </c>
      <c r="V117">
        <f t="shared" si="42"/>
        <v>92.231651590040101</v>
      </c>
      <c r="W117" s="53">
        <f t="shared" si="48"/>
        <v>365.6161137440759</v>
      </c>
      <c r="X117" s="53">
        <f t="shared" si="46"/>
        <v>91.744628557837146</v>
      </c>
    </row>
    <row r="118" spans="13:24" x14ac:dyDescent="0.2">
      <c r="N118">
        <f t="shared" si="39"/>
        <v>508</v>
      </c>
      <c r="O118">
        <f t="shared" si="43"/>
        <v>957.74881516587686</v>
      </c>
      <c r="P118">
        <f t="shared" si="41"/>
        <v>94.346273255678227</v>
      </c>
      <c r="Q118" s="53">
        <f t="shared" si="47"/>
        <v>916.88783570300166</v>
      </c>
      <c r="R118" s="53">
        <f t="shared" si="44"/>
        <v>94.109158126864713</v>
      </c>
      <c r="T118">
        <f t="shared" si="40"/>
        <v>508</v>
      </c>
      <c r="U118">
        <f t="shared" si="45"/>
        <v>406.57977883096379</v>
      </c>
      <c r="V118">
        <f t="shared" si="42"/>
        <v>96.004849389163496</v>
      </c>
      <c r="W118" s="53">
        <f t="shared" si="48"/>
        <v>381.5955766192734</v>
      </c>
      <c r="X118" s="53">
        <f t="shared" si="46"/>
        <v>95.754380401173407</v>
      </c>
    </row>
    <row r="119" spans="13:24" x14ac:dyDescent="0.2">
      <c r="N119">
        <f>N94</f>
        <v>522</v>
      </c>
      <c r="O119">
        <f t="shared" si="43"/>
        <v>966.85624012638243</v>
      </c>
      <c r="P119">
        <f t="shared" si="41"/>
        <v>95.243430830162552</v>
      </c>
      <c r="Q119" s="53">
        <f t="shared" si="47"/>
        <v>925.99526066350722</v>
      </c>
      <c r="R119" s="53">
        <f t="shared" si="44"/>
        <v>95.043942145544179</v>
      </c>
      <c r="T119">
        <f>T94</f>
        <v>522</v>
      </c>
      <c r="U119">
        <f t="shared" si="45"/>
        <v>409.11532385466046</v>
      </c>
      <c r="V119">
        <f t="shared" si="42"/>
        <v>96.603562435885479</v>
      </c>
      <c r="W119" s="53">
        <f t="shared" si="48"/>
        <v>384.13112164297007</v>
      </c>
      <c r="X119" s="53">
        <f t="shared" si="46"/>
        <v>96.390628716403711</v>
      </c>
    </row>
    <row r="120" spans="13:24" x14ac:dyDescent="0.2">
      <c r="N120">
        <f>N95</f>
        <v>1107</v>
      </c>
      <c r="O120">
        <f t="shared" si="43"/>
        <v>1015.1421800947869</v>
      </c>
      <c r="P120">
        <f t="shared" si="41"/>
        <v>100</v>
      </c>
      <c r="Q120" s="53">
        <f t="shared" si="47"/>
        <v>974.28120063191159</v>
      </c>
      <c r="R120" s="53">
        <f t="shared" si="44"/>
        <v>100</v>
      </c>
      <c r="T120">
        <f>T95</f>
        <v>1107</v>
      </c>
      <c r="U120">
        <f t="shared" si="45"/>
        <v>423.49921011058461</v>
      </c>
      <c r="V120">
        <f t="shared" si="42"/>
        <v>100</v>
      </c>
      <c r="W120" s="53">
        <f t="shared" si="48"/>
        <v>398.51500789889423</v>
      </c>
      <c r="X120" s="53">
        <f t="shared" si="46"/>
        <v>100</v>
      </c>
    </row>
    <row r="121" spans="13:24" x14ac:dyDescent="0.2">
      <c r="T121" s="29"/>
    </row>
    <row r="122" spans="13:24" x14ac:dyDescent="0.2">
      <c r="M122" s="68" t="s">
        <v>38</v>
      </c>
      <c r="T122" s="28" t="s">
        <v>39</v>
      </c>
    </row>
    <row r="124" spans="13:24" x14ac:dyDescent="0.2">
      <c r="N124" s="1" t="s">
        <v>16</v>
      </c>
      <c r="O124" s="1" t="s">
        <v>17</v>
      </c>
      <c r="Q124" s="53" t="s">
        <v>31</v>
      </c>
      <c r="R124" s="53"/>
      <c r="T124" s="1" t="s">
        <v>16</v>
      </c>
      <c r="U124" s="1" t="s">
        <v>17</v>
      </c>
      <c r="W124" s="53" t="s">
        <v>31</v>
      </c>
      <c r="X124" s="53"/>
    </row>
    <row r="125" spans="13:24" x14ac:dyDescent="0.2">
      <c r="N125">
        <f t="shared" ref="N125:N143" si="49">N100</f>
        <v>0.33333333333333331</v>
      </c>
      <c r="O125">
        <f>P37</f>
        <v>40.939968404423382</v>
      </c>
      <c r="P125">
        <f>O125/$O$145*100</f>
        <v>4.2025800906518338</v>
      </c>
      <c r="Q125" s="53"/>
      <c r="R125" s="53"/>
      <c r="T125">
        <f t="shared" ref="T125:T143" si="50">T100</f>
        <v>0.33333333333333331</v>
      </c>
      <c r="U125">
        <f>S37</f>
        <v>24.431279620853083</v>
      </c>
      <c r="V125">
        <f>U125/$U$145*100</f>
        <v>6.4454956550732492</v>
      </c>
      <c r="W125" s="53"/>
      <c r="X125" s="53"/>
    </row>
    <row r="126" spans="13:24" x14ac:dyDescent="0.2">
      <c r="N126">
        <f t="shared" si="49"/>
        <v>0.66666666666666663</v>
      </c>
      <c r="O126">
        <f>O125+P38</f>
        <v>77.187993680884674</v>
      </c>
      <c r="P126">
        <f t="shared" ref="P126:P145" si="51">O126/$O$145*100</f>
        <v>7.9235216372467141</v>
      </c>
      <c r="Q126" s="53">
        <f>P38</f>
        <v>36.248025276461291</v>
      </c>
      <c r="R126" s="53">
        <f>Q126/$Q$145*100</f>
        <v>3.8841772044758174</v>
      </c>
      <c r="T126">
        <f t="shared" si="50"/>
        <v>0.66666666666666663</v>
      </c>
      <c r="U126">
        <f>U125+S38</f>
        <v>28.325434439178519</v>
      </c>
      <c r="V126">
        <f t="shared" ref="V126:V145" si="52">U126/$U$145*100</f>
        <v>7.4728572321670477</v>
      </c>
      <c r="W126" s="53">
        <f>S38</f>
        <v>3.8941548183254349</v>
      </c>
      <c r="X126" s="53">
        <f>W126/$W$145*100</f>
        <v>1.0981422907292735</v>
      </c>
    </row>
    <row r="127" spans="13:24" x14ac:dyDescent="0.2">
      <c r="N127">
        <f t="shared" si="49"/>
        <v>1</v>
      </c>
      <c r="O127">
        <f t="shared" ref="O127:O145" si="53">O126+P39</f>
        <v>116.84834123222748</v>
      </c>
      <c r="P127">
        <f t="shared" si="51"/>
        <v>11.99474576133756</v>
      </c>
      <c r="Q127" s="53">
        <f>Q126+P39</f>
        <v>75.908372827804101</v>
      </c>
      <c r="R127" s="53">
        <f t="shared" ref="R127:R145" si="54">Q127/$Q$145*100</f>
        <v>8.1340036903492283</v>
      </c>
      <c r="T127">
        <f t="shared" si="50"/>
        <v>1</v>
      </c>
      <c r="U127">
        <f t="shared" ref="U127:U145" si="55">U126+S39</f>
        <v>33.799368088467617</v>
      </c>
      <c r="V127">
        <f t="shared" si="52"/>
        <v>8.9169983537208015</v>
      </c>
      <c r="W127" s="53">
        <f>W126+S39</f>
        <v>9.3680884676145357</v>
      </c>
      <c r="X127" s="53">
        <f t="shared" ref="X127:X145" si="56">W127/$W$145*100</f>
        <v>2.6417784113690028</v>
      </c>
    </row>
    <row r="128" spans="13:24" x14ac:dyDescent="0.2">
      <c r="N128">
        <f t="shared" si="49"/>
        <v>2</v>
      </c>
      <c r="O128">
        <f t="shared" si="53"/>
        <v>208.7045813586098</v>
      </c>
      <c r="P128">
        <f t="shared" si="51"/>
        <v>21.423995978237073</v>
      </c>
      <c r="Q128" s="53">
        <f t="shared" ref="Q128:Q145" si="57">Q127+P40</f>
        <v>167.76461295418642</v>
      </c>
      <c r="R128" s="53">
        <f t="shared" si="54"/>
        <v>17.976909925008041</v>
      </c>
      <c r="T128">
        <f t="shared" si="50"/>
        <v>2</v>
      </c>
      <c r="U128">
        <f t="shared" si="55"/>
        <v>45.039494470774095</v>
      </c>
      <c r="V128">
        <f t="shared" si="52"/>
        <v>11.882384812553402</v>
      </c>
      <c r="W128" s="53">
        <f t="shared" ref="W128:W145" si="58">W127+S40</f>
        <v>20.608214849921012</v>
      </c>
      <c r="X128" s="53">
        <f t="shared" si="56"/>
        <v>5.8114670111818958</v>
      </c>
    </row>
    <row r="129" spans="14:24" x14ac:dyDescent="0.2">
      <c r="N129">
        <f t="shared" si="49"/>
        <v>4</v>
      </c>
      <c r="O129">
        <f t="shared" si="53"/>
        <v>308.04897314375989</v>
      </c>
      <c r="P129">
        <f t="shared" si="51"/>
        <v>31.621921851308294</v>
      </c>
      <c r="Q129" s="53">
        <f t="shared" si="57"/>
        <v>267.10900473933651</v>
      </c>
      <c r="R129" s="53">
        <f t="shared" si="54"/>
        <v>28.622213193844903</v>
      </c>
      <c r="T129">
        <f t="shared" si="50"/>
        <v>4</v>
      </c>
      <c r="U129">
        <f t="shared" si="55"/>
        <v>67.274881516587683</v>
      </c>
      <c r="V129">
        <f t="shared" si="52"/>
        <v>17.74855690082731</v>
      </c>
      <c r="W129" s="53">
        <f t="shared" si="58"/>
        <v>42.843601895734601</v>
      </c>
      <c r="X129" s="53">
        <f t="shared" si="56"/>
        <v>12.081792667171561</v>
      </c>
    </row>
    <row r="130" spans="14:24" x14ac:dyDescent="0.2">
      <c r="N130">
        <f t="shared" si="49"/>
        <v>8</v>
      </c>
      <c r="O130">
        <f t="shared" si="53"/>
        <v>425.87677725118488</v>
      </c>
      <c r="P130">
        <f t="shared" si="51"/>
        <v>43.717211685815997</v>
      </c>
      <c r="Q130" s="53">
        <f t="shared" si="57"/>
        <v>384.93680884676149</v>
      </c>
      <c r="R130" s="53">
        <f t="shared" si="54"/>
        <v>41.248116736918732</v>
      </c>
      <c r="T130">
        <f t="shared" si="50"/>
        <v>8</v>
      </c>
      <c r="U130">
        <f t="shared" si="55"/>
        <v>95.434439178515021</v>
      </c>
      <c r="V130">
        <f t="shared" si="52"/>
        <v>25.177652280826063</v>
      </c>
      <c r="W130" s="53">
        <f t="shared" si="58"/>
        <v>71.003159557661931</v>
      </c>
      <c r="X130" s="53">
        <f t="shared" si="56"/>
        <v>20.022720185325436</v>
      </c>
    </row>
    <row r="131" spans="14:24" x14ac:dyDescent="0.2">
      <c r="N131">
        <f t="shared" si="49"/>
        <v>21</v>
      </c>
      <c r="O131">
        <f t="shared" si="53"/>
        <v>568.53870458135862</v>
      </c>
      <c r="P131">
        <f t="shared" si="51"/>
        <v>58.361780278766552</v>
      </c>
      <c r="Q131" s="53">
        <f t="shared" si="57"/>
        <v>527.59873617693529</v>
      </c>
      <c r="R131" s="53">
        <f t="shared" si="54"/>
        <v>56.535134494608371</v>
      </c>
      <c r="T131">
        <f t="shared" si="50"/>
        <v>21</v>
      </c>
      <c r="U131">
        <f t="shared" si="55"/>
        <v>143.68878357030019</v>
      </c>
      <c r="V131">
        <f t="shared" si="52"/>
        <v>37.908183466355482</v>
      </c>
      <c r="W131" s="53">
        <f t="shared" si="58"/>
        <v>119.25750394944708</v>
      </c>
      <c r="X131" s="53">
        <f t="shared" si="56"/>
        <v>33.630329219940307</v>
      </c>
    </row>
    <row r="132" spans="14:24" x14ac:dyDescent="0.2">
      <c r="N132">
        <f t="shared" si="49"/>
        <v>24</v>
      </c>
      <c r="O132">
        <f t="shared" si="53"/>
        <v>638.02527646129545</v>
      </c>
      <c r="P132">
        <f t="shared" si="51"/>
        <v>65.49473359874807</v>
      </c>
      <c r="Q132" s="53">
        <f t="shared" si="57"/>
        <v>597.08530805687212</v>
      </c>
      <c r="R132" s="53">
        <f t="shared" si="54"/>
        <v>63.981006551216304</v>
      </c>
      <c r="T132">
        <f t="shared" si="50"/>
        <v>24</v>
      </c>
      <c r="U132">
        <f t="shared" si="55"/>
        <v>164.34439178515009</v>
      </c>
      <c r="V132">
        <f t="shared" si="52"/>
        <v>43.357576010169431</v>
      </c>
      <c r="W132" s="53">
        <f t="shared" si="58"/>
        <v>139.91311216429699</v>
      </c>
      <c r="X132" s="53">
        <f t="shared" si="56"/>
        <v>39.455161046019512</v>
      </c>
    </row>
    <row r="133" spans="14:24" x14ac:dyDescent="0.2">
      <c r="N133">
        <f t="shared" si="49"/>
        <v>48</v>
      </c>
      <c r="O133">
        <f t="shared" si="53"/>
        <v>684.69984202211697</v>
      </c>
      <c r="P133">
        <f t="shared" si="51"/>
        <v>70.285983021025061</v>
      </c>
      <c r="Q133" s="53">
        <f t="shared" si="57"/>
        <v>643.75987361769364</v>
      </c>
      <c r="R133" s="53">
        <f t="shared" si="54"/>
        <v>68.982445448851422</v>
      </c>
      <c r="T133">
        <f t="shared" si="50"/>
        <v>48</v>
      </c>
      <c r="U133">
        <f t="shared" si="55"/>
        <v>205.74249605055294</v>
      </c>
      <c r="V133">
        <f t="shared" si="52"/>
        <v>54.279283972742633</v>
      </c>
      <c r="W133" s="53">
        <f t="shared" si="58"/>
        <v>181.31121642969984</v>
      </c>
      <c r="X133" s="53">
        <f t="shared" si="56"/>
        <v>51.129326858823006</v>
      </c>
    </row>
    <row r="134" spans="14:24" x14ac:dyDescent="0.2">
      <c r="N134">
        <f t="shared" si="49"/>
        <v>68</v>
      </c>
      <c r="O134">
        <f t="shared" si="53"/>
        <v>718.5939968404424</v>
      </c>
      <c r="P134">
        <f t="shared" si="51"/>
        <v>73.765294456291713</v>
      </c>
      <c r="Q134" s="53">
        <f t="shared" si="57"/>
        <v>677.65402843601908</v>
      </c>
      <c r="R134" s="53">
        <f t="shared" si="54"/>
        <v>72.614392361992799</v>
      </c>
      <c r="T134">
        <f t="shared" si="50"/>
        <v>68</v>
      </c>
      <c r="U134">
        <f t="shared" si="55"/>
        <v>236.30331753554503</v>
      </c>
      <c r="V134">
        <f t="shared" si="52"/>
        <v>62.341884260320512</v>
      </c>
      <c r="W134" s="53">
        <f t="shared" si="58"/>
        <v>211.87203791469193</v>
      </c>
      <c r="X134" s="53">
        <f t="shared" si="56"/>
        <v>59.747404998440764</v>
      </c>
    </row>
    <row r="135" spans="14:24" x14ac:dyDescent="0.2">
      <c r="N135">
        <f t="shared" si="49"/>
        <v>72</v>
      </c>
      <c r="O135">
        <f t="shared" si="53"/>
        <v>729.12322274881524</v>
      </c>
      <c r="P135">
        <f t="shared" si="51"/>
        <v>74.846143242870696</v>
      </c>
      <c r="Q135" s="53">
        <f t="shared" si="57"/>
        <v>688.18325434439191</v>
      </c>
      <c r="R135" s="53">
        <f t="shared" si="54"/>
        <v>73.742657390008986</v>
      </c>
      <c r="T135">
        <f t="shared" si="50"/>
        <v>72</v>
      </c>
      <c r="U135">
        <f t="shared" si="55"/>
        <v>246.32701421800948</v>
      </c>
      <c r="V135">
        <f t="shared" si="52"/>
        <v>64.986350469918946</v>
      </c>
      <c r="W135" s="53">
        <f t="shared" si="58"/>
        <v>221.89573459715638</v>
      </c>
      <c r="X135" s="53">
        <f t="shared" si="56"/>
        <v>62.574063349222605</v>
      </c>
    </row>
    <row r="136" spans="14:24" x14ac:dyDescent="0.2">
      <c r="N136">
        <f t="shared" si="49"/>
        <v>94</v>
      </c>
      <c r="O136">
        <f t="shared" si="53"/>
        <v>752.82780410742498</v>
      </c>
      <c r="P136">
        <f t="shared" si="51"/>
        <v>77.279471981447998</v>
      </c>
      <c r="Q136" s="53">
        <f t="shared" si="57"/>
        <v>711.88783570300166</v>
      </c>
      <c r="R136" s="53">
        <f t="shared" si="54"/>
        <v>76.282734921199207</v>
      </c>
      <c r="T136">
        <f t="shared" si="50"/>
        <v>94</v>
      </c>
      <c r="U136">
        <f t="shared" si="55"/>
        <v>268.45181674565561</v>
      </c>
      <c r="V136">
        <f t="shared" si="52"/>
        <v>70.823347990080649</v>
      </c>
      <c r="W136" s="53">
        <f t="shared" si="58"/>
        <v>244.0205371248025</v>
      </c>
      <c r="X136" s="53">
        <f t="shared" si="56"/>
        <v>68.813204437118543</v>
      </c>
    </row>
    <row r="137" spans="14:24" x14ac:dyDescent="0.2">
      <c r="N137">
        <f t="shared" si="49"/>
        <v>96</v>
      </c>
      <c r="O137">
        <f t="shared" si="53"/>
        <v>761.33491311216437</v>
      </c>
      <c r="P137">
        <f t="shared" si="51"/>
        <v>78.152745907288647</v>
      </c>
      <c r="Q137" s="53">
        <f t="shared" si="57"/>
        <v>720.39494470774105</v>
      </c>
      <c r="R137" s="53">
        <f t="shared" si="54"/>
        <v>77.194318893572373</v>
      </c>
      <c r="T137">
        <f t="shared" si="50"/>
        <v>96</v>
      </c>
      <c r="U137">
        <f t="shared" si="55"/>
        <v>276.83254344391787</v>
      </c>
      <c r="V137">
        <f t="shared" si="52"/>
        <v>73.034363473440735</v>
      </c>
      <c r="W137" s="53">
        <f t="shared" si="58"/>
        <v>252.40126382306474</v>
      </c>
      <c r="X137" s="53">
        <f t="shared" si="56"/>
        <v>71.176549204793503</v>
      </c>
    </row>
    <row r="138" spans="14:24" x14ac:dyDescent="0.2">
      <c r="N138">
        <f t="shared" si="49"/>
        <v>117</v>
      </c>
      <c r="O138">
        <f t="shared" si="53"/>
        <v>781.13744075829391</v>
      </c>
      <c r="P138">
        <f t="shared" si="51"/>
        <v>80.185520031784904</v>
      </c>
      <c r="Q138" s="53">
        <f t="shared" si="57"/>
        <v>740.19747235387058</v>
      </c>
      <c r="R138" s="53">
        <f t="shared" si="54"/>
        <v>79.31626970020146</v>
      </c>
      <c r="T138">
        <f t="shared" si="50"/>
        <v>117</v>
      </c>
      <c r="U138">
        <f t="shared" si="55"/>
        <v>292.62243285939968</v>
      </c>
      <c r="V138">
        <f t="shared" si="52"/>
        <v>77.20007502031801</v>
      </c>
      <c r="W138" s="53">
        <f t="shared" si="58"/>
        <v>268.19115323854658</v>
      </c>
      <c r="X138" s="53">
        <f t="shared" si="56"/>
        <v>75.629260034748512</v>
      </c>
    </row>
    <row r="139" spans="14:24" x14ac:dyDescent="0.2">
      <c r="N139">
        <f t="shared" si="49"/>
        <v>152</v>
      </c>
      <c r="O139">
        <f t="shared" si="53"/>
        <v>807.25908372827814</v>
      </c>
      <c r="P139">
        <f t="shared" si="51"/>
        <v>82.866965596088534</v>
      </c>
      <c r="Q139" s="53">
        <f t="shared" si="57"/>
        <v>766.31911532385482</v>
      </c>
      <c r="R139" s="53">
        <f t="shared" si="54"/>
        <v>82.115348805714973</v>
      </c>
      <c r="T139">
        <f t="shared" si="50"/>
        <v>152</v>
      </c>
      <c r="U139">
        <f t="shared" si="55"/>
        <v>313.30963665086887</v>
      </c>
      <c r="V139">
        <f t="shared" si="52"/>
        <v>82.657803155021156</v>
      </c>
      <c r="W139" s="53">
        <f t="shared" si="58"/>
        <v>288.87835703001576</v>
      </c>
      <c r="X139" s="53">
        <f t="shared" si="56"/>
        <v>81.463001737425927</v>
      </c>
    </row>
    <row r="140" spans="14:24" x14ac:dyDescent="0.2">
      <c r="N140">
        <f t="shared" si="49"/>
        <v>164</v>
      </c>
      <c r="O140">
        <f t="shared" si="53"/>
        <v>817.15639810426546</v>
      </c>
      <c r="P140">
        <f t="shared" si="51"/>
        <v>83.882947238686768</v>
      </c>
      <c r="Q140" s="53">
        <f t="shared" si="57"/>
        <v>776.21642969984214</v>
      </c>
      <c r="R140" s="53">
        <f t="shared" si="54"/>
        <v>83.175901003842711</v>
      </c>
      <c r="T140">
        <f t="shared" si="50"/>
        <v>164</v>
      </c>
      <c r="U140">
        <f t="shared" si="55"/>
        <v>320.47393364928911</v>
      </c>
      <c r="V140">
        <f t="shared" si="52"/>
        <v>84.547898389147065</v>
      </c>
      <c r="W140" s="53">
        <f t="shared" si="58"/>
        <v>296.042654028436</v>
      </c>
      <c r="X140" s="53">
        <f t="shared" si="56"/>
        <v>83.483316256069855</v>
      </c>
    </row>
    <row r="141" spans="14:24" x14ac:dyDescent="0.2">
      <c r="N141">
        <f t="shared" si="49"/>
        <v>261</v>
      </c>
      <c r="O141">
        <f t="shared" si="53"/>
        <v>855.03159557661934</v>
      </c>
      <c r="P141">
        <f t="shared" si="51"/>
        <v>87.77092168103205</v>
      </c>
      <c r="Q141" s="53">
        <f t="shared" si="57"/>
        <v>814.09162717219601</v>
      </c>
      <c r="R141" s="53">
        <f t="shared" si="54"/>
        <v>87.234438745281267</v>
      </c>
      <c r="T141">
        <f t="shared" si="50"/>
        <v>261</v>
      </c>
      <c r="U141">
        <f t="shared" si="55"/>
        <v>340.40284360189577</v>
      </c>
      <c r="V141">
        <f t="shared" si="52"/>
        <v>89.80557234250945</v>
      </c>
      <c r="W141" s="53">
        <f t="shared" si="58"/>
        <v>315.97156398104266</v>
      </c>
      <c r="X141" s="53">
        <f t="shared" si="56"/>
        <v>89.103220920390257</v>
      </c>
    </row>
    <row r="142" spans="14:24" x14ac:dyDescent="0.2">
      <c r="N142">
        <f t="shared" si="49"/>
        <v>384</v>
      </c>
      <c r="O142">
        <f t="shared" si="53"/>
        <v>893.57030015797795</v>
      </c>
      <c r="P142">
        <f t="shared" si="51"/>
        <v>91.727006624557077</v>
      </c>
      <c r="Q142" s="53">
        <f t="shared" si="57"/>
        <v>852.63033175355463</v>
      </c>
      <c r="R142" s="53">
        <f t="shared" si="54"/>
        <v>91.364074958102691</v>
      </c>
      <c r="T142">
        <f t="shared" si="50"/>
        <v>384</v>
      </c>
      <c r="U142">
        <f t="shared" si="55"/>
        <v>354.20221169036336</v>
      </c>
      <c r="V142">
        <f t="shared" si="52"/>
        <v>93.446141663367172</v>
      </c>
      <c r="W142" s="53">
        <f t="shared" si="58"/>
        <v>329.77093206951031</v>
      </c>
      <c r="X142" s="53">
        <f t="shared" si="56"/>
        <v>92.994609524658088</v>
      </c>
    </row>
    <row r="143" spans="14:24" x14ac:dyDescent="0.2">
      <c r="N143">
        <f t="shared" si="49"/>
        <v>508</v>
      </c>
      <c r="O143">
        <f t="shared" si="53"/>
        <v>924.85781990521332</v>
      </c>
      <c r="P143">
        <f t="shared" si="51"/>
        <v>94.938741090903207</v>
      </c>
      <c r="Q143" s="53">
        <f t="shared" si="57"/>
        <v>883.91785150078999</v>
      </c>
      <c r="R143" s="53">
        <f t="shared" si="54"/>
        <v>94.716706447954238</v>
      </c>
      <c r="T143">
        <f t="shared" si="50"/>
        <v>508</v>
      </c>
      <c r="U143">
        <f t="shared" si="55"/>
        <v>364.39968404423382</v>
      </c>
      <c r="V143">
        <f t="shared" si="52"/>
        <v>96.136453622856195</v>
      </c>
      <c r="W143" s="53">
        <f t="shared" si="58"/>
        <v>339.96840442338078</v>
      </c>
      <c r="X143" s="53">
        <f t="shared" si="56"/>
        <v>95.870272196730085</v>
      </c>
    </row>
    <row r="144" spans="14:24" x14ac:dyDescent="0.2">
      <c r="N144">
        <f>N119</f>
        <v>522</v>
      </c>
      <c r="O144">
        <f t="shared" si="53"/>
        <v>931.61137440758296</v>
      </c>
      <c r="P144">
        <f t="shared" si="51"/>
        <v>95.632008692197303</v>
      </c>
      <c r="Q144" s="53">
        <f t="shared" si="57"/>
        <v>890.67140600315963</v>
      </c>
      <c r="R144" s="53">
        <f t="shared" si="54"/>
        <v>95.440387317386964</v>
      </c>
      <c r="T144">
        <f>T119</f>
        <v>522</v>
      </c>
      <c r="U144">
        <f t="shared" si="55"/>
        <v>367.9778830963665</v>
      </c>
      <c r="V144">
        <f t="shared" si="52"/>
        <v>97.080459291057991</v>
      </c>
      <c r="W144" s="53">
        <f t="shared" si="58"/>
        <v>343.54660347551345</v>
      </c>
      <c r="X144" s="53">
        <f t="shared" si="56"/>
        <v>96.879315721477269</v>
      </c>
    </row>
    <row r="145" spans="14:25" x14ac:dyDescent="0.2">
      <c r="N145">
        <f>N120</f>
        <v>1107</v>
      </c>
      <c r="O145">
        <f t="shared" si="53"/>
        <v>974.16271721958924</v>
      </c>
      <c r="P145">
        <f t="shared" si="51"/>
        <v>100</v>
      </c>
      <c r="Q145" s="53">
        <f t="shared" si="57"/>
        <v>933.22274881516591</v>
      </c>
      <c r="R145" s="53">
        <f t="shared" si="54"/>
        <v>100</v>
      </c>
      <c r="T145">
        <f>T120</f>
        <v>1107</v>
      </c>
      <c r="U145">
        <f t="shared" si="55"/>
        <v>379.04423380726695</v>
      </c>
      <c r="V145">
        <f t="shared" si="52"/>
        <v>100</v>
      </c>
      <c r="W145" s="53">
        <f t="shared" si="58"/>
        <v>354.6129541864139</v>
      </c>
      <c r="X145" s="53">
        <f t="shared" si="56"/>
        <v>100</v>
      </c>
    </row>
    <row r="147" spans="14:25" x14ac:dyDescent="0.2">
      <c r="N147" t="s">
        <v>30</v>
      </c>
      <c r="T147" t="s">
        <v>30</v>
      </c>
    </row>
    <row r="148" spans="14:25" x14ac:dyDescent="0.2">
      <c r="Q148" s="53" t="s">
        <v>31</v>
      </c>
      <c r="R148" s="53"/>
      <c r="W148" s="53" t="s">
        <v>31</v>
      </c>
      <c r="X148" s="53"/>
    </row>
    <row r="149" spans="14:25" x14ac:dyDescent="0.2">
      <c r="N149">
        <f t="shared" ref="N149:N167" si="59">N125</f>
        <v>0.33333333333333331</v>
      </c>
      <c r="O149">
        <f t="shared" ref="O149:O169" si="60">AVERAGE(P75,P100,P125)</f>
        <v>4.008807059183142</v>
      </c>
      <c r="P149">
        <f t="shared" ref="P149:P169" si="61">_xlfn.STDEV.S(P75,P100,P125)/SQRT(3)</f>
        <v>0.11687820400576775</v>
      </c>
      <c r="Q149" s="53"/>
      <c r="R149" s="53"/>
      <c r="T149">
        <f t="shared" ref="T149:T167" si="62">T125</f>
        <v>0.33333333333333331</v>
      </c>
      <c r="U149">
        <f t="shared" ref="U149:U167" si="63">AVERAGE(V75,V100,V125)</f>
        <v>6.1030476981397124</v>
      </c>
      <c r="V149">
        <f t="shared" ref="V149:V167" si="64">_xlfn.STDEV.S(V75,V100,V125)/SQRT(3)</f>
        <v>0.17223996538187925</v>
      </c>
      <c r="W149" s="53"/>
      <c r="X149" s="53"/>
    </row>
    <row r="150" spans="14:25" x14ac:dyDescent="0.2">
      <c r="N150">
        <f t="shared" si="59"/>
        <v>0.66666666666666663</v>
      </c>
      <c r="O150">
        <f t="shared" si="60"/>
        <v>7.5190088532491499</v>
      </c>
      <c r="P150">
        <f t="shared" si="61"/>
        <v>0.27991118895443695</v>
      </c>
      <c r="Q150" s="53">
        <f t="shared" ref="Q150:Q169" si="65">AVERAGE(Q76,Q101,Q126)</f>
        <v>34.752501316482359</v>
      </c>
      <c r="R150" s="53">
        <f>Q150/$Q$169*100</f>
        <v>3.6577930751622572</v>
      </c>
      <c r="S150" s="53">
        <f>_xlfn.STDEV.S(R76,R101,R126)</f>
        <v>0.30647162395261868</v>
      </c>
      <c r="T150">
        <f t="shared" si="62"/>
        <v>0.66666666666666663</v>
      </c>
      <c r="U150">
        <f t="shared" si="63"/>
        <v>7.0271450133254802</v>
      </c>
      <c r="V150">
        <f t="shared" si="64"/>
        <v>0.22695622448761732</v>
      </c>
      <c r="W150" s="53">
        <f t="shared" ref="W150:W167" si="66">AVERAGE(W76,W101,W126)</f>
        <v>3.9152185360716167</v>
      </c>
      <c r="X150" s="53">
        <f>W150/$W$169*100</f>
        <v>0.97226399550156251</v>
      </c>
      <c r="Y150" s="53">
        <f>_xlfn.STDEV.S(X76,X101,X126)</f>
        <v>0.15005243058931048</v>
      </c>
    </row>
    <row r="151" spans="14:25" x14ac:dyDescent="0.2">
      <c r="N151">
        <f t="shared" si="59"/>
        <v>1</v>
      </c>
      <c r="O151">
        <f t="shared" si="60"/>
        <v>11.380828969428791</v>
      </c>
      <c r="P151">
        <f t="shared" si="61"/>
        <v>0.42777070894871033</v>
      </c>
      <c r="Q151" s="53">
        <f t="shared" si="65"/>
        <v>72.980516061084771</v>
      </c>
      <c r="R151" s="53">
        <f t="shared" ref="R151:R169" si="67">Q151/$Q$169*100</f>
        <v>7.6813931704937817</v>
      </c>
      <c r="S151" s="53">
        <f t="shared" ref="S151:S169" si="68">_xlfn.STDEV.S(R77,R102,R127)</f>
        <v>0.58077294764413834</v>
      </c>
      <c r="T151">
        <f t="shared" si="62"/>
        <v>1</v>
      </c>
      <c r="U151">
        <f t="shared" si="63"/>
        <v>8.0253625278307013</v>
      </c>
      <c r="V151">
        <f t="shared" si="64"/>
        <v>0.44611935881209197</v>
      </c>
      <c r="W151" s="53">
        <f t="shared" si="66"/>
        <v>8.0937335439705134</v>
      </c>
      <c r="X151" s="53">
        <f t="shared" ref="X151:X169" si="69">W151/$W$169*100</f>
        <v>2.009912254318631</v>
      </c>
      <c r="Y151" s="53">
        <f t="shared" ref="Y151:Y169" si="70">_xlfn.STDEV.S(X77,X102,X127)</f>
        <v>0.51791119174800138</v>
      </c>
    </row>
    <row r="152" spans="14:25" x14ac:dyDescent="0.2">
      <c r="N152">
        <f t="shared" si="59"/>
        <v>2</v>
      </c>
      <c r="O152">
        <f t="shared" si="60"/>
        <v>20.598346992357097</v>
      </c>
      <c r="P152">
        <f t="shared" si="61"/>
        <v>0.45208181300448341</v>
      </c>
      <c r="Q152" s="53">
        <f t="shared" si="65"/>
        <v>164.17324907846236</v>
      </c>
      <c r="R152" s="53">
        <f t="shared" si="67"/>
        <v>17.279670551980622</v>
      </c>
      <c r="S152" s="53">
        <f t="shared" si="68"/>
        <v>0.64479904988449943</v>
      </c>
      <c r="T152">
        <f t="shared" si="62"/>
        <v>2</v>
      </c>
      <c r="U152">
        <f t="shared" si="63"/>
        <v>10.701686952459413</v>
      </c>
      <c r="V152">
        <f t="shared" si="64"/>
        <v>0.64478984392170346</v>
      </c>
      <c r="W152" s="53">
        <f t="shared" si="66"/>
        <v>19.412848867825172</v>
      </c>
      <c r="X152" s="53">
        <f t="shared" si="69"/>
        <v>4.8207817342521997</v>
      </c>
      <c r="Y152" s="53">
        <f t="shared" si="70"/>
        <v>0.94062033103955534</v>
      </c>
    </row>
    <row r="153" spans="14:25" x14ac:dyDescent="0.2">
      <c r="N153">
        <f t="shared" si="59"/>
        <v>4</v>
      </c>
      <c r="O153">
        <f t="shared" si="60"/>
        <v>30.586263887712818</v>
      </c>
      <c r="P153">
        <f t="shared" si="61"/>
        <v>0.53184001971287709</v>
      </c>
      <c r="Q153" s="53">
        <f t="shared" si="65"/>
        <v>263.001579778831</v>
      </c>
      <c r="R153" s="53">
        <f t="shared" si="67"/>
        <v>27.681614871718129</v>
      </c>
      <c r="S153" s="53">
        <f t="shared" si="68"/>
        <v>0.81951141386446502</v>
      </c>
      <c r="T153">
        <f t="shared" si="62"/>
        <v>4</v>
      </c>
      <c r="U153">
        <f t="shared" si="63"/>
        <v>15.19551597979885</v>
      </c>
      <c r="V153">
        <f t="shared" si="64"/>
        <v>1.3117284279512162</v>
      </c>
      <c r="W153" s="53">
        <f t="shared" si="66"/>
        <v>38.325434439178515</v>
      </c>
      <c r="X153" s="53">
        <f t="shared" si="69"/>
        <v>9.517333368204941</v>
      </c>
      <c r="Y153" s="53">
        <f t="shared" si="70"/>
        <v>2.1549339720741636</v>
      </c>
    </row>
    <row r="154" spans="14:25" x14ac:dyDescent="0.2">
      <c r="N154">
        <f t="shared" si="59"/>
        <v>8</v>
      </c>
      <c r="O154">
        <f t="shared" si="60"/>
        <v>40.848894633948085</v>
      </c>
      <c r="P154">
        <f t="shared" si="61"/>
        <v>1.6326271942861383</v>
      </c>
      <c r="Q154" s="53">
        <f t="shared" si="65"/>
        <v>364.25223802001057</v>
      </c>
      <c r="R154" s="53">
        <f t="shared" si="67"/>
        <v>38.3385155994524</v>
      </c>
      <c r="S154" s="53">
        <f t="shared" si="68"/>
        <v>2.8914156271123974</v>
      </c>
      <c r="T154">
        <f t="shared" si="62"/>
        <v>8</v>
      </c>
      <c r="U154">
        <f t="shared" si="63"/>
        <v>21.441613345078082</v>
      </c>
      <c r="V154">
        <f t="shared" si="64"/>
        <v>2.0418659702345003</v>
      </c>
      <c r="W154" s="53">
        <f t="shared" si="66"/>
        <v>64.631384939441816</v>
      </c>
      <c r="X154" s="53">
        <f t="shared" si="69"/>
        <v>16.049875116057066</v>
      </c>
      <c r="Y154" s="53">
        <f t="shared" si="70"/>
        <v>3.5434429332822464</v>
      </c>
    </row>
    <row r="155" spans="14:25" x14ac:dyDescent="0.2">
      <c r="N155">
        <f t="shared" si="59"/>
        <v>21</v>
      </c>
      <c r="O155">
        <f t="shared" si="60"/>
        <v>55.169198312557036</v>
      </c>
      <c r="P155">
        <f t="shared" si="61"/>
        <v>1.6361783649168045</v>
      </c>
      <c r="Q155" s="53">
        <f t="shared" si="65"/>
        <v>506.05055292259084</v>
      </c>
      <c r="R155" s="53">
        <f t="shared" si="67"/>
        <v>53.263164895828133</v>
      </c>
      <c r="S155" s="53">
        <f t="shared" si="68"/>
        <v>2.8891232890798144</v>
      </c>
      <c r="T155">
        <f t="shared" si="62"/>
        <v>21</v>
      </c>
      <c r="U155">
        <f t="shared" si="63"/>
        <v>33.419191986838214</v>
      </c>
      <c r="V155">
        <f t="shared" si="64"/>
        <v>2.4705305496619978</v>
      </c>
      <c r="W155" s="53">
        <f t="shared" si="66"/>
        <v>115.72933122696156</v>
      </c>
      <c r="X155" s="53">
        <f t="shared" si="69"/>
        <v>28.738999097697164</v>
      </c>
      <c r="Y155" s="53">
        <f t="shared" si="70"/>
        <v>4.371070203634102</v>
      </c>
    </row>
    <row r="156" spans="14:25" x14ac:dyDescent="0.2">
      <c r="N156">
        <f t="shared" si="59"/>
        <v>24</v>
      </c>
      <c r="O156">
        <f t="shared" si="60"/>
        <v>61.606503030121274</v>
      </c>
      <c r="P156">
        <f t="shared" si="61"/>
        <v>1.9594329305990459</v>
      </c>
      <c r="Q156" s="53">
        <f t="shared" si="65"/>
        <v>569.73407056345457</v>
      </c>
      <c r="R156" s="53">
        <f t="shared" si="67"/>
        <v>59.966024287369137</v>
      </c>
      <c r="S156" s="53">
        <f t="shared" si="68"/>
        <v>3.4765631690879877</v>
      </c>
      <c r="T156">
        <f t="shared" si="62"/>
        <v>24</v>
      </c>
      <c r="U156">
        <f t="shared" si="63"/>
        <v>38.381473381052615</v>
      </c>
      <c r="V156">
        <f t="shared" si="64"/>
        <v>2.7239670127582896</v>
      </c>
      <c r="W156" s="53">
        <f t="shared" si="66"/>
        <v>136.85887309110058</v>
      </c>
      <c r="X156" s="53">
        <f t="shared" si="69"/>
        <v>33.986086228766453</v>
      </c>
      <c r="Y156" s="53">
        <f t="shared" si="70"/>
        <v>4.8521413340823818</v>
      </c>
    </row>
    <row r="157" spans="14:25" x14ac:dyDescent="0.2">
      <c r="N157">
        <f t="shared" si="59"/>
        <v>48</v>
      </c>
      <c r="O157">
        <f t="shared" si="60"/>
        <v>66.447940367100898</v>
      </c>
      <c r="P157">
        <f t="shared" si="61"/>
        <v>1.9316889477928696</v>
      </c>
      <c r="Q157" s="53">
        <f t="shared" si="65"/>
        <v>617.66192733017385</v>
      </c>
      <c r="R157" s="53">
        <f t="shared" si="67"/>
        <v>65.01055852080944</v>
      </c>
      <c r="S157" s="53">
        <f t="shared" si="68"/>
        <v>3.4338083016851084</v>
      </c>
      <c r="T157">
        <f t="shared" si="62"/>
        <v>48</v>
      </c>
      <c r="U157">
        <f t="shared" si="63"/>
        <v>47.926232491361013</v>
      </c>
      <c r="V157">
        <f t="shared" si="64"/>
        <v>3.3563231252708494</v>
      </c>
      <c r="W157" s="53">
        <f t="shared" si="66"/>
        <v>177.45129015271198</v>
      </c>
      <c r="X157" s="53">
        <f t="shared" si="69"/>
        <v>44.066378104117902</v>
      </c>
      <c r="Y157" s="53">
        <f t="shared" si="70"/>
        <v>6.0413757905821024</v>
      </c>
    </row>
    <row r="158" spans="14:25" x14ac:dyDescent="0.2">
      <c r="N158">
        <f t="shared" si="59"/>
        <v>68</v>
      </c>
      <c r="O158">
        <f t="shared" si="60"/>
        <v>70.611767779547975</v>
      </c>
      <c r="P158">
        <f t="shared" si="61"/>
        <v>1.5996149895749017</v>
      </c>
      <c r="Q158" s="53">
        <f t="shared" si="65"/>
        <v>658.91785150078988</v>
      </c>
      <c r="R158" s="53">
        <f t="shared" si="67"/>
        <v>69.352854126136904</v>
      </c>
      <c r="S158" s="53">
        <f t="shared" si="68"/>
        <v>2.8433770109024965</v>
      </c>
      <c r="T158">
        <f t="shared" si="62"/>
        <v>68</v>
      </c>
      <c r="U158">
        <f t="shared" si="63"/>
        <v>56.026846808237529</v>
      </c>
      <c r="V158">
        <f t="shared" si="64"/>
        <v>3.3396233143303173</v>
      </c>
      <c r="W158" s="53">
        <f t="shared" si="66"/>
        <v>212.19325961032123</v>
      </c>
      <c r="X158" s="53">
        <f t="shared" si="69"/>
        <v>52.69383164859881</v>
      </c>
      <c r="Y158" s="53">
        <f t="shared" si="70"/>
        <v>6.0354359664031829</v>
      </c>
    </row>
    <row r="159" spans="14:25" x14ac:dyDescent="0.2">
      <c r="N159">
        <f t="shared" si="59"/>
        <v>72</v>
      </c>
      <c r="O159">
        <f t="shared" si="60"/>
        <v>71.936201329598745</v>
      </c>
      <c r="P159">
        <f t="shared" si="61"/>
        <v>1.4871914400107527</v>
      </c>
      <c r="Q159" s="53">
        <f t="shared" si="65"/>
        <v>672.03791469194323</v>
      </c>
      <c r="R159" s="53">
        <f t="shared" si="67"/>
        <v>70.733775627275904</v>
      </c>
      <c r="S159" s="53">
        <f t="shared" si="68"/>
        <v>2.6441651225829599</v>
      </c>
      <c r="T159">
        <f t="shared" si="62"/>
        <v>72</v>
      </c>
      <c r="U159">
        <f t="shared" si="63"/>
        <v>58.84765205286643</v>
      </c>
      <c r="V159">
        <f t="shared" si="64"/>
        <v>3.2351592839825312</v>
      </c>
      <c r="W159" s="53">
        <f t="shared" si="66"/>
        <v>224.35492364402316</v>
      </c>
      <c r="X159" s="53">
        <f t="shared" si="69"/>
        <v>55.713930771141996</v>
      </c>
      <c r="Y159" s="53">
        <f t="shared" si="70"/>
        <v>5.8505658709642825</v>
      </c>
    </row>
    <row r="160" spans="14:25" x14ac:dyDescent="0.2">
      <c r="N160">
        <f t="shared" si="59"/>
        <v>94</v>
      </c>
      <c r="O160">
        <f t="shared" si="60"/>
        <v>74.977168990806817</v>
      </c>
      <c r="P160">
        <f t="shared" si="61"/>
        <v>1.1866204458716938</v>
      </c>
      <c r="Q160" s="53">
        <f t="shared" si="65"/>
        <v>702.18799368088469</v>
      </c>
      <c r="R160" s="53">
        <f t="shared" si="67"/>
        <v>73.907151527244309</v>
      </c>
      <c r="S160" s="53">
        <f t="shared" si="68"/>
        <v>2.1073326870631974</v>
      </c>
      <c r="T160">
        <f t="shared" si="62"/>
        <v>94</v>
      </c>
      <c r="U160">
        <f t="shared" si="63"/>
        <v>65.179438944752135</v>
      </c>
      <c r="V160">
        <f t="shared" si="64"/>
        <v>2.979233412437178</v>
      </c>
      <c r="W160" s="53">
        <f t="shared" si="66"/>
        <v>251.65086887835704</v>
      </c>
      <c r="X160" s="53">
        <f t="shared" si="69"/>
        <v>62.492317349060421</v>
      </c>
      <c r="Y160" s="53">
        <f t="shared" si="70"/>
        <v>5.3973759711015106</v>
      </c>
    </row>
    <row r="161" spans="1:25" x14ac:dyDescent="0.2">
      <c r="N161">
        <f t="shared" si="59"/>
        <v>96</v>
      </c>
      <c r="O161">
        <f t="shared" si="60"/>
        <v>75.977080906307293</v>
      </c>
      <c r="P161">
        <f t="shared" si="61"/>
        <v>1.1306939621595378</v>
      </c>
      <c r="Q161" s="53">
        <f t="shared" si="65"/>
        <v>712.09057398630875</v>
      </c>
      <c r="R161" s="53">
        <f t="shared" si="67"/>
        <v>74.949424408196307</v>
      </c>
      <c r="S161" s="53">
        <f t="shared" si="68"/>
        <v>2.0090196297728684</v>
      </c>
      <c r="T161">
        <f t="shared" si="62"/>
        <v>96</v>
      </c>
      <c r="U161">
        <f t="shared" si="63"/>
        <v>67.296889997214578</v>
      </c>
      <c r="V161">
        <f t="shared" si="64"/>
        <v>2.9885206921989647</v>
      </c>
      <c r="W161" s="53">
        <f t="shared" si="66"/>
        <v>260.74776197998949</v>
      </c>
      <c r="X161" s="53">
        <f t="shared" si="69"/>
        <v>64.751343646611133</v>
      </c>
      <c r="Y161" s="53">
        <f t="shared" si="70"/>
        <v>5.4195238123433409</v>
      </c>
    </row>
    <row r="162" spans="1:25" x14ac:dyDescent="0.2">
      <c r="N162">
        <f t="shared" si="59"/>
        <v>117</v>
      </c>
      <c r="O162">
        <f t="shared" si="60"/>
        <v>78.271821745363994</v>
      </c>
      <c r="P162">
        <f t="shared" si="61"/>
        <v>0.99419739541483154</v>
      </c>
      <c r="Q162" s="53">
        <f t="shared" si="65"/>
        <v>734.83149025803061</v>
      </c>
      <c r="R162" s="53">
        <f t="shared" si="67"/>
        <v>77.342966251531124</v>
      </c>
      <c r="S162" s="53">
        <f t="shared" si="68"/>
        <v>1.7656078398358939</v>
      </c>
      <c r="T162">
        <f t="shared" si="62"/>
        <v>117</v>
      </c>
      <c r="U162">
        <f t="shared" si="63"/>
        <v>72.09637019990943</v>
      </c>
      <c r="V162">
        <f t="shared" si="64"/>
        <v>2.6694610451277954</v>
      </c>
      <c r="W162" s="53">
        <f t="shared" si="66"/>
        <v>281.50342285413376</v>
      </c>
      <c r="X162" s="53">
        <f t="shared" si="69"/>
        <v>69.905585123772411</v>
      </c>
      <c r="Y162" s="53">
        <f t="shared" si="70"/>
        <v>4.845413022707767</v>
      </c>
    </row>
    <row r="163" spans="1:25" x14ac:dyDescent="0.2">
      <c r="N163">
        <f t="shared" si="59"/>
        <v>152</v>
      </c>
      <c r="O163">
        <f t="shared" si="60"/>
        <v>81.425399825066663</v>
      </c>
      <c r="P163">
        <f t="shared" si="61"/>
        <v>0.76861747660674873</v>
      </c>
      <c r="Q163" s="53">
        <f t="shared" si="65"/>
        <v>766.08214849921023</v>
      </c>
      <c r="R163" s="53">
        <f t="shared" si="67"/>
        <v>80.632181041219809</v>
      </c>
      <c r="S163" s="53">
        <f t="shared" si="68"/>
        <v>1.3651295290184844</v>
      </c>
      <c r="T163">
        <f t="shared" si="62"/>
        <v>152</v>
      </c>
      <c r="U163">
        <f t="shared" si="63"/>
        <v>78.548121040753088</v>
      </c>
      <c r="V163">
        <f t="shared" si="64"/>
        <v>2.2036038511994223</v>
      </c>
      <c r="W163" s="53">
        <f t="shared" si="66"/>
        <v>309.41021590310692</v>
      </c>
      <c r="X163" s="53">
        <f t="shared" si="69"/>
        <v>76.8356631925828</v>
      </c>
      <c r="Y163" s="53">
        <f t="shared" si="70"/>
        <v>4.0064200101258596</v>
      </c>
    </row>
    <row r="164" spans="1:25" x14ac:dyDescent="0.2">
      <c r="N164">
        <f t="shared" si="59"/>
        <v>164</v>
      </c>
      <c r="O164">
        <f t="shared" si="60"/>
        <v>82.631734371213739</v>
      </c>
      <c r="P164">
        <f t="shared" si="61"/>
        <v>0.67732131602049894</v>
      </c>
      <c r="Q164" s="53">
        <f t="shared" si="65"/>
        <v>778.03844128488697</v>
      </c>
      <c r="R164" s="53">
        <f t="shared" si="67"/>
        <v>81.890612615908182</v>
      </c>
      <c r="S164" s="53">
        <f t="shared" si="68"/>
        <v>1.2029552434047039</v>
      </c>
      <c r="T164">
        <f t="shared" si="62"/>
        <v>164</v>
      </c>
      <c r="U164">
        <f t="shared" si="63"/>
        <v>80.776238999194135</v>
      </c>
      <c r="V164">
        <f t="shared" si="64"/>
        <v>2.0118773817594318</v>
      </c>
      <c r="W164" s="53">
        <f t="shared" si="66"/>
        <v>319.08109531332281</v>
      </c>
      <c r="X164" s="53">
        <f t="shared" si="69"/>
        <v>79.237227184161313</v>
      </c>
      <c r="Y164" s="53">
        <f t="shared" si="70"/>
        <v>3.658621611368349</v>
      </c>
    </row>
    <row r="165" spans="1:25" x14ac:dyDescent="0.2">
      <c r="N165">
        <f t="shared" si="59"/>
        <v>261</v>
      </c>
      <c r="O165">
        <f t="shared" si="60"/>
        <v>86.93022657166739</v>
      </c>
      <c r="P165">
        <f t="shared" si="61"/>
        <v>0.52198786337701819</v>
      </c>
      <c r="Q165" s="53">
        <f t="shared" si="65"/>
        <v>820.60558188520281</v>
      </c>
      <c r="R165" s="53">
        <f t="shared" si="67"/>
        <v>86.370917233390415</v>
      </c>
      <c r="S165" s="53">
        <f t="shared" si="68"/>
        <v>0.93345878771959601</v>
      </c>
      <c r="T165">
        <f t="shared" si="62"/>
        <v>261</v>
      </c>
      <c r="U165">
        <f t="shared" si="63"/>
        <v>87.621396459925677</v>
      </c>
      <c r="V165">
        <f t="shared" si="64"/>
        <v>1.1533109976737743</v>
      </c>
      <c r="W165" s="53">
        <f t="shared" si="66"/>
        <v>348.94154818325438</v>
      </c>
      <c r="X165" s="53">
        <f t="shared" si="69"/>
        <v>86.652456486772763</v>
      </c>
      <c r="Y165" s="53">
        <f t="shared" si="70"/>
        <v>2.0927998546411626</v>
      </c>
    </row>
    <row r="166" spans="1:25" x14ac:dyDescent="0.2">
      <c r="N166">
        <f t="shared" si="59"/>
        <v>384</v>
      </c>
      <c r="O166">
        <f t="shared" si="60"/>
        <v>91.161627495608002</v>
      </c>
      <c r="P166">
        <f t="shared" si="61"/>
        <v>0.36243377872850668</v>
      </c>
      <c r="Q166" s="53">
        <f t="shared" si="65"/>
        <v>862.52501316482358</v>
      </c>
      <c r="R166" s="53">
        <f t="shared" si="67"/>
        <v>90.783048724386575</v>
      </c>
      <c r="S166" s="53">
        <f t="shared" si="68"/>
        <v>0.64901955179348414</v>
      </c>
      <c r="T166">
        <f t="shared" si="62"/>
        <v>384</v>
      </c>
      <c r="U166">
        <f t="shared" si="63"/>
        <v>92.421531556857758</v>
      </c>
      <c r="V166">
        <f t="shared" si="64"/>
        <v>0.54507716246872651</v>
      </c>
      <c r="W166" s="53">
        <f t="shared" si="66"/>
        <v>369.87625065824119</v>
      </c>
      <c r="X166" s="53">
        <f t="shared" si="69"/>
        <v>91.851159262988574</v>
      </c>
      <c r="Y166" s="53">
        <f t="shared" si="70"/>
        <v>0.98400597992225292</v>
      </c>
    </row>
    <row r="167" spans="1:25" x14ac:dyDescent="0.2">
      <c r="N167">
        <f t="shared" si="59"/>
        <v>508</v>
      </c>
      <c r="O167">
        <f t="shared" si="60"/>
        <v>94.771195718957486</v>
      </c>
      <c r="P167">
        <f t="shared" si="61"/>
        <v>0.21403797116519233</v>
      </c>
      <c r="Q167" s="53">
        <f t="shared" si="65"/>
        <v>898.28857293312285</v>
      </c>
      <c r="R167" s="53">
        <f t="shared" si="67"/>
        <v>94.54725838723445</v>
      </c>
      <c r="S167" s="53">
        <f t="shared" si="68"/>
        <v>0.38844879588134151</v>
      </c>
      <c r="T167">
        <f t="shared" si="62"/>
        <v>508</v>
      </c>
      <c r="U167">
        <f t="shared" si="63"/>
        <v>95.874015184918349</v>
      </c>
      <c r="V167">
        <f t="shared" si="64"/>
        <v>0.20027268652068989</v>
      </c>
      <c r="W167" s="53">
        <f t="shared" si="66"/>
        <v>384.88151658767782</v>
      </c>
      <c r="X167" s="53">
        <f t="shared" si="69"/>
        <v>95.577408429339243</v>
      </c>
      <c r="Y167" s="53">
        <f t="shared" si="70"/>
        <v>0.36160001168838007</v>
      </c>
    </row>
    <row r="168" spans="1:25" x14ac:dyDescent="0.2">
      <c r="N168">
        <f>N144</f>
        <v>522</v>
      </c>
      <c r="O168">
        <f t="shared" si="60"/>
        <v>95.503106889713692</v>
      </c>
      <c r="P168">
        <f t="shared" si="61"/>
        <v>0.12983915491811321</v>
      </c>
      <c r="Q168" s="53">
        <f t="shared" si="65"/>
        <v>905.55292259083728</v>
      </c>
      <c r="R168" s="53">
        <f t="shared" si="67"/>
        <v>95.31185048469429</v>
      </c>
      <c r="S168" s="53">
        <f t="shared" si="68"/>
        <v>0.23521215420513508</v>
      </c>
      <c r="T168">
        <f>T144</f>
        <v>522</v>
      </c>
      <c r="U168">
        <f>AVERAGE(V94,V119,V144)</f>
        <v>96.617374143542804</v>
      </c>
      <c r="V168">
        <f>_xlfn.STDEV.S(V94,V119,V144)/SQRT(3)</f>
        <v>0.26346576022931872</v>
      </c>
      <c r="W168" s="53">
        <f>AVERAGE(W94,W119,W144)</f>
        <v>388.02790942601376</v>
      </c>
      <c r="X168" s="53">
        <f t="shared" si="69"/>
        <v>96.358750375959517</v>
      </c>
      <c r="Y168" s="53">
        <f t="shared" si="70"/>
        <v>0.47717242845980318</v>
      </c>
    </row>
    <row r="169" spans="1:25" x14ac:dyDescent="0.2">
      <c r="N169">
        <f>N145</f>
        <v>1107</v>
      </c>
      <c r="O169">
        <f t="shared" si="60"/>
        <v>100</v>
      </c>
      <c r="P169">
        <f t="shared" si="61"/>
        <v>0</v>
      </c>
      <c r="Q169" s="53">
        <f t="shared" si="65"/>
        <v>950.0947867298579</v>
      </c>
      <c r="R169" s="53">
        <f t="shared" si="67"/>
        <v>100</v>
      </c>
      <c r="S169" s="53">
        <f t="shared" si="68"/>
        <v>0</v>
      </c>
      <c r="T169">
        <f>T145</f>
        <v>1107</v>
      </c>
      <c r="U169">
        <f>AVERAGE(V95,V120,V145)</f>
        <v>100</v>
      </c>
      <c r="V169">
        <f>_xlfn.STDEV.S(V95,V120,V145)/SQRT(3)</f>
        <v>0</v>
      </c>
      <c r="W169" s="53">
        <f>AVERAGE(W95,W120,W145)</f>
        <v>402.69088994207482</v>
      </c>
      <c r="X169" s="53">
        <f t="shared" si="69"/>
        <v>100</v>
      </c>
      <c r="Y169" s="53">
        <f t="shared" si="70"/>
        <v>0</v>
      </c>
    </row>
    <row r="170" spans="1:25" x14ac:dyDescent="0.2">
      <c r="Q170" s="53"/>
      <c r="R170" s="53"/>
      <c r="S170" s="53"/>
      <c r="W170" s="53"/>
      <c r="X170" s="53"/>
      <c r="Y170" s="53"/>
    </row>
    <row r="171" spans="1:25" x14ac:dyDescent="0.2">
      <c r="N171" s="1" t="s">
        <v>46</v>
      </c>
    </row>
    <row r="172" spans="1:25" x14ac:dyDescent="0.2">
      <c r="A172" t="s">
        <v>57</v>
      </c>
      <c r="N172">
        <f t="shared" ref="N172:N190" si="71">N149</f>
        <v>0.33333333333333331</v>
      </c>
      <c r="O172">
        <f t="shared" ref="O172:O190" si="72">AVERAGE(P75,P125)</f>
        <v>4.0006363768027562</v>
      </c>
      <c r="P172">
        <f t="shared" ref="P172:P190" si="73">_xlfn.STDEV.S(P75,P125)/SQRT(3)</f>
        <v>0.16488635189761897</v>
      </c>
    </row>
    <row r="173" spans="1:25" x14ac:dyDescent="0.2">
      <c r="N173">
        <f t="shared" si="71"/>
        <v>0.66666666666666663</v>
      </c>
      <c r="O173">
        <f t="shared" si="72"/>
        <v>7.4525602931093289</v>
      </c>
      <c r="P173">
        <f t="shared" si="73"/>
        <v>0.38453832723730152</v>
      </c>
      <c r="Q173">
        <f t="shared" ref="Q173:Q190" si="74">AVERAGE(Q76,Q126)</f>
        <v>33.720379146919427</v>
      </c>
      <c r="R173" s="53">
        <f>Q173/$Q$190*100</f>
        <v>3.7931157038011114</v>
      </c>
      <c r="S173" s="53">
        <f t="shared" ref="S173:S189" si="75">_xlfn.STDEV.S(R76,R126)/SQRT(3)</f>
        <v>0.23498272496586856</v>
      </c>
    </row>
    <row r="174" spans="1:25" x14ac:dyDescent="0.2">
      <c r="N174">
        <f t="shared" si="71"/>
        <v>1</v>
      </c>
      <c r="O174">
        <f t="shared" si="72"/>
        <v>11.276290257289855</v>
      </c>
      <c r="P174">
        <f t="shared" si="73"/>
        <v>0.5866164626036583</v>
      </c>
      <c r="Q174">
        <f t="shared" si="74"/>
        <v>71.074249605055286</v>
      </c>
      <c r="R174" s="53">
        <f t="shared" ref="R174:R190" si="76">Q174/$Q$190*100</f>
        <v>7.994953174701898</v>
      </c>
      <c r="S174" s="53">
        <f t="shared" si="75"/>
        <v>0.45232438591476914</v>
      </c>
    </row>
    <row r="175" spans="1:25" x14ac:dyDescent="0.2">
      <c r="N175">
        <f t="shared" si="71"/>
        <v>2</v>
      </c>
      <c r="O175">
        <f t="shared" si="72"/>
        <v>20.645180331202376</v>
      </c>
      <c r="P175">
        <f t="shared" si="73"/>
        <v>0.6359003129768438</v>
      </c>
      <c r="Q175">
        <f t="shared" si="74"/>
        <v>162.61453396524487</v>
      </c>
      <c r="R175" s="53">
        <f t="shared" si="76"/>
        <v>18.292076128871749</v>
      </c>
      <c r="S175" s="53">
        <f t="shared" si="75"/>
        <v>0.52042476957659123</v>
      </c>
    </row>
    <row r="176" spans="1:25" x14ac:dyDescent="0.2">
      <c r="N176">
        <f t="shared" si="71"/>
        <v>4</v>
      </c>
      <c r="O176">
        <f t="shared" si="72"/>
        <v>30.740153552337688</v>
      </c>
      <c r="P176">
        <f t="shared" si="73"/>
        <v>0.71996080127995654</v>
      </c>
      <c r="Q176">
        <f t="shared" si="74"/>
        <v>261.24802527646131</v>
      </c>
      <c r="R176" s="53">
        <f t="shared" si="76"/>
        <v>29.387095054466617</v>
      </c>
      <c r="S176" s="53">
        <f t="shared" si="75"/>
        <v>0.62605029933735612</v>
      </c>
    </row>
    <row r="177" spans="14:19" x14ac:dyDescent="0.2">
      <c r="N177">
        <f t="shared" si="71"/>
        <v>8</v>
      </c>
      <c r="O177">
        <f t="shared" si="72"/>
        <v>42.241618521336939</v>
      </c>
      <c r="P177">
        <f t="shared" si="73"/>
        <v>1.2048167736374744</v>
      </c>
      <c r="Q177">
        <f t="shared" si="74"/>
        <v>373.60979462875201</v>
      </c>
      <c r="R177" s="53">
        <f t="shared" si="76"/>
        <v>42.026371439233735</v>
      </c>
      <c r="S177" s="53">
        <f t="shared" si="75"/>
        <v>1.1516921831135776</v>
      </c>
    </row>
    <row r="178" spans="14:19" x14ac:dyDescent="0.2">
      <c r="N178">
        <f t="shared" si="71"/>
        <v>21</v>
      </c>
      <c r="O178">
        <f t="shared" si="72"/>
        <v>56.278311735430634</v>
      </c>
      <c r="P178">
        <f t="shared" si="73"/>
        <v>1.7011449421042444</v>
      </c>
      <c r="Q178">
        <f t="shared" si="74"/>
        <v>510.74249605055297</v>
      </c>
      <c r="R178" s="53">
        <f t="shared" si="76"/>
        <v>57.452064044923858</v>
      </c>
      <c r="S178" s="53">
        <f t="shared" si="75"/>
        <v>1.6938203399941762</v>
      </c>
    </row>
    <row r="179" spans="14:19" x14ac:dyDescent="0.2">
      <c r="N179">
        <f t="shared" si="71"/>
        <v>24</v>
      </c>
      <c r="O179">
        <f t="shared" si="72"/>
        <v>62.790326765199509</v>
      </c>
      <c r="P179">
        <f t="shared" si="73"/>
        <v>2.2081389330299803</v>
      </c>
      <c r="Q179">
        <f t="shared" si="74"/>
        <v>574.35229067930504</v>
      </c>
      <c r="R179" s="53">
        <f t="shared" si="76"/>
        <v>64.607360545910126</v>
      </c>
      <c r="S179" s="53">
        <f t="shared" si="75"/>
        <v>2.2335959751708865</v>
      </c>
    </row>
    <row r="180" spans="14:19" x14ac:dyDescent="0.2">
      <c r="N180">
        <f t="shared" si="71"/>
        <v>48</v>
      </c>
      <c r="O180">
        <f t="shared" si="72"/>
        <v>67.598721789631412</v>
      </c>
      <c r="P180">
        <f t="shared" si="73"/>
        <v>2.194139607492545</v>
      </c>
      <c r="Q180">
        <f t="shared" si="74"/>
        <v>621.33491311216449</v>
      </c>
      <c r="R180" s="53">
        <f t="shared" si="76"/>
        <v>69.892310699625057</v>
      </c>
      <c r="S180" s="53">
        <f t="shared" si="75"/>
        <v>2.2276161859601404</v>
      </c>
    </row>
    <row r="181" spans="14:19" x14ac:dyDescent="0.2">
      <c r="N181">
        <f t="shared" si="71"/>
        <v>68</v>
      </c>
      <c r="O181">
        <f t="shared" si="72"/>
        <v>71.633471366327029</v>
      </c>
      <c r="P181">
        <f t="shared" si="73"/>
        <v>1.7406262640989387</v>
      </c>
      <c r="Q181">
        <f t="shared" si="74"/>
        <v>660.77409162717231</v>
      </c>
      <c r="R181" s="53">
        <f t="shared" si="76"/>
        <v>74.328718923817831</v>
      </c>
      <c r="S181" s="53">
        <f t="shared" si="75"/>
        <v>1.7624200560803867</v>
      </c>
    </row>
    <row r="182" spans="14:19" x14ac:dyDescent="0.2">
      <c r="N182">
        <f t="shared" si="71"/>
        <v>72</v>
      </c>
      <c r="O182">
        <f t="shared" si="72"/>
        <v>72.930329679451461</v>
      </c>
      <c r="P182">
        <f t="shared" si="73"/>
        <v>1.5642552242267742</v>
      </c>
      <c r="Q182">
        <f t="shared" si="74"/>
        <v>673.45181674565572</v>
      </c>
      <c r="R182" s="53">
        <f t="shared" si="76"/>
        <v>75.754802480763431</v>
      </c>
      <c r="S182" s="53">
        <f t="shared" si="75"/>
        <v>1.5810184830057916</v>
      </c>
    </row>
    <row r="183" spans="14:19" x14ac:dyDescent="0.2">
      <c r="N183">
        <f t="shared" si="71"/>
        <v>94</v>
      </c>
      <c r="O183">
        <f t="shared" si="72"/>
        <v>75.802121437531824</v>
      </c>
      <c r="P183">
        <f t="shared" si="73"/>
        <v>1.2062516679392723</v>
      </c>
      <c r="Q183">
        <f t="shared" si="74"/>
        <v>701.52448657188006</v>
      </c>
      <c r="R183" s="53">
        <f t="shared" si="76"/>
        <v>78.912622394398753</v>
      </c>
      <c r="S183" s="53">
        <f t="shared" si="75"/>
        <v>1.2132320932934906</v>
      </c>
    </row>
    <row r="184" spans="14:19" x14ac:dyDescent="0.2">
      <c r="N184">
        <f t="shared" si="71"/>
        <v>96</v>
      </c>
      <c r="O184">
        <f t="shared" si="72"/>
        <v>76.788049520715873</v>
      </c>
      <c r="P184">
        <f t="shared" si="73"/>
        <v>1.1142699336410924</v>
      </c>
      <c r="Q184">
        <f t="shared" si="74"/>
        <v>711.16113744075847</v>
      </c>
      <c r="R184" s="53">
        <f t="shared" si="76"/>
        <v>79.996623602793534</v>
      </c>
      <c r="S184" s="53">
        <f t="shared" si="75"/>
        <v>1.1191807136956438</v>
      </c>
    </row>
    <row r="185" spans="14:19" x14ac:dyDescent="0.2">
      <c r="N185">
        <f t="shared" si="71"/>
        <v>117</v>
      </c>
      <c r="O185">
        <f t="shared" si="72"/>
        <v>78.984022136164242</v>
      </c>
      <c r="P185">
        <f t="shared" si="73"/>
        <v>0.9810189237661342</v>
      </c>
      <c r="Q185">
        <f t="shared" si="74"/>
        <v>732.62243285939985</v>
      </c>
      <c r="R185" s="53">
        <f t="shared" si="76"/>
        <v>82.41074760542358</v>
      </c>
      <c r="S185" s="53">
        <f t="shared" si="75"/>
        <v>0.98430499714612707</v>
      </c>
    </row>
    <row r="186" spans="14:19" x14ac:dyDescent="0.2">
      <c r="N186">
        <f t="shared" si="71"/>
        <v>152</v>
      </c>
      <c r="O186">
        <f t="shared" si="72"/>
        <v>82.01694845022169</v>
      </c>
      <c r="P186">
        <f t="shared" si="73"/>
        <v>0.69403609333022753</v>
      </c>
      <c r="Q186">
        <f t="shared" si="74"/>
        <v>762.26698262243303</v>
      </c>
      <c r="R186" s="53">
        <f t="shared" si="76"/>
        <v>85.745384109608523</v>
      </c>
      <c r="S186" s="53">
        <f t="shared" si="75"/>
        <v>0.69078764397460435</v>
      </c>
    </row>
    <row r="187" spans="14:19" x14ac:dyDescent="0.2">
      <c r="N187">
        <f t="shared" si="71"/>
        <v>164</v>
      </c>
      <c r="O187">
        <f t="shared" si="72"/>
        <v>83.169338758902825</v>
      </c>
      <c r="P187">
        <f t="shared" si="73"/>
        <v>0.58265888386462183</v>
      </c>
      <c r="Q187">
        <f t="shared" si="74"/>
        <v>773.53080568720384</v>
      </c>
      <c r="R187" s="53">
        <f t="shared" si="76"/>
        <v>87.01242158761751</v>
      </c>
      <c r="S187" s="53">
        <f t="shared" si="75"/>
        <v>0.57683024914207348</v>
      </c>
    </row>
    <row r="188" spans="14:19" x14ac:dyDescent="0.2">
      <c r="N188">
        <f t="shared" si="71"/>
        <v>261</v>
      </c>
      <c r="O188">
        <f t="shared" si="72"/>
        <v>87.408419839137764</v>
      </c>
      <c r="P188">
        <f t="shared" si="73"/>
        <v>0.29598151448668747</v>
      </c>
      <c r="Q188">
        <f t="shared" si="74"/>
        <v>814.960505529226</v>
      </c>
      <c r="R188" s="53">
        <f t="shared" si="76"/>
        <v>91.672738258134459</v>
      </c>
      <c r="S188" s="53">
        <f t="shared" si="75"/>
        <v>0.28578909564220645</v>
      </c>
    </row>
    <row r="189" spans="14:19" x14ac:dyDescent="0.2">
      <c r="N189">
        <f t="shared" si="71"/>
        <v>384</v>
      </c>
      <c r="O189">
        <f t="shared" si="72"/>
        <v>91.499399466837701</v>
      </c>
      <c r="P189">
        <f t="shared" si="73"/>
        <v>0.18584046607255408</v>
      </c>
      <c r="Q189">
        <f t="shared" si="74"/>
        <v>854.93680884676155</v>
      </c>
      <c r="R189" s="53">
        <f t="shared" si="76"/>
        <v>96.169566221811536</v>
      </c>
      <c r="S189" s="53">
        <f t="shared" si="75"/>
        <v>0.17837699826379722</v>
      </c>
    </row>
    <row r="190" spans="14:19" x14ac:dyDescent="0.2">
      <c r="N190">
        <f t="shared" si="71"/>
        <v>508</v>
      </c>
      <c r="O190">
        <f t="shared" si="72"/>
        <v>94.983656950597123</v>
      </c>
      <c r="P190">
        <f t="shared" si="73"/>
        <v>3.6673645869517393E-2</v>
      </c>
      <c r="Q190">
        <f t="shared" si="74"/>
        <v>888.98894154818333</v>
      </c>
      <c r="R190" s="53">
        <f t="shared" si="76"/>
        <v>100</v>
      </c>
      <c r="S190" s="53">
        <f>_xlfn.STDEV.S(R93,R143)/SQRT(3)</f>
        <v>4.7177192414361205E-2</v>
      </c>
    </row>
    <row r="191" spans="14:19" x14ac:dyDescent="0.2">
      <c r="R191" s="53"/>
      <c r="S191" s="53"/>
    </row>
    <row r="192" spans="14:19" x14ac:dyDescent="0.2">
      <c r="R192" s="53"/>
      <c r="S192" s="53"/>
    </row>
    <row r="193" spans="20:20" x14ac:dyDescent="0.2">
      <c r="T193" s="1" t="s">
        <v>47</v>
      </c>
    </row>
    <row r="194" spans="20:20" x14ac:dyDescent="0.2">
      <c r="T194">
        <f t="shared" ref="T194:T214" si="77">T149/24</f>
        <v>1.3888888888888888E-2</v>
      </c>
    </row>
    <row r="195" spans="20:20" x14ac:dyDescent="0.2">
      <c r="T195">
        <f t="shared" si="77"/>
        <v>2.7777777777777776E-2</v>
      </c>
    </row>
    <row r="196" spans="20:20" x14ac:dyDescent="0.2">
      <c r="T196">
        <f t="shared" si="77"/>
        <v>4.1666666666666664E-2</v>
      </c>
    </row>
    <row r="197" spans="20:20" x14ac:dyDescent="0.2">
      <c r="T197">
        <f t="shared" si="77"/>
        <v>8.3333333333333329E-2</v>
      </c>
    </row>
    <row r="198" spans="20:20" x14ac:dyDescent="0.2">
      <c r="T198">
        <f t="shared" si="77"/>
        <v>0.16666666666666666</v>
      </c>
    </row>
    <row r="199" spans="20:20" x14ac:dyDescent="0.2">
      <c r="T199">
        <f t="shared" si="77"/>
        <v>0.33333333333333331</v>
      </c>
    </row>
    <row r="200" spans="20:20" x14ac:dyDescent="0.2">
      <c r="T200">
        <f t="shared" si="77"/>
        <v>0.875</v>
      </c>
    </row>
    <row r="201" spans="20:20" x14ac:dyDescent="0.2">
      <c r="T201">
        <f t="shared" si="77"/>
        <v>1</v>
      </c>
    </row>
    <row r="202" spans="20:20" x14ac:dyDescent="0.2">
      <c r="T202">
        <f t="shared" si="77"/>
        <v>2</v>
      </c>
    </row>
    <row r="203" spans="20:20" x14ac:dyDescent="0.2">
      <c r="T203">
        <f t="shared" si="77"/>
        <v>2.8333333333333335</v>
      </c>
    </row>
    <row r="204" spans="20:20" x14ac:dyDescent="0.2">
      <c r="T204">
        <f t="shared" si="77"/>
        <v>3</v>
      </c>
    </row>
    <row r="205" spans="20:20" x14ac:dyDescent="0.2">
      <c r="T205">
        <f t="shared" si="77"/>
        <v>3.9166666666666665</v>
      </c>
    </row>
    <row r="206" spans="20:20" x14ac:dyDescent="0.2">
      <c r="T206">
        <f t="shared" si="77"/>
        <v>4</v>
      </c>
    </row>
    <row r="207" spans="20:20" x14ac:dyDescent="0.2">
      <c r="T207">
        <f t="shared" si="77"/>
        <v>4.875</v>
      </c>
    </row>
    <row r="208" spans="20:20" x14ac:dyDescent="0.2">
      <c r="T208">
        <f t="shared" si="77"/>
        <v>6.333333333333333</v>
      </c>
    </row>
    <row r="209" spans="20:20" x14ac:dyDescent="0.2">
      <c r="T209">
        <f t="shared" si="77"/>
        <v>6.833333333333333</v>
      </c>
    </row>
    <row r="210" spans="20:20" x14ac:dyDescent="0.2">
      <c r="T210">
        <f t="shared" si="77"/>
        <v>10.875</v>
      </c>
    </row>
    <row r="211" spans="20:20" x14ac:dyDescent="0.2">
      <c r="T211">
        <f t="shared" si="77"/>
        <v>16</v>
      </c>
    </row>
    <row r="212" spans="20:20" x14ac:dyDescent="0.2">
      <c r="T212">
        <f t="shared" si="77"/>
        <v>21.166666666666668</v>
      </c>
    </row>
    <row r="213" spans="20:20" x14ac:dyDescent="0.2">
      <c r="T213">
        <f t="shared" si="77"/>
        <v>21.75</v>
      </c>
    </row>
    <row r="214" spans="20:20" x14ac:dyDescent="0.2">
      <c r="T214">
        <f t="shared" si="77"/>
        <v>46.125</v>
      </c>
    </row>
  </sheetData>
  <mergeCells count="4">
    <mergeCell ref="D4:O4"/>
    <mergeCell ref="P4:S4"/>
    <mergeCell ref="D5:O5"/>
    <mergeCell ref="P5:S5"/>
  </mergeCells>
  <hyperlinks>
    <hyperlink ref="B31" r:id="rId1"/>
  </hyperlinks>
  <printOptions gridLines="1"/>
  <pageMargins left="0.74803149606299213" right="0.74803149606299213" top="0.98425196850393704" bottom="0.98425196850393704" header="0.51181102362204722" footer="0.51181102362204722"/>
  <pageSetup paperSize="9" scale="26" fitToHeight="0" orientation="landscape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Error Calcs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M.J. Fantham</cp:lastModifiedBy>
  <cp:lastPrinted>2016-01-19T13:39:14Z</cp:lastPrinted>
  <dcterms:created xsi:type="dcterms:W3CDTF">2014-12-15T18:43:49Z</dcterms:created>
  <dcterms:modified xsi:type="dcterms:W3CDTF">2018-08-29T14:42:43Z</dcterms:modified>
</cp:coreProperties>
</file>