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ob-my.sharepoint.com/personal/mb18141_bristol_ac_uk/Documents/Documents/MByRes Research/r/rdata/3 treatment visitation/"/>
    </mc:Choice>
  </mc:AlternateContent>
  <xr:revisionPtr revIDLastSave="123" documentId="11_12EA71AD426764CCD1563BBA3ACDC1223DDB71F6" xr6:coauthVersionLast="47" xr6:coauthVersionMax="47" xr10:uidLastSave="{BD1BD132-D285-4879-B406-F03ED3EB5D1A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="1" iterateCount="5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" i="1"/>
  <c r="V3" i="1"/>
  <c r="AM3" i="1"/>
  <c r="V4" i="1"/>
  <c r="AM4" i="1"/>
  <c r="V5" i="1"/>
  <c r="AM5" i="1"/>
  <c r="V6" i="1"/>
  <c r="AM6" i="1"/>
  <c r="V7" i="1"/>
  <c r="AM7" i="1"/>
  <c r="V8" i="1"/>
  <c r="AM8" i="1"/>
  <c r="V9" i="1"/>
  <c r="AM9" i="1"/>
  <c r="V10" i="1"/>
  <c r="AM10" i="1"/>
  <c r="V11" i="1"/>
  <c r="AM11" i="1"/>
  <c r="V12" i="1"/>
  <c r="AM12" i="1"/>
  <c r="AF13" i="1"/>
  <c r="V13" i="1"/>
  <c r="AM13" i="1"/>
  <c r="V14" i="1"/>
  <c r="AM14" i="1"/>
  <c r="V15" i="1"/>
  <c r="AM15" i="1"/>
  <c r="V16" i="1"/>
  <c r="AM16" i="1"/>
  <c r="V17" i="1"/>
  <c r="AM17" i="1"/>
  <c r="V18" i="1"/>
  <c r="AM18" i="1"/>
  <c r="V19" i="1"/>
  <c r="AM19" i="1"/>
  <c r="V20" i="1"/>
  <c r="AM20" i="1"/>
  <c r="V21" i="1"/>
  <c r="AM21" i="1"/>
  <c r="V22" i="1"/>
  <c r="AM22" i="1"/>
  <c r="V2" i="1"/>
  <c r="AM2" i="1"/>
  <c r="AK22" i="1"/>
  <c r="AK3" i="1"/>
  <c r="AK4" i="1"/>
  <c r="AK5" i="1"/>
  <c r="AK6" i="1"/>
  <c r="AK7" i="1"/>
  <c r="AK8" i="1"/>
  <c r="AK9" i="1"/>
  <c r="AK10" i="1"/>
  <c r="AK11" i="1"/>
  <c r="AK12" i="1"/>
  <c r="AD13" i="1"/>
  <c r="AK13" i="1"/>
  <c r="AK14" i="1"/>
  <c r="AK15" i="1"/>
  <c r="AK16" i="1"/>
  <c r="AK17" i="1"/>
  <c r="AK18" i="1"/>
  <c r="AK19" i="1"/>
  <c r="AK20" i="1"/>
  <c r="AK21" i="1"/>
  <c r="AK2" i="1"/>
  <c r="AJ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W2" i="1"/>
  <c r="W22" i="1"/>
  <c r="AH3" i="1"/>
  <c r="AN3" i="1"/>
  <c r="AN4" i="1"/>
  <c r="AN5" i="1"/>
  <c r="AN6" i="1"/>
  <c r="AN7" i="1"/>
  <c r="AN8" i="1"/>
  <c r="AN9" i="1"/>
  <c r="AN10" i="1"/>
  <c r="AN11" i="1"/>
  <c r="AN12" i="1"/>
  <c r="AH13" i="1"/>
  <c r="AN13" i="1"/>
  <c r="AN14" i="1"/>
  <c r="AN15" i="1"/>
  <c r="AN16" i="1"/>
  <c r="AN17" i="1"/>
  <c r="AN18" i="1"/>
  <c r="AN19" i="1"/>
  <c r="AN20" i="1"/>
  <c r="AN21" i="1"/>
  <c r="AN2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N2" i="1"/>
  <c r="AL2" i="1"/>
  <c r="AI22" i="1"/>
  <c r="AG22" i="1"/>
  <c r="AE22" i="1"/>
  <c r="AI21" i="1"/>
  <c r="AG21" i="1"/>
  <c r="AE21" i="1"/>
  <c r="AI20" i="1"/>
  <c r="AG20" i="1"/>
  <c r="AE20" i="1"/>
  <c r="AG18" i="1"/>
  <c r="AE18" i="1"/>
  <c r="AI17" i="1"/>
  <c r="AG17" i="1"/>
  <c r="AE17" i="1"/>
  <c r="AI16" i="1"/>
  <c r="AG16" i="1"/>
  <c r="AE16" i="1"/>
  <c r="AG15" i="1"/>
  <c r="AG14" i="1"/>
  <c r="AI12" i="1"/>
  <c r="AG12" i="1"/>
  <c r="AE12" i="1"/>
  <c r="AI11" i="1"/>
  <c r="AG11" i="1"/>
  <c r="AE11" i="1"/>
  <c r="AI10" i="1"/>
  <c r="AE10" i="1"/>
  <c r="AI8" i="1"/>
  <c r="AG8" i="1"/>
  <c r="AE8" i="1"/>
  <c r="AI7" i="1"/>
  <c r="AE7" i="1"/>
  <c r="AG6" i="1"/>
  <c r="AE6" i="1"/>
  <c r="AG5" i="1"/>
  <c r="AI3" i="1"/>
  <c r="AG3" i="1"/>
  <c r="AE3" i="1"/>
  <c r="AI2" i="1"/>
  <c r="AG2" i="1"/>
  <c r="AE2" i="1"/>
  <c r="W6" i="1"/>
  <c r="W15" i="1"/>
  <c r="W9" i="1"/>
  <c r="W5" i="1"/>
  <c r="W13" i="1"/>
  <c r="W3" i="1"/>
  <c r="W12" i="1"/>
  <c r="W14" i="1"/>
  <c r="W17" i="1"/>
  <c r="W19" i="1"/>
  <c r="W7" i="1"/>
  <c r="W11" i="1"/>
  <c r="W18" i="1"/>
  <c r="W21" i="1"/>
  <c r="W16" i="1"/>
  <c r="W20" i="1"/>
  <c r="W8" i="1"/>
  <c r="W10" i="1"/>
  <c r="W4" i="1"/>
  <c r="AC9" i="1"/>
  <c r="AC20" i="1"/>
  <c r="AC8" i="1"/>
  <c r="AC10" i="1"/>
  <c r="AC5" i="1"/>
  <c r="AC2" i="1"/>
  <c r="AC13" i="1"/>
  <c r="AC3" i="1"/>
  <c r="AC12" i="1"/>
  <c r="AC14" i="1"/>
  <c r="AC17" i="1"/>
  <c r="AC19" i="1"/>
  <c r="AC7" i="1"/>
  <c r="AC11" i="1"/>
  <c r="AC6" i="1"/>
  <c r="AC15" i="1"/>
  <c r="AC18" i="1"/>
  <c r="AC22" i="1"/>
  <c r="AC21" i="1"/>
  <c r="AC16" i="1"/>
  <c r="AC4" i="1"/>
</calcChain>
</file>

<file path=xl/sharedStrings.xml><?xml version="1.0" encoding="utf-8"?>
<sst xmlns="http://schemas.openxmlformats.org/spreadsheetml/2006/main" count="462" uniqueCount="421">
  <si>
    <t>visitation.freq</t>
    <phoneticPr fontId="1" type="noConversion"/>
  </si>
  <si>
    <t>1.366667</t>
  </si>
  <si>
    <t>6.874762</t>
  </si>
  <si>
    <t>4.211552</t>
  </si>
  <si>
    <t>0.5361962</t>
  </si>
  <si>
    <t>3.950537</t>
  </si>
  <si>
    <t>0.07164179</t>
  </si>
  <si>
    <t xml:space="preserve">0.5402299 </t>
  </si>
  <si>
    <t>1.103448</t>
  </si>
  <si>
    <t xml:space="preserve">6.081013 </t>
  </si>
  <si>
    <t>5.840665</t>
  </si>
  <si>
    <t>0.5455689</t>
  </si>
  <si>
    <t xml:space="preserve">3.928328 </t>
  </si>
  <si>
    <t>0.06938776</t>
  </si>
  <si>
    <t>1.120879</t>
  </si>
  <si>
    <t>5.518003</t>
  </si>
  <si>
    <t>5.198409</t>
  </si>
  <si>
    <t>0.5235209</t>
  </si>
  <si>
    <t>3.818047</t>
  </si>
  <si>
    <t>0.08996212</t>
  </si>
  <si>
    <t>0.6097561</t>
  </si>
  <si>
    <t>1.158537</t>
  </si>
  <si>
    <t>10.28542</t>
  </si>
  <si>
    <t>2.79046</t>
  </si>
  <si>
    <t>0.4559974</t>
  </si>
  <si>
    <t>3.174765</t>
  </si>
  <si>
    <t>0.06411765</t>
  </si>
  <si>
    <t>0.6190476</t>
  </si>
  <si>
    <t>1.038095</t>
  </si>
  <si>
    <t>5.738529</t>
  </si>
  <si>
    <t>5.148446</t>
  </si>
  <si>
    <t>0.5249826</t>
  </si>
  <si>
    <t>3.905022</t>
  </si>
  <si>
    <t>0.0587963</t>
  </si>
  <si>
    <t>0.4953271</t>
  </si>
  <si>
    <t>1.186916</t>
  </si>
  <si>
    <t>4.462876</t>
  </si>
  <si>
    <t>4.461727</t>
  </si>
  <si>
    <t>0.5111491</t>
  </si>
  <si>
    <t>3.924533</t>
  </si>
  <si>
    <t xml:space="preserve">0.06907895 </t>
  </si>
  <si>
    <t>0.5833333</t>
  </si>
  <si>
    <t>1.09375</t>
  </si>
  <si>
    <t xml:space="preserve">9.983241 </t>
  </si>
  <si>
    <t xml:space="preserve">2.656525 </t>
  </si>
  <si>
    <t>0.4305432</t>
  </si>
  <si>
    <t>3.15436</t>
  </si>
  <si>
    <t>EF</t>
  </si>
  <si>
    <t>0.07656396</t>
  </si>
  <si>
    <t>0.575</t>
  </si>
  <si>
    <t>1.025</t>
  </si>
  <si>
    <t>10.25888</t>
  </si>
  <si>
    <t>3.460506</t>
  </si>
  <si>
    <t>0.492095</t>
  </si>
  <si>
    <t>3.433026</t>
  </si>
  <si>
    <t>0.06628788</t>
  </si>
  <si>
    <t>0.5319149</t>
  </si>
  <si>
    <t>7.423357</t>
  </si>
  <si>
    <t>4.284982</t>
  </si>
  <si>
    <t xml:space="preserve">0.557548 </t>
  </si>
  <si>
    <t>4.107851</t>
  </si>
  <si>
    <t>0.09417989</t>
  </si>
  <si>
    <t>0.3636364</t>
  </si>
  <si>
    <t xml:space="preserve">1.348485 </t>
  </si>
  <si>
    <t xml:space="preserve">7.255216 </t>
  </si>
  <si>
    <t>4.382218</t>
  </si>
  <si>
    <t>0.5378188</t>
  </si>
  <si>
    <t xml:space="preserve">3.684696 </t>
  </si>
  <si>
    <t>site</t>
    <phoneticPr fontId="1" type="noConversion"/>
  </si>
  <si>
    <t>veg.type</t>
    <phoneticPr fontId="1" type="noConversion"/>
  </si>
  <si>
    <t>connectance</t>
    <phoneticPr fontId="1" type="noConversion"/>
  </si>
  <si>
    <t>links.per.species</t>
    <phoneticPr fontId="1" type="noConversion"/>
  </si>
  <si>
    <t>web.asymmetry</t>
    <phoneticPr fontId="1" type="noConversion"/>
  </si>
  <si>
    <t>nestedness</t>
    <phoneticPr fontId="1" type="noConversion"/>
  </si>
  <si>
    <t>linkage.density</t>
    <phoneticPr fontId="1" type="noConversion"/>
  </si>
  <si>
    <t>shannon.diversity</t>
    <phoneticPr fontId="1" type="noConversion"/>
  </si>
  <si>
    <t>interaction.evenness</t>
    <phoneticPr fontId="1" type="noConversion"/>
  </si>
  <si>
    <t>AS</t>
  </si>
  <si>
    <t xml:space="preserve">0.05672691 </t>
  </si>
  <si>
    <t>0.5514019</t>
  </si>
  <si>
    <t>1.056075</t>
  </si>
  <si>
    <t xml:space="preserve">5.769314 </t>
  </si>
  <si>
    <t>4.893871</t>
  </si>
  <si>
    <t>0.7623828</t>
    <phoneticPr fontId="1" type="noConversion"/>
  </si>
  <si>
    <t>0.5557126</t>
  </si>
  <si>
    <t>0.7198835</t>
  </si>
  <si>
    <t>0.5368852</t>
  </si>
  <si>
    <t>0.6513792</t>
  </si>
  <si>
    <t>0.5749792</t>
  </si>
  <si>
    <t>0.6982804</t>
  </si>
  <si>
    <t>0.5432174</t>
  </si>
  <si>
    <t>0.6703662</t>
  </si>
  <si>
    <t>0.5395575</t>
  </si>
  <si>
    <t>0.7212636</t>
  </si>
  <si>
    <t>0.6040151</t>
  </si>
  <si>
    <t>0.6833914</t>
    <phoneticPr fontId="1" type="noConversion"/>
  </si>
  <si>
    <t>0.5477713</t>
  </si>
  <si>
    <t>0.7083411</t>
  </si>
  <si>
    <t>0.5515516</t>
  </si>
  <si>
    <t>0.7140185</t>
  </si>
  <si>
    <t>0.5750244</t>
  </si>
  <si>
    <t>0.7319971</t>
  </si>
  <si>
    <t>0.5495576</t>
  </si>
  <si>
    <t>robustness.plants</t>
    <phoneticPr fontId="1" type="noConversion"/>
  </si>
  <si>
    <t>robusteness.insects</t>
    <phoneticPr fontId="1" type="noConversion"/>
  </si>
  <si>
    <t>0.7705776</t>
  </si>
  <si>
    <t>0.5535795</t>
  </si>
  <si>
    <t>0.7191801</t>
  </si>
  <si>
    <t>0.5478242</t>
  </si>
  <si>
    <t>0.6726199</t>
  </si>
  <si>
    <t>0.5708426</t>
  </si>
  <si>
    <t>0.6749197</t>
  </si>
  <si>
    <t>0.5399009</t>
  </si>
  <si>
    <t>0.7102668</t>
  </si>
  <si>
    <t>0.5448292</t>
  </si>
  <si>
    <t>0.7090004</t>
  </si>
  <si>
    <t>0.5443105</t>
  </si>
  <si>
    <t>0.7514773</t>
  </si>
  <si>
    <t>0.5520277</t>
  </si>
  <si>
    <t>0.6947202</t>
  </si>
  <si>
    <t>0.5667237</t>
    <phoneticPr fontId="1" type="noConversion"/>
  </si>
  <si>
    <t>0.8165488</t>
  </si>
  <si>
    <t>0.5849068</t>
  </si>
  <si>
    <t>0.7632402</t>
  </si>
  <si>
    <t>0.5507940</t>
  </si>
  <si>
    <t xml:space="preserve">0.7068367 </t>
  </si>
  <si>
    <t>0.5359640</t>
  </si>
  <si>
    <t>0.5449188</t>
  </si>
  <si>
    <t>4.13969</t>
  </si>
  <si>
    <t xml:space="preserve">0.06566265 </t>
  </si>
  <si>
    <t>0.6116505</t>
  </si>
  <si>
    <t>1.058252</t>
  </si>
  <si>
    <t>5.439386</t>
  </si>
  <si>
    <t>4.527115</t>
  </si>
  <si>
    <t>0.531767</t>
  </si>
  <si>
    <t>3.942825</t>
  </si>
  <si>
    <t>0.07368421</t>
  </si>
  <si>
    <t xml:space="preserve">0.5957447 </t>
  </si>
  <si>
    <t>1.117021</t>
  </si>
  <si>
    <t>7.126613</t>
  </si>
  <si>
    <t>3.742091</t>
  </si>
  <si>
    <t xml:space="preserve">0.4864397 </t>
  </si>
  <si>
    <t>3.532489</t>
  </si>
  <si>
    <t>OS</t>
  </si>
  <si>
    <t>0.06079404</t>
  </si>
  <si>
    <t xml:space="preserve">0.4090909 </t>
  </si>
  <si>
    <t>1.113636</t>
  </si>
  <si>
    <t>4.621359</t>
  </si>
  <si>
    <t>3.971001</t>
  </si>
  <si>
    <t>0.5307156</t>
  </si>
  <si>
    <t xml:space="preserve">3.919457 </t>
  </si>
  <si>
    <t>0.04588235</t>
  </si>
  <si>
    <t>0.4925373</t>
  </si>
  <si>
    <t xml:space="preserve">1.164179 </t>
  </si>
  <si>
    <t>3.12481</t>
  </si>
  <si>
    <t>6.076661</t>
  </si>
  <si>
    <t>0.5416797</t>
  </si>
  <si>
    <t>4.404685</t>
  </si>
  <si>
    <t>0.06670637</t>
  </si>
  <si>
    <t>0.5208333</t>
  </si>
  <si>
    <t>1.166667</t>
  </si>
  <si>
    <t xml:space="preserve">4.91916 </t>
  </si>
  <si>
    <t>5.200054</t>
  </si>
  <si>
    <t>0.5348044</t>
  </si>
  <si>
    <t>3.971433</t>
  </si>
  <si>
    <t>0.06864564</t>
  </si>
  <si>
    <t>insectdiv</t>
    <phoneticPr fontId="1" type="noConversion"/>
  </si>
  <si>
    <t xml:space="preserve">0.3802817 </t>
  </si>
  <si>
    <t xml:space="preserve">1.042254 </t>
  </si>
  <si>
    <t>7.487677</t>
  </si>
  <si>
    <t xml:space="preserve">3.196167 </t>
  </si>
  <si>
    <t>0.5204481</t>
  </si>
  <si>
    <t xml:space="preserve">3.634218 </t>
  </si>
  <si>
    <t>0.1071429</t>
  </si>
  <si>
    <t>0.5774648</t>
  </si>
  <si>
    <t>1.267606</t>
  </si>
  <si>
    <t>8.864559</t>
  </si>
  <si>
    <t>4.427376</t>
  </si>
  <si>
    <t>0.5673859</t>
  </si>
  <si>
    <t>3.820438</t>
  </si>
  <si>
    <t>0.1235431</t>
  </si>
  <si>
    <t xml:space="preserve">0.6708861 </t>
  </si>
  <si>
    <t xml:space="preserve">1.341772 </t>
  </si>
  <si>
    <t xml:space="preserve">21.57446 </t>
  </si>
  <si>
    <t>4.270997</t>
  </si>
  <si>
    <t>0.5538146</t>
  </si>
  <si>
    <t>3.740798</t>
  </si>
  <si>
    <t>0.06802721</t>
  </si>
  <si>
    <t>0.5384615</t>
  </si>
  <si>
    <t>1.098901</t>
  </si>
  <si>
    <t>7.023053</t>
  </si>
  <si>
    <t>5.60406</t>
  </si>
  <si>
    <t>0.5598126</t>
  </si>
  <si>
    <t>4.082723</t>
  </si>
  <si>
    <t>0.07301587</t>
  </si>
  <si>
    <t>0.5180723</t>
  </si>
  <si>
    <t>1.108434</t>
  </si>
  <si>
    <t xml:space="preserve">15.31276 </t>
  </si>
  <si>
    <t>3.09983</t>
  </si>
  <si>
    <t>0.5347988</t>
  </si>
  <si>
    <t>3.817857</t>
  </si>
  <si>
    <t>0.07765152</t>
  </si>
  <si>
    <t>0.4666667</t>
  </si>
  <si>
    <t>totaldiv</t>
  </si>
  <si>
    <t>flowerno</t>
  </si>
  <si>
    <t>visitrate</t>
  </si>
  <si>
    <t>Pristine</t>
  </si>
  <si>
    <t>Invaded</t>
  </si>
  <si>
    <t>floraldiv</t>
  </si>
  <si>
    <t>elevation</t>
  </si>
  <si>
    <t>veg.age</t>
  </si>
  <si>
    <t>site name</t>
  </si>
  <si>
    <t>Boesmansrivier 1</t>
    <phoneticPr fontId="4" type="noConversion"/>
  </si>
  <si>
    <t>Boesmansrivier 2</t>
    <phoneticPr fontId="4" type="noConversion"/>
  </si>
  <si>
    <t>Awilla</t>
    <phoneticPr fontId="4" type="noConversion"/>
  </si>
  <si>
    <t>Grootbos pri 1 (on road)</t>
    <phoneticPr fontId="4" type="noConversion"/>
  </si>
  <si>
    <t>Blue Horizon</t>
    <phoneticPr fontId="4" type="noConversion"/>
  </si>
  <si>
    <t>Groeneweide</t>
    <phoneticPr fontId="4" type="noConversion"/>
  </si>
  <si>
    <t>Grootbos pri 2/* (wvk hill)</t>
    <phoneticPr fontId="4" type="noConversion"/>
  </si>
  <si>
    <t>Helderfontein 2</t>
    <phoneticPr fontId="4" type="noConversion"/>
  </si>
  <si>
    <t>Helderfontein 4</t>
    <phoneticPr fontId="4" type="noConversion"/>
  </si>
  <si>
    <t>Byeneskrans 2</t>
    <phoneticPr fontId="4" type="noConversion"/>
  </si>
  <si>
    <t>Flippie</t>
    <phoneticPr fontId="4" type="noConversion"/>
  </si>
  <si>
    <t>Byeneskrans 1</t>
    <phoneticPr fontId="4" type="noConversion"/>
  </si>
  <si>
    <t>Grootbos pri 4 (nr gums)</t>
    <phoneticPr fontId="4" type="noConversion"/>
  </si>
  <si>
    <t>Helderfontein 3</t>
    <phoneticPr fontId="4" type="noConversion"/>
  </si>
  <si>
    <t>Lomond</t>
    <phoneticPr fontId="4" type="noConversion"/>
  </si>
  <si>
    <t xml:space="preserve">Helderfontein pri </t>
    <phoneticPr fontId="4" type="noConversion"/>
  </si>
  <si>
    <t>Helderfontein 1</t>
    <phoneticPr fontId="4" type="noConversion"/>
  </si>
  <si>
    <t>Helderfontein 5</t>
    <phoneticPr fontId="4" type="noConversion"/>
  </si>
  <si>
    <t>Elim 1</t>
    <phoneticPr fontId="4" type="noConversion"/>
  </si>
  <si>
    <t>Elim Barney</t>
    <phoneticPr fontId="4" type="noConversion"/>
  </si>
  <si>
    <t>Elim 2</t>
    <phoneticPr fontId="4" type="noConversion"/>
  </si>
  <si>
    <t>acaciacount</t>
  </si>
  <si>
    <t>coleoptera.freq</t>
  </si>
  <si>
    <t>coleoptera.rich</t>
  </si>
  <si>
    <t>hymenoptera.freq</t>
  </si>
  <si>
    <t>hymenoptera.rich</t>
  </si>
  <si>
    <t>diptera.freq</t>
  </si>
  <si>
    <t>diptera.rich</t>
  </si>
  <si>
    <t>hym.rate</t>
  </si>
  <si>
    <t>col.rate</t>
  </si>
  <si>
    <t>dip.rate</t>
  </si>
  <si>
    <t>s.strength.insects</t>
  </si>
  <si>
    <t>s.strength.plants</t>
  </si>
  <si>
    <t>3.947368</t>
  </si>
  <si>
    <t>2.941176</t>
  </si>
  <si>
    <t>3.458333</t>
  </si>
  <si>
    <t>4.15</t>
  </si>
  <si>
    <t>2.791667</t>
  </si>
  <si>
    <t>3.333333</t>
  </si>
  <si>
    <t>3.647059</t>
  </si>
  <si>
    <t>2.142857</t>
  </si>
  <si>
    <t>3.272727</t>
  </si>
  <si>
    <t>3.15</t>
  </si>
  <si>
    <t>3.173913</t>
  </si>
  <si>
    <t>2.384615</t>
  </si>
  <si>
    <t>2.130435</t>
  </si>
  <si>
    <t>3.35</t>
  </si>
  <si>
    <t>2.962963</t>
  </si>
  <si>
    <t>3.733333</t>
  </si>
  <si>
    <t>5.076923</t>
  </si>
  <si>
    <t>3.8</t>
  </si>
  <si>
    <t>4.25</t>
  </si>
  <si>
    <t>4.125</t>
  </si>
  <si>
    <t>0.2533333</t>
  </si>
  <si>
    <t>0.34</t>
  </si>
  <si>
    <t>0.2891566</t>
  </si>
  <si>
    <t>0.2409639</t>
  </si>
  <si>
    <t>0.358209</t>
  </si>
  <si>
    <t>0.3</t>
  </si>
  <si>
    <t>0.2741935</t>
  </si>
  <si>
    <t>0.3055556</t>
  </si>
  <si>
    <t>0.3174603</t>
  </si>
  <si>
    <t>0.3150685</t>
  </si>
  <si>
    <t>0.4193548</t>
  </si>
  <si>
    <t>0.4693878</t>
  </si>
  <si>
    <t>0.2985075</t>
  </si>
  <si>
    <t>0.3375</t>
  </si>
  <si>
    <t>0.2678571</t>
  </si>
  <si>
    <t>0.1969697</t>
  </si>
  <si>
    <t>0.2631579</t>
  </si>
  <si>
    <t>0.2352941</t>
  </si>
  <si>
    <t>0.2424242</t>
  </si>
  <si>
    <t>insect.general</t>
  </si>
  <si>
    <t>plant.vulnerable</t>
  </si>
  <si>
    <t>10.245745129</t>
  </si>
  <si>
    <t>7.649289971</t>
  </si>
  <si>
    <t>2.138452289</t>
  </si>
  <si>
    <t>7.277127051</t>
  </si>
  <si>
    <t>1.777103790</t>
  </si>
  <si>
    <t>5.93497047</t>
  </si>
  <si>
    <t>2.51994723</t>
  </si>
  <si>
    <t>2.10883710</t>
  </si>
  <si>
    <t>9.09928299</t>
  </si>
  <si>
    <t>5.00507782</t>
  </si>
  <si>
    <t>1.77983457</t>
  </si>
  <si>
    <t>5.04526795</t>
  </si>
  <si>
    <t>3.71916813</t>
  </si>
  <si>
    <t>1.84750853</t>
  </si>
  <si>
    <t>6.72245560</t>
  </si>
  <si>
    <t>2.51071748</t>
  </si>
  <si>
    <t>3.68894197</t>
  </si>
  <si>
    <t>3.23640195</t>
  </si>
  <si>
    <t>7.16370588</t>
  </si>
  <si>
    <t>5.98668111</t>
  </si>
  <si>
    <t>1.95532045</t>
  </si>
  <si>
    <t xml:space="preserve">3.80681263 </t>
  </si>
  <si>
    <t>2.62816045</t>
  </si>
  <si>
    <t xml:space="preserve">9.73201150 </t>
  </si>
  <si>
    <t>1.94931811</t>
  </si>
  <si>
    <t>6.61074092</t>
  </si>
  <si>
    <t>2.31271242</t>
  </si>
  <si>
    <t>6.36178358</t>
  </si>
  <si>
    <t>2.49296769</t>
  </si>
  <si>
    <t>8.48923690</t>
  </si>
  <si>
    <t>1.90758054</t>
  </si>
  <si>
    <t>6.52995017</t>
  </si>
  <si>
    <t xml:space="preserve">2.01204414 </t>
  </si>
  <si>
    <t xml:space="preserve">3.37117492 </t>
  </si>
  <si>
    <t>1.94187442</t>
  </si>
  <si>
    <t>8.50686363</t>
  </si>
  <si>
    <t>1.79002805</t>
  </si>
  <si>
    <t>3.94111847</t>
  </si>
  <si>
    <t>1.63980085</t>
  </si>
  <si>
    <t>insect.lps</t>
  </si>
  <si>
    <t>plant.lps</t>
  </si>
  <si>
    <t xml:space="preserve">1.587500 </t>
  </si>
  <si>
    <t>4.703704</t>
  </si>
  <si>
    <t>1.607143</t>
  </si>
  <si>
    <t xml:space="preserve">6.000000 </t>
  </si>
  <si>
    <t>1.606061</t>
  </si>
  <si>
    <t xml:space="preserve">8.153846 </t>
  </si>
  <si>
    <t>1.458333</t>
  </si>
  <si>
    <t>4.772727</t>
  </si>
  <si>
    <t xml:space="preserve">4.800000 </t>
  </si>
  <si>
    <t>1.432836</t>
  </si>
  <si>
    <t>1.977778</t>
  </si>
  <si>
    <t>4.238095</t>
  </si>
  <si>
    <t>1.457143</t>
  </si>
  <si>
    <t>4.857143</t>
  </si>
  <si>
    <t xml:space="preserve">1.530612 </t>
  </si>
  <si>
    <t>3.260870</t>
  </si>
  <si>
    <t>1.534247</t>
  </si>
  <si>
    <t>4.869565</t>
  </si>
  <si>
    <t>1.428571</t>
  </si>
  <si>
    <t xml:space="preserve">4.761905 </t>
  </si>
  <si>
    <t>1.313253</t>
  </si>
  <si>
    <t xml:space="preserve">5.450000 </t>
  </si>
  <si>
    <t xml:space="preserve">1.306452    </t>
  </si>
  <si>
    <t>4.764706</t>
  </si>
  <si>
    <t>1.361446</t>
  </si>
  <si>
    <t>1.850746</t>
  </si>
  <si>
    <t>1.413333</t>
  </si>
  <si>
    <t>1.560000</t>
  </si>
  <si>
    <t xml:space="preserve">4.708333 </t>
  </si>
  <si>
    <t xml:space="preserve">5.166667 </t>
  </si>
  <si>
    <t xml:space="preserve">5.578947 </t>
  </si>
  <si>
    <t xml:space="preserve">4.588235 </t>
  </si>
  <si>
    <t>1.580645</t>
  </si>
  <si>
    <t>1.460317</t>
  </si>
  <si>
    <t xml:space="preserve">3.769231 </t>
  </si>
  <si>
    <t>4.6</t>
  </si>
  <si>
    <t>1.439394</t>
  </si>
  <si>
    <t>5.937500</t>
  </si>
  <si>
    <t>1.282353</t>
  </si>
  <si>
    <t>5.450000</t>
  </si>
  <si>
    <t>5.25</t>
  </si>
  <si>
    <t>1.381579</t>
  </si>
  <si>
    <t>lps.insects</t>
  </si>
  <si>
    <t>lps.plants</t>
  </si>
  <si>
    <t>2.464286</t>
  </si>
  <si>
    <t>14.458791</t>
  </si>
  <si>
    <t>2.643204</t>
  </si>
  <si>
    <t>19.186893</t>
  </si>
  <si>
    <t>2.815217</t>
  </si>
  <si>
    <t>12.855072</t>
  </si>
  <si>
    <t>2.358896</t>
  </si>
  <si>
    <t>13.785276</t>
  </si>
  <si>
    <t>3.702083</t>
  </si>
  <si>
    <t>11.672917</t>
  </si>
  <si>
    <t>2.693662</t>
  </si>
  <si>
    <t>14.338028</t>
  </si>
  <si>
    <t>2.449275</t>
  </si>
  <si>
    <t>11.289855</t>
  </si>
  <si>
    <t>6.339806</t>
  </si>
  <si>
    <t>7.939320</t>
  </si>
  <si>
    <t>2.081448</t>
  </si>
  <si>
    <t>9.895928</t>
  </si>
  <si>
    <t xml:space="preserve">3.716599 </t>
  </si>
  <si>
    <t>5.959514</t>
  </si>
  <si>
    <t>5.122857</t>
  </si>
  <si>
    <t>10.411429</t>
  </si>
  <si>
    <t>2.682143</t>
  </si>
  <si>
    <t>8.703571</t>
  </si>
  <si>
    <t>4.647619</t>
  </si>
  <si>
    <t xml:space="preserve">4.933333 </t>
  </si>
  <si>
    <t>2.315217</t>
  </si>
  <si>
    <t>17.826087</t>
  </si>
  <si>
    <t>3.858974</t>
  </si>
  <si>
    <t>11.645299</t>
  </si>
  <si>
    <t>3.64094</t>
  </si>
  <si>
    <t>12.28188</t>
  </si>
  <si>
    <t>2.75974</t>
  </si>
  <si>
    <t>20.39935</t>
  </si>
  <si>
    <t xml:space="preserve">3.032895 </t>
  </si>
  <si>
    <t>14.563596</t>
  </si>
  <si>
    <t>4.956607</t>
  </si>
  <si>
    <t>8.285996</t>
  </si>
  <si>
    <t>2.40411</t>
  </si>
  <si>
    <t>17.31164</t>
  </si>
  <si>
    <t>2.929047</t>
  </si>
  <si>
    <t>11.63415</t>
  </si>
  <si>
    <t>obsfloraldiv</t>
  </si>
  <si>
    <t>Flower-removed</t>
  </si>
  <si>
    <t>Treatment</t>
  </si>
  <si>
    <t>flowersperhectare</t>
  </si>
  <si>
    <t>visitratehectare</t>
  </si>
  <si>
    <t>col.rate.perflower</t>
  </si>
  <si>
    <t>hym.rate.perflower</t>
  </si>
  <si>
    <t>dip.rate.perflower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</si>
</sst>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Verdana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5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5" fillId="3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6" fillId="3" borderId="0" xfId="0" applyFont="1" applyFill="1" applyBorder="1" applyAlignment="1">
      <alignment horizontal="left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2"/>
  <sheetViews>
    <sheetView tabSelected="1" topLeftCell="AD3" zoomScaleNormal="100" workbookViewId="0">
      <selection activeCell="AM2" sqref="AM2:AM22"/>
    </sheetView>
  </sheetViews>
  <sheetFormatPr defaultColWidth="11.07421875" defaultRowHeight="13" x14ac:dyDescent="0.3"/>
  <cols>
    <col min="1" max="1" width="5.61328125" style="3" customWidth="1"/>
    <col min="2" max="2" width="11.07421875" style="3"/>
    <col min="3" max="3" width="15.3046875" style="3" customWidth="1"/>
    <col min="4" max="4" width="7.3828125" style="3" customWidth="1"/>
    <col min="5" max="5" width="11.07421875" style="3"/>
    <col min="6" max="6" width="7" style="3" customWidth="1"/>
    <col min="7" max="12" width="11.07421875" style="3"/>
    <col min="13" max="13" width="11.84375" style="3" customWidth="1"/>
    <col min="14" max="14" width="11.69140625" style="3" customWidth="1"/>
    <col min="15" max="16" width="11.07421875" style="3"/>
    <col min="17" max="17" width="10.69140625" style="3" customWidth="1"/>
    <col min="18" max="18" width="7" style="3" customWidth="1"/>
    <col min="19" max="19" width="11.07421875" style="3"/>
    <col min="20" max="20" width="7.765625" style="3" customWidth="1"/>
    <col min="21" max="21" width="11.07421875" style="3"/>
    <col min="22" max="22" width="12.23046875" style="3" customWidth="1"/>
    <col min="23" max="23" width="11.07421875" style="3"/>
    <col min="24" max="24" width="11.3046875" style="3" customWidth="1"/>
    <col min="25" max="25" width="12" style="3" customWidth="1"/>
    <col min="26" max="26" width="11.07421875" style="3"/>
    <col min="27" max="27" width="15.53515625" style="3" customWidth="1"/>
    <col min="28" max="28" width="13.84375" style="3" customWidth="1"/>
    <col min="29" max="29" width="11.07421875" style="3"/>
    <col min="30" max="30" width="11.84375" style="3" customWidth="1"/>
    <col min="31" max="31" width="11.53515625" style="3" customWidth="1"/>
    <col min="32" max="32" width="9.53515625" style="3" customWidth="1"/>
    <col min="33" max="33" width="9" style="3" customWidth="1"/>
    <col min="34" max="36" width="11.07421875" style="3"/>
    <col min="37" max="37" width="12.15234375" style="3" customWidth="1"/>
    <col min="38" max="39" width="12.84375" style="3" customWidth="1"/>
    <col min="40" max="41" width="13" style="3" customWidth="1"/>
    <col min="42" max="42" width="11.3046875" style="3" bestFit="1" customWidth="1"/>
    <col min="43" max="16384" width="11.07421875" style="3"/>
  </cols>
  <sheetData>
    <row r="1" spans="1:45" s="9" customFormat="1" x14ac:dyDescent="0.3">
      <c r="A1" s="1" t="s">
        <v>68</v>
      </c>
      <c r="B1" s="2" t="s">
        <v>415</v>
      </c>
      <c r="C1" s="2" t="s">
        <v>211</v>
      </c>
      <c r="D1" s="2" t="s">
        <v>69</v>
      </c>
      <c r="E1" s="2" t="s">
        <v>209</v>
      </c>
      <c r="F1" s="2" t="s">
        <v>210</v>
      </c>
      <c r="G1" s="2" t="s">
        <v>233</v>
      </c>
      <c r="H1" s="2" t="s">
        <v>70</v>
      </c>
      <c r="I1" s="2" t="s">
        <v>72</v>
      </c>
      <c r="J1" s="1" t="s">
        <v>71</v>
      </c>
      <c r="K1" s="2" t="s">
        <v>369</v>
      </c>
      <c r="L1" s="2" t="s">
        <v>370</v>
      </c>
      <c r="M1" s="2" t="s">
        <v>243</v>
      </c>
      <c r="N1" s="2" t="s">
        <v>244</v>
      </c>
      <c r="O1" s="2" t="s">
        <v>73</v>
      </c>
      <c r="P1" s="2" t="s">
        <v>74</v>
      </c>
      <c r="Q1" s="2" t="s">
        <v>76</v>
      </c>
      <c r="R1" s="2" t="s">
        <v>75</v>
      </c>
      <c r="S1" s="9" t="s">
        <v>0</v>
      </c>
      <c r="T1" s="2" t="s">
        <v>208</v>
      </c>
      <c r="U1" s="9" t="s">
        <v>204</v>
      </c>
      <c r="V1" s="9" t="s">
        <v>416</v>
      </c>
      <c r="W1" s="4" t="s">
        <v>205</v>
      </c>
      <c r="X1" s="4" t="s">
        <v>417</v>
      </c>
      <c r="Y1" s="5" t="s">
        <v>413</v>
      </c>
      <c r="Z1" s="5" t="s">
        <v>166</v>
      </c>
      <c r="AA1" s="9" t="s">
        <v>104</v>
      </c>
      <c r="AB1" s="9" t="s">
        <v>103</v>
      </c>
      <c r="AC1" s="9" t="s">
        <v>203</v>
      </c>
      <c r="AD1" s="9" t="s">
        <v>234</v>
      </c>
      <c r="AE1" s="9" t="s">
        <v>235</v>
      </c>
      <c r="AF1" s="9" t="s">
        <v>236</v>
      </c>
      <c r="AG1" s="9" t="s">
        <v>237</v>
      </c>
      <c r="AH1" s="9" t="s">
        <v>238</v>
      </c>
      <c r="AI1" s="9" t="s">
        <v>239</v>
      </c>
      <c r="AJ1" s="9" t="s">
        <v>241</v>
      </c>
      <c r="AK1" s="9" t="s">
        <v>418</v>
      </c>
      <c r="AL1" s="9" t="s">
        <v>240</v>
      </c>
      <c r="AM1" s="9" t="s">
        <v>419</v>
      </c>
      <c r="AN1" s="9" t="s">
        <v>242</v>
      </c>
      <c r="AO1" s="9" t="s">
        <v>420</v>
      </c>
      <c r="AP1" s="9" t="s">
        <v>284</v>
      </c>
      <c r="AQ1" s="9" t="s">
        <v>285</v>
      </c>
      <c r="AR1" s="9" t="s">
        <v>325</v>
      </c>
      <c r="AS1" s="9" t="s">
        <v>326</v>
      </c>
    </row>
    <row r="2" spans="1:45" x14ac:dyDescent="0.3">
      <c r="A2" s="10">
        <v>3</v>
      </c>
      <c r="B2" s="10" t="s">
        <v>207</v>
      </c>
      <c r="C2" s="3" t="s">
        <v>214</v>
      </c>
      <c r="D2" s="10" t="s">
        <v>77</v>
      </c>
      <c r="E2" s="3">
        <v>20</v>
      </c>
      <c r="F2" s="3">
        <v>4</v>
      </c>
      <c r="G2" s="3">
        <v>31168</v>
      </c>
      <c r="H2" s="10" t="s">
        <v>136</v>
      </c>
      <c r="I2" s="10" t="s">
        <v>137</v>
      </c>
      <c r="J2" s="10" t="s">
        <v>138</v>
      </c>
      <c r="K2" s="10" t="s">
        <v>371</v>
      </c>
      <c r="L2" s="10" t="s">
        <v>372</v>
      </c>
      <c r="M2" s="3" t="s">
        <v>265</v>
      </c>
      <c r="N2" s="10" t="s">
        <v>245</v>
      </c>
      <c r="O2" s="10" t="s">
        <v>139</v>
      </c>
      <c r="P2" s="10" t="s">
        <v>140</v>
      </c>
      <c r="Q2" s="10" t="s">
        <v>141</v>
      </c>
      <c r="R2" s="10" t="s">
        <v>142</v>
      </c>
      <c r="S2" s="3">
        <v>363</v>
      </c>
      <c r="T2" s="3">
        <v>31</v>
      </c>
      <c r="U2" s="3">
        <v>56168</v>
      </c>
      <c r="V2" s="3">
        <f>116136/0.032</f>
        <v>3629250</v>
      </c>
      <c r="W2" s="3">
        <f t="shared" ref="W2:W22" si="0">S2/U2</f>
        <v>6.4627545933627689E-3</v>
      </c>
      <c r="X2" s="3">
        <f>S2/V2</f>
        <v>1.0002066542674106E-4</v>
      </c>
      <c r="Y2" s="6">
        <v>33</v>
      </c>
      <c r="Z2" s="6">
        <v>76</v>
      </c>
      <c r="AA2" s="3" t="s">
        <v>89</v>
      </c>
      <c r="AB2" s="3" t="s">
        <v>90</v>
      </c>
      <c r="AC2" s="3">
        <f t="shared" ref="AC2:AC22" si="1">SUM(Y2,Z2)</f>
        <v>109</v>
      </c>
      <c r="AD2" s="3">
        <v>134</v>
      </c>
      <c r="AE2" s="3">
        <f>63-37</f>
        <v>26</v>
      </c>
      <c r="AF2" s="3">
        <v>173</v>
      </c>
      <c r="AG2" s="3">
        <f>105-84</f>
        <v>21</v>
      </c>
      <c r="AH2" s="3">
        <v>25</v>
      </c>
      <c r="AI2" s="3">
        <f>80-64</f>
        <v>16</v>
      </c>
      <c r="AJ2" s="3">
        <f t="shared" ref="AJ2:AJ22" si="2">AD2/U2</f>
        <v>2.3857000427289559E-3</v>
      </c>
      <c r="AK2" s="3">
        <f>AD2/V2</f>
        <v>3.6922229110697804E-5</v>
      </c>
      <c r="AL2" s="3">
        <f t="shared" ref="AL2:AL22" si="3">AF2/U2</f>
        <v>3.0800455775530553E-3</v>
      </c>
      <c r="AM2" s="3">
        <f>AF2/V2</f>
        <v>4.7668251016050148E-5</v>
      </c>
      <c r="AN2" s="3">
        <f t="shared" ref="AN2:AN22" si="4">AH2/U2</f>
        <v>4.4509329155390968E-4</v>
      </c>
      <c r="AO2" s="3">
        <f>AH2/V2</f>
        <v>6.8884755803540675E-6</v>
      </c>
      <c r="AP2" s="3">
        <v>1.7457658199999999</v>
      </c>
      <c r="AQ2" s="3">
        <v>5.9189200900000003</v>
      </c>
      <c r="AR2" s="3" t="s">
        <v>351</v>
      </c>
      <c r="AS2" s="3" t="s">
        <v>355</v>
      </c>
    </row>
    <row r="3" spans="1:45" x14ac:dyDescent="0.3">
      <c r="A3" s="10">
        <v>5</v>
      </c>
      <c r="B3" s="10" t="s">
        <v>414</v>
      </c>
      <c r="C3" s="7" t="s">
        <v>216</v>
      </c>
      <c r="D3" s="10" t="s">
        <v>143</v>
      </c>
      <c r="E3" s="3">
        <v>31</v>
      </c>
      <c r="F3" s="3">
        <v>4</v>
      </c>
      <c r="G3" s="3">
        <v>0</v>
      </c>
      <c r="H3" s="10" t="s">
        <v>151</v>
      </c>
      <c r="I3" s="10" t="s">
        <v>152</v>
      </c>
      <c r="J3" s="10" t="s">
        <v>153</v>
      </c>
      <c r="K3" s="10" t="s">
        <v>373</v>
      </c>
      <c r="L3" s="10" t="s">
        <v>374</v>
      </c>
      <c r="M3" s="3" t="s">
        <v>266</v>
      </c>
      <c r="N3" s="10" t="s">
        <v>246</v>
      </c>
      <c r="O3" s="10" t="s">
        <v>154</v>
      </c>
      <c r="P3" s="10" t="s">
        <v>155</v>
      </c>
      <c r="Q3" s="10" t="s">
        <v>156</v>
      </c>
      <c r="R3" s="10" t="s">
        <v>157</v>
      </c>
      <c r="S3" s="3">
        <v>413</v>
      </c>
      <c r="T3" s="3">
        <v>51</v>
      </c>
      <c r="U3" s="3">
        <v>58055</v>
      </c>
      <c r="V3" s="3">
        <f>59520/0.032</f>
        <v>1860000</v>
      </c>
      <c r="W3" s="3">
        <f t="shared" si="0"/>
        <v>7.1139436741021449E-3</v>
      </c>
      <c r="X3" s="3">
        <f t="shared" ref="X3:X22" si="5">S3/V3</f>
        <v>2.2204301075268818E-4</v>
      </c>
      <c r="Y3" s="8">
        <v>55</v>
      </c>
      <c r="Z3" s="8">
        <v>100</v>
      </c>
      <c r="AA3" s="3" t="s">
        <v>93</v>
      </c>
      <c r="AB3" s="3" t="s">
        <v>94</v>
      </c>
      <c r="AC3" s="3">
        <f t="shared" si="1"/>
        <v>155</v>
      </c>
      <c r="AD3" s="3">
        <v>207</v>
      </c>
      <c r="AE3" s="3">
        <f>73-39</f>
        <v>34</v>
      </c>
      <c r="AF3" s="3">
        <v>65</v>
      </c>
      <c r="AG3" s="3">
        <f>130-104</f>
        <v>26</v>
      </c>
      <c r="AH3" s="3">
        <f>100-74</f>
        <v>26</v>
      </c>
      <c r="AI3" s="3">
        <f>96-68</f>
        <v>28</v>
      </c>
      <c r="AJ3" s="3">
        <f t="shared" si="2"/>
        <v>3.5655843596589442E-3</v>
      </c>
      <c r="AK3" s="3">
        <f t="shared" ref="AK3:AK21" si="6">AD3/V3</f>
        <v>1.1129032258064517E-4</v>
      </c>
      <c r="AL3" s="3">
        <f t="shared" si="3"/>
        <v>1.11962793902334E-3</v>
      </c>
      <c r="AM3" s="3">
        <f t="shared" ref="AM3:AM22" si="7">AF3/V3</f>
        <v>3.4946236559139784E-5</v>
      </c>
      <c r="AN3" s="3">
        <f t="shared" si="4"/>
        <v>4.4785117560933597E-4</v>
      </c>
      <c r="AO3" s="3">
        <f t="shared" ref="AO3:AO22" si="8">AH3/V3</f>
        <v>1.3978494623655914E-5</v>
      </c>
      <c r="AP3" s="3">
        <v>1.9075765010000001</v>
      </c>
      <c r="AQ3" s="3" t="s">
        <v>286</v>
      </c>
      <c r="AR3" s="3" t="s">
        <v>352</v>
      </c>
      <c r="AS3" s="3" t="s">
        <v>356</v>
      </c>
    </row>
    <row r="4" spans="1:45" x14ac:dyDescent="0.3">
      <c r="A4" s="10">
        <v>1</v>
      </c>
      <c r="B4" s="10" t="s">
        <v>206</v>
      </c>
      <c r="C4" s="3" t="s">
        <v>212</v>
      </c>
      <c r="D4" s="10" t="s">
        <v>77</v>
      </c>
      <c r="E4" s="3">
        <v>20</v>
      </c>
      <c r="F4" s="3">
        <v>4</v>
      </c>
      <c r="G4" s="3">
        <v>0</v>
      </c>
      <c r="H4" s="10" t="s">
        <v>78</v>
      </c>
      <c r="I4" s="10" t="s">
        <v>79</v>
      </c>
      <c r="J4" s="10" t="s">
        <v>80</v>
      </c>
      <c r="K4" s="10" t="s">
        <v>375</v>
      </c>
      <c r="L4" s="10" t="s">
        <v>376</v>
      </c>
      <c r="M4" s="3" t="s">
        <v>267</v>
      </c>
      <c r="N4" s="10" t="s">
        <v>247</v>
      </c>
      <c r="O4" s="10" t="s">
        <v>81</v>
      </c>
      <c r="P4" s="10" t="s">
        <v>82</v>
      </c>
      <c r="Q4" s="10" t="s">
        <v>127</v>
      </c>
      <c r="R4" s="10" t="s">
        <v>128</v>
      </c>
      <c r="S4" s="3">
        <v>274</v>
      </c>
      <c r="T4" s="3">
        <v>34</v>
      </c>
      <c r="U4" s="3">
        <v>59193</v>
      </c>
      <c r="V4" s="3">
        <f>59162/0.032</f>
        <v>1848812.5</v>
      </c>
      <c r="W4" s="9">
        <f t="shared" si="0"/>
        <v>4.6289257175679555E-3</v>
      </c>
      <c r="X4" s="3">
        <f t="shared" si="5"/>
        <v>1.482032385652953E-4</v>
      </c>
      <c r="Y4" s="6">
        <v>40</v>
      </c>
      <c r="Z4" s="6">
        <v>82</v>
      </c>
      <c r="AA4" s="3" t="s">
        <v>85</v>
      </c>
      <c r="AB4" s="3" t="s">
        <v>86</v>
      </c>
      <c r="AC4" s="3">
        <f t="shared" si="1"/>
        <v>122</v>
      </c>
      <c r="AD4" s="3">
        <v>93</v>
      </c>
      <c r="AE4" s="3">
        <v>34</v>
      </c>
      <c r="AF4" s="3">
        <v>102</v>
      </c>
      <c r="AG4" s="3">
        <v>12</v>
      </c>
      <c r="AH4" s="3">
        <v>35</v>
      </c>
      <c r="AI4" s="3">
        <v>19</v>
      </c>
      <c r="AJ4" s="3">
        <f t="shared" si="2"/>
        <v>1.571131721656277E-3</v>
      </c>
      <c r="AK4" s="3">
        <f t="shared" si="6"/>
        <v>5.0302559075081979E-5</v>
      </c>
      <c r="AL4" s="3">
        <f t="shared" si="3"/>
        <v>1.7231767269778521E-3</v>
      </c>
      <c r="AM4" s="3">
        <f t="shared" si="7"/>
        <v>5.517054866299314E-5</v>
      </c>
      <c r="AN4" s="3">
        <f t="shared" si="4"/>
        <v>5.912861318061257E-4</v>
      </c>
      <c r="AO4" s="3">
        <f t="shared" si="8"/>
        <v>1.8931070619654508E-5</v>
      </c>
      <c r="AP4" s="3" t="s">
        <v>288</v>
      </c>
      <c r="AQ4" s="3" t="s">
        <v>287</v>
      </c>
      <c r="AR4" s="3" t="s">
        <v>353</v>
      </c>
      <c r="AS4" s="3" t="s">
        <v>357</v>
      </c>
    </row>
    <row r="5" spans="1:45" x14ac:dyDescent="0.3">
      <c r="A5" s="10">
        <v>2</v>
      </c>
      <c r="B5" s="10" t="s">
        <v>414</v>
      </c>
      <c r="C5" s="3" t="s">
        <v>213</v>
      </c>
      <c r="D5" s="10" t="s">
        <v>77</v>
      </c>
      <c r="E5" s="3">
        <v>27</v>
      </c>
      <c r="F5" s="3">
        <v>4</v>
      </c>
      <c r="G5" s="3">
        <v>0</v>
      </c>
      <c r="H5" s="10" t="s">
        <v>129</v>
      </c>
      <c r="I5" s="10" t="s">
        <v>130</v>
      </c>
      <c r="J5" s="10" t="s">
        <v>131</v>
      </c>
      <c r="K5" s="10" t="s">
        <v>377</v>
      </c>
      <c r="L5" s="10" t="s">
        <v>378</v>
      </c>
      <c r="M5" s="3" t="s">
        <v>268</v>
      </c>
      <c r="N5" s="10" t="s">
        <v>248</v>
      </c>
      <c r="O5" s="10" t="s">
        <v>132</v>
      </c>
      <c r="P5" s="10" t="s">
        <v>133</v>
      </c>
      <c r="Q5" s="10" t="s">
        <v>134</v>
      </c>
      <c r="R5" s="10" t="s">
        <v>135</v>
      </c>
      <c r="S5" s="3">
        <v>322</v>
      </c>
      <c r="T5" s="3">
        <v>35</v>
      </c>
      <c r="U5" s="3">
        <v>50311</v>
      </c>
      <c r="V5" s="3">
        <f>50288/0.032</f>
        <v>1571500</v>
      </c>
      <c r="W5" s="3">
        <f t="shared" si="0"/>
        <v>6.400190813142255E-3</v>
      </c>
      <c r="X5" s="3">
        <f t="shared" si="5"/>
        <v>2.0489977728285077E-4</v>
      </c>
      <c r="Y5" s="6">
        <v>37</v>
      </c>
      <c r="Z5" s="6">
        <v>83</v>
      </c>
      <c r="AA5" s="3" t="s">
        <v>87</v>
      </c>
      <c r="AB5" s="3" t="s">
        <v>88</v>
      </c>
      <c r="AC5" s="3">
        <f t="shared" si="1"/>
        <v>120</v>
      </c>
      <c r="AD5" s="3">
        <v>154</v>
      </c>
      <c r="AE5" s="3">
        <v>34</v>
      </c>
      <c r="AF5" s="3">
        <v>108</v>
      </c>
      <c r="AG5" s="3">
        <f>83-68</f>
        <v>15</v>
      </c>
      <c r="AH5" s="3">
        <v>41</v>
      </c>
      <c r="AI5" s="3">
        <v>20</v>
      </c>
      <c r="AJ5" s="3">
        <f t="shared" si="2"/>
        <v>3.0609608236767307E-3</v>
      </c>
      <c r="AK5" s="3">
        <f t="shared" si="6"/>
        <v>9.7995545657015597E-5</v>
      </c>
      <c r="AL5" s="3">
        <f t="shared" si="3"/>
        <v>2.1466478503706942E-3</v>
      </c>
      <c r="AM5" s="3">
        <f t="shared" si="7"/>
        <v>6.8724148902322616E-5</v>
      </c>
      <c r="AN5" s="3">
        <f t="shared" si="4"/>
        <v>8.1493112838146732E-4</v>
      </c>
      <c r="AO5" s="3">
        <f t="shared" si="8"/>
        <v>2.6089723194400253E-5</v>
      </c>
      <c r="AP5" s="3" t="s">
        <v>290</v>
      </c>
      <c r="AQ5" s="3" t="s">
        <v>289</v>
      </c>
      <c r="AR5" s="3" t="s">
        <v>354</v>
      </c>
      <c r="AS5" s="3" t="s">
        <v>358</v>
      </c>
    </row>
    <row r="6" spans="1:45" x14ac:dyDescent="0.3">
      <c r="A6" s="10">
        <v>12</v>
      </c>
      <c r="B6" s="10" t="s">
        <v>207</v>
      </c>
      <c r="C6" s="7" t="s">
        <v>223</v>
      </c>
      <c r="D6" s="10" t="s">
        <v>143</v>
      </c>
      <c r="E6" s="3">
        <v>33</v>
      </c>
      <c r="F6" s="3">
        <v>13</v>
      </c>
      <c r="G6" s="3">
        <v>69140</v>
      </c>
      <c r="H6" s="10" t="s">
        <v>201</v>
      </c>
      <c r="I6" s="10" t="s">
        <v>202</v>
      </c>
      <c r="J6" s="7" t="s">
        <v>1</v>
      </c>
      <c r="K6" s="3" t="s">
        <v>379</v>
      </c>
      <c r="L6" s="3" t="s">
        <v>380</v>
      </c>
      <c r="M6" s="3" t="s">
        <v>269</v>
      </c>
      <c r="N6" s="3" t="s">
        <v>249</v>
      </c>
      <c r="O6" s="10" t="s">
        <v>2</v>
      </c>
      <c r="P6" s="10" t="s">
        <v>3</v>
      </c>
      <c r="Q6" s="10" t="s">
        <v>4</v>
      </c>
      <c r="R6" s="10" t="s">
        <v>5</v>
      </c>
      <c r="S6" s="3">
        <v>479</v>
      </c>
      <c r="T6" s="3">
        <v>50</v>
      </c>
      <c r="U6" s="3">
        <v>29723</v>
      </c>
      <c r="V6" s="3">
        <f>29699/0.032</f>
        <v>928093.75</v>
      </c>
      <c r="W6" s="3">
        <f t="shared" si="0"/>
        <v>1.6115466137334725E-2</v>
      </c>
      <c r="X6" s="9">
        <f t="shared" si="5"/>
        <v>5.1611165359103002E-4</v>
      </c>
      <c r="Y6" s="6">
        <v>55</v>
      </c>
      <c r="Z6" s="6">
        <v>68</v>
      </c>
      <c r="AA6" s="3" t="s">
        <v>109</v>
      </c>
      <c r="AB6" s="3" t="s">
        <v>110</v>
      </c>
      <c r="AC6" s="9">
        <f t="shared" si="1"/>
        <v>123</v>
      </c>
      <c r="AD6" s="3">
        <v>270</v>
      </c>
      <c r="AE6" s="3">
        <f>69-46</f>
        <v>23</v>
      </c>
      <c r="AF6" s="3">
        <v>96</v>
      </c>
      <c r="AG6" s="3">
        <f>60-46</f>
        <v>14</v>
      </c>
      <c r="AH6" s="3">
        <v>59</v>
      </c>
      <c r="AI6" s="3">
        <v>20</v>
      </c>
      <c r="AJ6" s="3">
        <f t="shared" si="2"/>
        <v>9.0838744406688422E-3</v>
      </c>
      <c r="AK6" s="3">
        <f t="shared" si="6"/>
        <v>2.9091888615778309E-4</v>
      </c>
      <c r="AL6" s="3">
        <f t="shared" si="3"/>
        <v>3.2298220233489216E-3</v>
      </c>
      <c r="AM6" s="3">
        <f t="shared" si="7"/>
        <v>1.0343782618943398E-4</v>
      </c>
      <c r="AN6" s="3">
        <f t="shared" si="4"/>
        <v>1.9849947851831914E-3</v>
      </c>
      <c r="AO6" s="3">
        <f t="shared" si="8"/>
        <v>6.357116401225631E-5</v>
      </c>
      <c r="AP6" s="3" t="s">
        <v>292</v>
      </c>
      <c r="AQ6" s="3" t="s">
        <v>291</v>
      </c>
      <c r="AR6" s="3" t="s">
        <v>359</v>
      </c>
      <c r="AS6" s="3" t="s">
        <v>361</v>
      </c>
    </row>
    <row r="7" spans="1:45" x14ac:dyDescent="0.3">
      <c r="A7" s="10">
        <v>10</v>
      </c>
      <c r="B7" s="10" t="s">
        <v>206</v>
      </c>
      <c r="C7" s="7" t="s">
        <v>221</v>
      </c>
      <c r="D7" s="10" t="s">
        <v>143</v>
      </c>
      <c r="E7" s="3">
        <v>50</v>
      </c>
      <c r="F7" s="3">
        <v>13</v>
      </c>
      <c r="G7" s="3">
        <v>0</v>
      </c>
      <c r="H7" s="10" t="s">
        <v>187</v>
      </c>
      <c r="I7" s="10" t="s">
        <v>188</v>
      </c>
      <c r="J7" s="10" t="s">
        <v>189</v>
      </c>
      <c r="K7" s="3" t="s">
        <v>381</v>
      </c>
      <c r="L7" s="3" t="s">
        <v>382</v>
      </c>
      <c r="M7" s="7" t="s">
        <v>270</v>
      </c>
      <c r="N7" s="3" t="s">
        <v>250</v>
      </c>
      <c r="O7" s="10" t="s">
        <v>190</v>
      </c>
      <c r="P7" s="10" t="s">
        <v>191</v>
      </c>
      <c r="Q7" s="10" t="s">
        <v>192</v>
      </c>
      <c r="R7" s="10" t="s">
        <v>193</v>
      </c>
      <c r="S7" s="3">
        <v>284</v>
      </c>
      <c r="T7" s="3">
        <v>41</v>
      </c>
      <c r="U7" s="9">
        <v>88302</v>
      </c>
      <c r="V7" s="3">
        <f>88283/0.032</f>
        <v>2758843.75</v>
      </c>
      <c r="W7" s="3">
        <f t="shared" si="0"/>
        <v>3.216235192860864E-3</v>
      </c>
      <c r="X7" s="3">
        <f t="shared" si="5"/>
        <v>1.0294167620040099E-4</v>
      </c>
      <c r="Y7" s="6">
        <v>43</v>
      </c>
      <c r="Z7" s="6">
        <v>70</v>
      </c>
      <c r="AA7" s="3" t="s">
        <v>105</v>
      </c>
      <c r="AB7" s="3" t="s">
        <v>106</v>
      </c>
      <c r="AC7" s="3">
        <f t="shared" si="1"/>
        <v>113</v>
      </c>
      <c r="AD7" s="3">
        <v>128</v>
      </c>
      <c r="AE7" s="3">
        <f>56-37</f>
        <v>19</v>
      </c>
      <c r="AF7" s="3">
        <v>74</v>
      </c>
      <c r="AG7" s="3">
        <v>20</v>
      </c>
      <c r="AH7" s="3">
        <v>65</v>
      </c>
      <c r="AI7" s="3">
        <f>50-34</f>
        <v>16</v>
      </c>
      <c r="AJ7" s="3">
        <f t="shared" si="2"/>
        <v>1.4495707911485584E-3</v>
      </c>
      <c r="AK7" s="3">
        <f t="shared" si="6"/>
        <v>4.6396248428349738E-5</v>
      </c>
      <c r="AL7" s="3">
        <f t="shared" si="3"/>
        <v>8.3803311363276028E-4</v>
      </c>
      <c r="AM7" s="3">
        <f t="shared" si="7"/>
        <v>2.6822831122639693E-5</v>
      </c>
      <c r="AN7" s="3">
        <f t="shared" si="4"/>
        <v>7.3611016738012733E-4</v>
      </c>
      <c r="AO7" s="3">
        <f t="shared" si="8"/>
        <v>2.3560594905021351E-5</v>
      </c>
      <c r="AP7" s="3" t="s">
        <v>293</v>
      </c>
      <c r="AQ7" s="3" t="s">
        <v>294</v>
      </c>
      <c r="AR7" s="3" t="s">
        <v>360</v>
      </c>
      <c r="AS7" s="3" t="s">
        <v>362</v>
      </c>
    </row>
    <row r="8" spans="1:45" x14ac:dyDescent="0.3">
      <c r="A8" s="10">
        <v>19</v>
      </c>
      <c r="B8" s="10" t="s">
        <v>206</v>
      </c>
      <c r="C8" s="7" t="s">
        <v>230</v>
      </c>
      <c r="D8" s="10" t="s">
        <v>47</v>
      </c>
      <c r="E8" s="3">
        <v>83</v>
      </c>
      <c r="F8" s="3">
        <v>4</v>
      </c>
      <c r="G8" s="3">
        <v>0</v>
      </c>
      <c r="H8" s="10" t="s">
        <v>48</v>
      </c>
      <c r="I8" s="10" t="s">
        <v>49</v>
      </c>
      <c r="J8" s="10" t="s">
        <v>50</v>
      </c>
      <c r="K8" s="3" t="s">
        <v>383</v>
      </c>
      <c r="L8" s="3" t="s">
        <v>384</v>
      </c>
      <c r="M8" s="3" t="s">
        <v>271</v>
      </c>
      <c r="N8" s="3" t="s">
        <v>251</v>
      </c>
      <c r="O8" s="10" t="s">
        <v>51</v>
      </c>
      <c r="P8" s="10" t="s">
        <v>52</v>
      </c>
      <c r="Q8" s="10" t="s">
        <v>53</v>
      </c>
      <c r="R8" s="10" t="s">
        <v>54</v>
      </c>
      <c r="S8" s="3">
        <v>345</v>
      </c>
      <c r="T8" s="3">
        <v>34</v>
      </c>
      <c r="U8" s="3">
        <v>72501</v>
      </c>
      <c r="V8" s="9">
        <f>232501/0.032</f>
        <v>7265656.25</v>
      </c>
      <c r="W8" s="3">
        <f t="shared" si="0"/>
        <v>4.7585550544130429E-3</v>
      </c>
      <c r="X8" s="9">
        <f t="shared" si="5"/>
        <v>4.7483666736917263E-5</v>
      </c>
      <c r="Y8" s="6">
        <v>34</v>
      </c>
      <c r="Z8" s="6">
        <v>62</v>
      </c>
      <c r="AA8" s="3" t="s">
        <v>123</v>
      </c>
      <c r="AB8" s="3" t="s">
        <v>124</v>
      </c>
      <c r="AC8" s="3">
        <f t="shared" si="1"/>
        <v>96</v>
      </c>
      <c r="AD8" s="3">
        <v>110</v>
      </c>
      <c r="AE8" s="3">
        <f>58-44</f>
        <v>14</v>
      </c>
      <c r="AF8" s="3">
        <v>161</v>
      </c>
      <c r="AG8" s="3">
        <f>97-83</f>
        <v>14</v>
      </c>
      <c r="AH8" s="3">
        <v>39</v>
      </c>
      <c r="AI8" s="3">
        <f>78-59</f>
        <v>19</v>
      </c>
      <c r="AJ8" s="3">
        <f t="shared" si="2"/>
        <v>1.5172204521316948E-3</v>
      </c>
      <c r="AK8" s="3">
        <f t="shared" si="6"/>
        <v>1.5139719829162025E-5</v>
      </c>
      <c r="AL8" s="3">
        <f t="shared" si="3"/>
        <v>2.2206590253927533E-3</v>
      </c>
      <c r="AM8" s="3">
        <f t="shared" si="7"/>
        <v>2.2159044477228055E-5</v>
      </c>
      <c r="AN8" s="3">
        <f t="shared" si="4"/>
        <v>5.3792361484669173E-4</v>
      </c>
      <c r="AO8" s="3">
        <f t="shared" si="8"/>
        <v>5.367718848521082E-6</v>
      </c>
      <c r="AP8" s="3" t="s">
        <v>296</v>
      </c>
      <c r="AQ8" s="3" t="s">
        <v>295</v>
      </c>
      <c r="AR8" s="3" t="s">
        <v>368</v>
      </c>
      <c r="AS8" s="3" t="s">
        <v>367</v>
      </c>
    </row>
    <row r="9" spans="1:45" x14ac:dyDescent="0.3">
      <c r="A9" s="10">
        <v>21</v>
      </c>
      <c r="B9" s="10" t="s">
        <v>207</v>
      </c>
      <c r="C9" s="7" t="s">
        <v>232</v>
      </c>
      <c r="D9" s="10" t="s">
        <v>47</v>
      </c>
      <c r="E9" s="3">
        <v>50</v>
      </c>
      <c r="F9" s="3">
        <v>4</v>
      </c>
      <c r="G9" s="3">
        <v>63016</v>
      </c>
      <c r="H9" s="10" t="s">
        <v>61</v>
      </c>
      <c r="I9" s="10" t="s">
        <v>62</v>
      </c>
      <c r="J9" s="7" t="s">
        <v>63</v>
      </c>
      <c r="K9" s="3" t="s">
        <v>385</v>
      </c>
      <c r="L9" s="3" t="s">
        <v>386</v>
      </c>
      <c r="M9" s="3" t="s">
        <v>202</v>
      </c>
      <c r="N9" s="3" t="s">
        <v>252</v>
      </c>
      <c r="O9" s="10" t="s">
        <v>64</v>
      </c>
      <c r="P9" s="10" t="s">
        <v>65</v>
      </c>
      <c r="Q9" s="10" t="s">
        <v>66</v>
      </c>
      <c r="R9" s="10" t="s">
        <v>67</v>
      </c>
      <c r="S9" s="3">
        <v>412</v>
      </c>
      <c r="T9" s="3">
        <v>39</v>
      </c>
      <c r="U9" s="3">
        <v>40461</v>
      </c>
      <c r="V9" s="3">
        <f>40341/0.032</f>
        <v>1260656.25</v>
      </c>
      <c r="W9" s="3">
        <f t="shared" si="0"/>
        <v>1.0182645016188428E-2</v>
      </c>
      <c r="X9" s="3">
        <f t="shared" si="5"/>
        <v>3.2681391140527006E-4</v>
      </c>
      <c r="Y9" s="6">
        <v>42</v>
      </c>
      <c r="Z9" s="8">
        <v>45</v>
      </c>
      <c r="AA9" s="3" t="s">
        <v>83</v>
      </c>
      <c r="AB9" s="3" t="s">
        <v>84</v>
      </c>
      <c r="AC9" s="3">
        <f t="shared" si="1"/>
        <v>87</v>
      </c>
      <c r="AD9" s="3">
        <v>307</v>
      </c>
      <c r="AE9" s="3">
        <v>20</v>
      </c>
      <c r="AF9" s="3">
        <v>29</v>
      </c>
      <c r="AG9" s="3">
        <v>8</v>
      </c>
      <c r="AH9" s="3">
        <v>21</v>
      </c>
      <c r="AI9" s="3">
        <v>9</v>
      </c>
      <c r="AJ9" s="3">
        <f t="shared" si="2"/>
        <v>7.5875534465287562E-3</v>
      </c>
      <c r="AK9" s="3">
        <f t="shared" si="6"/>
        <v>2.4352395825586872E-4</v>
      </c>
      <c r="AL9" s="3">
        <f t="shared" si="3"/>
        <v>7.1673957638219521E-4</v>
      </c>
      <c r="AM9" s="3">
        <f t="shared" si="7"/>
        <v>2.3003891822215611E-5</v>
      </c>
      <c r="AN9" s="3">
        <f t="shared" si="4"/>
        <v>5.1901831393193448E-4</v>
      </c>
      <c r="AO9" s="3">
        <f t="shared" si="8"/>
        <v>1.6657990629880271E-5</v>
      </c>
      <c r="AP9" s="3" t="s">
        <v>298</v>
      </c>
      <c r="AQ9" s="3" t="s">
        <v>297</v>
      </c>
      <c r="AR9" s="3" t="s">
        <v>363</v>
      </c>
      <c r="AS9" s="3" t="s">
        <v>364</v>
      </c>
    </row>
    <row r="10" spans="1:45" x14ac:dyDescent="0.3">
      <c r="A10" s="10">
        <v>20</v>
      </c>
      <c r="B10" s="10" t="s">
        <v>414</v>
      </c>
      <c r="C10" s="7" t="s">
        <v>231</v>
      </c>
      <c r="D10" s="10" t="s">
        <v>47</v>
      </c>
      <c r="E10" s="3">
        <v>83</v>
      </c>
      <c r="F10" s="3">
        <v>4</v>
      </c>
      <c r="G10" s="3">
        <v>0</v>
      </c>
      <c r="H10" s="10" t="s">
        <v>55</v>
      </c>
      <c r="I10" s="10" t="s">
        <v>56</v>
      </c>
      <c r="J10" s="10" t="s">
        <v>138</v>
      </c>
      <c r="K10" s="3" t="s">
        <v>387</v>
      </c>
      <c r="L10" s="3" t="s">
        <v>388</v>
      </c>
      <c r="M10" s="3" t="s">
        <v>272</v>
      </c>
      <c r="N10" s="3" t="s">
        <v>253</v>
      </c>
      <c r="O10" s="10" t="s">
        <v>57</v>
      </c>
      <c r="P10" s="10" t="s">
        <v>58</v>
      </c>
      <c r="Q10" s="10" t="s">
        <v>59</v>
      </c>
      <c r="R10" s="10" t="s">
        <v>60</v>
      </c>
      <c r="S10" s="3">
        <v>221</v>
      </c>
      <c r="T10" s="3">
        <v>37</v>
      </c>
      <c r="U10" s="3">
        <v>35498</v>
      </c>
      <c r="V10" s="3">
        <f>35386/0.032</f>
        <v>1105812.5</v>
      </c>
      <c r="W10" s="3">
        <f t="shared" si="0"/>
        <v>6.2257028564989573E-3</v>
      </c>
      <c r="X10" s="3">
        <f t="shared" si="5"/>
        <v>1.9985304922850845E-4</v>
      </c>
      <c r="Y10" s="6">
        <v>39</v>
      </c>
      <c r="Z10" s="6">
        <v>72</v>
      </c>
      <c r="AA10" s="3" t="s">
        <v>125</v>
      </c>
      <c r="AB10" s="3" t="s">
        <v>126</v>
      </c>
      <c r="AC10" s="3">
        <f t="shared" si="1"/>
        <v>111</v>
      </c>
      <c r="AD10" s="3">
        <v>70</v>
      </c>
      <c r="AE10" s="3">
        <f>67-45</f>
        <v>22</v>
      </c>
      <c r="AF10" s="3">
        <v>70</v>
      </c>
      <c r="AG10" s="3">
        <v>11</v>
      </c>
      <c r="AH10" s="3">
        <v>64</v>
      </c>
      <c r="AI10" s="3">
        <f>71-44</f>
        <v>27</v>
      </c>
      <c r="AJ10" s="3">
        <f t="shared" si="2"/>
        <v>1.9719420812440137E-3</v>
      </c>
      <c r="AK10" s="3">
        <f t="shared" si="6"/>
        <v>6.3301870796360146E-5</v>
      </c>
      <c r="AL10" s="3">
        <f t="shared" si="3"/>
        <v>1.9719420812440137E-3</v>
      </c>
      <c r="AM10" s="3">
        <f t="shared" si="7"/>
        <v>6.3301870796360146E-5</v>
      </c>
      <c r="AN10" s="3">
        <f t="shared" si="4"/>
        <v>1.8029184742802411E-3</v>
      </c>
      <c r="AO10" s="3">
        <f t="shared" si="8"/>
        <v>5.7875996156672129E-5</v>
      </c>
      <c r="AP10" s="3" t="s">
        <v>299</v>
      </c>
      <c r="AQ10" s="3" t="s">
        <v>300</v>
      </c>
      <c r="AR10" s="3" t="s">
        <v>365</v>
      </c>
      <c r="AS10" s="3" t="s">
        <v>366</v>
      </c>
    </row>
    <row r="11" spans="1:45" x14ac:dyDescent="0.3">
      <c r="A11" s="10">
        <v>11</v>
      </c>
      <c r="B11" s="10" t="s">
        <v>414</v>
      </c>
      <c r="C11" s="7" t="s">
        <v>222</v>
      </c>
      <c r="D11" s="10" t="s">
        <v>143</v>
      </c>
      <c r="E11" s="3">
        <v>95</v>
      </c>
      <c r="F11" s="3">
        <v>13</v>
      </c>
      <c r="G11" s="3">
        <v>0</v>
      </c>
      <c r="H11" s="10" t="s">
        <v>194</v>
      </c>
      <c r="I11" s="10" t="s">
        <v>195</v>
      </c>
      <c r="J11" s="10" t="s">
        <v>196</v>
      </c>
      <c r="K11" s="10" t="s">
        <v>389</v>
      </c>
      <c r="L11" s="10" t="s">
        <v>390</v>
      </c>
      <c r="M11" s="3" t="s">
        <v>273</v>
      </c>
      <c r="N11" s="10" t="s">
        <v>254</v>
      </c>
      <c r="O11" s="10" t="s">
        <v>197</v>
      </c>
      <c r="P11" s="10" t="s">
        <v>198</v>
      </c>
      <c r="Q11" s="10" t="s">
        <v>199</v>
      </c>
      <c r="R11" s="10" t="s">
        <v>200</v>
      </c>
      <c r="S11" s="3">
        <v>262</v>
      </c>
      <c r="T11" s="3">
        <v>36</v>
      </c>
      <c r="U11" s="3">
        <v>51990</v>
      </c>
      <c r="V11" s="3">
        <f>47582/0.032</f>
        <v>1486937.5</v>
      </c>
      <c r="W11" s="3">
        <f t="shared" si="0"/>
        <v>5.0394306597422583E-3</v>
      </c>
      <c r="X11" s="3">
        <f t="shared" si="5"/>
        <v>1.762010844436972E-4</v>
      </c>
      <c r="Y11" s="6">
        <v>38</v>
      </c>
      <c r="Z11" s="6">
        <v>63</v>
      </c>
      <c r="AA11" s="3" t="s">
        <v>107</v>
      </c>
      <c r="AB11" s="3" t="s">
        <v>108</v>
      </c>
      <c r="AC11" s="3">
        <f t="shared" si="1"/>
        <v>101</v>
      </c>
      <c r="AD11" s="3">
        <v>51</v>
      </c>
      <c r="AE11" s="3">
        <f>61-45</f>
        <v>16</v>
      </c>
      <c r="AF11" s="3">
        <v>122</v>
      </c>
      <c r="AG11" s="3">
        <f>100-86</f>
        <v>14</v>
      </c>
      <c r="AH11" s="3">
        <v>58</v>
      </c>
      <c r="AI11" s="3">
        <f>79-62</f>
        <v>17</v>
      </c>
      <c r="AJ11" s="3">
        <f t="shared" si="2"/>
        <v>9.8095787651471429E-4</v>
      </c>
      <c r="AK11" s="3">
        <f t="shared" si="6"/>
        <v>3.4298684376444874E-5</v>
      </c>
      <c r="AL11" s="3">
        <f t="shared" si="3"/>
        <v>2.3466051163685323E-3</v>
      </c>
      <c r="AM11" s="3">
        <f t="shared" si="7"/>
        <v>8.2047833214240681E-5</v>
      </c>
      <c r="AN11" s="3">
        <f t="shared" si="4"/>
        <v>1.1155991536834007E-3</v>
      </c>
      <c r="AO11" s="3">
        <f t="shared" si="8"/>
        <v>3.9006346937917697E-5</v>
      </c>
      <c r="AP11" s="3" t="s">
        <v>301</v>
      </c>
      <c r="AQ11" s="3" t="s">
        <v>302</v>
      </c>
      <c r="AR11" s="3" t="s">
        <v>343</v>
      </c>
      <c r="AS11" s="3" t="s">
        <v>344</v>
      </c>
    </row>
    <row r="12" spans="1:45" x14ac:dyDescent="0.3">
      <c r="A12" s="10">
        <v>6</v>
      </c>
      <c r="B12" s="10" t="s">
        <v>207</v>
      </c>
      <c r="C12" s="7" t="s">
        <v>217</v>
      </c>
      <c r="D12" s="10" t="s">
        <v>143</v>
      </c>
      <c r="E12" s="3">
        <v>66</v>
      </c>
      <c r="F12" s="3">
        <v>11</v>
      </c>
      <c r="G12" s="3">
        <v>10573</v>
      </c>
      <c r="H12" s="10" t="s">
        <v>158</v>
      </c>
      <c r="I12" s="10" t="s">
        <v>159</v>
      </c>
      <c r="J12" s="10" t="s">
        <v>160</v>
      </c>
      <c r="K12" s="10" t="s">
        <v>391</v>
      </c>
      <c r="L12" s="10" t="s">
        <v>392</v>
      </c>
      <c r="M12" s="3" t="s">
        <v>274</v>
      </c>
      <c r="N12" s="10" t="s">
        <v>255</v>
      </c>
      <c r="O12" s="10" t="s">
        <v>161</v>
      </c>
      <c r="P12" s="10" t="s">
        <v>162</v>
      </c>
      <c r="Q12" s="10" t="s">
        <v>163</v>
      </c>
      <c r="R12" s="10" t="s">
        <v>164</v>
      </c>
      <c r="S12" s="3">
        <v>350</v>
      </c>
      <c r="T12" s="3">
        <v>41</v>
      </c>
      <c r="U12" s="3">
        <v>69155</v>
      </c>
      <c r="V12" s="3">
        <f>119097/0.032</f>
        <v>3721781.25</v>
      </c>
      <c r="W12" s="3">
        <f t="shared" si="0"/>
        <v>5.0610946424698138E-3</v>
      </c>
      <c r="X12" s="3">
        <f t="shared" si="5"/>
        <v>9.4040991796602772E-5</v>
      </c>
      <c r="Y12" s="6">
        <v>46</v>
      </c>
      <c r="Z12" s="6">
        <v>73</v>
      </c>
      <c r="AA12" s="3" t="s">
        <v>95</v>
      </c>
      <c r="AB12" s="3" t="s">
        <v>96</v>
      </c>
      <c r="AC12" s="3">
        <f t="shared" si="1"/>
        <v>119</v>
      </c>
      <c r="AD12" s="3">
        <v>303</v>
      </c>
      <c r="AE12" s="3">
        <f>64-46</f>
        <v>18</v>
      </c>
      <c r="AF12" s="3">
        <v>176</v>
      </c>
      <c r="AG12" s="3">
        <f>108-95</f>
        <v>13</v>
      </c>
      <c r="AH12" s="3">
        <v>84</v>
      </c>
      <c r="AI12" s="3">
        <f>88-65</f>
        <v>23</v>
      </c>
      <c r="AJ12" s="3">
        <f t="shared" si="2"/>
        <v>4.3814619333381538E-3</v>
      </c>
      <c r="AK12" s="3">
        <f t="shared" si="6"/>
        <v>8.1412630041058969E-5</v>
      </c>
      <c r="AL12" s="3">
        <f t="shared" si="3"/>
        <v>2.5450075916419639E-3</v>
      </c>
      <c r="AM12" s="3">
        <f t="shared" si="7"/>
        <v>4.7289184446291676E-5</v>
      </c>
      <c r="AN12" s="3">
        <f t="shared" si="4"/>
        <v>1.2146627141927553E-3</v>
      </c>
      <c r="AO12" s="3">
        <f t="shared" si="8"/>
        <v>2.2569838031184666E-5</v>
      </c>
      <c r="AP12" s="3" t="s">
        <v>303</v>
      </c>
      <c r="AQ12" s="3" t="s">
        <v>304</v>
      </c>
      <c r="AR12" s="3" t="s">
        <v>345</v>
      </c>
      <c r="AS12" s="3" t="s">
        <v>346</v>
      </c>
    </row>
    <row r="13" spans="1:45" x14ac:dyDescent="0.3">
      <c r="A13" s="10">
        <v>4</v>
      </c>
      <c r="B13" s="10" t="s">
        <v>206</v>
      </c>
      <c r="C13" s="7" t="s">
        <v>215</v>
      </c>
      <c r="D13" s="10" t="s">
        <v>143</v>
      </c>
      <c r="E13" s="3">
        <v>363</v>
      </c>
      <c r="F13" s="3">
        <v>14</v>
      </c>
      <c r="G13" s="3">
        <v>0</v>
      </c>
      <c r="H13" s="10" t="s">
        <v>144</v>
      </c>
      <c r="I13" s="10" t="s">
        <v>145</v>
      </c>
      <c r="J13" s="10" t="s">
        <v>146</v>
      </c>
      <c r="K13" s="10" t="s">
        <v>393</v>
      </c>
      <c r="L13" s="10" t="s">
        <v>394</v>
      </c>
      <c r="M13" s="3" t="s">
        <v>275</v>
      </c>
      <c r="N13" s="10" t="s">
        <v>256</v>
      </c>
      <c r="O13" s="10" t="s">
        <v>147</v>
      </c>
      <c r="P13" s="10" t="s">
        <v>148</v>
      </c>
      <c r="Q13" s="10" t="s">
        <v>149</v>
      </c>
      <c r="R13" s="10" t="s">
        <v>150</v>
      </c>
      <c r="S13" s="3">
        <v>265</v>
      </c>
      <c r="T13" s="3">
        <v>48</v>
      </c>
      <c r="U13" s="3">
        <v>26099</v>
      </c>
      <c r="V13" s="3">
        <f>26057/0.032</f>
        <v>814281.25</v>
      </c>
      <c r="W13" s="3">
        <f t="shared" si="0"/>
        <v>1.0153645733553009E-2</v>
      </c>
      <c r="X13" s="3">
        <f t="shared" si="5"/>
        <v>3.2544038070384158E-4</v>
      </c>
      <c r="Y13" s="6">
        <v>51</v>
      </c>
      <c r="Z13" s="6">
        <v>62</v>
      </c>
      <c r="AA13" s="3" t="s">
        <v>91</v>
      </c>
      <c r="AB13" s="3" t="s">
        <v>92</v>
      </c>
      <c r="AC13" s="3">
        <f t="shared" si="1"/>
        <v>113</v>
      </c>
      <c r="AD13" s="3">
        <f>61-38</f>
        <v>23</v>
      </c>
      <c r="AE13" s="3">
        <v>95</v>
      </c>
      <c r="AF13" s="3">
        <f>54-37</f>
        <v>17</v>
      </c>
      <c r="AG13" s="3">
        <v>13</v>
      </c>
      <c r="AH13" s="3">
        <f>49-37</f>
        <v>12</v>
      </c>
      <c r="AI13" s="3">
        <v>29</v>
      </c>
      <c r="AJ13" s="3">
        <f t="shared" si="2"/>
        <v>8.8125981838384616E-4</v>
      </c>
      <c r="AK13" s="3">
        <f t="shared" si="6"/>
        <v>2.8245768891276818E-5</v>
      </c>
      <c r="AL13" s="3">
        <f t="shared" si="3"/>
        <v>6.5136595271849491E-4</v>
      </c>
      <c r="AM13" s="3">
        <f t="shared" si="7"/>
        <v>2.0877307441378515E-5</v>
      </c>
      <c r="AN13" s="3">
        <f t="shared" si="4"/>
        <v>4.5978773133070234E-4</v>
      </c>
      <c r="AO13" s="3">
        <f t="shared" si="8"/>
        <v>1.4736922899796599E-5</v>
      </c>
      <c r="AP13" s="3" t="s">
        <v>306</v>
      </c>
      <c r="AQ13" s="3" t="s">
        <v>305</v>
      </c>
      <c r="AR13" s="3" t="s">
        <v>347</v>
      </c>
      <c r="AS13" s="3" t="s">
        <v>348</v>
      </c>
    </row>
    <row r="14" spans="1:45" x14ac:dyDescent="0.3">
      <c r="A14" s="10">
        <v>7</v>
      </c>
      <c r="B14" s="10" t="s">
        <v>206</v>
      </c>
      <c r="C14" s="7" t="s">
        <v>218</v>
      </c>
      <c r="D14" s="10" t="s">
        <v>143</v>
      </c>
      <c r="E14" s="3">
        <v>256</v>
      </c>
      <c r="F14" s="3">
        <v>14</v>
      </c>
      <c r="G14" s="3">
        <v>0</v>
      </c>
      <c r="H14" s="10" t="s">
        <v>165</v>
      </c>
      <c r="I14" s="10" t="s">
        <v>167</v>
      </c>
      <c r="J14" s="11" t="s">
        <v>168</v>
      </c>
      <c r="K14" s="10" t="s">
        <v>395</v>
      </c>
      <c r="L14" s="10" t="s">
        <v>396</v>
      </c>
      <c r="M14" s="3" t="s">
        <v>276</v>
      </c>
      <c r="N14" s="10" t="s">
        <v>257</v>
      </c>
      <c r="O14" s="10" t="s">
        <v>169</v>
      </c>
      <c r="P14" s="10" t="s">
        <v>170</v>
      </c>
      <c r="Q14" s="10" t="s">
        <v>171</v>
      </c>
      <c r="R14" s="10" t="s">
        <v>172</v>
      </c>
      <c r="S14" s="3">
        <v>209</v>
      </c>
      <c r="T14" s="3">
        <v>36</v>
      </c>
      <c r="U14" s="3">
        <v>36501</v>
      </c>
      <c r="V14" s="3">
        <f>36461/0.032</f>
        <v>1139406.25</v>
      </c>
      <c r="W14" s="3">
        <f t="shared" si="0"/>
        <v>5.72587052409523E-3</v>
      </c>
      <c r="X14" s="3">
        <f t="shared" si="5"/>
        <v>1.8342886920270975E-4</v>
      </c>
      <c r="Y14" s="6">
        <v>40</v>
      </c>
      <c r="Z14" s="6">
        <v>49</v>
      </c>
      <c r="AA14" s="3" t="s">
        <v>97</v>
      </c>
      <c r="AB14" s="3" t="s">
        <v>98</v>
      </c>
      <c r="AC14" s="3">
        <f t="shared" si="1"/>
        <v>89</v>
      </c>
      <c r="AD14" s="3">
        <v>56</v>
      </c>
      <c r="AE14" s="3">
        <v>16</v>
      </c>
      <c r="AF14" s="3">
        <v>103</v>
      </c>
      <c r="AG14" s="3">
        <f>61-47</f>
        <v>14</v>
      </c>
      <c r="AH14" s="3">
        <v>33</v>
      </c>
      <c r="AI14" s="3">
        <v>9</v>
      </c>
      <c r="AJ14" s="3">
        <f t="shared" si="2"/>
        <v>1.5342045423413057E-3</v>
      </c>
      <c r="AK14" s="3">
        <f t="shared" si="6"/>
        <v>4.9148405145223662E-5</v>
      </c>
      <c r="AL14" s="3">
        <f t="shared" si="3"/>
        <v>2.8218404975206158E-3</v>
      </c>
      <c r="AM14" s="3">
        <f t="shared" si="7"/>
        <v>9.039795946353638E-5</v>
      </c>
      <c r="AN14" s="3">
        <f t="shared" si="4"/>
        <v>9.040848195939837E-4</v>
      </c>
      <c r="AO14" s="3">
        <f t="shared" si="8"/>
        <v>2.8962453032006801E-5</v>
      </c>
      <c r="AP14" s="3" t="s">
        <v>308</v>
      </c>
      <c r="AQ14" s="3" t="s">
        <v>307</v>
      </c>
      <c r="AR14" s="3" t="s">
        <v>349</v>
      </c>
      <c r="AS14" s="3" t="s">
        <v>350</v>
      </c>
    </row>
    <row r="15" spans="1:45" x14ac:dyDescent="0.3">
      <c r="A15" s="10">
        <v>13</v>
      </c>
      <c r="B15" s="10" t="s">
        <v>206</v>
      </c>
      <c r="C15" s="7" t="s">
        <v>224</v>
      </c>
      <c r="D15" s="10" t="s">
        <v>143</v>
      </c>
      <c r="E15" s="3">
        <v>237</v>
      </c>
      <c r="F15" s="3">
        <v>14</v>
      </c>
      <c r="G15" s="3">
        <v>0</v>
      </c>
      <c r="H15" s="10" t="s">
        <v>6</v>
      </c>
      <c r="I15" s="10" t="s">
        <v>7</v>
      </c>
      <c r="J15" s="10" t="s">
        <v>8</v>
      </c>
      <c r="K15" s="10" t="s">
        <v>397</v>
      </c>
      <c r="L15" s="10" t="s">
        <v>398</v>
      </c>
      <c r="M15" s="3" t="s">
        <v>277</v>
      </c>
      <c r="N15" s="10" t="s">
        <v>258</v>
      </c>
      <c r="O15" s="10" t="s">
        <v>9</v>
      </c>
      <c r="P15" s="10" t="s">
        <v>10</v>
      </c>
      <c r="Q15" s="10" t="s">
        <v>11</v>
      </c>
      <c r="R15" s="10" t="s">
        <v>12</v>
      </c>
      <c r="S15" s="3">
        <v>276</v>
      </c>
      <c r="T15" s="3">
        <v>42</v>
      </c>
      <c r="U15" s="3">
        <v>37661</v>
      </c>
      <c r="V15" s="3">
        <f>37618/0.032</f>
        <v>1175562.5</v>
      </c>
      <c r="W15" s="3">
        <f t="shared" si="0"/>
        <v>7.3285361514564135E-3</v>
      </c>
      <c r="X15" s="3">
        <f t="shared" si="5"/>
        <v>2.3478122175554257E-4</v>
      </c>
      <c r="Y15" s="6">
        <v>46</v>
      </c>
      <c r="Z15" s="6">
        <v>67</v>
      </c>
      <c r="AA15" s="3" t="s">
        <v>111</v>
      </c>
      <c r="AB15" s="3" t="s">
        <v>112</v>
      </c>
      <c r="AC15" s="3">
        <f t="shared" si="1"/>
        <v>113</v>
      </c>
      <c r="AD15" s="3">
        <v>118</v>
      </c>
      <c r="AE15" s="3">
        <v>22</v>
      </c>
      <c r="AF15" s="3">
        <v>61</v>
      </c>
      <c r="AG15" s="3">
        <f>99-84</f>
        <v>15</v>
      </c>
      <c r="AH15" s="3">
        <v>44</v>
      </c>
      <c r="AI15" s="3">
        <v>15</v>
      </c>
      <c r="AJ15" s="3">
        <f t="shared" si="2"/>
        <v>3.1332147314197712E-3</v>
      </c>
      <c r="AK15" s="3">
        <f t="shared" si="6"/>
        <v>1.0037747886650007E-4</v>
      </c>
      <c r="AL15" s="3">
        <f t="shared" si="3"/>
        <v>1.6197127001407292E-3</v>
      </c>
      <c r="AM15" s="3">
        <f t="shared" si="7"/>
        <v>5.1890052634377162E-5</v>
      </c>
      <c r="AN15" s="3">
        <f t="shared" si="4"/>
        <v>1.1683173574785588E-3</v>
      </c>
      <c r="AO15" s="3">
        <f t="shared" si="8"/>
        <v>3.7428890424796641E-5</v>
      </c>
      <c r="AP15" s="3" t="s">
        <v>310</v>
      </c>
      <c r="AQ15" s="3" t="s">
        <v>309</v>
      </c>
      <c r="AR15" s="3" t="s">
        <v>341</v>
      </c>
      <c r="AS15" s="3" t="s">
        <v>342</v>
      </c>
    </row>
    <row r="16" spans="1:45" x14ac:dyDescent="0.3">
      <c r="A16" s="10">
        <v>17</v>
      </c>
      <c r="B16" s="10" t="s">
        <v>414</v>
      </c>
      <c r="C16" s="7" t="s">
        <v>228</v>
      </c>
      <c r="D16" s="10" t="s">
        <v>143</v>
      </c>
      <c r="E16" s="3">
        <v>197</v>
      </c>
      <c r="F16" s="3">
        <v>14</v>
      </c>
      <c r="G16" s="3">
        <v>0</v>
      </c>
      <c r="H16" s="10" t="s">
        <v>33</v>
      </c>
      <c r="I16" s="10" t="s">
        <v>34</v>
      </c>
      <c r="J16" s="10" t="s">
        <v>35</v>
      </c>
      <c r="K16" s="10" t="s">
        <v>399</v>
      </c>
      <c r="L16" s="10" t="s">
        <v>400</v>
      </c>
      <c r="M16" s="3" t="s">
        <v>278</v>
      </c>
      <c r="N16" s="10" t="s">
        <v>259</v>
      </c>
      <c r="O16" s="10" t="s">
        <v>36</v>
      </c>
      <c r="P16" s="10" t="s">
        <v>37</v>
      </c>
      <c r="Q16" s="10" t="s">
        <v>38</v>
      </c>
      <c r="R16" s="10" t="s">
        <v>39</v>
      </c>
      <c r="S16" s="3">
        <v>465</v>
      </c>
      <c r="T16" s="3">
        <v>41</v>
      </c>
      <c r="U16" s="3">
        <v>39124</v>
      </c>
      <c r="V16" s="3">
        <f>29122/0.032</f>
        <v>910062.5</v>
      </c>
      <c r="W16" s="3">
        <f t="shared" si="0"/>
        <v>1.1885287802883142E-2</v>
      </c>
      <c r="X16" s="3">
        <f t="shared" si="5"/>
        <v>5.1095391800013736E-4</v>
      </c>
      <c r="Y16" s="6">
        <v>42</v>
      </c>
      <c r="Z16" s="6">
        <v>80</v>
      </c>
      <c r="AA16" s="3" t="s">
        <v>119</v>
      </c>
      <c r="AB16" s="3" t="s">
        <v>120</v>
      </c>
      <c r="AC16" s="3">
        <f t="shared" si="1"/>
        <v>122</v>
      </c>
      <c r="AD16" s="3">
        <v>257</v>
      </c>
      <c r="AE16" s="3">
        <f>67-35</f>
        <v>32</v>
      </c>
      <c r="AF16" s="3">
        <v>125</v>
      </c>
      <c r="AG16" s="3">
        <f>107-88</f>
        <v>19</v>
      </c>
      <c r="AH16" s="3">
        <v>64</v>
      </c>
      <c r="AI16" s="3">
        <f>86-68</f>
        <v>18</v>
      </c>
      <c r="AJ16" s="3">
        <f t="shared" si="2"/>
        <v>6.5688579899805749E-3</v>
      </c>
      <c r="AK16" s="3">
        <f t="shared" si="6"/>
        <v>2.8239818693771032E-4</v>
      </c>
      <c r="AL16" s="3">
        <f t="shared" si="3"/>
        <v>3.1949698394847154E-3</v>
      </c>
      <c r="AM16" s="3">
        <f t="shared" si="7"/>
        <v>1.373532037634778E-4</v>
      </c>
      <c r="AN16" s="3">
        <f t="shared" si="4"/>
        <v>1.6358245578161742E-3</v>
      </c>
      <c r="AO16" s="3">
        <f t="shared" si="8"/>
        <v>7.032484032690062E-5</v>
      </c>
      <c r="AP16" s="3" t="s">
        <v>312</v>
      </c>
      <c r="AQ16" s="3" t="s">
        <v>311</v>
      </c>
      <c r="AR16" s="3" t="s">
        <v>339</v>
      </c>
      <c r="AS16" s="3" t="s">
        <v>340</v>
      </c>
    </row>
    <row r="17" spans="1:45" x14ac:dyDescent="0.3">
      <c r="A17" s="10">
        <v>8</v>
      </c>
      <c r="B17" s="10" t="s">
        <v>414</v>
      </c>
      <c r="C17" s="7" t="s">
        <v>219</v>
      </c>
      <c r="D17" s="10" t="s">
        <v>143</v>
      </c>
      <c r="E17" s="3">
        <v>193</v>
      </c>
      <c r="F17" s="3">
        <v>14</v>
      </c>
      <c r="G17" s="3">
        <v>0</v>
      </c>
      <c r="H17" s="10" t="s">
        <v>173</v>
      </c>
      <c r="I17" s="10" t="s">
        <v>174</v>
      </c>
      <c r="J17" s="11" t="s">
        <v>175</v>
      </c>
      <c r="K17" s="10" t="s">
        <v>401</v>
      </c>
      <c r="L17" s="10" t="s">
        <v>402</v>
      </c>
      <c r="M17" s="3" t="s">
        <v>279</v>
      </c>
      <c r="N17" s="10" t="s">
        <v>260</v>
      </c>
      <c r="O17" s="10" t="s">
        <v>176</v>
      </c>
      <c r="P17" s="10" t="s">
        <v>177</v>
      </c>
      <c r="Q17" s="10" t="s">
        <v>178</v>
      </c>
      <c r="R17" s="10" t="s">
        <v>179</v>
      </c>
      <c r="S17" s="3">
        <v>297</v>
      </c>
      <c r="T17" s="3">
        <v>27</v>
      </c>
      <c r="U17" s="3">
        <v>62207</v>
      </c>
      <c r="V17" s="3">
        <f>62192/0.032</f>
        <v>1943500</v>
      </c>
      <c r="W17" s="3">
        <f t="shared" si="0"/>
        <v>4.7743823042422882E-3</v>
      </c>
      <c r="X17" s="3">
        <f t="shared" si="5"/>
        <v>1.5281708258296886E-4</v>
      </c>
      <c r="Y17" s="6">
        <v>28</v>
      </c>
      <c r="Z17" s="6">
        <v>56</v>
      </c>
      <c r="AA17" s="3" t="s">
        <v>99</v>
      </c>
      <c r="AB17" s="3" t="s">
        <v>100</v>
      </c>
      <c r="AC17" s="9">
        <f t="shared" si="1"/>
        <v>84</v>
      </c>
      <c r="AD17" s="3">
        <v>96</v>
      </c>
      <c r="AE17" s="3">
        <f>52-35</f>
        <v>17</v>
      </c>
      <c r="AF17" s="3">
        <v>120</v>
      </c>
      <c r="AG17" s="3">
        <f>81-66</f>
        <v>15</v>
      </c>
      <c r="AH17" s="3">
        <v>42</v>
      </c>
      <c r="AI17" s="3">
        <f>62-54</f>
        <v>8</v>
      </c>
      <c r="AJ17" s="3">
        <f t="shared" si="2"/>
        <v>1.5432346841995274E-3</v>
      </c>
      <c r="AK17" s="3">
        <f t="shared" si="6"/>
        <v>4.9395420632878826E-5</v>
      </c>
      <c r="AL17" s="3">
        <f t="shared" si="3"/>
        <v>1.9290433552494092E-3</v>
      </c>
      <c r="AM17" s="3">
        <f t="shared" si="7"/>
        <v>6.1744275791098533E-5</v>
      </c>
      <c r="AN17" s="3">
        <f t="shared" si="4"/>
        <v>6.7516517433729322E-4</v>
      </c>
      <c r="AO17" s="3">
        <f t="shared" si="8"/>
        <v>2.1610496526884487E-5</v>
      </c>
      <c r="AP17" s="3" t="s">
        <v>314</v>
      </c>
      <c r="AQ17" s="3" t="s">
        <v>313</v>
      </c>
      <c r="AR17" s="3" t="s">
        <v>337</v>
      </c>
      <c r="AS17" s="3" t="s">
        <v>338</v>
      </c>
    </row>
    <row r="18" spans="1:45" x14ac:dyDescent="0.3">
      <c r="A18" s="10">
        <v>14</v>
      </c>
      <c r="B18" s="10" t="s">
        <v>414</v>
      </c>
      <c r="C18" s="7" t="s">
        <v>225</v>
      </c>
      <c r="D18" s="10" t="s">
        <v>143</v>
      </c>
      <c r="E18" s="3">
        <v>170</v>
      </c>
      <c r="F18" s="3">
        <v>14</v>
      </c>
      <c r="G18" s="3">
        <v>0</v>
      </c>
      <c r="H18" s="10" t="s">
        <v>13</v>
      </c>
      <c r="I18" s="10" t="s">
        <v>188</v>
      </c>
      <c r="J18" s="10" t="s">
        <v>14</v>
      </c>
      <c r="K18" s="10" t="s">
        <v>403</v>
      </c>
      <c r="L18" s="10" t="s">
        <v>404</v>
      </c>
      <c r="M18" s="3" t="s">
        <v>270</v>
      </c>
      <c r="N18" s="10" t="s">
        <v>250</v>
      </c>
      <c r="O18" s="10" t="s">
        <v>15</v>
      </c>
      <c r="P18" s="10" t="s">
        <v>16</v>
      </c>
      <c r="Q18" s="10" t="s">
        <v>17</v>
      </c>
      <c r="R18" s="10" t="s">
        <v>18</v>
      </c>
      <c r="S18" s="3">
        <v>319</v>
      </c>
      <c r="T18" s="3">
        <v>38</v>
      </c>
      <c r="U18" s="3">
        <v>28272</v>
      </c>
      <c r="V18" s="3">
        <f>20202/0.032</f>
        <v>631312.5</v>
      </c>
      <c r="W18" s="3">
        <f t="shared" si="0"/>
        <v>1.128324844368987E-2</v>
      </c>
      <c r="X18" s="3">
        <f t="shared" si="5"/>
        <v>5.0529650529650529E-4</v>
      </c>
      <c r="Y18" s="6">
        <v>40</v>
      </c>
      <c r="Z18" s="6">
        <v>70</v>
      </c>
      <c r="AA18" s="3" t="s">
        <v>113</v>
      </c>
      <c r="AB18" s="3" t="s">
        <v>114</v>
      </c>
      <c r="AC18" s="3">
        <f t="shared" si="1"/>
        <v>110</v>
      </c>
      <c r="AD18" s="3">
        <v>161</v>
      </c>
      <c r="AE18" s="3">
        <f>58-35</f>
        <v>23</v>
      </c>
      <c r="AF18" s="3">
        <v>103</v>
      </c>
      <c r="AG18" s="3">
        <f>96-81</f>
        <v>15</v>
      </c>
      <c r="AH18" s="3">
        <v>25</v>
      </c>
      <c r="AI18" s="3">
        <v>15</v>
      </c>
      <c r="AJ18" s="3">
        <f t="shared" si="2"/>
        <v>5.6946802490096208E-3</v>
      </c>
      <c r="AK18" s="3">
        <f t="shared" si="6"/>
        <v>2.5502425502425504E-4</v>
      </c>
      <c r="AL18" s="3">
        <f t="shared" si="3"/>
        <v>3.6431805319750992E-3</v>
      </c>
      <c r="AM18" s="3">
        <f t="shared" si="7"/>
        <v>1.6315216315216315E-4</v>
      </c>
      <c r="AN18" s="3">
        <f t="shared" si="4"/>
        <v>8.842671194114318E-4</v>
      </c>
      <c r="AO18" s="3">
        <f t="shared" si="8"/>
        <v>3.9600039600039597E-5</v>
      </c>
      <c r="AP18" s="3" t="s">
        <v>316</v>
      </c>
      <c r="AQ18" s="3" t="s">
        <v>315</v>
      </c>
      <c r="AR18" s="3" t="s">
        <v>336</v>
      </c>
      <c r="AS18" s="3" t="s">
        <v>335</v>
      </c>
    </row>
    <row r="19" spans="1:45" x14ac:dyDescent="0.3">
      <c r="A19" s="10">
        <v>9</v>
      </c>
      <c r="B19" s="10" t="s">
        <v>207</v>
      </c>
      <c r="C19" s="7" t="s">
        <v>220</v>
      </c>
      <c r="D19" s="10" t="s">
        <v>143</v>
      </c>
      <c r="E19" s="3">
        <v>189</v>
      </c>
      <c r="F19" s="3">
        <v>14</v>
      </c>
      <c r="G19" s="3">
        <v>280083</v>
      </c>
      <c r="H19" s="10" t="s">
        <v>180</v>
      </c>
      <c r="I19" s="10" t="s">
        <v>181</v>
      </c>
      <c r="J19" s="11" t="s">
        <v>182</v>
      </c>
      <c r="K19" s="10" t="s">
        <v>405</v>
      </c>
      <c r="L19" s="10" t="s">
        <v>406</v>
      </c>
      <c r="M19" s="3" t="s">
        <v>280</v>
      </c>
      <c r="N19" s="10" t="s">
        <v>261</v>
      </c>
      <c r="O19" s="10" t="s">
        <v>183</v>
      </c>
      <c r="P19" s="10" t="s">
        <v>184</v>
      </c>
      <c r="Q19" s="10" t="s">
        <v>185</v>
      </c>
      <c r="R19" s="10" t="s">
        <v>186</v>
      </c>
      <c r="S19" s="3">
        <v>438</v>
      </c>
      <c r="T19" s="3">
        <v>27</v>
      </c>
      <c r="U19" s="3">
        <v>52606</v>
      </c>
      <c r="V19" s="3">
        <f>52596/0.032</f>
        <v>1643625</v>
      </c>
      <c r="W19" s="3">
        <f t="shared" si="0"/>
        <v>8.3260464585788695E-3</v>
      </c>
      <c r="X19" s="3">
        <f t="shared" si="5"/>
        <v>2.6648414328085787E-4</v>
      </c>
      <c r="Y19" s="6">
        <v>28</v>
      </c>
      <c r="Z19" s="6">
        <v>66</v>
      </c>
      <c r="AA19" s="3" t="s">
        <v>101</v>
      </c>
      <c r="AB19" s="3" t="s">
        <v>102</v>
      </c>
      <c r="AC19" s="3">
        <f t="shared" si="1"/>
        <v>94</v>
      </c>
      <c r="AD19" s="3">
        <v>212</v>
      </c>
      <c r="AE19" s="3">
        <v>15</v>
      </c>
      <c r="AF19" s="3">
        <v>172</v>
      </c>
      <c r="AG19" s="3">
        <v>20</v>
      </c>
      <c r="AH19" s="3">
        <v>48</v>
      </c>
      <c r="AI19" s="3">
        <v>17</v>
      </c>
      <c r="AJ19" s="3">
        <f t="shared" si="2"/>
        <v>4.0299585598600916E-3</v>
      </c>
      <c r="AK19" s="3">
        <f t="shared" si="6"/>
        <v>1.2898319263822343E-4</v>
      </c>
      <c r="AL19" s="3">
        <f t="shared" si="3"/>
        <v>3.2695890202638482E-3</v>
      </c>
      <c r="AM19" s="3">
        <f t="shared" si="7"/>
        <v>1.046467411970492E-4</v>
      </c>
      <c r="AN19" s="3">
        <f t="shared" si="4"/>
        <v>9.1244344751549252E-4</v>
      </c>
      <c r="AO19" s="3">
        <f t="shared" si="8"/>
        <v>2.9203741729409082E-5</v>
      </c>
      <c r="AP19" s="3" t="s">
        <v>318</v>
      </c>
      <c r="AQ19" s="3" t="s">
        <v>317</v>
      </c>
      <c r="AR19" s="3" t="s">
        <v>333</v>
      </c>
      <c r="AS19" s="3" t="s">
        <v>334</v>
      </c>
    </row>
    <row r="20" spans="1:45" x14ac:dyDescent="0.3">
      <c r="A20" s="10">
        <v>18</v>
      </c>
      <c r="B20" s="10" t="s">
        <v>207</v>
      </c>
      <c r="C20" s="7" t="s">
        <v>229</v>
      </c>
      <c r="D20" s="10" t="s">
        <v>143</v>
      </c>
      <c r="E20" s="3">
        <v>195</v>
      </c>
      <c r="F20" s="3">
        <v>14</v>
      </c>
      <c r="G20" s="3">
        <v>75153</v>
      </c>
      <c r="H20" s="10" t="s">
        <v>40</v>
      </c>
      <c r="I20" s="10" t="s">
        <v>41</v>
      </c>
      <c r="J20" s="10" t="s">
        <v>42</v>
      </c>
      <c r="K20" s="10" t="s">
        <v>407</v>
      </c>
      <c r="L20" s="10" t="s">
        <v>408</v>
      </c>
      <c r="M20" s="3" t="s">
        <v>281</v>
      </c>
      <c r="N20" s="10" t="s">
        <v>262</v>
      </c>
      <c r="O20" s="10" t="s">
        <v>43</v>
      </c>
      <c r="P20" s="10" t="s">
        <v>44</v>
      </c>
      <c r="Q20" s="10" t="s">
        <v>45</v>
      </c>
      <c r="R20" s="10" t="s">
        <v>46</v>
      </c>
      <c r="S20" s="3">
        <v>341</v>
      </c>
      <c r="T20" s="3">
        <v>33</v>
      </c>
      <c r="U20" s="9">
        <v>10004</v>
      </c>
      <c r="V20" s="9">
        <f>14102/0.032</f>
        <v>440687.5</v>
      </c>
      <c r="W20" s="9">
        <f t="shared" si="0"/>
        <v>3.4086365453818469E-2</v>
      </c>
      <c r="X20" s="3">
        <f t="shared" si="5"/>
        <v>7.7379095163806555E-4</v>
      </c>
      <c r="Y20" s="6">
        <v>32</v>
      </c>
      <c r="Z20" s="6">
        <v>76</v>
      </c>
      <c r="AA20" s="3" t="s">
        <v>121</v>
      </c>
      <c r="AB20" s="3" t="s">
        <v>122</v>
      </c>
      <c r="AC20" s="3">
        <f t="shared" si="1"/>
        <v>108</v>
      </c>
      <c r="AD20" s="3">
        <v>164</v>
      </c>
      <c r="AE20" s="3">
        <f>58-35</f>
        <v>23</v>
      </c>
      <c r="AF20" s="3">
        <v>285</v>
      </c>
      <c r="AG20" s="3">
        <f>99-73</f>
        <v>26</v>
      </c>
      <c r="AH20" s="3">
        <v>24</v>
      </c>
      <c r="AI20" s="3">
        <f>72-59</f>
        <v>13</v>
      </c>
      <c r="AJ20" s="3">
        <f t="shared" si="2"/>
        <v>1.6393442622950821E-2</v>
      </c>
      <c r="AK20" s="3">
        <f t="shared" si="6"/>
        <v>3.72145794922706E-4</v>
      </c>
      <c r="AL20" s="3">
        <f t="shared" si="3"/>
        <v>2.8488604558176728E-2</v>
      </c>
      <c r="AM20" s="3">
        <f t="shared" si="7"/>
        <v>6.4671677776201959E-4</v>
      </c>
      <c r="AN20" s="3">
        <f t="shared" si="4"/>
        <v>2.3990403838464614E-3</v>
      </c>
      <c r="AO20" s="3">
        <f t="shared" si="8"/>
        <v>5.4460360232591122E-5</v>
      </c>
      <c r="AP20" s="3" t="s">
        <v>320</v>
      </c>
      <c r="AQ20" s="3" t="s">
        <v>319</v>
      </c>
      <c r="AR20" s="3" t="s">
        <v>331</v>
      </c>
      <c r="AS20" s="3" t="s">
        <v>332</v>
      </c>
    </row>
    <row r="21" spans="1:45" x14ac:dyDescent="0.3">
      <c r="A21" s="10">
        <v>16</v>
      </c>
      <c r="B21" s="10" t="s">
        <v>206</v>
      </c>
      <c r="C21" s="7" t="s">
        <v>227</v>
      </c>
      <c r="D21" s="10" t="s">
        <v>143</v>
      </c>
      <c r="E21" s="3">
        <v>191</v>
      </c>
      <c r="F21" s="3">
        <v>14</v>
      </c>
      <c r="G21" s="3">
        <v>0</v>
      </c>
      <c r="H21" s="10" t="s">
        <v>26</v>
      </c>
      <c r="I21" s="10" t="s">
        <v>27</v>
      </c>
      <c r="J21" s="10" t="s">
        <v>28</v>
      </c>
      <c r="K21" s="10" t="s">
        <v>409</v>
      </c>
      <c r="L21" s="10" t="s">
        <v>410</v>
      </c>
      <c r="M21" s="3" t="s">
        <v>282</v>
      </c>
      <c r="N21" s="10" t="s">
        <v>263</v>
      </c>
      <c r="O21" s="10" t="s">
        <v>29</v>
      </c>
      <c r="P21" s="10" t="s">
        <v>30</v>
      </c>
      <c r="Q21" s="10" t="s">
        <v>31</v>
      </c>
      <c r="R21" s="10" t="s">
        <v>32</v>
      </c>
      <c r="S21" s="3">
        <v>292</v>
      </c>
      <c r="T21" s="3">
        <v>33</v>
      </c>
      <c r="U21" s="3">
        <v>42172</v>
      </c>
      <c r="V21" s="3">
        <f>49172/0.032</f>
        <v>1536625</v>
      </c>
      <c r="W21" s="3">
        <f t="shared" si="0"/>
        <v>6.9240254197097603E-3</v>
      </c>
      <c r="X21" s="3">
        <f t="shared" si="5"/>
        <v>1.9002684454567641E-4</v>
      </c>
      <c r="Y21" s="6">
        <v>34</v>
      </c>
      <c r="Z21" s="6">
        <v>85</v>
      </c>
      <c r="AA21" s="3" t="s">
        <v>117</v>
      </c>
      <c r="AB21" s="3" t="s">
        <v>118</v>
      </c>
      <c r="AC21" s="3">
        <f t="shared" si="1"/>
        <v>119</v>
      </c>
      <c r="AD21" s="3">
        <v>74</v>
      </c>
      <c r="AE21" s="3">
        <f>56-35</f>
        <v>21</v>
      </c>
      <c r="AF21" s="3">
        <v>134</v>
      </c>
      <c r="AG21" s="3">
        <f>115-87</f>
        <v>28</v>
      </c>
      <c r="AH21" s="3">
        <v>52</v>
      </c>
      <c r="AI21" s="3">
        <f>80-57</f>
        <v>23</v>
      </c>
      <c r="AJ21" s="3">
        <f t="shared" si="2"/>
        <v>1.7547187707483639E-3</v>
      </c>
      <c r="AK21" s="3">
        <f t="shared" si="6"/>
        <v>4.8157488001301552E-5</v>
      </c>
      <c r="AL21" s="3">
        <f t="shared" si="3"/>
        <v>3.1774637200037942E-3</v>
      </c>
      <c r="AM21" s="3">
        <f t="shared" si="7"/>
        <v>8.7204099894248757E-5</v>
      </c>
      <c r="AN21" s="3">
        <f t="shared" si="4"/>
        <v>1.2330456226880395E-3</v>
      </c>
      <c r="AO21" s="3">
        <f t="shared" si="8"/>
        <v>3.3840396973887581E-5</v>
      </c>
      <c r="AP21" s="3" t="s">
        <v>322</v>
      </c>
      <c r="AQ21" s="3" t="s">
        <v>321</v>
      </c>
      <c r="AR21" s="3" t="s">
        <v>329</v>
      </c>
      <c r="AS21" s="3" t="s">
        <v>330</v>
      </c>
    </row>
    <row r="22" spans="1:45" x14ac:dyDescent="0.3">
      <c r="A22" s="10">
        <v>15</v>
      </c>
      <c r="B22" s="10" t="s">
        <v>207</v>
      </c>
      <c r="C22" s="7" t="s">
        <v>226</v>
      </c>
      <c r="D22" s="10" t="s">
        <v>143</v>
      </c>
      <c r="E22" s="3">
        <v>40</v>
      </c>
      <c r="F22" s="3">
        <v>2</v>
      </c>
      <c r="G22" s="3">
        <v>86423</v>
      </c>
      <c r="H22" s="10" t="s">
        <v>19</v>
      </c>
      <c r="I22" s="10" t="s">
        <v>20</v>
      </c>
      <c r="J22" s="10" t="s">
        <v>21</v>
      </c>
      <c r="K22" s="10" t="s">
        <v>411</v>
      </c>
      <c r="L22" s="10" t="s">
        <v>412</v>
      </c>
      <c r="M22" s="3" t="s">
        <v>283</v>
      </c>
      <c r="N22" s="10" t="s">
        <v>264</v>
      </c>
      <c r="O22" s="10" t="s">
        <v>22</v>
      </c>
      <c r="P22" s="10" t="s">
        <v>23</v>
      </c>
      <c r="Q22" s="10" t="s">
        <v>24</v>
      </c>
      <c r="R22" s="10" t="s">
        <v>25</v>
      </c>
      <c r="S22" s="3">
        <v>451</v>
      </c>
      <c r="T22" s="3">
        <v>24</v>
      </c>
      <c r="U22" s="3">
        <v>22184</v>
      </c>
      <c r="V22" s="3">
        <f>221831/0.032</f>
        <v>6932218.75</v>
      </c>
      <c r="W22" s="3">
        <f t="shared" si="0"/>
        <v>2.0329967544175983E-2</v>
      </c>
      <c r="X22" s="3">
        <f t="shared" si="5"/>
        <v>6.5058535551839014E-5</v>
      </c>
      <c r="Y22" s="8">
        <v>26</v>
      </c>
      <c r="Z22" s="6">
        <v>66</v>
      </c>
      <c r="AA22" s="3" t="s">
        <v>115</v>
      </c>
      <c r="AB22" s="3" t="s">
        <v>116</v>
      </c>
      <c r="AC22" s="3">
        <f t="shared" si="1"/>
        <v>92</v>
      </c>
      <c r="AD22" s="3">
        <v>189</v>
      </c>
      <c r="AE22" s="3">
        <f>62-35</f>
        <v>27</v>
      </c>
      <c r="AF22" s="3">
        <v>225</v>
      </c>
      <c r="AG22" s="3">
        <f>98-84</f>
        <v>14</v>
      </c>
      <c r="AH22" s="3">
        <v>29</v>
      </c>
      <c r="AI22" s="3">
        <f>79-63</f>
        <v>16</v>
      </c>
      <c r="AJ22" s="3">
        <f t="shared" si="2"/>
        <v>8.5196538045438155E-3</v>
      </c>
      <c r="AK22" s="3">
        <f>AD22/V22</f>
        <v>2.726399826895249E-5</v>
      </c>
      <c r="AL22" s="3">
        <f t="shared" si="3"/>
        <v>1.0142445005409303E-2</v>
      </c>
      <c r="AM22" s="3">
        <f t="shared" si="7"/>
        <v>3.2457140796372016E-5</v>
      </c>
      <c r="AN22" s="3">
        <f t="shared" si="4"/>
        <v>1.3072484673638659E-3</v>
      </c>
      <c r="AO22" s="3">
        <f t="shared" si="8"/>
        <v>4.1833648137546147E-6</v>
      </c>
      <c r="AP22" s="3" t="s">
        <v>324</v>
      </c>
      <c r="AQ22" s="3" t="s">
        <v>323</v>
      </c>
      <c r="AR22" s="3" t="s">
        <v>327</v>
      </c>
      <c r="AS22" s="3" t="s">
        <v>328</v>
      </c>
    </row>
    <row r="29" spans="1:45" x14ac:dyDescent="0.3">
      <c r="S29" s="9"/>
      <c r="T29" s="9"/>
    </row>
    <row r="34" spans="3:22" x14ac:dyDescent="0.3">
      <c r="U34" s="9"/>
      <c r="V34" s="9"/>
    </row>
    <row r="39" spans="3:22" x14ac:dyDescent="0.3">
      <c r="C39" s="10"/>
      <c r="D39" s="10"/>
    </row>
    <row r="42" spans="3:22" x14ac:dyDescent="0.3">
      <c r="S42" s="9"/>
      <c r="T42" s="9"/>
    </row>
  </sheetData>
  <sortState xmlns:xlrd2="http://schemas.microsoft.com/office/spreadsheetml/2017/richdata2" ref="A2:AG39">
    <sortCondition ref="C2:C39"/>
  </sortState>
  <phoneticPr fontId="1" type="noConversion"/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Almighty</dc:creator>
  <cp:lastModifiedBy>Maisie Brett</cp:lastModifiedBy>
  <dcterms:created xsi:type="dcterms:W3CDTF">2020-02-04T13:38:12Z</dcterms:created>
  <dcterms:modified xsi:type="dcterms:W3CDTF">2022-11-04T14:30:17Z</dcterms:modified>
</cp:coreProperties>
</file>