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Z\Desktop\WB CBD files\Brazil\Hotels\"/>
    </mc:Choice>
  </mc:AlternateContent>
  <xr:revisionPtr revIDLastSave="0" documentId="13_ncr:1_{168F7568-74E6-4C3B-9908-7A75238B80C1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C30" i="1"/>
  <c r="B28" i="1"/>
  <c r="D28" i="1"/>
  <c r="E28" i="1"/>
  <c r="F28" i="1"/>
  <c r="G28" i="1"/>
  <c r="H28" i="1"/>
  <c r="I28" i="1"/>
  <c r="C28" i="1"/>
  <c r="AM39" i="1" l="1"/>
  <c r="AL39" i="1"/>
  <c r="AN37" i="1"/>
  <c r="AM37" i="1"/>
  <c r="AL37" i="1"/>
  <c r="AN30" i="1"/>
  <c r="AN31" i="1"/>
  <c r="AN32" i="1"/>
  <c r="AN33" i="1"/>
  <c r="AN34" i="1"/>
  <c r="AN35" i="1"/>
  <c r="AN29" i="1"/>
  <c r="AL30" i="1"/>
  <c r="AL31" i="1"/>
  <c r="AL32" i="1"/>
  <c r="AL33" i="1"/>
  <c r="AL34" i="1"/>
  <c r="AL35" i="1"/>
  <c r="AL29" i="1"/>
  <c r="AN26" i="1"/>
  <c r="AM26" i="1"/>
  <c r="AL26" i="1"/>
  <c r="AN21" i="1"/>
  <c r="AN22" i="1"/>
  <c r="AN23" i="1"/>
  <c r="AN24" i="1"/>
  <c r="AN25" i="1"/>
  <c r="AN20" i="1"/>
  <c r="AM21" i="1"/>
  <c r="AM22" i="1"/>
  <c r="AM23" i="1"/>
  <c r="AM24" i="1"/>
  <c r="AM25" i="1"/>
  <c r="AM20" i="1"/>
  <c r="AL21" i="1"/>
  <c r="AL22" i="1"/>
  <c r="AL23" i="1"/>
  <c r="AL24" i="1"/>
  <c r="AL25" i="1"/>
  <c r="AL20" i="1"/>
  <c r="J22" i="1" l="1"/>
  <c r="D22" i="1"/>
  <c r="E22" i="1"/>
  <c r="F22" i="1"/>
  <c r="G22" i="1"/>
  <c r="H22" i="1"/>
  <c r="I22" i="1"/>
  <c r="C22" i="1"/>
  <c r="I20" i="1"/>
  <c r="H20" i="1"/>
  <c r="G20" i="1"/>
  <c r="F20" i="1"/>
  <c r="E20" i="1"/>
  <c r="D20" i="1"/>
  <c r="C20" i="1"/>
  <c r="B20" i="1"/>
  <c r="G9" i="1"/>
  <c r="J9" i="1" s="1"/>
  <c r="G7" i="1"/>
  <c r="G6" i="1"/>
  <c r="G5" i="1"/>
  <c r="D5" i="1"/>
  <c r="G4" i="1"/>
  <c r="J5" i="1" l="1"/>
  <c r="J6" i="1"/>
  <c r="J7" i="1"/>
  <c r="J8" i="1"/>
  <c r="J10" i="1"/>
  <c r="J4" i="1"/>
  <c r="I6" i="1"/>
  <c r="I7" i="1"/>
  <c r="I8" i="1"/>
  <c r="I9" i="1"/>
  <c r="I5" i="1"/>
  <c r="H6" i="1"/>
  <c r="H7" i="1"/>
  <c r="H8" i="1"/>
  <c r="H9" i="1"/>
  <c r="H5" i="1"/>
  <c r="G8" i="1"/>
  <c r="F6" i="1"/>
  <c r="F7" i="1"/>
  <c r="F8" i="1"/>
  <c r="F9" i="1"/>
  <c r="F5" i="1"/>
  <c r="E6" i="1"/>
  <c r="E7" i="1"/>
  <c r="E8" i="1"/>
  <c r="E9" i="1"/>
  <c r="E5" i="1"/>
  <c r="D6" i="1"/>
  <c r="D7" i="1"/>
  <c r="D8" i="1"/>
  <c r="D9" i="1"/>
  <c r="W15" i="1"/>
  <c r="W14" i="1"/>
  <c r="X13" i="1"/>
  <c r="W13" i="1"/>
  <c r="W12" i="1"/>
  <c r="V12" i="1"/>
  <c r="U12" i="1"/>
  <c r="T12" i="1"/>
  <c r="S12" i="1"/>
  <c r="S13" i="1"/>
  <c r="V14" i="1"/>
  <c r="T14" i="1"/>
  <c r="V13" i="1"/>
  <c r="U13" i="1"/>
  <c r="T13" i="1"/>
  <c r="I10" i="1"/>
  <c r="G10" i="1"/>
  <c r="H10" i="1"/>
  <c r="F10" i="1"/>
  <c r="E10" i="1"/>
  <c r="D10" i="1"/>
  <c r="F16" i="1"/>
  <c r="E16" i="1"/>
  <c r="D16" i="1"/>
  <c r="C16" i="1"/>
  <c r="I4" i="1"/>
  <c r="H4" i="1"/>
  <c r="F4" i="1"/>
  <c r="E4" i="1"/>
  <c r="D4" i="1"/>
  <c r="B10" i="1"/>
  <c r="B9" i="1"/>
  <c r="B16" i="1"/>
  <c r="B8" i="1"/>
  <c r="B7" i="1"/>
  <c r="B6" i="1"/>
  <c r="B5" i="1"/>
  <c r="B4" i="1"/>
  <c r="X12" i="1" l="1"/>
  <c r="U14" i="1"/>
  <c r="S14" i="1"/>
  <c r="V15" i="1" s="1"/>
  <c r="B12" i="1"/>
  <c r="U15" i="1" l="1"/>
  <c r="T15" i="1"/>
</calcChain>
</file>

<file path=xl/sharedStrings.xml><?xml version="1.0" encoding="utf-8"?>
<sst xmlns="http://schemas.openxmlformats.org/spreadsheetml/2006/main" count="111" uniqueCount="77">
  <si>
    <t>Capacity</t>
  </si>
  <si>
    <t>Whale%</t>
  </si>
  <si>
    <t>High%</t>
  </si>
  <si>
    <t>Low%</t>
  </si>
  <si>
    <t>Months</t>
  </si>
  <si>
    <t>wages</t>
  </si>
  <si>
    <t>fruit and veg</t>
  </si>
  <si>
    <t>fresh finfish</t>
  </si>
  <si>
    <t>fresh shellfish</t>
  </si>
  <si>
    <t>chicken</t>
  </si>
  <si>
    <t>meats</t>
  </si>
  <si>
    <t>bread</t>
  </si>
  <si>
    <t>eggs</t>
  </si>
  <si>
    <t>all other fresh foods</t>
  </si>
  <si>
    <t>bottled water</t>
  </si>
  <si>
    <t>alchoholic</t>
  </si>
  <si>
    <t>beverage</t>
  </si>
  <si>
    <t>crafts</t>
  </si>
  <si>
    <t>transport</t>
  </si>
  <si>
    <t>laundry</t>
  </si>
  <si>
    <t>maintenance</t>
  </si>
  <si>
    <t>lease</t>
  </si>
  <si>
    <t>electricity</t>
  </si>
  <si>
    <t>water treatment</t>
  </si>
  <si>
    <t>other retail</t>
  </si>
  <si>
    <t>office supplies</t>
  </si>
  <si>
    <t>gas</t>
  </si>
  <si>
    <t>phone</t>
  </si>
  <si>
    <t>insurance</t>
  </si>
  <si>
    <t>capital inv</t>
  </si>
  <si>
    <t>fees total</t>
  </si>
  <si>
    <t>avgnights</t>
  </si>
  <si>
    <t>OUT</t>
  </si>
  <si>
    <t>dairy</t>
  </si>
  <si>
    <t>other service</t>
  </si>
  <si>
    <t>-</t>
  </si>
  <si>
    <t>#</t>
  </si>
  <si>
    <t>TOTAL EXP</t>
  </si>
  <si>
    <t>AVG exp</t>
  </si>
  <si>
    <t>ALLfoods (for imputing)</t>
  </si>
  <si>
    <t>Crop</t>
  </si>
  <si>
    <t>Livestock</t>
  </si>
  <si>
    <t>Wage</t>
  </si>
  <si>
    <t>Fish</t>
  </si>
  <si>
    <t>Retail</t>
  </si>
  <si>
    <t>Service</t>
  </si>
  <si>
    <t>Out</t>
  </si>
  <si>
    <t>check</t>
  </si>
  <si>
    <t>sub line</t>
  </si>
  <si>
    <t>sum</t>
  </si>
  <si>
    <t>all foods</t>
  </si>
  <si>
    <t>LV</t>
  </si>
  <si>
    <t>IMPUTE:for 3 cat</t>
  </si>
  <si>
    <t>%</t>
  </si>
  <si>
    <t>&lt;- we use these to propagate red rows</t>
  </si>
  <si>
    <t>Rt</t>
  </si>
  <si>
    <t>IMPUTE ratios</t>
  </si>
  <si>
    <t>Computing Shares:</t>
  </si>
  <si>
    <t>AVG</t>
  </si>
  <si>
    <t>total</t>
  </si>
  <si>
    <t>wage</t>
  </si>
  <si>
    <t>crop</t>
  </si>
  <si>
    <t>lv</t>
  </si>
  <si>
    <t>fish</t>
  </si>
  <si>
    <t>rt</t>
  </si>
  <si>
    <t>sv</t>
  </si>
  <si>
    <t>out</t>
  </si>
  <si>
    <t>Shares</t>
  </si>
  <si>
    <t>Capital</t>
  </si>
  <si>
    <t>&lt;-from non intermediary inputs</t>
  </si>
  <si>
    <t>labor</t>
  </si>
  <si>
    <t>Capital/Rents</t>
  </si>
  <si>
    <t>Labor</t>
  </si>
  <si>
    <t>Sum of both</t>
  </si>
  <si>
    <t>%capital</t>
  </si>
  <si>
    <t>%labor</t>
  </si>
  <si>
    <t>Using obs 2-7 (1 has very few "outside" 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</si>
</sst>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rgb="FF92D05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3" fillId="0" borderId="0" xfId="0" applyNumberFormat="1" applyFont="1" applyBorder="1"/>
    <xf numFmtId="1" fontId="2" fillId="0" borderId="0" xfId="0" applyNumberFormat="1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1" fontId="4" fillId="0" borderId="0" xfId="0" applyNumberFormat="1" applyFont="1" applyBorder="1"/>
    <xf numFmtId="1" fontId="4" fillId="0" borderId="0" xfId="0" applyNumberFormat="1" applyFont="1" applyBorder="1" applyAlignment="1">
      <alignment vertical="center"/>
    </xf>
    <xf numFmtId="1" fontId="0" fillId="0" borderId="0" xfId="0" applyNumberFormat="1"/>
    <xf numFmtId="0" fontId="5" fillId="0" borderId="0" xfId="0" applyFont="1"/>
    <xf numFmtId="1" fontId="6" fillId="0" borderId="0" xfId="0" applyNumberFormat="1" applyFont="1" applyBorder="1"/>
    <xf numFmtId="1" fontId="7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8" fillId="0" borderId="0" xfId="0" applyFont="1"/>
    <xf numFmtId="1" fontId="8" fillId="0" borderId="0" xfId="0" applyNumberFormat="1" applyFont="1"/>
    <xf numFmtId="1" fontId="5" fillId="0" borderId="0" xfId="0" applyNumberFormat="1" applyFont="1"/>
    <xf numFmtId="1" fontId="6" fillId="0" borderId="0" xfId="0" quotePrefix="1" applyNumberFormat="1" applyFont="1" applyBorder="1"/>
    <xf numFmtId="1" fontId="9" fillId="0" borderId="0" xfId="0" applyNumberFormat="1" applyFont="1" applyBorder="1"/>
    <xf numFmtId="0" fontId="10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U39"/>
  <sheetViews>
    <sheetView tabSelected="1" topLeftCell="A14" workbookViewId="0">
      <selection activeCell="I34" sqref="I34"/>
    </sheetView>
  </sheetViews>
  <sheetFormatPr defaultRowHeight="14.5" x14ac:dyDescent="0.35"/>
  <cols>
    <col min="2" max="10" width="17.81640625" customWidth="1"/>
    <col min="11" max="17" width="8.81640625" bestFit="1" customWidth="1"/>
    <col min="18" max="18" width="20.453125" customWidth="1"/>
    <col min="19" max="19" width="14.7265625" customWidth="1"/>
    <col min="20" max="20" width="18.453125" customWidth="1"/>
    <col min="21" max="21" width="13.26953125" customWidth="1"/>
    <col min="22" max="22" width="13.7265625" customWidth="1"/>
    <col min="23" max="24" width="8.81640625" bestFit="1" customWidth="1"/>
    <col min="25" max="25" width="12.1796875" customWidth="1"/>
    <col min="26" max="27" width="8.81640625" bestFit="1" customWidth="1"/>
    <col min="28" max="28" width="12.08984375" customWidth="1"/>
    <col min="29" max="31" width="8.81640625" bestFit="1" customWidth="1"/>
    <col min="32" max="32" width="11.1796875" customWidth="1"/>
    <col min="33" max="33" width="8.81640625" bestFit="1" customWidth="1"/>
    <col min="34" max="34" width="13.36328125" customWidth="1"/>
    <col min="35" max="35" width="10.81640625" customWidth="1"/>
    <col min="36" max="36" width="15.81640625" customWidth="1"/>
    <col min="37" max="37" width="13.36328125" customWidth="1"/>
    <col min="38" max="38" width="13.54296875" customWidth="1"/>
    <col min="39" max="39" width="11.26953125" customWidth="1"/>
    <col min="40" max="40" width="16.36328125" customWidth="1"/>
    <col min="41" max="41" width="10.90625" customWidth="1"/>
    <col min="42" max="42" width="8.81640625" bestFit="1" customWidth="1"/>
    <col min="43" max="43" width="12.26953125" customWidth="1"/>
    <col min="44" max="44" width="8.81640625" bestFit="1" customWidth="1"/>
    <col min="45" max="45" width="9" bestFit="1" customWidth="1"/>
    <col min="46" max="46" width="12.6328125" customWidth="1"/>
    <col min="47" max="47" width="8.81640625" bestFit="1" customWidth="1"/>
  </cols>
  <sheetData>
    <row r="3" spans="1:47" ht="15.5" x14ac:dyDescent="0.35">
      <c r="A3" t="s">
        <v>36</v>
      </c>
      <c r="B3" s="1" t="s">
        <v>37</v>
      </c>
      <c r="C3" t="s">
        <v>42</v>
      </c>
      <c r="D3" s="1" t="s">
        <v>40</v>
      </c>
      <c r="E3" s="1" t="s">
        <v>41</v>
      </c>
      <c r="F3" s="1" t="s">
        <v>43</v>
      </c>
      <c r="G3" s="1" t="s">
        <v>44</v>
      </c>
      <c r="H3" s="1" t="s">
        <v>45</v>
      </c>
      <c r="I3" s="1" t="s">
        <v>46</v>
      </c>
      <c r="J3" s="1" t="s">
        <v>47</v>
      </c>
      <c r="K3" s="1" t="s">
        <v>36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31</v>
      </c>
      <c r="Q3" s="1" t="s">
        <v>4</v>
      </c>
      <c r="R3" s="1" t="s">
        <v>5</v>
      </c>
      <c r="S3" s="4" t="s">
        <v>39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33</v>
      </c>
      <c r="AB3" s="1" t="s">
        <v>13</v>
      </c>
      <c r="AC3" s="1" t="s">
        <v>14</v>
      </c>
      <c r="AD3" s="1" t="s">
        <v>15</v>
      </c>
      <c r="AE3" s="1" t="s">
        <v>16</v>
      </c>
      <c r="AF3" s="1" t="s">
        <v>17</v>
      </c>
      <c r="AG3" s="1" t="s">
        <v>18</v>
      </c>
      <c r="AH3" s="1" t="s">
        <v>19</v>
      </c>
      <c r="AI3" s="1" t="s">
        <v>20</v>
      </c>
      <c r="AJ3" s="4" t="s">
        <v>34</v>
      </c>
      <c r="AK3" s="1" t="s">
        <v>21</v>
      </c>
      <c r="AL3" s="4" t="s">
        <v>22</v>
      </c>
      <c r="AM3" s="4" t="s">
        <v>23</v>
      </c>
      <c r="AN3" s="1" t="s">
        <v>24</v>
      </c>
      <c r="AO3" s="1" t="s">
        <v>25</v>
      </c>
      <c r="AP3" s="1" t="s">
        <v>26</v>
      </c>
      <c r="AQ3" s="4" t="s">
        <v>27</v>
      </c>
      <c r="AR3" s="4" t="s">
        <v>28</v>
      </c>
      <c r="AS3" s="1" t="s">
        <v>29</v>
      </c>
      <c r="AT3" s="1" t="s">
        <v>30</v>
      </c>
      <c r="AU3" s="1" t="s">
        <v>32</v>
      </c>
    </row>
    <row r="4" spans="1:47" s="7" customFormat="1" ht="15.5" x14ac:dyDescent="0.35">
      <c r="A4" s="16">
        <v>1</v>
      </c>
      <c r="B4" s="8">
        <f>SUM(R4,T4:AU4)</f>
        <v>568082</v>
      </c>
      <c r="C4" s="8">
        <v>168000</v>
      </c>
      <c r="D4" s="8">
        <f>SUM(T4)</f>
        <v>21200</v>
      </c>
      <c r="E4" s="8">
        <f>SUM(W4:X4,Z4,AA4)</f>
        <v>33250</v>
      </c>
      <c r="F4" s="8">
        <f>SUM(U4:V4)</f>
        <v>9000</v>
      </c>
      <c r="G4" s="8">
        <f>SUM(Y4,AB4,AC4,AD4,AE4,AF4,AN4,AO4)</f>
        <v>33900</v>
      </c>
      <c r="H4" s="8">
        <f>SUM(AG4:AM4,AP4:AS4)</f>
        <v>301032</v>
      </c>
      <c r="I4" s="8">
        <f>SUM(AT4:AU4)</f>
        <v>1700</v>
      </c>
      <c r="J4" s="18">
        <f>SUM(D4:I4,C4)</f>
        <v>568082</v>
      </c>
      <c r="K4" s="8">
        <v>1</v>
      </c>
      <c r="L4" s="8">
        <v>100</v>
      </c>
      <c r="M4" s="8">
        <v>0.2</v>
      </c>
      <c r="N4" s="8">
        <v>0.25</v>
      </c>
      <c r="O4" s="8">
        <v>0.13</v>
      </c>
      <c r="P4" s="8">
        <v>3</v>
      </c>
      <c r="Q4" s="8">
        <v>12</v>
      </c>
      <c r="R4" s="8">
        <v>168000</v>
      </c>
      <c r="S4" s="17" t="s">
        <v>35</v>
      </c>
      <c r="T4" s="8">
        <v>21200</v>
      </c>
      <c r="U4" s="8">
        <v>4500</v>
      </c>
      <c r="V4" s="8">
        <v>4500</v>
      </c>
      <c r="W4" s="8">
        <v>8000</v>
      </c>
      <c r="X4" s="8">
        <v>12000</v>
      </c>
      <c r="Y4" s="8">
        <v>4000</v>
      </c>
      <c r="Z4" s="8">
        <v>2250</v>
      </c>
      <c r="AA4" s="8">
        <v>11000</v>
      </c>
      <c r="AB4" s="8">
        <v>10000</v>
      </c>
      <c r="AC4" s="8">
        <v>200</v>
      </c>
      <c r="AD4" s="8">
        <v>12000</v>
      </c>
      <c r="AE4" s="8">
        <v>6000</v>
      </c>
      <c r="AF4" s="8">
        <v>0</v>
      </c>
      <c r="AG4" s="8">
        <v>31000</v>
      </c>
      <c r="AH4" s="8">
        <v>0</v>
      </c>
      <c r="AI4" s="8">
        <v>47000</v>
      </c>
      <c r="AJ4" s="8">
        <v>62000</v>
      </c>
      <c r="AK4" s="8">
        <v>0</v>
      </c>
      <c r="AL4" s="8">
        <v>3500</v>
      </c>
      <c r="AM4" s="8">
        <v>0</v>
      </c>
      <c r="AN4" s="8">
        <v>1700</v>
      </c>
      <c r="AO4" s="8">
        <v>0</v>
      </c>
      <c r="AP4" s="8">
        <v>0</v>
      </c>
      <c r="AQ4" s="8">
        <v>7532</v>
      </c>
      <c r="AR4" s="8">
        <v>0</v>
      </c>
      <c r="AS4" s="8">
        <v>150000</v>
      </c>
      <c r="AT4" s="8">
        <v>0</v>
      </c>
      <c r="AU4" s="8">
        <v>1700</v>
      </c>
    </row>
    <row r="5" spans="1:47" ht="15.5" x14ac:dyDescent="0.35">
      <c r="A5">
        <v>2</v>
      </c>
      <c r="B5" s="1">
        <f>SUM(R5:AT5)</f>
        <v>1275045.44</v>
      </c>
      <c r="C5" s="1">
        <v>413206.6</v>
      </c>
      <c r="D5" s="1">
        <f>S5*$D$14</f>
        <v>15522.706924956245</v>
      </c>
      <c r="E5" s="1">
        <f>S5*$E$14</f>
        <v>20822.835951999874</v>
      </c>
      <c r="F5" s="1">
        <f>S5*$F$14</f>
        <v>14086.577220280704</v>
      </c>
      <c r="G5" s="1">
        <f>S5*$G$14+AO5+AN5</f>
        <v>447068.13316410664</v>
      </c>
      <c r="H5" s="1">
        <f>SUM(AG5:AJ5)</f>
        <v>106739.83</v>
      </c>
      <c r="I5" s="1">
        <f>SUM(AK5:AM5,AP5:AU5)</f>
        <v>256096.78</v>
      </c>
      <c r="J5" s="18">
        <f t="shared" ref="J5:J10" si="0">SUM(D5:I5,C5)</f>
        <v>1273543.4632613435</v>
      </c>
      <c r="K5" s="1">
        <v>2</v>
      </c>
      <c r="L5" s="1">
        <v>308</v>
      </c>
      <c r="M5" s="1">
        <v>0.6</v>
      </c>
      <c r="N5" s="1"/>
      <c r="O5" s="1"/>
      <c r="P5" s="1"/>
      <c r="Q5" s="1">
        <v>12</v>
      </c>
      <c r="R5" s="1">
        <v>413206.6</v>
      </c>
      <c r="S5" s="4">
        <v>414212.83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v>106739.83</v>
      </c>
      <c r="AJ5" s="1"/>
      <c r="AK5" s="1"/>
      <c r="AL5" s="1">
        <v>62176.03</v>
      </c>
      <c r="AM5" s="1"/>
      <c r="AN5" s="1"/>
      <c r="AO5" s="1">
        <v>84789.4</v>
      </c>
      <c r="AP5" s="1">
        <v>54313.43</v>
      </c>
      <c r="AQ5" s="1">
        <v>15653.76</v>
      </c>
      <c r="AR5" s="1">
        <v>2560</v>
      </c>
      <c r="AS5" s="1"/>
      <c r="AT5" s="1">
        <v>121393.56</v>
      </c>
      <c r="AU5" s="1"/>
    </row>
    <row r="6" spans="1:47" ht="15.5" x14ac:dyDescent="0.35">
      <c r="A6">
        <v>3</v>
      </c>
      <c r="B6" s="1">
        <f>SUM(R6:AU6)</f>
        <v>9253291.8499999996</v>
      </c>
      <c r="C6" s="1">
        <v>3902773</v>
      </c>
      <c r="D6" s="1">
        <f t="shared" ref="D6:D9" si="1">S6*$D$14</f>
        <v>109556.44906022625</v>
      </c>
      <c r="E6" s="1">
        <f t="shared" ref="E6:E9" si="2">S6*$E$14</f>
        <v>146963.79808582598</v>
      </c>
      <c r="F6" s="1">
        <f t="shared" ref="F6:F9" si="3">S6*$F$14</f>
        <v>99420.506173795249</v>
      </c>
      <c r="G6" s="1">
        <f>S6*$G$14+AN6</f>
        <v>2755087.5673750686</v>
      </c>
      <c r="H6" s="1">
        <f t="shared" ref="H6:H9" si="4">SUM(AG6:AJ6)</f>
        <v>669700.29</v>
      </c>
      <c r="I6" s="1">
        <f t="shared" ref="I6:I9" si="5">SUM(AK6:AM6,AP6:AU6)</f>
        <v>1559189.56</v>
      </c>
      <c r="J6" s="18">
        <f t="shared" si="0"/>
        <v>9242691.1706949156</v>
      </c>
      <c r="K6" s="1">
        <v>3</v>
      </c>
      <c r="L6" s="1">
        <v>203</v>
      </c>
      <c r="M6" s="1">
        <v>0.75</v>
      </c>
      <c r="N6" s="1"/>
      <c r="O6" s="1"/>
      <c r="P6" s="1"/>
      <c r="Q6" s="1"/>
      <c r="R6" s="1">
        <v>3902773</v>
      </c>
      <c r="S6" s="4">
        <v>2923439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v>603922</v>
      </c>
      <c r="AJ6" s="1">
        <v>65778.289999999994</v>
      </c>
      <c r="AK6" s="1"/>
      <c r="AL6" s="1">
        <v>879096</v>
      </c>
      <c r="AM6" s="1">
        <v>463266.56</v>
      </c>
      <c r="AN6" s="1">
        <v>198190</v>
      </c>
      <c r="AO6" s="1"/>
      <c r="AP6" s="1"/>
      <c r="AQ6" s="1">
        <v>48049</v>
      </c>
      <c r="AR6" s="1"/>
      <c r="AS6" s="1"/>
      <c r="AT6" s="1">
        <v>168778</v>
      </c>
      <c r="AU6" s="1"/>
    </row>
    <row r="7" spans="1:47" ht="15.5" x14ac:dyDescent="0.35">
      <c r="A7">
        <v>4</v>
      </c>
      <c r="B7" s="1">
        <f>SUM(R7:AU7)</f>
        <v>1435977.48</v>
      </c>
      <c r="C7" s="2">
        <v>581675.81000000006</v>
      </c>
      <c r="D7" s="1">
        <f t="shared" si="1"/>
        <v>10377.436736592497</v>
      </c>
      <c r="E7" s="1">
        <f t="shared" si="2"/>
        <v>13920.746156774559</v>
      </c>
      <c r="F7" s="1">
        <f t="shared" si="3"/>
        <v>9417.337107844678</v>
      </c>
      <c r="G7" s="1">
        <f>S7*$G$14+AN7</f>
        <v>299822.8194764725</v>
      </c>
      <c r="H7" s="1">
        <f t="shared" si="4"/>
        <v>89899.25</v>
      </c>
      <c r="I7" s="1">
        <f t="shared" si="5"/>
        <v>429859.96</v>
      </c>
      <c r="J7" s="18">
        <f t="shared" si="0"/>
        <v>1434973.3594776844</v>
      </c>
      <c r="K7" s="1">
        <v>4</v>
      </c>
      <c r="L7" s="1">
        <v>348</v>
      </c>
      <c r="M7" s="1">
        <v>0.15</v>
      </c>
      <c r="N7" s="1">
        <v>0.35</v>
      </c>
      <c r="O7" s="1">
        <v>0.17</v>
      </c>
      <c r="P7" s="1"/>
      <c r="Q7" s="1">
        <v>12</v>
      </c>
      <c r="R7" s="2">
        <v>581675.81000000006</v>
      </c>
      <c r="S7" s="2">
        <v>276914.81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2">
        <v>2762.52</v>
      </c>
      <c r="AH7" s="2">
        <v>87136.73</v>
      </c>
      <c r="AI7" s="1"/>
      <c r="AJ7" s="1"/>
      <c r="AK7" s="1"/>
      <c r="AL7" s="2">
        <v>138397.6</v>
      </c>
      <c r="AM7" s="2">
        <v>35083.980000000003</v>
      </c>
      <c r="AN7" s="2">
        <v>57627.65</v>
      </c>
      <c r="AO7" s="1"/>
      <c r="AP7" s="1"/>
      <c r="AQ7" s="1">
        <v>14088</v>
      </c>
      <c r="AR7" s="1"/>
      <c r="AS7" s="1"/>
      <c r="AT7" s="2">
        <v>242290.38</v>
      </c>
      <c r="AU7" s="1"/>
    </row>
    <row r="8" spans="1:47" ht="15" customHeight="1" x14ac:dyDescent="0.35">
      <c r="A8">
        <v>5</v>
      </c>
      <c r="B8" s="1">
        <f>SUM(R8:AU8)</f>
        <v>2725231.7199999997</v>
      </c>
      <c r="C8" s="3">
        <v>1284771.04</v>
      </c>
      <c r="D8" s="1">
        <f t="shared" si="1"/>
        <v>10430.224672208982</v>
      </c>
      <c r="E8" s="1">
        <f t="shared" si="2"/>
        <v>13991.558195480233</v>
      </c>
      <c r="F8" s="1">
        <f t="shared" si="3"/>
        <v>9465.2412095555283</v>
      </c>
      <c r="G8" s="1">
        <f t="shared" ref="G8" si="6">S8*$G$14</f>
        <v>243427.16764109308</v>
      </c>
      <c r="H8" s="1">
        <f t="shared" si="4"/>
        <v>411686.30000000005</v>
      </c>
      <c r="I8" s="1">
        <f t="shared" si="5"/>
        <v>692861.83</v>
      </c>
      <c r="J8" s="18">
        <f t="shared" si="0"/>
        <v>2666633.361718338</v>
      </c>
      <c r="K8" s="1">
        <v>5</v>
      </c>
      <c r="L8" s="1">
        <v>90</v>
      </c>
      <c r="M8" s="1"/>
      <c r="N8" s="1"/>
      <c r="O8" s="1"/>
      <c r="P8" s="1"/>
      <c r="Q8" s="1"/>
      <c r="R8" s="3">
        <v>1284771.04</v>
      </c>
      <c r="S8" s="5">
        <v>278323.42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3">
        <v>12458.82</v>
      </c>
      <c r="AG8" s="1"/>
      <c r="AH8" s="3">
        <v>126399.65</v>
      </c>
      <c r="AI8" s="3">
        <v>285286.65000000002</v>
      </c>
      <c r="AJ8" s="1"/>
      <c r="AK8" s="3">
        <v>584029.31999999995</v>
      </c>
      <c r="AL8" s="1"/>
      <c r="AM8" s="3">
        <v>2160.5300000000002</v>
      </c>
      <c r="AN8" s="3">
        <v>45130.31</v>
      </c>
      <c r="AO8" s="1"/>
      <c r="AP8" s="1"/>
      <c r="AQ8" s="1">
        <v>70136.649999999994</v>
      </c>
      <c r="AR8" s="1"/>
      <c r="AS8" s="1"/>
      <c r="AT8" s="3">
        <v>36535.33</v>
      </c>
      <c r="AU8" s="1"/>
    </row>
    <row r="9" spans="1:47" ht="15.5" x14ac:dyDescent="0.35">
      <c r="A9">
        <v>6</v>
      </c>
      <c r="B9" s="1">
        <f>SUM(R9:AT9)</f>
        <v>2052059.2000000002</v>
      </c>
      <c r="C9" s="3">
        <v>649677.53</v>
      </c>
      <c r="D9" s="1">
        <f t="shared" si="1"/>
        <v>8467.110147343903</v>
      </c>
      <c r="E9" s="1">
        <f t="shared" si="2"/>
        <v>11358.150768291502</v>
      </c>
      <c r="F9" s="1">
        <f t="shared" si="3"/>
        <v>7683.7501023371551</v>
      </c>
      <c r="G9" s="1">
        <f>S9*$G$14+AN9+AO9</f>
        <v>579196.40161330334</v>
      </c>
      <c r="H9" s="1">
        <f t="shared" si="4"/>
        <v>385251.15</v>
      </c>
      <c r="I9" s="1">
        <f t="shared" si="5"/>
        <v>409605.83</v>
      </c>
      <c r="J9" s="18">
        <f>SUM(D9:I9,C9)</f>
        <v>2051239.9226312761</v>
      </c>
      <c r="K9" s="1">
        <v>7</v>
      </c>
      <c r="L9" s="1">
        <v>192</v>
      </c>
      <c r="M9" s="1">
        <v>0.6</v>
      </c>
      <c r="N9" s="1">
        <v>0.9</v>
      </c>
      <c r="O9" s="1"/>
      <c r="P9" s="1"/>
      <c r="Q9" s="1"/>
      <c r="R9" s="3">
        <v>649677.53</v>
      </c>
      <c r="S9" s="5">
        <v>225939.05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3">
        <v>385251.15</v>
      </c>
      <c r="AJ9" s="1"/>
      <c r="AK9" s="1"/>
      <c r="AL9" s="3">
        <v>178661.82</v>
      </c>
      <c r="AM9" s="3">
        <v>190218.71</v>
      </c>
      <c r="AN9" s="3">
        <v>368735.65</v>
      </c>
      <c r="AO9" s="3">
        <v>12849.99</v>
      </c>
      <c r="AP9" s="1"/>
      <c r="AQ9" s="3">
        <v>40725.300000000003</v>
      </c>
      <c r="AR9" s="1"/>
      <c r="AS9" s="1"/>
      <c r="AT9" s="1"/>
      <c r="AU9" s="1"/>
    </row>
    <row r="10" spans="1:47" s="7" customFormat="1" ht="15.5" x14ac:dyDescent="0.35">
      <c r="A10" s="7">
        <v>7</v>
      </c>
      <c r="B10" s="8">
        <f>SUM(R10:AU10)</f>
        <v>1746826.8699999996</v>
      </c>
      <c r="C10" s="10">
        <v>389148.9</v>
      </c>
      <c r="D10" s="8">
        <f>SUM(T10)</f>
        <v>7772.31</v>
      </c>
      <c r="E10" s="8">
        <f>SUM(W10:AA10)</f>
        <v>5614.72</v>
      </c>
      <c r="F10" s="8">
        <f>SUM(U10:V10)</f>
        <v>20095.21</v>
      </c>
      <c r="G10" s="8">
        <f>SUM(AB10:AE10,AN10)</f>
        <v>642274.06000000006</v>
      </c>
      <c r="H10" s="8">
        <f>SUM(AL10:AM10,AQ10)</f>
        <v>224996.15</v>
      </c>
      <c r="I10" s="8">
        <f>SUM(AT10:AU10,AS10)</f>
        <v>456925.52</v>
      </c>
      <c r="J10" s="18">
        <f t="shared" si="0"/>
        <v>1746826.87</v>
      </c>
      <c r="K10" s="8">
        <v>8</v>
      </c>
      <c r="L10" s="8"/>
      <c r="M10" s="8"/>
      <c r="N10" s="8"/>
      <c r="O10" s="8"/>
      <c r="P10" s="8"/>
      <c r="Q10" s="8"/>
      <c r="R10" s="10">
        <v>389148.9</v>
      </c>
      <c r="S10" s="8"/>
      <c r="T10" s="10">
        <v>7772.31</v>
      </c>
      <c r="U10" s="10">
        <v>9519.5400000000009</v>
      </c>
      <c r="V10" s="10">
        <v>10575.67</v>
      </c>
      <c r="W10" s="10">
        <v>5614.72</v>
      </c>
      <c r="X10" s="8"/>
      <c r="Y10" s="8"/>
      <c r="Z10" s="8"/>
      <c r="AA10" s="8"/>
      <c r="AB10" s="10">
        <v>10961.44</v>
      </c>
      <c r="AC10" s="10">
        <v>831.1</v>
      </c>
      <c r="AD10" s="10">
        <v>1434.05</v>
      </c>
      <c r="AE10" s="10">
        <v>2769.29</v>
      </c>
      <c r="AF10" s="8"/>
      <c r="AG10" s="8"/>
      <c r="AH10" s="8"/>
      <c r="AI10" s="8"/>
      <c r="AJ10" s="8"/>
      <c r="AK10" s="8"/>
      <c r="AL10" s="10">
        <v>154841.79999999999</v>
      </c>
      <c r="AM10" s="10">
        <v>59621.2</v>
      </c>
      <c r="AN10" s="10">
        <v>626278.18000000005</v>
      </c>
      <c r="AO10" s="8"/>
      <c r="AP10" s="8"/>
      <c r="AQ10" s="10">
        <v>10533.15</v>
      </c>
      <c r="AR10" s="8"/>
      <c r="AS10" s="8"/>
      <c r="AT10" s="10">
        <v>456925.52</v>
      </c>
      <c r="AU10" s="8"/>
    </row>
    <row r="11" spans="1:47" x14ac:dyDescent="0.35">
      <c r="A11" s="6"/>
      <c r="B11" t="s">
        <v>38</v>
      </c>
      <c r="R11" t="s">
        <v>52</v>
      </c>
      <c r="S11" t="s">
        <v>50</v>
      </c>
      <c r="T11" t="s">
        <v>40</v>
      </c>
      <c r="U11" t="s">
        <v>51</v>
      </c>
      <c r="V11" t="s">
        <v>43</v>
      </c>
      <c r="W11" t="s">
        <v>55</v>
      </c>
      <c r="X11" s="14" t="s">
        <v>47</v>
      </c>
    </row>
    <row r="12" spans="1:47" x14ac:dyDescent="0.35">
      <c r="B12">
        <f>SUM(B4:B10)/8</f>
        <v>2382064.3199999998</v>
      </c>
      <c r="R12">
        <v>1</v>
      </c>
      <c r="S12" s="6">
        <f>SUM(T4:AE4,AN4)</f>
        <v>97350</v>
      </c>
      <c r="T12" s="6">
        <f>T4</f>
        <v>21200</v>
      </c>
      <c r="U12" s="6">
        <f>SUM(W4:X4,Z4:AA4)</f>
        <v>33250</v>
      </c>
      <c r="V12" s="6">
        <f>SUM(U4:V4)</f>
        <v>9000</v>
      </c>
      <c r="W12" s="6">
        <f>SUM(AB4:AE4,AN4,AO4,Y4)</f>
        <v>33900</v>
      </c>
      <c r="X12" s="15">
        <f>SUM(T12:W12)</f>
        <v>97350</v>
      </c>
    </row>
    <row r="13" spans="1:47" x14ac:dyDescent="0.35">
      <c r="B13" t="s">
        <v>56</v>
      </c>
      <c r="R13">
        <v>7</v>
      </c>
      <c r="S13" s="6">
        <f>SUM(T10:AE10,AN10)</f>
        <v>675756.3</v>
      </c>
      <c r="T13" s="6">
        <f>T10</f>
        <v>7772.31</v>
      </c>
      <c r="U13" s="6">
        <f>SUM(W10:X10,Z10:AA10)</f>
        <v>5614.72</v>
      </c>
      <c r="V13" s="6">
        <f>SUM(T10:U10)</f>
        <v>17291.850000000002</v>
      </c>
      <c r="W13" s="6">
        <f>SUM(AB10:AE10,Y10,AN10)</f>
        <v>642274.06000000006</v>
      </c>
      <c r="X13" s="15">
        <f>SUM(T13:W13)</f>
        <v>672952.94000000006</v>
      </c>
    </row>
    <row r="14" spans="1:47" ht="15" thickBot="1" x14ac:dyDescent="0.4">
      <c r="D14">
        <v>3.7475195843055475E-2</v>
      </c>
      <c r="E14">
        <v>5.0270861846553314E-2</v>
      </c>
      <c r="F14">
        <v>3.400806590245093E-2</v>
      </c>
      <c r="G14">
        <v>0.87461977738378283</v>
      </c>
      <c r="R14" t="s">
        <v>49</v>
      </c>
      <c r="S14" s="6">
        <f>SUM(S12:S13)</f>
        <v>773106.3</v>
      </c>
      <c r="T14" s="6">
        <f>SUM(T12:T13)</f>
        <v>28972.31</v>
      </c>
      <c r="U14" s="6">
        <f>SUM(U12:U13)</f>
        <v>38864.720000000001</v>
      </c>
      <c r="V14" s="6">
        <f>SUM(V12:V13)</f>
        <v>26291.850000000002</v>
      </c>
      <c r="W14" s="6">
        <f>SUM(W12:W13)</f>
        <v>676174.06</v>
      </c>
    </row>
    <row r="15" spans="1:47" ht="15" thickBot="1" x14ac:dyDescent="0.4">
      <c r="B15" t="s">
        <v>48</v>
      </c>
      <c r="R15" t="s">
        <v>53</v>
      </c>
      <c r="T15" s="11">
        <f>T14/$S$14</f>
        <v>3.7475195843055475E-2</v>
      </c>
      <c r="U15" s="12">
        <f t="shared" ref="U15:W15" si="7">U14/$S$14</f>
        <v>5.0270861846553314E-2</v>
      </c>
      <c r="V15" s="12">
        <f t="shared" si="7"/>
        <v>3.400806590245093E-2</v>
      </c>
      <c r="W15" s="13">
        <f t="shared" si="7"/>
        <v>0.87461977738378283</v>
      </c>
      <c r="X15" t="s">
        <v>54</v>
      </c>
    </row>
    <row r="16" spans="1:47" s="7" customFormat="1" ht="15.5" x14ac:dyDescent="0.35">
      <c r="B16" s="8">
        <f>SUM(R16:AT16)</f>
        <v>57936.479999999996</v>
      </c>
      <c r="C16" s="8">
        <f>SUM(R16)</f>
        <v>11515.75</v>
      </c>
      <c r="D16" s="8">
        <f>SUM(T16)</f>
        <v>1242.68</v>
      </c>
      <c r="E16" s="8">
        <f>SUM(X16:AA16,W16)</f>
        <v>19040.52</v>
      </c>
      <c r="F16" s="8">
        <f>SUM(U16:V16)</f>
        <v>0</v>
      </c>
      <c r="G16" s="8"/>
      <c r="H16" s="8"/>
      <c r="I16" s="8"/>
      <c r="J16" s="8"/>
      <c r="K16" s="8">
        <v>6</v>
      </c>
      <c r="L16" s="9">
        <v>7584</v>
      </c>
      <c r="M16" s="8"/>
      <c r="N16" s="8"/>
      <c r="O16" s="8"/>
      <c r="P16" s="8"/>
      <c r="Q16" s="8"/>
      <c r="R16" s="10">
        <v>11515.75</v>
      </c>
      <c r="S16" s="8"/>
      <c r="T16" s="10">
        <v>1242.68</v>
      </c>
      <c r="U16" s="8"/>
      <c r="V16" s="8"/>
      <c r="W16" s="8"/>
      <c r="X16" s="10">
        <v>2485.37</v>
      </c>
      <c r="Y16" s="10">
        <v>10776.67</v>
      </c>
      <c r="Z16" s="8"/>
      <c r="AA16" s="10">
        <v>5778.48</v>
      </c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0">
        <v>8876.31</v>
      </c>
      <c r="AM16" s="8"/>
      <c r="AN16" s="10">
        <v>2875.92</v>
      </c>
      <c r="AO16" s="8"/>
      <c r="AP16" s="8"/>
      <c r="AQ16" s="8">
        <v>4083.1</v>
      </c>
      <c r="AR16" s="8"/>
      <c r="AS16" s="8"/>
      <c r="AT16" s="10">
        <v>10302.200000000001</v>
      </c>
      <c r="AU16" s="8"/>
    </row>
    <row r="18" spans="2:42" x14ac:dyDescent="0.35">
      <c r="B18" s="22" t="s">
        <v>57</v>
      </c>
      <c r="C18" s="22"/>
      <c r="D18" t="s">
        <v>58</v>
      </c>
    </row>
    <row r="19" spans="2:42" x14ac:dyDescent="0.35">
      <c r="B19" t="s">
        <v>59</v>
      </c>
      <c r="C19" t="s">
        <v>60</v>
      </c>
      <c r="D19" t="s">
        <v>61</v>
      </c>
      <c r="E19" t="s">
        <v>62</v>
      </c>
      <c r="F19" t="s">
        <v>63</v>
      </c>
      <c r="G19" t="s">
        <v>64</v>
      </c>
      <c r="H19" t="s">
        <v>65</v>
      </c>
      <c r="I19" t="s">
        <v>66</v>
      </c>
      <c r="AL19" t="s">
        <v>68</v>
      </c>
      <c r="AM19" t="s">
        <v>45</v>
      </c>
      <c r="AN19" t="s">
        <v>49</v>
      </c>
      <c r="AO19" t="s">
        <v>70</v>
      </c>
      <c r="AP19" s="20" t="s">
        <v>69</v>
      </c>
    </row>
    <row r="20" spans="2:42" ht="15.5" x14ac:dyDescent="0.35">
      <c r="B20">
        <f>SUM(J4:J10)/7</f>
        <v>2711998.5925405086</v>
      </c>
      <c r="C20">
        <f>SUM(C4:C10)/7</f>
        <v>1055607.5542857144</v>
      </c>
      <c r="D20">
        <f>SUM(D4:D10)/7</f>
        <v>26189.462505903979</v>
      </c>
      <c r="E20" s="6">
        <f>SUM(E4:E10)/6</f>
        <v>40986.968193062021</v>
      </c>
      <c r="F20">
        <f>SUM(F4:F10)/7</f>
        <v>24166.9459734019</v>
      </c>
      <c r="G20">
        <f>SUM(G4:G10)/7</f>
        <v>714396.59275286354</v>
      </c>
      <c r="H20">
        <f>SUM(H4:H10)/7</f>
        <v>312757.85285714286</v>
      </c>
      <c r="I20">
        <f>SUM(I4:I10)/7</f>
        <v>543748.49714285717</v>
      </c>
      <c r="AK20">
        <v>1</v>
      </c>
      <c r="AL20" s="6">
        <f>SUM(AI4,AK4,AN4,AO4,AS4,AT4,AP4)</f>
        <v>198700</v>
      </c>
      <c r="AM20" s="6">
        <f>SUM(AJ4,AL4,AM4,AQ4,AR4)</f>
        <v>73032</v>
      </c>
      <c r="AN20" s="6">
        <f>SUM(AL20:AM20)</f>
        <v>271732</v>
      </c>
      <c r="AO20" s="8">
        <v>168000</v>
      </c>
    </row>
    <row r="21" spans="2:42" ht="15.5" x14ac:dyDescent="0.35">
      <c r="B21" t="s">
        <v>67</v>
      </c>
      <c r="C21" t="s">
        <v>60</v>
      </c>
      <c r="D21" t="s">
        <v>61</v>
      </c>
      <c r="E21" t="s">
        <v>62</v>
      </c>
      <c r="F21" t="s">
        <v>63</v>
      </c>
      <c r="G21" t="s">
        <v>64</v>
      </c>
      <c r="H21" t="s">
        <v>65</v>
      </c>
      <c r="I21" t="s">
        <v>66</v>
      </c>
      <c r="J21" t="s">
        <v>47</v>
      </c>
      <c r="AK21">
        <v>2</v>
      </c>
      <c r="AL21" s="6">
        <f t="shared" ref="AL21:AL25" si="8">SUM(AI5,AK5,AN5,AO5,AS5,AT5,AP5)</f>
        <v>367236.22</v>
      </c>
      <c r="AM21" s="6">
        <f t="shared" ref="AM21:AM25" si="9">SUM(AJ5,AL5,AM5,AQ5,AR5)</f>
        <v>80389.789999999994</v>
      </c>
      <c r="AN21" s="6">
        <f t="shared" ref="AN21:AN25" si="10">SUM(AL21:AM21)</f>
        <v>447626.00999999995</v>
      </c>
      <c r="AO21" s="1">
        <v>413206.6</v>
      </c>
    </row>
    <row r="22" spans="2:42" ht="15.5" x14ac:dyDescent="0.35">
      <c r="C22">
        <f>C20/$B$20</f>
        <v>0.3892360258553294</v>
      </c>
      <c r="D22">
        <f t="shared" ref="D22:I22" si="11">D20/$B$20</f>
        <v>9.6568864666594749E-3</v>
      </c>
      <c r="E22">
        <f t="shared" si="11"/>
        <v>1.5113196705115845E-2</v>
      </c>
      <c r="F22">
        <f t="shared" si="11"/>
        <v>8.9111203965497356E-3</v>
      </c>
      <c r="G22">
        <f t="shared" si="11"/>
        <v>0.26342070925768474</v>
      </c>
      <c r="H22">
        <f t="shared" si="11"/>
        <v>0.11532375190658262</v>
      </c>
      <c r="I22">
        <f t="shared" si="11"/>
        <v>0.20049733751280893</v>
      </c>
      <c r="J22" s="19">
        <f>SUM(C22:I22)</f>
        <v>1.0021590281007307</v>
      </c>
      <c r="AK22">
        <v>3</v>
      </c>
      <c r="AL22" s="6">
        <f t="shared" si="8"/>
        <v>970890</v>
      </c>
      <c r="AM22" s="6">
        <f t="shared" si="9"/>
        <v>1456189.85</v>
      </c>
      <c r="AN22" s="6">
        <f t="shared" si="10"/>
        <v>2427079.85</v>
      </c>
      <c r="AO22" s="1">
        <v>3902773</v>
      </c>
    </row>
    <row r="23" spans="2:42" ht="15.5" x14ac:dyDescent="0.35">
      <c r="E23" s="6"/>
      <c r="AK23">
        <v>4</v>
      </c>
      <c r="AL23" s="6">
        <f t="shared" si="8"/>
        <v>299918.03000000003</v>
      </c>
      <c r="AM23" s="6">
        <f t="shared" si="9"/>
        <v>187569.58000000002</v>
      </c>
      <c r="AN23" s="6">
        <f t="shared" si="10"/>
        <v>487487.61000000004</v>
      </c>
      <c r="AO23" s="2">
        <v>581675.81000000006</v>
      </c>
    </row>
    <row r="24" spans="2:42" ht="15.5" x14ac:dyDescent="0.35">
      <c r="E24" s="6"/>
      <c r="AK24">
        <v>5</v>
      </c>
      <c r="AL24" s="6">
        <f t="shared" si="8"/>
        <v>950981.61</v>
      </c>
      <c r="AM24" s="6">
        <f t="shared" si="9"/>
        <v>72297.179999999993</v>
      </c>
      <c r="AN24" s="6">
        <f t="shared" si="10"/>
        <v>1023278.79</v>
      </c>
      <c r="AO24" s="3">
        <v>1284771.04</v>
      </c>
    </row>
    <row r="25" spans="2:42" ht="15.5" x14ac:dyDescent="0.35">
      <c r="B25" s="22" t="s">
        <v>76</v>
      </c>
      <c r="C25" s="22"/>
      <c r="D25" s="22"/>
      <c r="E25" s="22"/>
      <c r="F25" s="22"/>
      <c r="G25" s="22"/>
      <c r="H25" s="22"/>
      <c r="I25" s="22"/>
      <c r="AK25">
        <v>6</v>
      </c>
      <c r="AL25" s="6">
        <f t="shared" si="8"/>
        <v>766836.79</v>
      </c>
      <c r="AM25" s="6">
        <f t="shared" si="9"/>
        <v>409605.83</v>
      </c>
      <c r="AN25" s="6">
        <f t="shared" si="10"/>
        <v>1176442.6200000001</v>
      </c>
      <c r="AO25" s="3">
        <v>649677.53</v>
      </c>
    </row>
    <row r="26" spans="2:42" ht="15.5" x14ac:dyDescent="0.35">
      <c r="B26" s="22" t="s">
        <v>57</v>
      </c>
      <c r="C26" s="22"/>
      <c r="D26" t="s">
        <v>58</v>
      </c>
      <c r="AK26">
        <v>7</v>
      </c>
      <c r="AL26" s="6">
        <f>SUM(AI10,AK10,AN10,AO10,AS10,AT10,AP10)</f>
        <v>1083203.7000000002</v>
      </c>
      <c r="AM26" s="6">
        <f>SUM(AJ10,AL10,AM10,AQ10,AR10)</f>
        <v>224996.15</v>
      </c>
      <c r="AN26" s="6">
        <f>SUM(AL26:AM26)</f>
        <v>1308199.8500000001</v>
      </c>
      <c r="AO26" s="10">
        <v>389148.9</v>
      </c>
    </row>
    <row r="27" spans="2:42" x14ac:dyDescent="0.35">
      <c r="B27" t="s">
        <v>59</v>
      </c>
      <c r="C27" t="s">
        <v>60</v>
      </c>
      <c r="D27" t="s">
        <v>61</v>
      </c>
      <c r="E27" t="s">
        <v>62</v>
      </c>
      <c r="F27" t="s">
        <v>63</v>
      </c>
      <c r="G27" t="s">
        <v>64</v>
      </c>
      <c r="H27" t="s">
        <v>65</v>
      </c>
      <c r="I27" t="s">
        <v>66</v>
      </c>
    </row>
    <row r="28" spans="2:42" x14ac:dyDescent="0.35">
      <c r="B28" s="6">
        <f>SUM(C28:I28)</f>
        <v>3069318.0246305931</v>
      </c>
      <c r="C28" s="6">
        <f>AVERAGE(C5:C10)</f>
        <v>1203542.1466666667</v>
      </c>
      <c r="D28" s="6">
        <f t="shared" ref="D28:I28" si="12">AVERAGE(D5:D10)</f>
        <v>27021.039590221309</v>
      </c>
      <c r="E28" s="6">
        <f t="shared" si="12"/>
        <v>35445.301526395357</v>
      </c>
      <c r="F28" s="6">
        <f t="shared" si="12"/>
        <v>26694.770302302219</v>
      </c>
      <c r="G28" s="6">
        <f t="shared" si="12"/>
        <v>827812.6915450074</v>
      </c>
      <c r="H28" s="6">
        <f t="shared" si="12"/>
        <v>314712.16166666662</v>
      </c>
      <c r="I28" s="6">
        <f t="shared" si="12"/>
        <v>634089.91333333345</v>
      </c>
      <c r="AL28" t="s">
        <v>71</v>
      </c>
      <c r="AM28" t="s">
        <v>72</v>
      </c>
      <c r="AN28" t="s">
        <v>73</v>
      </c>
    </row>
    <row r="29" spans="2:42" ht="15.5" x14ac:dyDescent="0.35">
      <c r="B29" t="s">
        <v>67</v>
      </c>
      <c r="C29" t="s">
        <v>60</v>
      </c>
      <c r="D29" t="s">
        <v>61</v>
      </c>
      <c r="E29" t="s">
        <v>62</v>
      </c>
      <c r="F29" t="s">
        <v>63</v>
      </c>
      <c r="G29" t="s">
        <v>64</v>
      </c>
      <c r="H29" t="s">
        <v>65</v>
      </c>
      <c r="I29" t="s">
        <v>66</v>
      </c>
      <c r="J29" t="s">
        <v>47</v>
      </c>
      <c r="AL29" s="6">
        <f>SUM(AL20:AM20)</f>
        <v>271732</v>
      </c>
      <c r="AM29" s="8">
        <v>168000</v>
      </c>
      <c r="AN29" s="6">
        <f>SUM(AL29:AM29)</f>
        <v>439732</v>
      </c>
    </row>
    <row r="30" spans="2:42" ht="15.5" x14ac:dyDescent="0.35">
      <c r="C30">
        <f>C28/$B$28</f>
        <v>0.39212037886218021</v>
      </c>
      <c r="D30">
        <f t="shared" ref="D30:I30" si="13">D28/$B$28</f>
        <v>8.8035972073872721E-3</v>
      </c>
      <c r="E30">
        <f t="shared" si="13"/>
        <v>1.154826617572852E-2</v>
      </c>
      <c r="F30">
        <f t="shared" si="13"/>
        <v>8.6972969526398491E-3</v>
      </c>
      <c r="G30">
        <f t="shared" si="13"/>
        <v>0.26970574078736548</v>
      </c>
      <c r="H30">
        <f t="shared" si="13"/>
        <v>0.10253488206212966</v>
      </c>
      <c r="I30">
        <f t="shared" si="13"/>
        <v>0.20658983795256899</v>
      </c>
      <c r="AL30" s="6">
        <f t="shared" ref="AL30:AL35" si="14">SUM(AL21:AM21)</f>
        <v>447626.00999999995</v>
      </c>
      <c r="AM30" s="1">
        <v>413206.6</v>
      </c>
      <c r="AN30" s="6">
        <f t="shared" ref="AN30:AN35" si="15">SUM(AL30:AM30)</f>
        <v>860832.60999999987</v>
      </c>
    </row>
    <row r="31" spans="2:42" ht="15.5" x14ac:dyDescent="0.35">
      <c r="AL31" s="6">
        <f t="shared" si="14"/>
        <v>2427079.85</v>
      </c>
      <c r="AM31" s="1">
        <v>3902773</v>
      </c>
      <c r="AN31" s="6">
        <f t="shared" si="15"/>
        <v>6329852.8499999996</v>
      </c>
    </row>
    <row r="32" spans="2:42" ht="15.5" x14ac:dyDescent="0.35">
      <c r="AL32" s="6">
        <f t="shared" si="14"/>
        <v>487487.61000000004</v>
      </c>
      <c r="AM32" s="2">
        <v>581675.81000000006</v>
      </c>
      <c r="AN32" s="6">
        <f t="shared" si="15"/>
        <v>1069163.4200000002</v>
      </c>
    </row>
    <row r="33" spans="37:40" ht="15.5" x14ac:dyDescent="0.35">
      <c r="AL33" s="6">
        <f t="shared" si="14"/>
        <v>1023278.79</v>
      </c>
      <c r="AM33" s="3">
        <v>1284771.04</v>
      </c>
      <c r="AN33" s="6">
        <f t="shared" si="15"/>
        <v>2308049.83</v>
      </c>
    </row>
    <row r="34" spans="37:40" ht="15.5" x14ac:dyDescent="0.35">
      <c r="AL34" s="6">
        <f t="shared" si="14"/>
        <v>1176442.6200000001</v>
      </c>
      <c r="AM34" s="3">
        <v>649677.53</v>
      </c>
      <c r="AN34" s="6">
        <f t="shared" si="15"/>
        <v>1826120.1500000001</v>
      </c>
    </row>
    <row r="35" spans="37:40" ht="15.5" x14ac:dyDescent="0.35">
      <c r="AL35" s="6">
        <f t="shared" si="14"/>
        <v>1308199.8500000001</v>
      </c>
      <c r="AM35" s="10">
        <v>389148.9</v>
      </c>
      <c r="AN35" s="6">
        <f t="shared" si="15"/>
        <v>1697348.75</v>
      </c>
    </row>
    <row r="36" spans="37:40" x14ac:dyDescent="0.35">
      <c r="AL36" s="6"/>
    </row>
    <row r="37" spans="37:40" x14ac:dyDescent="0.35">
      <c r="AK37" t="s">
        <v>58</v>
      </c>
      <c r="AL37" s="6">
        <f>AVERAGE(AL29:AL35)</f>
        <v>1020263.8185714287</v>
      </c>
      <c r="AM37" s="6">
        <f>AVERAGE(AM29:AM35)</f>
        <v>1055607.5542857144</v>
      </c>
      <c r="AN37" s="6">
        <f>AVERAGE(AN29:AN35)</f>
        <v>2075871.3728571427</v>
      </c>
    </row>
    <row r="38" spans="37:40" x14ac:dyDescent="0.35">
      <c r="AL38" t="s">
        <v>74</v>
      </c>
      <c r="AM38" t="s">
        <v>75</v>
      </c>
    </row>
    <row r="39" spans="37:40" x14ac:dyDescent="0.35">
      <c r="AL39" s="21">
        <f>AL37/$AN$37</f>
        <v>0.49148701211057222</v>
      </c>
      <c r="AM39" s="21">
        <f>AM37/$AN$37</f>
        <v>0.508512987889428</v>
      </c>
    </row>
  </sheetData>
  <mergeCells count="3">
    <mergeCell ref="B18:C18"/>
    <mergeCell ref="B25:I25"/>
    <mergeCell ref="B26:C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</dc:creator>
  <cp:lastModifiedBy>HZ</cp:lastModifiedBy>
  <dcterms:created xsi:type="dcterms:W3CDTF">2015-06-05T18:17:20Z</dcterms:created>
  <dcterms:modified xsi:type="dcterms:W3CDTF">2020-12-04T21:57:17Z</dcterms:modified>
</cp:coreProperties>
</file>