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ike\Desktop\GT_2017\ECE6390 project\"/>
    </mc:Choice>
  </mc:AlternateContent>
  <bookViews>
    <workbookView xWindow="0" yWindow="0" windowWidth="6810" windowHeight="4200"/>
  </bookViews>
  <sheets>
    <sheet name="link budget " sheetId="5" r:id="rId1"/>
    <sheet name="rain attenuation calculation" sheetId="8" r:id="rId2"/>
    <sheet name="gaseous attenuation" sheetId="9" r:id="rId3"/>
  </sheets>
  <externalReferences>
    <externalReference r:id="rId4"/>
  </externalReferences>
  <definedNames>
    <definedName name="d">'link budget '!#REF!</definedName>
    <definedName name="fghfghfgjdjdghj">'link budget '!#REF!</definedName>
    <definedName name="k">'link budget '!$B$4</definedName>
    <definedName name="Re">'link budget '!$B$2</definedName>
    <definedName name="Rsat">[1]Sheet1!$B$3</definedName>
    <definedName name="tgrgrdgdr">'link budget '!$B$4</definedName>
    <definedName name="Vc">'link budget '!$B$6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6" i="5" l="1"/>
  <c r="B21" i="5"/>
  <c r="B11" i="8" l="1"/>
  <c r="B22" i="8"/>
  <c r="B6" i="9" l="1"/>
  <c r="B5" i="9"/>
  <c r="B4" i="9"/>
  <c r="B3" i="9"/>
  <c r="B65" i="5"/>
  <c r="B16" i="8"/>
  <c r="B15" i="8"/>
  <c r="B4" i="5" l="1"/>
  <c r="B3" i="5"/>
  <c r="B5" i="5" l="1"/>
  <c r="B67" i="5" s="1"/>
  <c r="B66" i="5"/>
  <c r="B68" i="5" l="1"/>
  <c r="B7" i="5"/>
  <c r="B6" i="5"/>
  <c r="B59" i="5" l="1"/>
  <c r="B45" i="5"/>
  <c r="B33" i="5"/>
  <c r="B11" i="9"/>
  <c r="B8" i="8"/>
  <c r="B21" i="8" s="1"/>
  <c r="B14" i="5"/>
  <c r="B12" i="5"/>
  <c r="B12" i="8" l="1"/>
  <c r="B13" i="8" s="1"/>
  <c r="B18" i="8" s="1"/>
  <c r="B20" i="8" s="1"/>
  <c r="B9" i="9"/>
  <c r="B8" i="9"/>
  <c r="B15" i="5"/>
  <c r="B17" i="5" s="1"/>
  <c r="B71" i="5" s="1"/>
  <c r="B16" i="5"/>
  <c r="B19" i="5"/>
  <c r="B18" i="5"/>
  <c r="B20" i="5" s="1"/>
  <c r="B72" i="5" s="1"/>
  <c r="B70" i="5"/>
  <c r="B69" i="5"/>
  <c r="B44" i="5" l="1"/>
  <c r="B43" i="5"/>
  <c r="B75" i="5"/>
  <c r="B32" i="5" s="1"/>
  <c r="B34" i="5" s="1"/>
  <c r="B35" i="5" s="1"/>
  <c r="B76" i="5"/>
  <c r="B23" i="8"/>
  <c r="B25" i="8" s="1"/>
  <c r="B27" i="8" s="1"/>
  <c r="B29" i="8" s="1"/>
  <c r="B24" i="8"/>
  <c r="B26" i="8" s="1"/>
  <c r="B17" i="8"/>
  <c r="B19" i="8" s="1"/>
  <c r="B47" i="5" l="1"/>
  <c r="B48" i="5" s="1"/>
  <c r="B58" i="5"/>
  <c r="B73" i="5"/>
  <c r="B36" i="5" s="1"/>
  <c r="B28" i="8"/>
  <c r="B30" i="8" s="1"/>
  <c r="B60" i="5"/>
  <c r="B61" i="5" s="1"/>
  <c r="B62" i="5" l="1"/>
  <c r="B74" i="5"/>
  <c r="B49" i="5" s="1"/>
</calcChain>
</file>

<file path=xl/sharedStrings.xml><?xml version="1.0" encoding="utf-8"?>
<sst xmlns="http://schemas.openxmlformats.org/spreadsheetml/2006/main" count="225" uniqueCount="147">
  <si>
    <t>Frequency</t>
  </si>
  <si>
    <t>(GHz)</t>
  </si>
  <si>
    <r>
      <t>k</t>
    </r>
    <r>
      <rPr>
        <b/>
        <i/>
        <vertAlign val="subscript"/>
        <sz val="11"/>
        <color theme="1"/>
        <rFont val="Times New Roman"/>
        <family val="1"/>
      </rPr>
      <t>H</t>
    </r>
  </si>
  <si>
    <r>
      <t>a</t>
    </r>
    <r>
      <rPr>
        <b/>
        <i/>
        <vertAlign val="subscript"/>
        <sz val="11"/>
        <color theme="1"/>
        <rFont val="Times New Roman"/>
        <family val="1"/>
      </rPr>
      <t>H</t>
    </r>
  </si>
  <si>
    <r>
      <t>k</t>
    </r>
    <r>
      <rPr>
        <b/>
        <i/>
        <vertAlign val="subscript"/>
        <sz val="11"/>
        <color theme="1"/>
        <rFont val="Times New Roman"/>
        <family val="1"/>
      </rPr>
      <t>V</t>
    </r>
  </si>
  <si>
    <r>
      <t>a</t>
    </r>
    <r>
      <rPr>
        <b/>
        <i/>
        <vertAlign val="subscript"/>
        <sz val="11"/>
        <color theme="1"/>
        <rFont val="Times New Roman"/>
        <family val="1"/>
      </rPr>
      <t>V</t>
    </r>
  </si>
  <si>
    <t>For this calculation and future calculations we chose Miami Florida (Miami, Florida KZMA 25.824644475ºN 80.319246501ºW -7.882 m)  since it exhbits a combination of the worst communications conditions in the contiguous united states and is further east from galaxy 15. This is in relation to th galxy 15 waas satellite at 133 degress west longitude</t>
  </si>
  <si>
    <t>from ITU-R P.676-11 section  2.2</t>
  </si>
  <si>
    <t>Constants</t>
  </si>
  <si>
    <t>Earth radius</t>
  </si>
  <si>
    <t>km</t>
  </si>
  <si>
    <t>Boltzmann's constant</t>
  </si>
  <si>
    <t>J/K</t>
  </si>
  <si>
    <t>Speed of light</t>
  </si>
  <si>
    <t>m/s</t>
  </si>
  <si>
    <t>Uplink Frequency (worst)</t>
  </si>
  <si>
    <t>GHz</t>
  </si>
  <si>
    <t>m</t>
  </si>
  <si>
    <t>Downlink Frequency (worst)</t>
  </si>
  <si>
    <t>Hz</t>
  </si>
  <si>
    <t>Ground station latitude</t>
  </si>
  <si>
    <t>degrees North</t>
  </si>
  <si>
    <t>Ground station longitude</t>
  </si>
  <si>
    <t>degrees West</t>
  </si>
  <si>
    <t>Ground transmit power</t>
  </si>
  <si>
    <t>Ground antenna gain</t>
  </si>
  <si>
    <t>dBi</t>
  </si>
  <si>
    <t>Ground antenna noise temp</t>
  </si>
  <si>
    <t>K</t>
  </si>
  <si>
    <t>dB</t>
  </si>
  <si>
    <t>Satellite longitude</t>
  </si>
  <si>
    <t>Sat transmit power</t>
  </si>
  <si>
    <t>Sat antenna gain</t>
  </si>
  <si>
    <t>Sat antenna noise temp</t>
  </si>
  <si>
    <t>Uplink Wavelength</t>
  </si>
  <si>
    <t>kbps</t>
  </si>
  <si>
    <t>Downlink Wavelength</t>
  </si>
  <si>
    <t>Miami, Florida KZMA 25.824644475ºN 80.319246501ºW -7.882 m</t>
  </si>
  <si>
    <t>Ground station altitude</t>
  </si>
  <si>
    <t>Uplink path loss</t>
  </si>
  <si>
    <t>PL = 20*log10(4*pi*d/wavelength)</t>
  </si>
  <si>
    <t>Downlink path loss</t>
  </si>
  <si>
    <t>Prx = Ptx + Gtx + Grx - Lpath - Latmo</t>
  </si>
  <si>
    <t>cos(gamma)</t>
  </si>
  <si>
    <t>cos(gamma) = cos(Le)cos(Ls)cos(ls - le) + sin(Le)sin(Ls)</t>
  </si>
  <si>
    <t>gamma</t>
  </si>
  <si>
    <t>rad</t>
  </si>
  <si>
    <t>d=Rsat*sqrt(1 + (Re/Rsat)^2 - 2*(Re/Rsat)cos(gamma))</t>
  </si>
  <si>
    <t>deg</t>
  </si>
  <si>
    <t>Elevation angle</t>
  </si>
  <si>
    <t>GEO orbital altitude</t>
  </si>
  <si>
    <t>GEO orbital altitude + Earth's radius</t>
  </si>
  <si>
    <t>Path length (d)</t>
  </si>
  <si>
    <t>Uplink path loss  (with high end of doppler shift from vehicle)</t>
  </si>
  <si>
    <t>Downlink path loss  (with high end of doppler shift from vehicle)</t>
  </si>
  <si>
    <t xml:space="preserve">f doppler shift= fc - ft -fr (where ft or fr = (v/wavelength)*cos(angle of approach) </t>
  </si>
  <si>
    <r>
      <t xml:space="preserve">Downlink Frequency with </t>
    </r>
    <r>
      <rPr>
        <b/>
        <sz val="11"/>
        <color theme="1"/>
        <rFont val="Calibri"/>
        <family val="2"/>
        <scheme val="minor"/>
      </rPr>
      <t>min doppler shift</t>
    </r>
    <r>
      <rPr>
        <sz val="11"/>
        <color theme="1"/>
        <rFont val="Calibri"/>
        <family val="2"/>
        <scheme val="minor"/>
      </rPr>
      <t xml:space="preserve">  from moving vehicle</t>
    </r>
  </si>
  <si>
    <r>
      <t xml:space="preserve">Downlink Frequency with </t>
    </r>
    <r>
      <rPr>
        <b/>
        <sz val="11"/>
        <color theme="1"/>
        <rFont val="Calibri"/>
        <family val="2"/>
        <scheme val="minor"/>
      </rPr>
      <t>max doppler shift</t>
    </r>
    <r>
      <rPr>
        <sz val="11"/>
        <color theme="1"/>
        <rFont val="Calibri"/>
        <family val="2"/>
        <scheme val="minor"/>
      </rPr>
      <t xml:space="preserve">  from moving vehicle</t>
    </r>
  </si>
  <si>
    <r>
      <t xml:space="preserve">Uplink Frequency with </t>
    </r>
    <r>
      <rPr>
        <b/>
        <sz val="11"/>
        <color theme="1"/>
        <rFont val="Calibri"/>
        <family val="2"/>
        <scheme val="minor"/>
      </rPr>
      <t>max doppler shift</t>
    </r>
    <r>
      <rPr>
        <sz val="11"/>
        <color theme="1"/>
        <rFont val="Calibri"/>
        <family val="2"/>
        <scheme val="minor"/>
      </rPr>
      <t xml:space="preserve"> from moving vehicle</t>
    </r>
  </si>
  <si>
    <r>
      <t xml:space="preserve">Uplink Frequency with </t>
    </r>
    <r>
      <rPr>
        <b/>
        <sz val="11"/>
        <color theme="1"/>
        <rFont val="Calibri"/>
        <family val="2"/>
        <scheme val="minor"/>
      </rPr>
      <t>min doppler shif</t>
    </r>
    <r>
      <rPr>
        <sz val="11"/>
        <color theme="1"/>
        <rFont val="Calibri"/>
        <family val="2"/>
        <scheme val="minor"/>
      </rPr>
      <t>t  from moving vehicle</t>
    </r>
  </si>
  <si>
    <r>
      <t xml:space="preserve">Uplink Wavelength </t>
    </r>
    <r>
      <rPr>
        <b/>
        <sz val="11"/>
        <color theme="1"/>
        <rFont val="Calibri"/>
        <family val="2"/>
        <scheme val="minor"/>
      </rPr>
      <t>max doppler shift</t>
    </r>
  </si>
  <si>
    <r>
      <t xml:space="preserve">Downlink Wavelength </t>
    </r>
    <r>
      <rPr>
        <b/>
        <sz val="11"/>
        <color theme="1"/>
        <rFont val="Calibri"/>
        <family val="2"/>
        <scheme val="minor"/>
      </rPr>
      <t>max doppler shift</t>
    </r>
  </si>
  <si>
    <t>h0</t>
  </si>
  <si>
    <t>given from figure from ITU-R P.839 files</t>
  </si>
  <si>
    <t xml:space="preserve">theta </t>
  </si>
  <si>
    <t>hr=h0+0.36km</t>
  </si>
  <si>
    <t>hs</t>
  </si>
  <si>
    <t>Miami, Florida KZMA ground station height</t>
  </si>
  <si>
    <t>hr</t>
  </si>
  <si>
    <t>Ls</t>
  </si>
  <si>
    <t xml:space="preserve">Ls=(hr-hs)/sin theta </t>
  </si>
  <si>
    <t>LG</t>
  </si>
  <si>
    <t xml:space="preserve">LG = Ls cos theta </t>
  </si>
  <si>
    <t>R0.01</t>
  </si>
  <si>
    <t xml:space="preserve">rainfall rate </t>
  </si>
  <si>
    <t>kh @ 76GHZ</t>
  </si>
  <si>
    <t>ah @ 76GHZ</t>
  </si>
  <si>
    <t>kh @ 86GHZ</t>
  </si>
  <si>
    <t>ah @ 86GHZ</t>
  </si>
  <si>
    <t>maps of rainfall rate given in Recommendation ITU-R P.837. ZONE "N"</t>
  </si>
  <si>
    <t>yR @ 76 GHZ</t>
  </si>
  <si>
    <t>yR @ 86 GHZ</t>
  </si>
  <si>
    <t>db/km</t>
  </si>
  <si>
    <t>r0.01 horizontal reduction factor @ 76 GHz</t>
  </si>
  <si>
    <t>r0.01 horizontal reduction factor @ 86 GHz</t>
  </si>
  <si>
    <t>ζ @ 76 GHZ</t>
  </si>
  <si>
    <t>ζ @ 86 GHZ</t>
  </si>
  <si>
    <t>degrees</t>
  </si>
  <si>
    <t>LR</t>
  </si>
  <si>
    <t>zeta = tan^-1((hr-hs)/LG*r0.01)</t>
  </si>
  <si>
    <t>LR=(hr-hs)/sin(theta)</t>
  </si>
  <si>
    <t>χ</t>
  </si>
  <si>
    <t>Earth station Lattitude</t>
  </si>
  <si>
    <t>Earth station Longitude</t>
  </si>
  <si>
    <t xml:space="preserve">ºN </t>
  </si>
  <si>
    <t>ºW</t>
  </si>
  <si>
    <t>intermediate calculation for v0.01 @ 76 GHZ</t>
  </si>
  <si>
    <t>intermediate calculation for v0.01 @ 86 GHZ</t>
  </si>
  <si>
    <t>v0.01 @ 76 GHZ</t>
  </si>
  <si>
    <t>v0.01 @ 86 GHZ</t>
  </si>
  <si>
    <t>LE @ 76 GHZ</t>
  </si>
  <si>
    <t>LE @ 86 GHZ</t>
  </si>
  <si>
    <t xml:space="preserve">A0.01 = yR*LE </t>
  </si>
  <si>
    <t xml:space="preserve">LE = LR v0.01 </t>
  </si>
  <si>
    <t xml:space="preserve">yR=k(R0.01)^a  </t>
  </si>
  <si>
    <t>A0.01 @ 76 GZ</t>
  </si>
  <si>
    <t>A0.01 @ 86 GZ</t>
  </si>
  <si>
    <t>radians</t>
  </si>
  <si>
    <t>see link budget calculation for elvation angle converted from degrees</t>
  </si>
  <si>
    <t>Attenuation due to dry air</t>
  </si>
  <si>
    <t>Attenuation due to water vapor</t>
  </si>
  <si>
    <t>Ao @76 GHZ</t>
  </si>
  <si>
    <t>Aw @76 GHZ</t>
  </si>
  <si>
    <t>Aw @86 GHZ</t>
  </si>
  <si>
    <t>Ao @86 GHZ</t>
  </si>
  <si>
    <t xml:space="preserve">A atmosphere @ 76GHZ </t>
  </si>
  <si>
    <t>Elevation angle in radians</t>
  </si>
  <si>
    <t xml:space="preserve">A atmosphere @ 86GHZ </t>
  </si>
  <si>
    <t>negligible doppler effect to path loss, even with quickest vehicle</t>
  </si>
  <si>
    <t>Received Power</t>
  </si>
  <si>
    <t>Noise Power</t>
  </si>
  <si>
    <t>C/N received (clear sky)</t>
  </si>
  <si>
    <t>C/N received (rain)</t>
  </si>
  <si>
    <t>db</t>
  </si>
  <si>
    <t>Atmospheric attenuation due to rain @ 76 GHz</t>
  </si>
  <si>
    <t>Atmospheric attenuation due to rain @ 86 GHz</t>
  </si>
  <si>
    <t>Atmospheric attenuation due to gas   @ 86 GHZ</t>
  </si>
  <si>
    <t xml:space="preserve">Max BER of BPSK </t>
  </si>
  <si>
    <t>Minimum Required C/N</t>
  </si>
  <si>
    <t xml:space="preserve"> db</t>
  </si>
  <si>
    <t>Pe BPSK = Q(sqrt(2C/N))</t>
  </si>
  <si>
    <t>Clear Day Link margin of Ground Station</t>
  </si>
  <si>
    <t>Clear Day Link margin of vehicle</t>
  </si>
  <si>
    <t>Atmospheric attenuation due to gas @ 76 GHz</t>
  </si>
  <si>
    <t xml:space="preserve">2.0 times the data rate to satisfy nyquist theorem of sampling </t>
  </si>
  <si>
    <t>Maximum Data rate</t>
  </si>
  <si>
    <t xml:space="preserve">Signal bandwidth </t>
  </si>
  <si>
    <t>SIGNAL PARAMETERS</t>
  </si>
  <si>
    <t>GROUND STATION PARAMETERS</t>
  </si>
  <si>
    <t>SIGNAL ATTENUATION AND PATH LOSS</t>
  </si>
  <si>
    <t>SATELLITE PARAMETERS</t>
  </si>
  <si>
    <t xml:space="preserve">GROUND VEHICLE PARAMETERS </t>
  </si>
  <si>
    <t>C/N received from vehicle (clear sky)</t>
  </si>
  <si>
    <t xml:space="preserve">Clear Day Link margin of satellite and vehicle </t>
  </si>
  <si>
    <t>Received Power from Ground station</t>
  </si>
  <si>
    <t>Received Power from Vehicle</t>
  </si>
  <si>
    <t>C/N received  from vehicle (rain)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</si>
</sst>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u/>
      <sz val="11"/>
      <color theme="1"/>
      <name val="Calibri"/>
      <family val="2"/>
      <scheme val="minor"/>
    </font>
    <font>
      <sz val="11"/>
      <color theme="1"/>
      <name val="Times New Roman"/>
      <family val="1"/>
    </font>
    <font>
      <b/>
      <sz val="11"/>
      <color theme="1"/>
      <name val="Times New Roman"/>
      <family val="1"/>
    </font>
    <font>
      <b/>
      <i/>
      <sz val="11"/>
      <color theme="1"/>
      <name val="Times New Roman"/>
      <family val="1"/>
    </font>
    <font>
      <b/>
      <i/>
      <vertAlign val="subscript"/>
      <sz val="11"/>
      <color theme="1"/>
      <name val="Times New Roman"/>
      <family val="1"/>
    </font>
    <font>
      <b/>
      <sz val="11"/>
      <color theme="1"/>
      <name val="Symbol"/>
      <family val="1"/>
      <charset val="2"/>
    </font>
    <font>
      <u/>
      <sz val="11"/>
      <color theme="10"/>
      <name val="Calibri"/>
      <family val="2"/>
      <scheme val="minor"/>
    </font>
    <font>
      <sz val="12"/>
      <color rgb="FF222222"/>
      <name val="Arial"/>
      <family val="2"/>
    </font>
    <font>
      <sz val="11"/>
      <color rgb="FF333333"/>
      <name val="Arial"/>
      <family val="2"/>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2">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50">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2" borderId="0" xfId="0" applyFill="1" applyAlignment="1">
      <alignment wrapText="1"/>
    </xf>
    <xf numFmtId="0" fontId="8" fillId="0" borderId="0" xfId="1" applyAlignment="1">
      <alignment wrapText="1"/>
    </xf>
    <xf numFmtId="0" fontId="0" fillId="3" borderId="0" xfId="0" applyFill="1" applyAlignment="1">
      <alignment wrapText="1"/>
    </xf>
    <xf numFmtId="0" fontId="0" fillId="0" borderId="0" xfId="0" applyBorder="1"/>
    <xf numFmtId="0" fontId="2" fillId="0" borderId="4" xfId="0" applyFont="1"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8" xfId="0" applyBorder="1"/>
    <xf numFmtId="0" fontId="0" fillId="0" borderId="2" xfId="0" applyBorder="1"/>
    <xf numFmtId="0" fontId="0" fillId="0" borderId="0" xfId="0" applyAlignment="1"/>
    <xf numFmtId="0" fontId="0" fillId="0" borderId="0" xfId="0" applyFill="1" applyAlignment="1"/>
    <xf numFmtId="0" fontId="0" fillId="0" borderId="0" xfId="0" applyBorder="1" applyAlignment="1">
      <alignment wrapText="1"/>
    </xf>
    <xf numFmtId="0" fontId="0" fillId="0" borderId="8" xfId="0" applyBorder="1" applyAlignment="1"/>
    <xf numFmtId="0" fontId="0" fillId="0" borderId="0" xfId="0" applyFill="1" applyBorder="1" applyAlignment="1"/>
    <xf numFmtId="0" fontId="0" fillId="0" borderId="2" xfId="0" applyBorder="1" applyAlignment="1"/>
    <xf numFmtId="0" fontId="0" fillId="0" borderId="5" xfId="0" applyFill="1" applyBorder="1" applyAlignment="1"/>
    <xf numFmtId="0" fontId="0" fillId="0" borderId="6" xfId="0" applyBorder="1" applyAlignment="1"/>
    <xf numFmtId="0" fontId="0" fillId="0" borderId="0" xfId="0" applyFill="1" applyBorder="1"/>
    <xf numFmtId="0" fontId="0" fillId="0" borderId="5" xfId="0" applyFill="1" applyBorder="1"/>
    <xf numFmtId="0" fontId="0" fillId="0" borderId="0" xfId="0" applyFill="1" applyAlignment="1">
      <alignment wrapText="1"/>
    </xf>
    <xf numFmtId="0" fontId="0" fillId="0" borderId="6" xfId="0" applyFill="1" applyBorder="1"/>
    <xf numFmtId="0" fontId="0" fillId="0" borderId="0" xfId="0" applyFill="1" applyBorder="1" applyAlignment="1">
      <alignment wrapText="1"/>
    </xf>
    <xf numFmtId="0" fontId="0" fillId="0" borderId="8" xfId="0" applyFill="1" applyBorder="1"/>
    <xf numFmtId="0" fontId="0" fillId="0" borderId="0" xfId="0" applyFont="1" applyAlignment="1">
      <alignment wrapText="1"/>
    </xf>
    <xf numFmtId="0" fontId="9" fillId="0" borderId="0" xfId="0" applyFont="1"/>
    <xf numFmtId="0" fontId="0" fillId="0" borderId="10" xfId="0" applyFill="1" applyBorder="1" applyAlignment="1"/>
    <xf numFmtId="0" fontId="0" fillId="0" borderId="9" xfId="0" applyBorder="1" applyAlignment="1">
      <alignment wrapText="1"/>
    </xf>
    <xf numFmtId="0" fontId="0" fillId="0" borderId="7" xfId="0" applyFill="1" applyBorder="1" applyAlignment="1">
      <alignment wrapText="1"/>
    </xf>
    <xf numFmtId="0" fontId="0" fillId="0" borderId="9" xfId="0" applyFill="1" applyBorder="1" applyAlignment="1">
      <alignment wrapText="1"/>
    </xf>
    <xf numFmtId="0" fontId="1" fillId="0" borderId="4" xfId="0" applyFont="1" applyBorder="1" applyAlignment="1">
      <alignment wrapText="1"/>
    </xf>
    <xf numFmtId="0" fontId="10" fillId="0" borderId="0" xfId="0" applyFont="1" applyAlignment="1">
      <alignment wrapText="1"/>
    </xf>
    <xf numFmtId="0" fontId="1" fillId="0" borderId="4" xfId="0" applyFont="1" applyFill="1" applyBorder="1" applyAlignment="1">
      <alignment wrapText="1"/>
    </xf>
    <xf numFmtId="0" fontId="0" fillId="0" borderId="5" xfId="0" applyFill="1" applyBorder="1" applyAlignment="1">
      <alignment wrapText="1"/>
    </xf>
    <xf numFmtId="0" fontId="0" fillId="0" borderId="10" xfId="0" applyFill="1" applyBorder="1"/>
    <xf numFmtId="0" fontId="0" fillId="0" borderId="11" xfId="0" applyFont="1" applyBorder="1" applyAlignment="1">
      <alignment wrapText="1"/>
    </xf>
    <xf numFmtId="0" fontId="0" fillId="0" borderId="11" xfId="0" applyBorder="1" applyAlignment="1">
      <alignment wrapText="1"/>
    </xf>
    <xf numFmtId="0" fontId="5" fillId="0" borderId="3" xfId="0" applyFont="1" applyBorder="1" applyAlignment="1">
      <alignment horizontal="center" vertical="center" wrapText="1"/>
    </xf>
    <xf numFmtId="0" fontId="5" fillId="0" borderId="1"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1905001</xdr:colOff>
      <xdr:row>0</xdr:row>
      <xdr:rowOff>762000</xdr:rowOff>
    </xdr:from>
    <xdr:to>
      <xdr:col>8</xdr:col>
      <xdr:colOff>1303934</xdr:colOff>
      <xdr:row>16</xdr:row>
      <xdr:rowOff>85143</xdr:rowOff>
    </xdr:to>
    <xdr:pic>
      <xdr:nvPicPr>
        <xdr:cNvPr id="2" name="Picture 1"/>
        <xdr:cNvPicPr>
          <a:picLocks noChangeAspect="1"/>
        </xdr:cNvPicPr>
      </xdr:nvPicPr>
      <xdr:blipFill>
        <a:blip xmlns:r="http://schemas.openxmlformats.org/officeDocument/2006/relationships" r:embed="rId1"/>
        <a:stretch>
          <a:fillRect/>
        </a:stretch>
      </xdr:blipFill>
      <xdr:spPr>
        <a:xfrm>
          <a:off x="11724410" y="762000"/>
          <a:ext cx="7919478" cy="4657143"/>
        </a:xfrm>
        <a:prstGeom prst="rect">
          <a:avLst/>
        </a:prstGeom>
      </xdr:spPr>
    </xdr:pic>
    <xdr:clientData/>
  </xdr:twoCellAnchor>
  <xdr:twoCellAnchor editAs="oneCell">
    <xdr:from>
      <xdr:col>6</xdr:col>
      <xdr:colOff>1344330</xdr:colOff>
      <xdr:row>25</xdr:row>
      <xdr:rowOff>138416</xdr:rowOff>
    </xdr:from>
    <xdr:to>
      <xdr:col>9</xdr:col>
      <xdr:colOff>792878</xdr:colOff>
      <xdr:row>35</xdr:row>
      <xdr:rowOff>130106</xdr:rowOff>
    </xdr:to>
    <xdr:pic>
      <xdr:nvPicPr>
        <xdr:cNvPr id="3" name="Picture 2"/>
        <xdr:cNvPicPr>
          <a:picLocks noChangeAspect="1"/>
        </xdr:cNvPicPr>
      </xdr:nvPicPr>
      <xdr:blipFill>
        <a:blip xmlns:r="http://schemas.openxmlformats.org/officeDocument/2006/relationships" r:embed="rId2"/>
        <a:stretch>
          <a:fillRect/>
        </a:stretch>
      </xdr:blipFill>
      <xdr:spPr>
        <a:xfrm>
          <a:off x="15424012" y="6043916"/>
          <a:ext cx="5838957" cy="1939986"/>
        </a:xfrm>
        <a:prstGeom prst="rect">
          <a:avLst/>
        </a:prstGeom>
      </xdr:spPr>
    </xdr:pic>
    <xdr:clientData/>
  </xdr:twoCellAnchor>
  <xdr:twoCellAnchor editAs="oneCell">
    <xdr:from>
      <xdr:col>5</xdr:col>
      <xdr:colOff>1362941</xdr:colOff>
      <xdr:row>35</xdr:row>
      <xdr:rowOff>69706</xdr:rowOff>
    </xdr:from>
    <xdr:to>
      <xdr:col>7</xdr:col>
      <xdr:colOff>2000499</xdr:colOff>
      <xdr:row>71</xdr:row>
      <xdr:rowOff>184841</xdr:rowOff>
    </xdr:to>
    <xdr:pic>
      <xdr:nvPicPr>
        <xdr:cNvPr id="4" name="Picture 3"/>
        <xdr:cNvPicPr>
          <a:picLocks noChangeAspect="1"/>
        </xdr:cNvPicPr>
      </xdr:nvPicPr>
      <xdr:blipFill>
        <a:blip xmlns:r="http://schemas.openxmlformats.org/officeDocument/2006/relationships" r:embed="rId3"/>
        <a:stretch>
          <a:fillRect/>
        </a:stretch>
      </xdr:blipFill>
      <xdr:spPr>
        <a:xfrm>
          <a:off x="12429259" y="5975206"/>
          <a:ext cx="4897832" cy="71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0</xdr:row>
      <xdr:rowOff>142875</xdr:rowOff>
    </xdr:from>
    <xdr:to>
      <xdr:col>23</xdr:col>
      <xdr:colOff>304079</xdr:colOff>
      <xdr:row>40</xdr:row>
      <xdr:rowOff>160970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39500" y="142875"/>
          <a:ext cx="5771429" cy="7638095"/>
        </a:xfrm>
        <a:prstGeom prst="rect">
          <a:avLst/>
        </a:prstGeom>
      </xdr:spPr>
    </xdr:pic>
    <xdr:clientData/>
  </xdr:twoCellAnchor>
  <xdr:twoCellAnchor editAs="oneCell">
    <xdr:from>
      <xdr:col>3</xdr:col>
      <xdr:colOff>1724025</xdr:colOff>
      <xdr:row>2</xdr:row>
      <xdr:rowOff>0</xdr:rowOff>
    </xdr:from>
    <xdr:to>
      <xdr:col>13</xdr:col>
      <xdr:colOff>484999</xdr:colOff>
      <xdr:row>24</xdr:row>
      <xdr:rowOff>104238</xdr:rowOff>
    </xdr:to>
    <xdr:pic>
      <xdr:nvPicPr>
        <xdr:cNvPr id="3" name="Picture 2"/>
        <xdr:cNvPicPr>
          <a:picLocks noChangeAspect="1"/>
        </xdr:cNvPicPr>
      </xdr:nvPicPr>
      <xdr:blipFill>
        <a:blip xmlns:r="http://schemas.openxmlformats.org/officeDocument/2006/relationships" r:embed="rId2"/>
        <a:stretch>
          <a:fillRect/>
        </a:stretch>
      </xdr:blipFill>
      <xdr:spPr>
        <a:xfrm>
          <a:off x="4886325" y="381000"/>
          <a:ext cx="6209524" cy="42952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inkBudgetWork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ook angle calcs"/>
      <sheetName val="Rx chain sat"/>
      <sheetName val="Rx chain ground"/>
    </sheetNames>
    <sheetDataSet>
      <sheetData sheetId="0">
        <row r="3">
          <cell r="B3">
            <v>42153.5</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0"/>
  <sheetViews>
    <sheetView tabSelected="1" workbookViewId="0">
      <selection activeCell="E63" sqref="E63"/>
    </sheetView>
  </sheetViews>
  <sheetFormatPr defaultRowHeight="15" x14ac:dyDescent="0.25"/>
  <cols>
    <col min="1" max="1" width="47.28515625" style="1" customWidth="1"/>
    <col min="2" max="2" width="12.7109375" style="29" bestFit="1" customWidth="1"/>
    <col min="3" max="3" width="13.85546875" style="1" bestFit="1" customWidth="1"/>
    <col min="4" max="4" width="87" style="1" customWidth="1"/>
    <col min="5" max="5" width="46.5703125" style="1" customWidth="1"/>
    <col min="6" max="6" width="28.5703125" style="1" bestFit="1" customWidth="1"/>
    <col min="7" max="7" width="12" style="1" bestFit="1" customWidth="1"/>
    <col min="8" max="8" width="13.85546875" style="1" bestFit="1" customWidth="1"/>
    <col min="9" max="9" width="57.7109375" style="1" bestFit="1" customWidth="1"/>
    <col min="10" max="16384" width="9.140625" style="1"/>
  </cols>
  <sheetData>
    <row r="1" spans="1:5" ht="15.75" thickBot="1" x14ac:dyDescent="0.3">
      <c r="A1" s="2"/>
    </row>
    <row r="2" spans="1:5" x14ac:dyDescent="0.25">
      <c r="A2" s="13" t="s">
        <v>8</v>
      </c>
      <c r="B2" s="42"/>
      <c r="C2" s="14"/>
    </row>
    <row r="3" spans="1:5" x14ac:dyDescent="0.25">
      <c r="A3" s="15" t="s">
        <v>9</v>
      </c>
      <c r="B3" s="27">
        <f>6367.5*1000</f>
        <v>6367500</v>
      </c>
      <c r="C3" s="17" t="s">
        <v>17</v>
      </c>
    </row>
    <row r="4" spans="1:5" x14ac:dyDescent="0.25">
      <c r="A4" s="15" t="s">
        <v>50</v>
      </c>
      <c r="B4" s="27">
        <f>35786*1000</f>
        <v>35786000</v>
      </c>
      <c r="C4" s="17" t="s">
        <v>17</v>
      </c>
    </row>
    <row r="5" spans="1:5" x14ac:dyDescent="0.25">
      <c r="A5" s="15" t="s">
        <v>51</v>
      </c>
      <c r="B5" s="27">
        <f>B3+k</f>
        <v>42153500</v>
      </c>
      <c r="C5" s="17" t="s">
        <v>17</v>
      </c>
    </row>
    <row r="6" spans="1:5" x14ac:dyDescent="0.25">
      <c r="A6" s="15" t="s">
        <v>11</v>
      </c>
      <c r="B6" s="27">
        <f>1.380648*(10^-23)</f>
        <v>1.3806480000000002E-23</v>
      </c>
      <c r="C6" s="17" t="s">
        <v>12</v>
      </c>
    </row>
    <row r="7" spans="1:5" ht="15.75" thickBot="1" x14ac:dyDescent="0.3">
      <c r="A7" s="36" t="s">
        <v>13</v>
      </c>
      <c r="B7" s="43">
        <f>300000000</f>
        <v>300000000</v>
      </c>
      <c r="C7" s="18" t="s">
        <v>14</v>
      </c>
    </row>
    <row r="8" spans="1:5" ht="15.75" thickBot="1" x14ac:dyDescent="0.3">
      <c r="A8" s="2"/>
    </row>
    <row r="9" spans="1:5" x14ac:dyDescent="0.25">
      <c r="A9" s="39" t="s">
        <v>137</v>
      </c>
      <c r="B9" s="42"/>
      <c r="C9" s="14"/>
    </row>
    <row r="10" spans="1:5" x14ac:dyDescent="0.25">
      <c r="A10" s="15" t="s">
        <v>135</v>
      </c>
      <c r="B10" s="31">
        <v>180</v>
      </c>
      <c r="C10" s="16" t="s">
        <v>35</v>
      </c>
    </row>
    <row r="11" spans="1:5" x14ac:dyDescent="0.25">
      <c r="A11" s="15" t="s">
        <v>15</v>
      </c>
      <c r="B11" s="23">
        <v>86</v>
      </c>
      <c r="C11" s="22" t="s">
        <v>16</v>
      </c>
    </row>
    <row r="12" spans="1:5" x14ac:dyDescent="0.25">
      <c r="A12" s="15" t="s">
        <v>34</v>
      </c>
      <c r="B12" s="23">
        <f>(B7/(B11*(10^9)))</f>
        <v>3.4883720930232558E-3</v>
      </c>
      <c r="C12" s="22" t="s">
        <v>17</v>
      </c>
    </row>
    <row r="13" spans="1:5" x14ac:dyDescent="0.25">
      <c r="A13" s="15" t="s">
        <v>18</v>
      </c>
      <c r="B13" s="23">
        <v>76</v>
      </c>
      <c r="C13" s="22" t="s">
        <v>16</v>
      </c>
    </row>
    <row r="14" spans="1:5" x14ac:dyDescent="0.25">
      <c r="A14" s="15" t="s">
        <v>36</v>
      </c>
      <c r="B14" s="23">
        <f>(B7/(B13*(10^9)))</f>
        <v>3.9473684210526317E-3</v>
      </c>
      <c r="C14" s="22" t="s">
        <v>17</v>
      </c>
    </row>
    <row r="15" spans="1:5" x14ac:dyDescent="0.25">
      <c r="A15" s="15" t="s">
        <v>58</v>
      </c>
      <c r="B15" s="23">
        <f>(B11*(10^9)+(123.78/B12))/(10^9)</f>
        <v>86.000035483600001</v>
      </c>
      <c r="C15" s="22" t="s">
        <v>16</v>
      </c>
      <c r="D15" s="12" t="s">
        <v>55</v>
      </c>
    </row>
    <row r="16" spans="1:5" ht="30" x14ac:dyDescent="0.25">
      <c r="A16" s="15" t="s">
        <v>59</v>
      </c>
      <c r="B16" s="23">
        <f>(B11*(10^9)-(123.78/B12))/(10^9)</f>
        <v>85.999964516399999</v>
      </c>
      <c r="C16" s="22" t="s">
        <v>16</v>
      </c>
      <c r="E16" s="10"/>
    </row>
    <row r="17" spans="1:5" x14ac:dyDescent="0.25">
      <c r="A17" s="15" t="s">
        <v>60</v>
      </c>
      <c r="B17" s="23">
        <f>(B7/(B15*(10^9)))</f>
        <v>3.4883706537215237E-3</v>
      </c>
      <c r="C17" s="22" t="s">
        <v>17</v>
      </c>
      <c r="E17" s="10"/>
    </row>
    <row r="18" spans="1:5" ht="15.75" customHeight="1" x14ac:dyDescent="0.25">
      <c r="A18" s="15" t="s">
        <v>57</v>
      </c>
      <c r="B18" s="23">
        <f>(B13*(10^9)+(123.78/B14))/(10^9)</f>
        <v>76.000031357600008</v>
      </c>
      <c r="C18" s="22" t="s">
        <v>16</v>
      </c>
    </row>
    <row r="19" spans="1:5" x14ac:dyDescent="0.25">
      <c r="A19" s="15" t="s">
        <v>56</v>
      </c>
      <c r="B19" s="23">
        <f>(B13*(10^9)-(123.78/B14))/(10^9)</f>
        <v>75.999968642399992</v>
      </c>
      <c r="C19" s="22" t="s">
        <v>16</v>
      </c>
      <c r="D19" s="12"/>
    </row>
    <row r="20" spans="1:5" x14ac:dyDescent="0.25">
      <c r="A20" s="15" t="s">
        <v>61</v>
      </c>
      <c r="B20" s="23">
        <f>(B7/(B18*(10^9)))</f>
        <v>3.947366792369093E-3</v>
      </c>
      <c r="C20" s="22" t="s">
        <v>17</v>
      </c>
      <c r="D20" s="12"/>
    </row>
    <row r="21" spans="1:5" x14ac:dyDescent="0.25">
      <c r="A21" s="15" t="s">
        <v>136</v>
      </c>
      <c r="B21" s="23">
        <f>B10*1000*2</f>
        <v>360000</v>
      </c>
      <c r="C21" s="22" t="s">
        <v>19</v>
      </c>
      <c r="D21" s="1" t="s">
        <v>134</v>
      </c>
    </row>
    <row r="22" spans="1:5" x14ac:dyDescent="0.25">
      <c r="A22" s="37" t="s">
        <v>127</v>
      </c>
      <c r="B22" s="23">
        <v>1E-3</v>
      </c>
      <c r="C22" s="22"/>
    </row>
    <row r="23" spans="1:5" ht="15.75" thickBot="1" x14ac:dyDescent="0.3">
      <c r="A23" s="38" t="s">
        <v>128</v>
      </c>
      <c r="B23" s="35">
        <v>6.82</v>
      </c>
      <c r="C23" s="24" t="s">
        <v>129</v>
      </c>
      <c r="D23" s="1" t="s">
        <v>130</v>
      </c>
    </row>
    <row r="24" spans="1:5" ht="15.75" thickBot="1" x14ac:dyDescent="0.3">
      <c r="B24" s="20"/>
      <c r="C24" s="19"/>
    </row>
    <row r="25" spans="1:5" x14ac:dyDescent="0.25">
      <c r="A25" s="39" t="s">
        <v>138</v>
      </c>
      <c r="B25" s="25"/>
      <c r="C25" s="26"/>
      <c r="D25" s="1" t="s">
        <v>37</v>
      </c>
    </row>
    <row r="26" spans="1:5" x14ac:dyDescent="0.25">
      <c r="A26" s="15" t="s">
        <v>20</v>
      </c>
      <c r="B26" s="23">
        <v>25.82</v>
      </c>
      <c r="C26" s="22" t="s">
        <v>21</v>
      </c>
    </row>
    <row r="27" spans="1:5" x14ac:dyDescent="0.25">
      <c r="A27" s="15" t="s">
        <v>22</v>
      </c>
      <c r="B27" s="23">
        <v>80.319000000000003</v>
      </c>
      <c r="C27" s="22" t="s">
        <v>23</v>
      </c>
    </row>
    <row r="28" spans="1:5" x14ac:dyDescent="0.25">
      <c r="A28" s="15" t="s">
        <v>38</v>
      </c>
      <c r="B28" s="23">
        <v>-7.8819999999999997</v>
      </c>
      <c r="C28" s="16" t="s">
        <v>17</v>
      </c>
    </row>
    <row r="29" spans="1:5" x14ac:dyDescent="0.25">
      <c r="A29" s="15" t="s">
        <v>24</v>
      </c>
      <c r="B29" s="23">
        <v>25</v>
      </c>
      <c r="C29" s="22" t="s">
        <v>29</v>
      </c>
    </row>
    <row r="30" spans="1:5" x14ac:dyDescent="0.25">
      <c r="A30" s="15" t="s">
        <v>25</v>
      </c>
      <c r="B30" s="23">
        <v>63</v>
      </c>
      <c r="C30" s="22" t="s">
        <v>26</v>
      </c>
    </row>
    <row r="31" spans="1:5" x14ac:dyDescent="0.25">
      <c r="A31" s="15" t="s">
        <v>27</v>
      </c>
      <c r="B31" s="23">
        <v>76</v>
      </c>
      <c r="C31" s="22" t="s">
        <v>28</v>
      </c>
    </row>
    <row r="32" spans="1:5" x14ac:dyDescent="0.25">
      <c r="A32" s="37" t="s">
        <v>119</v>
      </c>
      <c r="B32" s="23">
        <f>B40+B41+B30-B70-B75</f>
        <v>-92.541239007300632</v>
      </c>
      <c r="C32" s="22" t="s">
        <v>123</v>
      </c>
      <c r="D32" s="1" t="s">
        <v>42</v>
      </c>
    </row>
    <row r="33" spans="1:4" x14ac:dyDescent="0.25">
      <c r="A33" s="37" t="s">
        <v>120</v>
      </c>
      <c r="B33" s="23">
        <f>10*LOG(B31*Vc*B21)</f>
        <v>-154.22800938832015</v>
      </c>
      <c r="C33" s="22" t="s">
        <v>123</v>
      </c>
    </row>
    <row r="34" spans="1:4" x14ac:dyDescent="0.25">
      <c r="A34" s="37" t="s">
        <v>121</v>
      </c>
      <c r="B34" s="23">
        <f>B32-B33</f>
        <v>61.686770381019514</v>
      </c>
      <c r="C34" s="22" t="s">
        <v>123</v>
      </c>
    </row>
    <row r="35" spans="1:4" x14ac:dyDescent="0.25">
      <c r="A35" s="37" t="s">
        <v>131</v>
      </c>
      <c r="B35" s="23">
        <f>B34-B23</f>
        <v>54.866770381019514</v>
      </c>
      <c r="C35" s="22" t="s">
        <v>123</v>
      </c>
    </row>
    <row r="36" spans="1:4" ht="15.75" thickBot="1" x14ac:dyDescent="0.3">
      <c r="A36" s="38" t="s">
        <v>122</v>
      </c>
      <c r="B36" s="35">
        <f>(B32-B73)-B33</f>
        <v>-69.258041606242642</v>
      </c>
      <c r="C36" s="24" t="s">
        <v>123</v>
      </c>
    </row>
    <row r="37" spans="1:4" ht="15.75" thickBot="1" x14ac:dyDescent="0.3">
      <c r="B37" s="20"/>
      <c r="C37" s="19"/>
    </row>
    <row r="38" spans="1:4" x14ac:dyDescent="0.25">
      <c r="A38" s="39" t="s">
        <v>140</v>
      </c>
      <c r="B38" s="25"/>
      <c r="C38" s="26"/>
    </row>
    <row r="39" spans="1:4" x14ac:dyDescent="0.25">
      <c r="A39" s="15" t="s">
        <v>30</v>
      </c>
      <c r="B39" s="23">
        <v>133</v>
      </c>
      <c r="C39" s="22" t="s">
        <v>23</v>
      </c>
    </row>
    <row r="40" spans="1:4" x14ac:dyDescent="0.25">
      <c r="A40" s="15" t="s">
        <v>31</v>
      </c>
      <c r="B40" s="23">
        <v>13</v>
      </c>
      <c r="C40" s="22" t="s">
        <v>29</v>
      </c>
    </row>
    <row r="41" spans="1:4" x14ac:dyDescent="0.25">
      <c r="A41" s="15" t="s">
        <v>32</v>
      </c>
      <c r="B41" s="23">
        <v>54</v>
      </c>
      <c r="C41" s="22" t="s">
        <v>26</v>
      </c>
    </row>
    <row r="42" spans="1:4" x14ac:dyDescent="0.25">
      <c r="A42" s="15" t="s">
        <v>33</v>
      </c>
      <c r="B42" s="23">
        <v>200</v>
      </c>
      <c r="C42" s="22" t="s">
        <v>28</v>
      </c>
    </row>
    <row r="43" spans="1:4" x14ac:dyDescent="0.25">
      <c r="A43" s="37" t="s">
        <v>144</v>
      </c>
      <c r="B43" s="23">
        <f>B29+B30+B41-B69-B76</f>
        <v>-81.633562308780924</v>
      </c>
      <c r="C43" s="22" t="s">
        <v>123</v>
      </c>
    </row>
    <row r="44" spans="1:4" x14ac:dyDescent="0.25">
      <c r="A44" s="37" t="s">
        <v>145</v>
      </c>
      <c r="B44" s="23">
        <f>B56+B55+B41-B71-B76</f>
        <v>-112.83356589257826</v>
      </c>
      <c r="C44" s="22" t="s">
        <v>123</v>
      </c>
      <c r="D44" s="1" t="s">
        <v>42</v>
      </c>
    </row>
    <row r="45" spans="1:4" x14ac:dyDescent="0.25">
      <c r="A45" s="37" t="s">
        <v>120</v>
      </c>
      <c r="B45" s="23">
        <f>10*LOG10(Vc*B42*B21)</f>
        <v>-150.02584535448824</v>
      </c>
      <c r="C45" s="22" t="s">
        <v>123</v>
      </c>
    </row>
    <row r="46" spans="1:4" x14ac:dyDescent="0.25">
      <c r="A46" s="37" t="s">
        <v>142</v>
      </c>
      <c r="B46" s="23">
        <f>B43-B45</f>
        <v>68.392283045707316</v>
      </c>
      <c r="C46" s="22" t="s">
        <v>123</v>
      </c>
    </row>
    <row r="47" spans="1:4" x14ac:dyDescent="0.25">
      <c r="A47" s="37" t="s">
        <v>142</v>
      </c>
      <c r="B47" s="23">
        <f>B44-B45</f>
        <v>37.192279461909976</v>
      </c>
      <c r="C47" s="22" t="s">
        <v>123</v>
      </c>
    </row>
    <row r="48" spans="1:4" x14ac:dyDescent="0.25">
      <c r="A48" s="37" t="s">
        <v>143</v>
      </c>
      <c r="B48" s="23">
        <f>B47-B23</f>
        <v>30.372279461909976</v>
      </c>
      <c r="C48" s="22" t="s">
        <v>123</v>
      </c>
    </row>
    <row r="49" spans="1:7" ht="15.75" thickBot="1" x14ac:dyDescent="0.3">
      <c r="A49" s="38" t="s">
        <v>146</v>
      </c>
      <c r="B49" s="35">
        <f>B44-B74-B45</f>
        <v>-95.741047597889889</v>
      </c>
      <c r="C49" s="24" t="s">
        <v>123</v>
      </c>
    </row>
    <row r="50" spans="1:7" ht="15.75" thickBot="1" x14ac:dyDescent="0.3"/>
    <row r="51" spans="1:7" x14ac:dyDescent="0.25">
      <c r="A51" s="39" t="s">
        <v>141</v>
      </c>
      <c r="B51" s="25"/>
      <c r="C51" s="26"/>
    </row>
    <row r="52" spans="1:7" x14ac:dyDescent="0.25">
      <c r="A52" s="15" t="s">
        <v>20</v>
      </c>
      <c r="B52" s="23">
        <v>25.82</v>
      </c>
      <c r="C52" s="22" t="s">
        <v>21</v>
      </c>
    </row>
    <row r="53" spans="1:7" x14ac:dyDescent="0.25">
      <c r="A53" s="15" t="s">
        <v>22</v>
      </c>
      <c r="B53" s="23">
        <v>80.319000000000003</v>
      </c>
      <c r="C53" s="22" t="s">
        <v>23</v>
      </c>
    </row>
    <row r="54" spans="1:7" x14ac:dyDescent="0.25">
      <c r="A54" s="15" t="s">
        <v>38</v>
      </c>
      <c r="B54" s="23">
        <v>-7.8819999999999997</v>
      </c>
      <c r="C54" s="16" t="s">
        <v>17</v>
      </c>
    </row>
    <row r="55" spans="1:7" x14ac:dyDescent="0.25">
      <c r="A55" s="15" t="s">
        <v>24</v>
      </c>
      <c r="B55" s="23">
        <v>13</v>
      </c>
      <c r="C55" s="22" t="s">
        <v>29</v>
      </c>
    </row>
    <row r="56" spans="1:7" x14ac:dyDescent="0.25">
      <c r="A56" s="15" t="s">
        <v>25</v>
      </c>
      <c r="B56" s="23">
        <v>43.8</v>
      </c>
      <c r="C56" s="22" t="s">
        <v>26</v>
      </c>
    </row>
    <row r="57" spans="1:7" s="29" customFormat="1" x14ac:dyDescent="0.25">
      <c r="A57" s="15" t="s">
        <v>27</v>
      </c>
      <c r="B57" s="23">
        <v>62</v>
      </c>
      <c r="C57" s="22" t="s">
        <v>28</v>
      </c>
      <c r="D57" s="1"/>
      <c r="E57" s="31"/>
      <c r="F57" s="27"/>
      <c r="G57" s="27"/>
    </row>
    <row r="58" spans="1:7" x14ac:dyDescent="0.25">
      <c r="A58" s="37" t="s">
        <v>119</v>
      </c>
      <c r="B58" s="23">
        <f>B40+B41+B56-B72-B75</f>
        <v>-111.74124259109797</v>
      </c>
      <c r="C58" s="22" t="s">
        <v>123</v>
      </c>
      <c r="E58" s="12"/>
      <c r="F58" s="12"/>
      <c r="G58" s="12"/>
    </row>
    <row r="59" spans="1:7" x14ac:dyDescent="0.25">
      <c r="A59" s="37" t="s">
        <v>120</v>
      </c>
      <c r="B59" s="23">
        <f>10*LOG10(Vc*B57*B21)</f>
        <v>-155.11222841614551</v>
      </c>
      <c r="C59" s="22" t="s">
        <v>123</v>
      </c>
      <c r="E59" s="12"/>
      <c r="F59" s="12"/>
      <c r="G59" s="12"/>
    </row>
    <row r="60" spans="1:7" x14ac:dyDescent="0.25">
      <c r="A60" s="37" t="s">
        <v>121</v>
      </c>
      <c r="B60" s="23">
        <f>B58-B59</f>
        <v>43.370985825047541</v>
      </c>
      <c r="C60" s="22" t="s">
        <v>123</v>
      </c>
      <c r="E60" s="12"/>
      <c r="F60" s="12"/>
      <c r="G60" s="12"/>
    </row>
    <row r="61" spans="1:7" x14ac:dyDescent="0.25">
      <c r="A61" s="37" t="s">
        <v>132</v>
      </c>
      <c r="B61" s="23">
        <f>B60-B23</f>
        <v>36.55098582504754</v>
      </c>
      <c r="C61" s="22" t="s">
        <v>123</v>
      </c>
      <c r="E61" s="12"/>
      <c r="F61" s="12"/>
      <c r="G61" s="12"/>
    </row>
    <row r="62" spans="1:7" ht="15.75" thickBot="1" x14ac:dyDescent="0.3">
      <c r="A62" s="38" t="s">
        <v>122</v>
      </c>
      <c r="B62" s="35">
        <f>B58-B59-B73</f>
        <v>-87.57382616221463</v>
      </c>
      <c r="C62" s="24" t="s">
        <v>123</v>
      </c>
      <c r="D62" s="27"/>
      <c r="E62" s="12"/>
      <c r="F62" s="12"/>
      <c r="G62" s="12"/>
    </row>
    <row r="63" spans="1:7" ht="15.75" thickBot="1" x14ac:dyDescent="0.3">
      <c r="D63" s="12"/>
      <c r="E63" s="21"/>
      <c r="F63" s="12"/>
      <c r="G63" s="12"/>
    </row>
    <row r="64" spans="1:7" x14ac:dyDescent="0.25">
      <c r="A64" s="41" t="s">
        <v>139</v>
      </c>
      <c r="B64" s="28"/>
      <c r="C64" s="30"/>
      <c r="D64" s="12"/>
      <c r="E64" s="21"/>
      <c r="F64" s="12"/>
      <c r="G64" s="12"/>
    </row>
    <row r="65" spans="1:4" x14ac:dyDescent="0.25">
      <c r="A65" s="15" t="s">
        <v>43</v>
      </c>
      <c r="B65" s="27">
        <f>COS(B26*PI()/180)*COS((B39-B27)*PI()/180)</f>
        <v>0.54572805849917227</v>
      </c>
      <c r="C65" s="17"/>
      <c r="D65" s="12" t="s">
        <v>44</v>
      </c>
    </row>
    <row r="66" spans="1:4" x14ac:dyDescent="0.25">
      <c r="A66" s="15" t="s">
        <v>45</v>
      </c>
      <c r="B66" s="27">
        <f>ACOS(B65)</f>
        <v>0.99353861368785701</v>
      </c>
      <c r="C66" s="17" t="s">
        <v>46</v>
      </c>
      <c r="D66" s="12"/>
    </row>
    <row r="67" spans="1:4" x14ac:dyDescent="0.25">
      <c r="A67" s="15" t="s">
        <v>52</v>
      </c>
      <c r="B67" s="27">
        <f>B5*SQRT((1+((B3/B5)^2) - 2*(B3/B5)*B65))</f>
        <v>39044874.828367844</v>
      </c>
      <c r="C67" s="17" t="s">
        <v>17</v>
      </c>
      <c r="D67" s="12" t="s">
        <v>47</v>
      </c>
    </row>
    <row r="68" spans="1:4" x14ac:dyDescent="0.25">
      <c r="A68" s="15" t="s">
        <v>49</v>
      </c>
      <c r="B68" s="27">
        <f>ACOS(B5*SIN(B66)/B67)*180/PI()</f>
        <v>25.220028361778354</v>
      </c>
      <c r="C68" s="17" t="s">
        <v>48</v>
      </c>
      <c r="D68" s="12"/>
    </row>
    <row r="69" spans="1:4" x14ac:dyDescent="0.25">
      <c r="A69" s="15" t="s">
        <v>39</v>
      </c>
      <c r="B69" s="27">
        <f>20*LOG10(4*PI()*B67/B12)</f>
        <v>222.96302190868818</v>
      </c>
      <c r="C69" s="17" t="s">
        <v>29</v>
      </c>
      <c r="D69" s="12" t="s">
        <v>40</v>
      </c>
    </row>
    <row r="70" spans="1:4" x14ac:dyDescent="0.25">
      <c r="A70" s="15" t="s">
        <v>41</v>
      </c>
      <c r="B70" s="27">
        <f>20*LOG10(4*PI()*B67/B14)</f>
        <v>221.88932472943267</v>
      </c>
      <c r="C70" s="32" t="s">
        <v>29</v>
      </c>
      <c r="D70" s="12"/>
    </row>
    <row r="71" spans="1:4" ht="30" x14ac:dyDescent="0.25">
      <c r="A71" s="15" t="s">
        <v>53</v>
      </c>
      <c r="B71" s="27">
        <f>20*LOG10(4*PI()*B67/(B17))</f>
        <v>222.96302549248551</v>
      </c>
      <c r="C71" s="32" t="s">
        <v>29</v>
      </c>
      <c r="D71" s="12" t="s">
        <v>118</v>
      </c>
    </row>
    <row r="72" spans="1:4" ht="30" x14ac:dyDescent="0.25">
      <c r="A72" s="15" t="s">
        <v>54</v>
      </c>
      <c r="B72" s="27">
        <f>20*LOG10(4*PI()*B67/B20)</f>
        <v>221.88932831323001</v>
      </c>
      <c r="C72" s="32" t="s">
        <v>29</v>
      </c>
    </row>
    <row r="73" spans="1:4" x14ac:dyDescent="0.25">
      <c r="A73" s="15" t="s">
        <v>124</v>
      </c>
      <c r="B73" s="23">
        <f>'rain attenuation calculation'!B29</f>
        <v>130.94481198726217</v>
      </c>
      <c r="C73" s="22" t="s">
        <v>29</v>
      </c>
    </row>
    <row r="74" spans="1:4" x14ac:dyDescent="0.25">
      <c r="A74" s="15" t="s">
        <v>125</v>
      </c>
      <c r="B74" s="23">
        <f>'rain attenuation calculation'!B30</f>
        <v>132.93332705979986</v>
      </c>
      <c r="C74" s="22" t="s">
        <v>29</v>
      </c>
    </row>
    <row r="75" spans="1:4" x14ac:dyDescent="0.25">
      <c r="A75" s="15" t="s">
        <v>133</v>
      </c>
      <c r="B75" s="23">
        <f>'gaseous attenuation'!B8</f>
        <v>0.65191427786795508</v>
      </c>
      <c r="C75" s="22" t="s">
        <v>29</v>
      </c>
    </row>
    <row r="76" spans="1:4" ht="15.75" thickBot="1" x14ac:dyDescent="0.3">
      <c r="A76" s="36" t="s">
        <v>126</v>
      </c>
      <c r="B76" s="35">
        <f>'gaseous attenuation'!B9</f>
        <v>0.67054040009275373</v>
      </c>
      <c r="C76" s="24" t="s">
        <v>29</v>
      </c>
    </row>
    <row r="80" spans="1:4" x14ac:dyDescent="0.25">
      <c r="A80" s="4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topLeftCell="A12" zoomScale="85" zoomScaleNormal="85" workbookViewId="0">
      <selection activeCell="C55" sqref="C55"/>
    </sheetView>
  </sheetViews>
  <sheetFormatPr defaultColWidth="32" defaultRowHeight="15" x14ac:dyDescent="0.25"/>
  <cols>
    <col min="1" max="1" width="25.85546875" style="1" customWidth="1"/>
    <col min="2" max="2" width="10.7109375" style="1" customWidth="1"/>
    <col min="3" max="16384" width="32" style="1"/>
  </cols>
  <sheetData>
    <row r="1" spans="1:4" ht="225" x14ac:dyDescent="0.25">
      <c r="A1" s="1" t="s">
        <v>6</v>
      </c>
    </row>
    <row r="2" spans="1:4" x14ac:dyDescent="0.25">
      <c r="A2" s="1" t="s">
        <v>92</v>
      </c>
      <c r="B2" s="1">
        <v>25.824644474999999</v>
      </c>
      <c r="C2" s="1" t="s">
        <v>94</v>
      </c>
    </row>
    <row r="3" spans="1:4" x14ac:dyDescent="0.25">
      <c r="A3" s="1" t="s">
        <v>93</v>
      </c>
      <c r="B3" s="1">
        <v>80.319246500999995</v>
      </c>
      <c r="C3" s="1" t="s">
        <v>95</v>
      </c>
    </row>
    <row r="4" spans="1:4" x14ac:dyDescent="0.25">
      <c r="A4" s="44" t="s">
        <v>75</v>
      </c>
      <c r="B4" s="45">
        <v>1.1185</v>
      </c>
    </row>
    <row r="5" spans="1:4" x14ac:dyDescent="0.25">
      <c r="A5" s="44" t="s">
        <v>76</v>
      </c>
      <c r="B5" s="45">
        <v>0.71989999999999998</v>
      </c>
    </row>
    <row r="6" spans="1:4" x14ac:dyDescent="0.25">
      <c r="A6" s="44" t="s">
        <v>77</v>
      </c>
      <c r="B6" s="45">
        <v>1.2398</v>
      </c>
    </row>
    <row r="7" spans="1:4" x14ac:dyDescent="0.25">
      <c r="A7" s="44" t="s">
        <v>78</v>
      </c>
      <c r="B7" s="45">
        <v>0.7006</v>
      </c>
    </row>
    <row r="8" spans="1:4" ht="45" x14ac:dyDescent="0.25">
      <c r="A8" s="1" t="s">
        <v>64</v>
      </c>
      <c r="B8" s="1">
        <f>'link budget '!B68*(PI()/180)</f>
        <v>0.44017253235938392</v>
      </c>
      <c r="C8" s="1" t="s">
        <v>107</v>
      </c>
      <c r="D8" s="1" t="s">
        <v>108</v>
      </c>
    </row>
    <row r="9" spans="1:4" ht="30" x14ac:dyDescent="0.25">
      <c r="A9" s="1" t="s">
        <v>66</v>
      </c>
      <c r="B9" s="1">
        <v>-7.8820000000000001E-3</v>
      </c>
      <c r="C9" s="1" t="s">
        <v>10</v>
      </c>
      <c r="D9" s="1" t="s">
        <v>67</v>
      </c>
    </row>
    <row r="10" spans="1:4" ht="30" x14ac:dyDescent="0.25">
      <c r="A10" s="1" t="s">
        <v>62</v>
      </c>
      <c r="B10" s="1">
        <v>0.96</v>
      </c>
      <c r="C10" s="1" t="s">
        <v>10</v>
      </c>
      <c r="D10" s="1" t="s">
        <v>63</v>
      </c>
    </row>
    <row r="11" spans="1:4" x14ac:dyDescent="0.25">
      <c r="A11" s="1" t="s">
        <v>68</v>
      </c>
      <c r="B11" s="1">
        <f>B10+0.36</f>
        <v>1.3199999999999998</v>
      </c>
      <c r="C11" s="1" t="s">
        <v>10</v>
      </c>
      <c r="D11" s="1" t="s">
        <v>65</v>
      </c>
    </row>
    <row r="12" spans="1:4" x14ac:dyDescent="0.25">
      <c r="A12" s="33" t="s">
        <v>69</v>
      </c>
      <c r="B12" s="1">
        <f>(B11-B9)/SIN(B8)</f>
        <v>3.1163948464458811</v>
      </c>
      <c r="C12" s="1" t="s">
        <v>10</v>
      </c>
      <c r="D12" s="1" t="s">
        <v>70</v>
      </c>
    </row>
    <row r="13" spans="1:4" x14ac:dyDescent="0.25">
      <c r="A13" s="1" t="s">
        <v>71</v>
      </c>
      <c r="B13" s="1">
        <f>B12*COS(B8)</f>
        <v>2.8193343599208744</v>
      </c>
      <c r="C13" s="1" t="s">
        <v>10</v>
      </c>
      <c r="D13" s="1" t="s">
        <v>72</v>
      </c>
    </row>
    <row r="14" spans="1:4" ht="45" x14ac:dyDescent="0.25">
      <c r="A14" s="1" t="s">
        <v>73</v>
      </c>
      <c r="B14" s="1">
        <v>95</v>
      </c>
      <c r="C14" s="1" t="s">
        <v>74</v>
      </c>
      <c r="D14" s="1" t="s">
        <v>79</v>
      </c>
    </row>
    <row r="15" spans="1:4" x14ac:dyDescent="0.25">
      <c r="A15" s="1" t="s">
        <v>80</v>
      </c>
      <c r="B15" s="1">
        <f>(B4*(B14^B5))</f>
        <v>29.675579728021479</v>
      </c>
      <c r="C15" s="1" t="s">
        <v>82</v>
      </c>
      <c r="D15" s="1" t="s">
        <v>104</v>
      </c>
    </row>
    <row r="16" spans="1:4" x14ac:dyDescent="0.25">
      <c r="A16" s="1" t="s">
        <v>81</v>
      </c>
      <c r="B16" s="1">
        <f>(B14^B7)*B6</f>
        <v>30.126230171364018</v>
      </c>
      <c r="C16" s="1" t="s">
        <v>82</v>
      </c>
    </row>
    <row r="17" spans="1:5" x14ac:dyDescent="0.25">
      <c r="A17" s="1" t="s">
        <v>83</v>
      </c>
      <c r="B17" s="1">
        <f>1/(1+0.78*SQRT((B13*B15)/(76*10^9))-0.38*(1-EXP(-2*B13)))</f>
        <v>1.6093269681869284</v>
      </c>
    </row>
    <row r="18" spans="1:5" x14ac:dyDescent="0.25">
      <c r="A18" s="1" t="s">
        <v>84</v>
      </c>
      <c r="B18" s="1">
        <f>1/(1+0.78*SQRT((B13*B16)/(86*10^9))-0.38*(1-EXP(-2*B13)))</f>
        <v>1.6093305088725003</v>
      </c>
    </row>
    <row r="19" spans="1:5" x14ac:dyDescent="0.25">
      <c r="A19" s="1" t="s">
        <v>85</v>
      </c>
      <c r="B19" s="1">
        <f>ATAN((B11-B9)/(B13*B17))</f>
        <v>0.28471257461715149</v>
      </c>
      <c r="C19" s="1" t="s">
        <v>87</v>
      </c>
      <c r="D19" s="1" t="s">
        <v>89</v>
      </c>
    </row>
    <row r="20" spans="1:5" x14ac:dyDescent="0.25">
      <c r="A20" s="1" t="s">
        <v>86</v>
      </c>
      <c r="B20" s="1">
        <f>ATAN((B11-B9)/(B13*B18))</f>
        <v>0.28471198152771526</v>
      </c>
      <c r="C20" s="1" t="s">
        <v>87</v>
      </c>
    </row>
    <row r="21" spans="1:5" x14ac:dyDescent="0.25">
      <c r="A21" s="1" t="s">
        <v>88</v>
      </c>
      <c r="B21" s="1">
        <f>(B11-B9)/SIN(B8)</f>
        <v>3.1163948464458811</v>
      </c>
      <c r="C21" s="1" t="s">
        <v>10</v>
      </c>
      <c r="D21" s="1" t="s">
        <v>90</v>
      </c>
    </row>
    <row r="22" spans="1:5" ht="15.75" x14ac:dyDescent="0.25">
      <c r="A22" s="34" t="s">
        <v>91</v>
      </c>
      <c r="B22" s="1">
        <f>(36-B2)*(PI()/180)</f>
        <v>0.1775934564722462</v>
      </c>
      <c r="C22" s="1" t="s">
        <v>107</v>
      </c>
    </row>
    <row r="23" spans="1:5" x14ac:dyDescent="0.25">
      <c r="A23" s="1" t="s">
        <v>96</v>
      </c>
      <c r="B23" s="1">
        <f>SQRT(B21*B15)/((76*10^9)^2)</f>
        <v>1.6649402791447311E-21</v>
      </c>
    </row>
    <row r="24" spans="1:5" x14ac:dyDescent="0.25">
      <c r="A24" s="1" t="s">
        <v>97</v>
      </c>
      <c r="B24" s="1">
        <f>SQRT(B21*B16)/((86*10^9)^2)</f>
        <v>1.3100918085737529E-21</v>
      </c>
    </row>
    <row r="25" spans="1:5" x14ac:dyDescent="0.25">
      <c r="A25" s="1" t="s">
        <v>98</v>
      </c>
      <c r="B25" s="1">
        <f>1/(1+SQRT(SIN(B8))*(31*(1-EXP(-B8/(1+B22)))*B23-0.45))</f>
        <v>1.4159131234598805</v>
      </c>
    </row>
    <row r="26" spans="1:5" x14ac:dyDescent="0.25">
      <c r="A26" s="33" t="s">
        <v>99</v>
      </c>
      <c r="B26" s="1">
        <f>1/(1+SQRT(SIN(B8))*(31*(1-EXP(-B8/(1+B22)))*B24-0.45))</f>
        <v>1.4159131234598805</v>
      </c>
    </row>
    <row r="27" spans="1:5" x14ac:dyDescent="0.25">
      <c r="A27" s="1" t="s">
        <v>100</v>
      </c>
      <c r="B27" s="1">
        <f>B21*B25</f>
        <v>4.4125443609654624</v>
      </c>
      <c r="C27" s="1" t="s">
        <v>10</v>
      </c>
      <c r="D27" s="1" t="s">
        <v>103</v>
      </c>
    </row>
    <row r="28" spans="1:5" x14ac:dyDescent="0.25">
      <c r="A28" s="1" t="s">
        <v>101</v>
      </c>
      <c r="B28" s="1">
        <f>B21*B26</f>
        <v>4.4125443609654624</v>
      </c>
      <c r="C28" s="1" t="s">
        <v>10</v>
      </c>
    </row>
    <row r="29" spans="1:5" x14ac:dyDescent="0.25">
      <c r="A29" s="1" t="s">
        <v>105</v>
      </c>
      <c r="B29" s="11">
        <f>B27*B15</f>
        <v>130.94481198726217</v>
      </c>
      <c r="C29" s="11" t="s">
        <v>29</v>
      </c>
      <c r="D29" s="1" t="s">
        <v>102</v>
      </c>
    </row>
    <row r="30" spans="1:5" ht="15.75" thickBot="1" x14ac:dyDescent="0.3">
      <c r="A30" s="1" t="s">
        <v>106</v>
      </c>
      <c r="B30" s="11">
        <f>B28*B16</f>
        <v>132.93332705979986</v>
      </c>
      <c r="C30" s="11" t="s">
        <v>29</v>
      </c>
    </row>
    <row r="31" spans="1:5" x14ac:dyDescent="0.25">
      <c r="A31" s="5" t="s">
        <v>0</v>
      </c>
      <c r="B31" s="46" t="s">
        <v>2</v>
      </c>
      <c r="C31" s="48" t="s">
        <v>3</v>
      </c>
      <c r="D31" s="46" t="s">
        <v>4</v>
      </c>
      <c r="E31" s="48" t="s">
        <v>5</v>
      </c>
    </row>
    <row r="32" spans="1:5" ht="15.75" thickBot="1" x14ac:dyDescent="0.3">
      <c r="A32" s="6" t="s">
        <v>1</v>
      </c>
      <c r="B32" s="47"/>
      <c r="C32" s="49"/>
      <c r="D32" s="47"/>
      <c r="E32" s="49"/>
    </row>
    <row r="33" spans="1:5" ht="15.75" thickBot="1" x14ac:dyDescent="0.3">
      <c r="A33" s="3">
        <v>72</v>
      </c>
      <c r="B33" s="4">
        <v>1.0618000000000001</v>
      </c>
      <c r="C33" s="4">
        <v>0.72929999999999995</v>
      </c>
      <c r="D33" s="4">
        <v>1.0561</v>
      </c>
      <c r="E33" s="4">
        <v>0.71709999999999996</v>
      </c>
    </row>
    <row r="34" spans="1:5" ht="15.75" thickBot="1" x14ac:dyDescent="0.3">
      <c r="A34" s="3">
        <v>73</v>
      </c>
      <c r="B34" s="4">
        <v>1.0764</v>
      </c>
      <c r="C34" s="4">
        <v>0.7268</v>
      </c>
      <c r="D34" s="4">
        <v>1.0710999999999999</v>
      </c>
      <c r="E34" s="4">
        <v>0.71499999999999997</v>
      </c>
    </row>
    <row r="35" spans="1:5" ht="15.75" thickBot="1" x14ac:dyDescent="0.3">
      <c r="A35" s="3">
        <v>74</v>
      </c>
      <c r="B35" s="4">
        <v>1.0908</v>
      </c>
      <c r="C35" s="4">
        <v>0.72440000000000004</v>
      </c>
      <c r="D35" s="4">
        <v>1.0857000000000001</v>
      </c>
      <c r="E35" s="4">
        <v>0.71299999999999997</v>
      </c>
    </row>
    <row r="36" spans="1:5" ht="15.75" thickBot="1" x14ac:dyDescent="0.3">
      <c r="A36" s="3">
        <v>75</v>
      </c>
      <c r="B36" s="4">
        <v>1.1048</v>
      </c>
      <c r="C36" s="4">
        <v>0.72209999999999996</v>
      </c>
      <c r="D36" s="4">
        <v>1.1000000000000001</v>
      </c>
      <c r="E36" s="4">
        <v>0.71099999999999997</v>
      </c>
    </row>
    <row r="37" spans="1:5" s="9" customFormat="1" ht="15.75" thickBot="1" x14ac:dyDescent="0.3">
      <c r="A37" s="7">
        <v>76</v>
      </c>
      <c r="B37" s="8">
        <v>1.1185</v>
      </c>
      <c r="C37" s="8">
        <v>0.71989999999999998</v>
      </c>
      <c r="D37" s="8">
        <v>1.1138999999999999</v>
      </c>
      <c r="E37" s="8">
        <v>0.70909999999999995</v>
      </c>
    </row>
    <row r="38" spans="1:5" ht="15.75" thickBot="1" x14ac:dyDescent="0.3">
      <c r="A38" s="3">
        <v>77</v>
      </c>
      <c r="B38" s="4">
        <v>1.1319999999999999</v>
      </c>
      <c r="C38" s="4">
        <v>0.7177</v>
      </c>
      <c r="D38" s="4">
        <v>1.1275999999999999</v>
      </c>
      <c r="E38" s="4">
        <v>0.70730000000000004</v>
      </c>
    </row>
    <row r="39" spans="1:5" ht="15.75" thickBot="1" x14ac:dyDescent="0.3">
      <c r="A39" s="3">
        <v>78</v>
      </c>
      <c r="B39" s="4">
        <v>1.1451</v>
      </c>
      <c r="C39" s="4">
        <v>0.71560000000000001</v>
      </c>
      <c r="D39" s="4">
        <v>1.141</v>
      </c>
      <c r="E39" s="4">
        <v>0.70550000000000002</v>
      </c>
    </row>
    <row r="40" spans="1:5" ht="15.75" thickBot="1" x14ac:dyDescent="0.3">
      <c r="A40" s="3">
        <v>79</v>
      </c>
      <c r="B40" s="4">
        <v>1.1578999999999999</v>
      </c>
      <c r="C40" s="4">
        <v>0.71350000000000002</v>
      </c>
      <c r="D40" s="4">
        <v>1.1540999999999999</v>
      </c>
      <c r="E40" s="4">
        <v>0.70379999999999998</v>
      </c>
    </row>
    <row r="41" spans="1:5" ht="15.75" thickBot="1" x14ac:dyDescent="0.3">
      <c r="A41" s="3">
        <v>80</v>
      </c>
      <c r="B41" s="4">
        <v>1.1704000000000001</v>
      </c>
      <c r="C41" s="4">
        <v>0.71150000000000002</v>
      </c>
      <c r="D41" s="4">
        <v>1.1668000000000001</v>
      </c>
      <c r="E41" s="4">
        <v>0.70209999999999995</v>
      </c>
    </row>
    <row r="42" spans="1:5" ht="15.75" thickBot="1" x14ac:dyDescent="0.3">
      <c r="A42" s="3">
        <v>81</v>
      </c>
      <c r="B42" s="4">
        <v>1.1827000000000001</v>
      </c>
      <c r="C42" s="4">
        <v>0.70960000000000001</v>
      </c>
      <c r="D42" s="4">
        <v>1.1793</v>
      </c>
      <c r="E42" s="4">
        <v>0.70040000000000002</v>
      </c>
    </row>
    <row r="43" spans="1:5" ht="15.75" thickBot="1" x14ac:dyDescent="0.3">
      <c r="A43" s="3">
        <v>82</v>
      </c>
      <c r="B43" s="4">
        <v>1.1946000000000001</v>
      </c>
      <c r="C43" s="4">
        <v>0.7077</v>
      </c>
      <c r="D43" s="4">
        <v>1.1915</v>
      </c>
      <c r="E43" s="4">
        <v>0.69879999999999998</v>
      </c>
    </row>
    <row r="44" spans="1:5" ht="15.75" thickBot="1" x14ac:dyDescent="0.3">
      <c r="A44" s="3">
        <v>83</v>
      </c>
      <c r="B44" s="4">
        <v>1.2062999999999999</v>
      </c>
      <c r="C44" s="4">
        <v>0.70579999999999998</v>
      </c>
      <c r="D44" s="4">
        <v>1.2034</v>
      </c>
      <c r="E44" s="4">
        <v>0.69730000000000003</v>
      </c>
    </row>
    <row r="45" spans="1:5" ht="15.75" thickBot="1" x14ac:dyDescent="0.3">
      <c r="A45" s="3">
        <v>84</v>
      </c>
      <c r="B45" s="4">
        <v>1.2177</v>
      </c>
      <c r="C45" s="4">
        <v>0.70399999999999996</v>
      </c>
      <c r="D45" s="4">
        <v>1.2151000000000001</v>
      </c>
      <c r="E45" s="4">
        <v>0.69579999999999997</v>
      </c>
    </row>
    <row r="46" spans="1:5" ht="15.75" thickBot="1" x14ac:dyDescent="0.3">
      <c r="A46" s="3">
        <v>85</v>
      </c>
      <c r="B46" s="4">
        <v>1.2289000000000001</v>
      </c>
      <c r="C46" s="4">
        <v>0.70230000000000004</v>
      </c>
      <c r="D46" s="4">
        <v>1.2264999999999999</v>
      </c>
      <c r="E46" s="4">
        <v>0.69430000000000003</v>
      </c>
    </row>
    <row r="47" spans="1:5" s="9" customFormat="1" ht="15.75" thickBot="1" x14ac:dyDescent="0.3">
      <c r="A47" s="7">
        <v>86</v>
      </c>
      <c r="B47" s="8">
        <v>1.2398</v>
      </c>
      <c r="C47" s="8">
        <v>0.7006</v>
      </c>
      <c r="D47" s="8">
        <v>1.2376</v>
      </c>
      <c r="E47" s="8">
        <v>0.69289999999999996</v>
      </c>
    </row>
  </sheetData>
  <mergeCells count="4">
    <mergeCell ref="B31:B32"/>
    <mergeCell ref="C31:C32"/>
    <mergeCell ref="D31:D32"/>
    <mergeCell ref="E31:E3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opLeftCell="J1" zoomScale="85" zoomScaleNormal="85" workbookViewId="0">
      <selection activeCell="B3" sqref="B3"/>
    </sheetView>
  </sheetViews>
  <sheetFormatPr defaultRowHeight="15" x14ac:dyDescent="0.25"/>
  <cols>
    <col min="1" max="1" width="29.140625" bestFit="1" customWidth="1"/>
    <col min="4" max="4" width="29.42578125" bestFit="1" customWidth="1"/>
  </cols>
  <sheetData>
    <row r="1" spans="1:4" x14ac:dyDescent="0.25">
      <c r="A1" t="s">
        <v>7</v>
      </c>
    </row>
    <row r="3" spans="1:4" x14ac:dyDescent="0.25">
      <c r="A3" t="s">
        <v>111</v>
      </c>
      <c r="B3">
        <f>1/9</f>
        <v>0.1111111111111111</v>
      </c>
      <c r="C3" t="s">
        <v>29</v>
      </c>
      <c r="D3" t="s">
        <v>109</v>
      </c>
    </row>
    <row r="4" spans="1:4" x14ac:dyDescent="0.25">
      <c r="A4" t="s">
        <v>112</v>
      </c>
      <c r="B4">
        <f>1/6</f>
        <v>0.16666666666666666</v>
      </c>
      <c r="C4" t="s">
        <v>29</v>
      </c>
      <c r="D4" t="s">
        <v>110</v>
      </c>
    </row>
    <row r="5" spans="1:4" x14ac:dyDescent="0.25">
      <c r="A5" t="s">
        <v>114</v>
      </c>
      <c r="B5">
        <f>1/7</f>
        <v>0.14285714285714285</v>
      </c>
      <c r="C5" t="s">
        <v>29</v>
      </c>
    </row>
    <row r="6" spans="1:4" x14ac:dyDescent="0.25">
      <c r="A6" t="s">
        <v>113</v>
      </c>
      <c r="B6">
        <f>1/7</f>
        <v>0.14285714285714285</v>
      </c>
      <c r="C6" t="s">
        <v>29</v>
      </c>
    </row>
    <row r="8" spans="1:4" x14ac:dyDescent="0.25">
      <c r="A8" t="s">
        <v>115</v>
      </c>
      <c r="B8">
        <f>(B3+B4)/SIN(B11)</f>
        <v>0.65191427786795508</v>
      </c>
      <c r="C8" t="s">
        <v>29</v>
      </c>
    </row>
    <row r="9" spans="1:4" x14ac:dyDescent="0.25">
      <c r="A9" t="s">
        <v>117</v>
      </c>
      <c r="B9">
        <f>(B5+B6)/SIN(B11)</f>
        <v>0.67054040009275373</v>
      </c>
      <c r="C9" t="s">
        <v>29</v>
      </c>
    </row>
    <row r="11" spans="1:4" x14ac:dyDescent="0.25">
      <c r="A11" t="s">
        <v>116</v>
      </c>
      <c r="B11">
        <f>'link budget '!B68*(PI()/180)</f>
        <v>0.44017253235938392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link budget </vt:lpstr>
      <vt:lpstr>rain attenuation calculation</vt:lpstr>
      <vt:lpstr>gaseous attenuation</vt:lpstr>
      <vt:lpstr>k</vt:lpstr>
      <vt:lpstr>Re</vt:lpstr>
      <vt:lpstr>tgrgrdgdr</vt:lpstr>
      <vt:lpstr>Vc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2018-02-19T01:03:43Z</dcterms:created>
  <dcterms:modified xsi:type="dcterms:W3CDTF">2018-04-29T23:35:30Z</dcterms:modified>
</cp:coreProperties>
</file>