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3.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Kerja Firman\2. Drilling Engineer PHE Jambi Merang\17. Project Dashboard Zona 1\Repository Firman\"/>
    </mc:Choice>
  </mc:AlternateContent>
  <xr:revisionPtr revIDLastSave="0" documentId="13_ncr:1_{3AD623C1-6E98-479A-A468-8D05387E94D5}" xr6:coauthVersionLast="47" xr6:coauthVersionMax="47" xr10:uidLastSave="{00000000-0000-0000-0000-000000000000}"/>
  <bookViews>
    <workbookView xWindow="30" yWindow="30" windowWidth="20460" windowHeight="11490" firstSheet="3" activeTab="5" xr2:uid="{9E301ADD-B0EA-485E-B7CC-08A425B91D66}"/>
  </bookViews>
  <sheets>
    <sheet name="Main Data" sheetId="1" r:id="rId1"/>
    <sheet name="Graph" sheetId="2" state="hidden" r:id="rId2"/>
    <sheet name="Graph Center Gravity" sheetId="13" state="hidden" r:id="rId3"/>
    <sheet name="NPT Data" sheetId="3" r:id="rId4"/>
    <sheet name="Graph NPT" sheetId="4" state="hidden" r:id="rId5"/>
    <sheet name="NPT Data Edit" sheetId="5" r:id="rId6"/>
    <sheet name="Data Rig" sheetId="11" state="hidden" r:id="rId7"/>
    <sheet name="Graph NPT Edit" sheetId="6" state="hidden" r:id="rId8"/>
    <sheet name="Graph NPT Detail" sheetId="7" state="hidden" r:id="rId9"/>
    <sheet name="Graph NPT Detail Well" sheetId="8" state="hidden" r:id="rId10"/>
    <sheet name="Graph NPT Clustered Column" sheetId="12" state="hidden" r:id="rId11"/>
    <sheet name="Cost Data Edit" sheetId="14" r:id="rId12"/>
    <sheet name="Plan Actual Data Edit" sheetId="15" r:id="rId13"/>
    <sheet name="Cost Effectivity" sheetId="16" r:id="rId14"/>
  </sheets>
  <calcPr calcId="191029"/>
  <pivotCaches>
    <pivotCache cacheId="0" r:id="rId15"/>
    <pivotCache cacheId="1" r:id="rId16"/>
    <pivotCache cacheId="2" r:id="rId17"/>
    <pivotCache cacheId="3"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D16" i="1" l="1"/>
  <c r="N43" i="13" l="1"/>
  <c r="N44" i="13"/>
  <c r="N45" i="13"/>
  <c r="N46" i="13"/>
  <c r="N47" i="13"/>
  <c r="N48" i="13"/>
  <c r="M43" i="13"/>
  <c r="M44" i="13"/>
  <c r="M45" i="13"/>
  <c r="M46" i="13"/>
  <c r="M47" i="13"/>
  <c r="M48" i="13"/>
  <c r="N42" i="13"/>
  <c r="M42" i="13"/>
  <c r="E26" i="2"/>
  <c r="E27" i="2"/>
  <c r="E28" i="2"/>
  <c r="E29" i="2"/>
  <c r="E30" i="2"/>
  <c r="E31" i="2"/>
  <c r="E25" i="2"/>
  <c r="K11" i="3" l="1"/>
  <c r="M8" i="13"/>
  <c r="N8" i="13"/>
  <c r="M7" i="13"/>
  <c r="M6" i="13"/>
  <c r="N6" i="13"/>
  <c r="N7" i="13"/>
  <c r="B32" i="3" l="1"/>
  <c r="C32" i="3"/>
  <c r="D32" i="3"/>
  <c r="E32" i="3"/>
  <c r="F32" i="3"/>
  <c r="G32" i="3"/>
  <c r="H32" i="3"/>
  <c r="I32" i="3"/>
  <c r="J32" i="3"/>
  <c r="K32" i="3"/>
  <c r="L32" i="3"/>
  <c r="M32" i="3"/>
  <c r="N32" i="3"/>
  <c r="E31" i="3"/>
  <c r="F31" i="3"/>
  <c r="G31" i="3"/>
  <c r="H31" i="3"/>
  <c r="I31" i="3"/>
  <c r="J31" i="3"/>
  <c r="K31" i="3"/>
  <c r="L31" i="3"/>
  <c r="M31" i="3"/>
  <c r="N31" i="3"/>
  <c r="D31" i="3"/>
  <c r="B31" i="3"/>
  <c r="A32" i="3"/>
  <c r="BM32" i="3"/>
  <c r="BN32" i="3" s="1"/>
  <c r="AD32" i="1" l="1"/>
  <c r="AC31" i="1" l="1"/>
  <c r="AD19" i="1" l="1"/>
  <c r="AD25" i="1" l="1"/>
  <c r="AD6" i="1" l="1"/>
  <c r="A31" i="3" l="1"/>
  <c r="BM31" i="3"/>
  <c r="BN31" i="3" s="1"/>
  <c r="Z31" i="1"/>
  <c r="N8" i="11"/>
  <c r="J4" i="11"/>
  <c r="J3" i="11"/>
  <c r="K8" i="11"/>
  <c r="I6" i="11"/>
  <c r="L3" i="11"/>
  <c r="K5" i="11"/>
  <c r="L7" i="11"/>
  <c r="K2" i="11"/>
  <c r="I4" i="11"/>
  <c r="J6" i="11"/>
  <c r="I7" i="11"/>
  <c r="I5" i="11"/>
  <c r="J5" i="11"/>
  <c r="J8" i="11"/>
  <c r="L5" i="11"/>
  <c r="I3" i="11"/>
  <c r="L2" i="11"/>
  <c r="L8" i="11"/>
  <c r="K4" i="11"/>
  <c r="I2" i="11"/>
  <c r="L4" i="11"/>
  <c r="K3" i="11"/>
  <c r="K7" i="11"/>
  <c r="K6" i="11"/>
  <c r="J2" i="11"/>
  <c r="I8" i="11"/>
  <c r="L6" i="11"/>
  <c r="J7" i="11"/>
  <c r="T8" i="11" l="1"/>
  <c r="Q8" i="11"/>
  <c r="W32" i="1"/>
  <c r="Z32" i="1"/>
  <c r="AC32" i="1"/>
  <c r="AF32" i="1"/>
  <c r="AJ32" i="1"/>
  <c r="AO32" i="1"/>
  <c r="W31" i="1"/>
  <c r="AD31" i="1"/>
  <c r="AF31" i="1" s="1"/>
  <c r="AJ31" i="1"/>
  <c r="AO31" i="1"/>
  <c r="AD4"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5" i="1"/>
  <c r="AJ3" i="1"/>
  <c r="M7" i="11"/>
  <c r="O7" i="11" s="1"/>
  <c r="M6" i="11"/>
  <c r="O6" i="11" s="1"/>
  <c r="M5" i="11"/>
  <c r="O5" i="11" s="1"/>
  <c r="H2" i="11"/>
  <c r="H3" i="11"/>
  <c r="H4" i="11"/>
  <c r="H5" i="11"/>
  <c r="H6" i="11"/>
  <c r="H7" i="11"/>
  <c r="H8" i="11"/>
  <c r="N4" i="11"/>
  <c r="N5" i="11"/>
  <c r="N7" i="11"/>
  <c r="N2" i="11"/>
  <c r="N3" i="11"/>
  <c r="N6" i="11"/>
  <c r="Q2" i="11" l="1"/>
  <c r="M4" i="11"/>
  <c r="O4" i="11" s="1"/>
  <c r="M2" i="11"/>
  <c r="M3" i="11"/>
  <c r="O3" i="11" s="1"/>
  <c r="M8" i="11"/>
  <c r="T2" i="11"/>
  <c r="AG32" i="1"/>
  <c r="AK32" i="1"/>
  <c r="AG31" i="1"/>
  <c r="AK31" i="1"/>
  <c r="T4" i="11"/>
  <c r="T6" i="11"/>
  <c r="T3" i="11"/>
  <c r="T5" i="11"/>
  <c r="T7" i="11"/>
  <c r="Q4" i="11"/>
  <c r="Q6" i="11"/>
  <c r="P6" i="11"/>
  <c r="Q3" i="11"/>
  <c r="P5" i="11"/>
  <c r="Q5" i="11"/>
  <c r="Q7" i="11"/>
  <c r="P7" i="11"/>
  <c r="AO11" i="1"/>
  <c r="P4" i="11" l="1"/>
  <c r="P3" i="11"/>
  <c r="O8" i="11"/>
  <c r="P8" i="11"/>
  <c r="P2" i="11"/>
  <c r="O2" i="11"/>
  <c r="W4" i="1"/>
  <c r="W5" i="1"/>
  <c r="W6" i="1"/>
  <c r="W7" i="1"/>
  <c r="W8" i="1"/>
  <c r="W9" i="1"/>
  <c r="W10" i="1"/>
  <c r="W11" i="1"/>
  <c r="W12" i="1"/>
  <c r="W13" i="1"/>
  <c r="W14" i="1"/>
  <c r="W15" i="1"/>
  <c r="W16" i="1"/>
  <c r="W17" i="1"/>
  <c r="W18" i="1"/>
  <c r="W19" i="1"/>
  <c r="W20" i="1"/>
  <c r="W21" i="1"/>
  <c r="W22" i="1"/>
  <c r="W23" i="1"/>
  <c r="W24" i="1"/>
  <c r="W25" i="1"/>
  <c r="W26" i="1"/>
  <c r="W27" i="1"/>
  <c r="W28" i="1"/>
  <c r="W29" i="1"/>
  <c r="W30" i="1"/>
  <c r="W3" i="1"/>
  <c r="AF4" i="1"/>
  <c r="AF5" i="1"/>
  <c r="AF6" i="1"/>
  <c r="AF7" i="1"/>
  <c r="AF10" i="1"/>
  <c r="AF12" i="1"/>
  <c r="AF13" i="1"/>
  <c r="AF15" i="1"/>
  <c r="AF16" i="1"/>
  <c r="AF19" i="1"/>
  <c r="AF20" i="1"/>
  <c r="AF22" i="1"/>
  <c r="AF25" i="1"/>
  <c r="AF26" i="1"/>
  <c r="AF3" i="1"/>
  <c r="Z4" i="1"/>
  <c r="Z5" i="1"/>
  <c r="Z6" i="1"/>
  <c r="Z7" i="1"/>
  <c r="Z8" i="1"/>
  <c r="Z9" i="1"/>
  <c r="Z10" i="1"/>
  <c r="Z11" i="1"/>
  <c r="Z12" i="1"/>
  <c r="Z13" i="1"/>
  <c r="Z14" i="1"/>
  <c r="Z15" i="1"/>
  <c r="Z16" i="1"/>
  <c r="Z17" i="1"/>
  <c r="Z18" i="1"/>
  <c r="Z19" i="1"/>
  <c r="Z20" i="1"/>
  <c r="Z21" i="1"/>
  <c r="Z22" i="1"/>
  <c r="Z23" i="1"/>
  <c r="Z24" i="1"/>
  <c r="Z25" i="1"/>
  <c r="Z26" i="1"/>
  <c r="Z27" i="1"/>
  <c r="Z28" i="1"/>
  <c r="Z29" i="1"/>
  <c r="Z30" i="1"/>
  <c r="Z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 i="1"/>
  <c r="R6" i="11" l="1"/>
  <c r="R4" i="11"/>
  <c r="R5" i="11"/>
  <c r="S2" i="11"/>
  <c r="R3" i="11"/>
  <c r="S4" i="11"/>
  <c r="S7" i="11"/>
  <c r="S5" i="11"/>
  <c r="S3" i="11"/>
  <c r="S8" i="11"/>
  <c r="S6" i="11"/>
  <c r="R8" i="11"/>
  <c r="R2" i="11"/>
  <c r="R7" i="11"/>
  <c r="AJ4" i="1"/>
  <c r="A19" i="3" l="1"/>
  <c r="B19" i="3"/>
  <c r="C19" i="3"/>
  <c r="D19" i="3"/>
  <c r="E19" i="3"/>
  <c r="F19" i="3"/>
  <c r="G19" i="3"/>
  <c r="H19" i="3"/>
  <c r="I19" i="3"/>
  <c r="J19" i="3"/>
  <c r="K19" i="3"/>
  <c r="L19" i="3"/>
  <c r="M19" i="3"/>
  <c r="N19" i="3"/>
  <c r="A20" i="3"/>
  <c r="B20" i="3"/>
  <c r="C20" i="3"/>
  <c r="D20" i="3"/>
  <c r="E20" i="3"/>
  <c r="F20" i="3"/>
  <c r="G20" i="3"/>
  <c r="H20" i="3"/>
  <c r="I20" i="3"/>
  <c r="J20" i="3"/>
  <c r="K20" i="3"/>
  <c r="L20" i="3"/>
  <c r="M20" i="3"/>
  <c r="N20" i="3"/>
  <c r="A21" i="3"/>
  <c r="B21" i="3"/>
  <c r="C21" i="3"/>
  <c r="D21" i="3"/>
  <c r="E21" i="3"/>
  <c r="F21" i="3"/>
  <c r="G21" i="3"/>
  <c r="H21" i="3"/>
  <c r="I21" i="3"/>
  <c r="J21" i="3"/>
  <c r="K21" i="3"/>
  <c r="L21" i="3"/>
  <c r="M21" i="3"/>
  <c r="N21" i="3"/>
  <c r="A22" i="3"/>
  <c r="B22" i="3"/>
  <c r="C22" i="3"/>
  <c r="D22" i="3"/>
  <c r="E22" i="3"/>
  <c r="F22" i="3"/>
  <c r="G22" i="3"/>
  <c r="H22" i="3"/>
  <c r="I22" i="3"/>
  <c r="J22" i="3"/>
  <c r="K22" i="3"/>
  <c r="L22" i="3"/>
  <c r="M22" i="3"/>
  <c r="N22" i="3"/>
  <c r="A23" i="3"/>
  <c r="B23" i="3"/>
  <c r="C23" i="3"/>
  <c r="D23" i="3"/>
  <c r="E23" i="3"/>
  <c r="F23" i="3"/>
  <c r="G23" i="3"/>
  <c r="H23" i="3"/>
  <c r="I23" i="3"/>
  <c r="J23" i="3"/>
  <c r="K23" i="3"/>
  <c r="L23" i="3"/>
  <c r="M23" i="3"/>
  <c r="N23" i="3"/>
  <c r="A24" i="3"/>
  <c r="B24" i="3"/>
  <c r="C24" i="3"/>
  <c r="D24" i="3"/>
  <c r="E24" i="3"/>
  <c r="F24" i="3"/>
  <c r="G24" i="3"/>
  <c r="H24" i="3"/>
  <c r="I24" i="3"/>
  <c r="J24" i="3"/>
  <c r="K24" i="3"/>
  <c r="L24" i="3"/>
  <c r="M24" i="3"/>
  <c r="N24" i="3"/>
  <c r="A25" i="3"/>
  <c r="B25" i="3"/>
  <c r="C25" i="3"/>
  <c r="D25" i="3"/>
  <c r="E25" i="3"/>
  <c r="F25" i="3"/>
  <c r="G25" i="3"/>
  <c r="H25" i="3"/>
  <c r="I25" i="3"/>
  <c r="J25" i="3"/>
  <c r="K25" i="3"/>
  <c r="L25" i="3"/>
  <c r="M25" i="3"/>
  <c r="N25" i="3"/>
  <c r="A26" i="3"/>
  <c r="B26" i="3"/>
  <c r="C26" i="3"/>
  <c r="D26" i="3"/>
  <c r="E26" i="3"/>
  <c r="F26" i="3"/>
  <c r="G26" i="3"/>
  <c r="H26" i="3"/>
  <c r="I26" i="3"/>
  <c r="J26" i="3"/>
  <c r="K26" i="3"/>
  <c r="L26" i="3"/>
  <c r="M26" i="3"/>
  <c r="N26" i="3"/>
  <c r="A27" i="3"/>
  <c r="B27" i="3"/>
  <c r="C27" i="3"/>
  <c r="D27" i="3"/>
  <c r="E27" i="3"/>
  <c r="F27" i="3"/>
  <c r="G27" i="3"/>
  <c r="H27" i="3"/>
  <c r="I27" i="3"/>
  <c r="J27" i="3"/>
  <c r="K27" i="3"/>
  <c r="L27" i="3"/>
  <c r="M27" i="3"/>
  <c r="N27" i="3"/>
  <c r="A28" i="3"/>
  <c r="B28" i="3"/>
  <c r="C28" i="3"/>
  <c r="D28" i="3"/>
  <c r="E28" i="3"/>
  <c r="F28" i="3"/>
  <c r="G28" i="3"/>
  <c r="H28" i="3"/>
  <c r="I28" i="3"/>
  <c r="J28" i="3"/>
  <c r="K28" i="3"/>
  <c r="L28" i="3"/>
  <c r="M28" i="3"/>
  <c r="N28" i="3"/>
  <c r="A29" i="3"/>
  <c r="B29" i="3"/>
  <c r="C29" i="3"/>
  <c r="D29" i="3"/>
  <c r="E29" i="3"/>
  <c r="F29" i="3"/>
  <c r="G29" i="3"/>
  <c r="H29" i="3"/>
  <c r="I29" i="3"/>
  <c r="J29" i="3"/>
  <c r="K29" i="3"/>
  <c r="L29" i="3"/>
  <c r="M29" i="3"/>
  <c r="N29" i="3"/>
  <c r="A30" i="3"/>
  <c r="B30" i="3"/>
  <c r="C30" i="3"/>
  <c r="D30" i="3"/>
  <c r="E30" i="3"/>
  <c r="F30" i="3"/>
  <c r="G30" i="3"/>
  <c r="H30" i="3"/>
  <c r="I30" i="3"/>
  <c r="J30" i="3"/>
  <c r="K30" i="3"/>
  <c r="L30" i="3"/>
  <c r="M30" i="3"/>
  <c r="N30" i="3"/>
  <c r="A5" i="3"/>
  <c r="B5" i="3"/>
  <c r="C5" i="3"/>
  <c r="D5" i="3"/>
  <c r="E5" i="3"/>
  <c r="F5" i="3"/>
  <c r="G5" i="3"/>
  <c r="H5" i="3"/>
  <c r="I5" i="3"/>
  <c r="J5" i="3"/>
  <c r="K5" i="3"/>
  <c r="L5" i="3"/>
  <c r="M5" i="3"/>
  <c r="N5" i="3"/>
  <c r="A6" i="3"/>
  <c r="B6" i="3"/>
  <c r="C6" i="3"/>
  <c r="D6" i="3"/>
  <c r="E6" i="3"/>
  <c r="F6" i="3"/>
  <c r="G6" i="3"/>
  <c r="H6" i="3"/>
  <c r="I6" i="3"/>
  <c r="J6" i="3"/>
  <c r="K6" i="3"/>
  <c r="L6" i="3"/>
  <c r="M6" i="3"/>
  <c r="N6" i="3"/>
  <c r="A7" i="3"/>
  <c r="B7" i="3"/>
  <c r="C7" i="3"/>
  <c r="D7" i="3"/>
  <c r="E7" i="3"/>
  <c r="F7" i="3"/>
  <c r="G7" i="3"/>
  <c r="H7" i="3"/>
  <c r="I7" i="3"/>
  <c r="J7" i="3"/>
  <c r="K7" i="3"/>
  <c r="L7" i="3"/>
  <c r="M7" i="3"/>
  <c r="N7" i="3"/>
  <c r="A8" i="3"/>
  <c r="B8" i="3"/>
  <c r="C8" i="3"/>
  <c r="D8" i="3"/>
  <c r="E8" i="3"/>
  <c r="F8" i="3"/>
  <c r="G8" i="3"/>
  <c r="H8" i="3"/>
  <c r="I8" i="3"/>
  <c r="J8" i="3"/>
  <c r="K8" i="3"/>
  <c r="L8" i="3"/>
  <c r="M8" i="3"/>
  <c r="N8" i="3"/>
  <c r="A9" i="3"/>
  <c r="B9" i="3"/>
  <c r="C9" i="3"/>
  <c r="D9" i="3"/>
  <c r="E9" i="3"/>
  <c r="F9" i="3"/>
  <c r="G9" i="3"/>
  <c r="H9" i="3"/>
  <c r="I9" i="3"/>
  <c r="J9" i="3"/>
  <c r="K9" i="3"/>
  <c r="L9" i="3"/>
  <c r="M9" i="3"/>
  <c r="N9" i="3"/>
  <c r="A10" i="3"/>
  <c r="B10" i="3"/>
  <c r="C10" i="3"/>
  <c r="D10" i="3"/>
  <c r="E10" i="3"/>
  <c r="F10" i="3"/>
  <c r="G10" i="3"/>
  <c r="H10" i="3"/>
  <c r="I10" i="3"/>
  <c r="J10" i="3"/>
  <c r="K10" i="3"/>
  <c r="L10" i="3"/>
  <c r="M10" i="3"/>
  <c r="N10" i="3"/>
  <c r="A11" i="3"/>
  <c r="B11" i="3"/>
  <c r="C11" i="3"/>
  <c r="D11" i="3"/>
  <c r="E11" i="3"/>
  <c r="F11" i="3"/>
  <c r="G11" i="3"/>
  <c r="H11" i="3"/>
  <c r="I11" i="3"/>
  <c r="J11" i="3"/>
  <c r="L11" i="3"/>
  <c r="M11" i="3"/>
  <c r="N11" i="3"/>
  <c r="A12" i="3"/>
  <c r="B12" i="3"/>
  <c r="C12" i="3"/>
  <c r="D12" i="3"/>
  <c r="E12" i="3"/>
  <c r="F12" i="3"/>
  <c r="G12" i="3"/>
  <c r="H12" i="3"/>
  <c r="I12" i="3"/>
  <c r="J12" i="3"/>
  <c r="K12" i="3"/>
  <c r="L12" i="3"/>
  <c r="M12" i="3"/>
  <c r="N12" i="3"/>
  <c r="A13" i="3"/>
  <c r="B13" i="3"/>
  <c r="C13" i="3"/>
  <c r="D13" i="3"/>
  <c r="E13" i="3"/>
  <c r="F13" i="3"/>
  <c r="G13" i="3"/>
  <c r="H13" i="3"/>
  <c r="I13" i="3"/>
  <c r="J13" i="3"/>
  <c r="K13" i="3"/>
  <c r="L13" i="3"/>
  <c r="M13" i="3"/>
  <c r="N13" i="3"/>
  <c r="A14" i="3"/>
  <c r="B14" i="3"/>
  <c r="C14" i="3"/>
  <c r="D14" i="3"/>
  <c r="E14" i="3"/>
  <c r="F14" i="3"/>
  <c r="G14" i="3"/>
  <c r="H14" i="3"/>
  <c r="I14" i="3"/>
  <c r="J14" i="3"/>
  <c r="K14" i="3"/>
  <c r="L14" i="3"/>
  <c r="M14" i="3"/>
  <c r="N14" i="3"/>
  <c r="A15" i="3"/>
  <c r="B15" i="3"/>
  <c r="C15" i="3"/>
  <c r="D15" i="3"/>
  <c r="E15" i="3"/>
  <c r="F15" i="3"/>
  <c r="G15" i="3"/>
  <c r="H15" i="3"/>
  <c r="I15" i="3"/>
  <c r="J15" i="3"/>
  <c r="K15" i="3"/>
  <c r="L15" i="3"/>
  <c r="M15" i="3"/>
  <c r="N15" i="3"/>
  <c r="A16" i="3"/>
  <c r="B16" i="3"/>
  <c r="C16" i="3"/>
  <c r="D16" i="3"/>
  <c r="E16" i="3"/>
  <c r="F16" i="3"/>
  <c r="G16" i="3"/>
  <c r="H16" i="3"/>
  <c r="I16" i="3"/>
  <c r="J16" i="3"/>
  <c r="K16" i="3"/>
  <c r="L16" i="3"/>
  <c r="M16" i="3"/>
  <c r="N16" i="3"/>
  <c r="A17" i="3"/>
  <c r="B17" i="3"/>
  <c r="C17" i="3"/>
  <c r="D17" i="3"/>
  <c r="E17" i="3"/>
  <c r="F17" i="3"/>
  <c r="G17" i="3"/>
  <c r="H17" i="3"/>
  <c r="I17" i="3"/>
  <c r="J17" i="3"/>
  <c r="K17" i="3"/>
  <c r="L17" i="3"/>
  <c r="M17" i="3"/>
  <c r="N17" i="3"/>
  <c r="A18" i="3"/>
  <c r="B18" i="3"/>
  <c r="C18" i="3"/>
  <c r="D18" i="3"/>
  <c r="E18" i="3"/>
  <c r="F18" i="3"/>
  <c r="G18" i="3"/>
  <c r="H18" i="3"/>
  <c r="I18" i="3"/>
  <c r="J18" i="3"/>
  <c r="K18" i="3"/>
  <c r="L18" i="3"/>
  <c r="M18" i="3"/>
  <c r="N18" i="3"/>
  <c r="B4" i="3"/>
  <c r="C4" i="3"/>
  <c r="D4" i="3"/>
  <c r="E4" i="3"/>
  <c r="F4" i="3"/>
  <c r="G4" i="3"/>
  <c r="H4" i="3"/>
  <c r="I4" i="3"/>
  <c r="J4" i="3"/>
  <c r="K4" i="3"/>
  <c r="L4" i="3"/>
  <c r="M4" i="3"/>
  <c r="N4" i="3"/>
  <c r="A4" i="3"/>
  <c r="C3" i="3"/>
  <c r="D3" i="3"/>
  <c r="E3" i="3"/>
  <c r="F3" i="3"/>
  <c r="G3" i="3"/>
  <c r="H3" i="3"/>
  <c r="I3" i="3"/>
  <c r="J3" i="3"/>
  <c r="K3" i="3"/>
  <c r="L3" i="3"/>
  <c r="M3" i="3"/>
  <c r="N3" i="3"/>
  <c r="B3" i="3"/>
  <c r="A3" i="3"/>
  <c r="AD8" i="1" l="1"/>
  <c r="AF8" i="1" s="1"/>
  <c r="AD9" i="1"/>
  <c r="AF9" i="1" s="1"/>
  <c r="AD11" i="1"/>
  <c r="AF11" i="1" s="1"/>
  <c r="AD14" i="1"/>
  <c r="AF14" i="1" s="1"/>
  <c r="AD17" i="1"/>
  <c r="AF17" i="1" s="1"/>
  <c r="AD18" i="1"/>
  <c r="AF18" i="1" s="1"/>
  <c r="AD21" i="1"/>
  <c r="AF21" i="1" s="1"/>
  <c r="AD23" i="1"/>
  <c r="AF23" i="1" s="1"/>
  <c r="AD24" i="1"/>
  <c r="AF24" i="1" s="1"/>
  <c r="AD27" i="1"/>
  <c r="AF27" i="1" s="1"/>
  <c r="AD28" i="1"/>
  <c r="AF28" i="1" s="1"/>
  <c r="AD29" i="1"/>
  <c r="AF29" i="1" s="1"/>
  <c r="AD30" i="1"/>
  <c r="AF30" i="1" s="1"/>
  <c r="AK4" i="1" l="1"/>
  <c r="BM30" i="3"/>
  <c r="BN30" i="3" s="1"/>
  <c r="AG30" i="1"/>
  <c r="AK30" i="1"/>
  <c r="AO30" i="1"/>
  <c r="L22" i="16" s="1"/>
  <c r="BM29" i="3" l="1"/>
  <c r="BN29" i="3" s="1"/>
  <c r="BM3" i="3" l="1"/>
  <c r="BM9" i="3" l="1"/>
  <c r="AK29" i="1" l="1"/>
  <c r="AO29" i="1"/>
  <c r="BN3" i="3"/>
  <c r="BM4" i="3"/>
  <c r="BN4" i="3" s="1"/>
  <c r="BM5" i="3"/>
  <c r="BN5" i="3" s="1"/>
  <c r="BM6" i="3"/>
  <c r="BN6" i="3" s="1"/>
  <c r="BM7" i="3"/>
  <c r="BN7" i="3" s="1"/>
  <c r="BM8" i="3"/>
  <c r="BN8" i="3" s="1"/>
  <c r="BN9" i="3"/>
  <c r="BM10" i="3"/>
  <c r="BN10" i="3" s="1"/>
  <c r="BM11" i="3"/>
  <c r="BN11" i="3" s="1"/>
  <c r="BM12" i="3"/>
  <c r="BN12" i="3" s="1"/>
  <c r="BM13" i="3"/>
  <c r="BN13" i="3" s="1"/>
  <c r="BM14" i="3"/>
  <c r="BN14" i="3" s="1"/>
  <c r="BM15" i="3"/>
  <c r="BN15" i="3" s="1"/>
  <c r="BM16" i="3"/>
  <c r="BN16" i="3" s="1"/>
  <c r="BM17" i="3"/>
  <c r="BN17" i="3" s="1"/>
  <c r="BM18" i="3"/>
  <c r="BN18" i="3" s="1"/>
  <c r="BM19" i="3"/>
  <c r="BN19" i="3" s="1"/>
  <c r="BM20" i="3"/>
  <c r="BN20" i="3" s="1"/>
  <c r="BM21" i="3"/>
  <c r="BN21" i="3" s="1"/>
  <c r="BM22" i="3"/>
  <c r="BN22" i="3" s="1"/>
  <c r="BM23" i="3"/>
  <c r="BN23" i="3" s="1"/>
  <c r="BM24" i="3"/>
  <c r="BN24" i="3" s="1"/>
  <c r="BM25" i="3"/>
  <c r="BN25" i="3" s="1"/>
  <c r="BM26" i="3"/>
  <c r="BN26" i="3" s="1"/>
  <c r="BM27" i="3"/>
  <c r="BN27" i="3" s="1"/>
  <c r="BM28" i="3"/>
  <c r="BN28" i="3" s="1"/>
  <c r="AG29" i="1" l="1"/>
  <c r="AK3" i="1"/>
  <c r="AK5" i="1"/>
  <c r="AK6" i="1"/>
  <c r="AK7" i="1"/>
  <c r="AK8" i="1"/>
  <c r="AK9" i="1"/>
  <c r="AK10" i="1"/>
  <c r="AK11" i="1"/>
  <c r="AK12" i="1"/>
  <c r="AK13" i="1"/>
  <c r="AK14" i="1"/>
  <c r="AK15" i="1"/>
  <c r="AK16" i="1"/>
  <c r="AK17" i="1"/>
  <c r="AK18" i="1"/>
  <c r="AK19" i="1"/>
  <c r="AK20" i="1"/>
  <c r="AK21" i="1"/>
  <c r="AK22" i="1"/>
  <c r="AK23" i="1"/>
  <c r="AK24" i="1"/>
  <c r="AK25" i="1"/>
  <c r="AK26" i="1"/>
  <c r="AK27" i="1"/>
  <c r="AK28" i="1"/>
  <c r="AG24" i="1" l="1"/>
  <c r="AG21" i="1"/>
  <c r="AG3" i="1" l="1"/>
  <c r="AG28" i="1"/>
  <c r="AO28" i="1"/>
  <c r="AO3" i="1"/>
  <c r="AO4" i="1"/>
  <c r="AO5" i="1"/>
  <c r="AO6" i="1"/>
  <c r="AO7" i="1"/>
  <c r="AO8" i="1"/>
  <c r="AO9" i="1"/>
  <c r="AO10" i="1"/>
  <c r="AO12" i="1"/>
  <c r="AO13" i="1"/>
  <c r="AO14" i="1"/>
  <c r="AO15" i="1"/>
  <c r="AO16" i="1"/>
  <c r="AO17" i="1"/>
  <c r="AO18" i="1"/>
  <c r="AO19" i="1"/>
  <c r="AO20" i="1"/>
  <c r="AO21" i="1"/>
  <c r="AO22" i="1"/>
  <c r="AO23" i="1"/>
  <c r="AO24" i="1"/>
  <c r="AO25" i="1"/>
  <c r="AO26" i="1"/>
  <c r="AO27" i="1"/>
  <c r="AG9" i="1"/>
  <c r="AG12" i="1"/>
  <c r="AG13" i="1"/>
  <c r="AG5" i="1"/>
  <c r="AG6" i="1"/>
  <c r="AG7" i="1"/>
  <c r="AG8" i="1"/>
  <c r="AG14" i="1"/>
  <c r="AG15" i="1"/>
  <c r="AG16" i="1"/>
  <c r="AG22" i="1"/>
  <c r="AG23" i="1"/>
  <c r="AG4" i="1"/>
  <c r="AG10" i="1"/>
  <c r="AG11" i="1"/>
  <c r="AG17" i="1"/>
  <c r="AG18" i="1"/>
  <c r="AG19" i="1"/>
  <c r="AG20" i="1"/>
  <c r="AG25" i="1"/>
  <c r="AG26" i="1"/>
  <c r="AG27" i="1"/>
</calcChain>
</file>

<file path=xl/sharedStrings.xml><?xml version="1.0" encoding="utf-8"?>
<sst xmlns="http://schemas.openxmlformats.org/spreadsheetml/2006/main" count="2777" uniqueCount="333">
  <si>
    <t>No.</t>
  </si>
  <si>
    <t>KKKS</t>
  </si>
  <si>
    <t>Wilayah Kerja</t>
  </si>
  <si>
    <t>Asset</t>
  </si>
  <si>
    <t>Indonesia</t>
  </si>
  <si>
    <t>Zona 1</t>
  </si>
  <si>
    <t>Field</t>
  </si>
  <si>
    <t>C/F, C/O, New</t>
  </si>
  <si>
    <t>Jenis Pekerjaan</t>
  </si>
  <si>
    <t>Tipe Sumur</t>
  </si>
  <si>
    <t>Nama Rig</t>
  </si>
  <si>
    <t>Tipe Rig</t>
  </si>
  <si>
    <t>HP Rig</t>
  </si>
  <si>
    <t>Kategori Sumur</t>
  </si>
  <si>
    <t>WP&amp;B 2022</t>
  </si>
  <si>
    <t>AFE Budget</t>
  </si>
  <si>
    <t>Plan - Durasi Operasi (days)</t>
  </si>
  <si>
    <t>C/F</t>
  </si>
  <si>
    <t>New</t>
  </si>
  <si>
    <t>Nama Lokasi</t>
  </si>
  <si>
    <t>Nama Sumur</t>
  </si>
  <si>
    <t>C/O</t>
  </si>
  <si>
    <t>KSB-065</t>
  </si>
  <si>
    <t>P-462</t>
  </si>
  <si>
    <t>P-464</t>
  </si>
  <si>
    <t>P-460</t>
  </si>
  <si>
    <t>P-461</t>
  </si>
  <si>
    <t>P-463</t>
  </si>
  <si>
    <t>Development</t>
  </si>
  <si>
    <t>PDSI #42.3/N1500-E</t>
  </si>
  <si>
    <t>Rig Darat</t>
  </si>
  <si>
    <t>NREM #01</t>
  </si>
  <si>
    <t>PDSI #17.2/NT45-M</t>
  </si>
  <si>
    <t>TMMJ-12</t>
  </si>
  <si>
    <t>PDSI #23.1/CWKT210-M</t>
  </si>
  <si>
    <t>PDSI #41.3/N110UE</t>
  </si>
  <si>
    <t>Remark</t>
  </si>
  <si>
    <t>Row Labels</t>
  </si>
  <si>
    <t>Grand Total</t>
  </si>
  <si>
    <t>(All)</t>
  </si>
  <si>
    <t>Actual - Start Move Date</t>
  </si>
  <si>
    <t>Actual - Finish Move Date</t>
  </si>
  <si>
    <t>Actual - Move (days)</t>
  </si>
  <si>
    <t>Actual - Start R/U Endurance Date</t>
  </si>
  <si>
    <t>Actual - Finish R/U Endurance Date</t>
  </si>
  <si>
    <t>Actual - Start Drilling Date</t>
  </si>
  <si>
    <t>Actual - Finish Drilling Date</t>
  </si>
  <si>
    <t>Actual - Start Completion Date</t>
  </si>
  <si>
    <t>Actual - Finish Completion Date</t>
  </si>
  <si>
    <t>Actual - Start R/D Date</t>
  </si>
  <si>
    <t>Actual - Finish R/D Date</t>
  </si>
  <si>
    <t>Actual - DHB Cost</t>
  </si>
  <si>
    <t>Actual - CHB Cost</t>
  </si>
  <si>
    <t>Actual - Total Cost</t>
  </si>
  <si>
    <t>Actual - R/U Endurance (days)</t>
  </si>
  <si>
    <t>Actual - Drilling (days)</t>
  </si>
  <si>
    <t>Actual - Completion (days)</t>
  </si>
  <si>
    <t>Actual - Operation (days)</t>
  </si>
  <si>
    <t>Actual - R/D (days)</t>
  </si>
  <si>
    <t>Actual - Total</t>
  </si>
  <si>
    <t>Sum of Actual - Move (days)</t>
  </si>
  <si>
    <t>Sum of Actual - R/U Endurance (days)</t>
  </si>
  <si>
    <t>Sum of Actual - R/D (days)</t>
  </si>
  <si>
    <t>8n - Repair Safety System</t>
  </si>
  <si>
    <t>8s - Repair Others</t>
  </si>
  <si>
    <t>12f - Run Casing / Liner Problem</t>
  </si>
  <si>
    <t>18b - Squeeze Unplanned</t>
  </si>
  <si>
    <t>2g - Well Control Operations / Situation</t>
  </si>
  <si>
    <t>2h - Lossing Circulation / Pumping LCM / Monitor Unplanned</t>
  </si>
  <si>
    <t>2j - Stuck Pipe Include Handling Operations</t>
  </si>
  <si>
    <t>11d - Wireline / Slick Line Job Unplanned</t>
  </si>
  <si>
    <t>19a - Fishing Operations</t>
  </si>
  <si>
    <t>22a - Material Problems</t>
  </si>
  <si>
    <t>22b - Social Issue</t>
  </si>
  <si>
    <t>22c - Environment Issue</t>
  </si>
  <si>
    <t>22d - Location Problems</t>
  </si>
  <si>
    <t>22e - Logistics Problems</t>
  </si>
  <si>
    <t>22f - Regulatory Problems</t>
  </si>
  <si>
    <t>22g - Other Problem Time</t>
  </si>
  <si>
    <t>26d - Trip Problem Time</t>
  </si>
  <si>
    <t>28b - Swabbing Problem Time</t>
  </si>
  <si>
    <t>30c - Tree Problem Time</t>
  </si>
  <si>
    <t>31b - Other Completions Problem Time</t>
  </si>
  <si>
    <t>23a - Waiting on Weather</t>
  </si>
  <si>
    <t>3b - Washing / Reaming / Backreaming Unplanned</t>
  </si>
  <si>
    <t>5c - Circulate / Condition Mud Unplanned</t>
  </si>
  <si>
    <t>8a - Repair Power System</t>
  </si>
  <si>
    <t>8b - Repair Hoisting System</t>
  </si>
  <si>
    <t>8c - Repair Circulating System</t>
  </si>
  <si>
    <t>8d - Repair Rotating System</t>
  </si>
  <si>
    <t>8e - Repair Blow Out Preventer System</t>
  </si>
  <si>
    <t>8f - Tubular Problem</t>
  </si>
  <si>
    <t>8g - Personal Problem</t>
  </si>
  <si>
    <t>21a - Directional Services</t>
  </si>
  <si>
    <t>21b - Mud Services</t>
  </si>
  <si>
    <t>21c - MLU Services</t>
  </si>
  <si>
    <t>21d - UBD, MPD, Aerated Services</t>
  </si>
  <si>
    <t>21e - Casing Drilling Services</t>
  </si>
  <si>
    <t>21f - Cementing Services</t>
  </si>
  <si>
    <t>21g - Down Hole &amp; Surface Services</t>
  </si>
  <si>
    <t>21h - Coiled Tubing Services</t>
  </si>
  <si>
    <t>21i - Wireline Services</t>
  </si>
  <si>
    <t>21j - Slick Line Services</t>
  </si>
  <si>
    <t>21k - RTO Services</t>
  </si>
  <si>
    <t>21l - Tubular Services</t>
  </si>
  <si>
    <t>21m - Well Head &amp; X-Mastree Services</t>
  </si>
  <si>
    <t>21n - Solid Control Services</t>
  </si>
  <si>
    <t>21o - Waste Management Services</t>
  </si>
  <si>
    <t>21p - H2S Services</t>
  </si>
  <si>
    <t>21q - Stimulation Services</t>
  </si>
  <si>
    <t>21r - Marine Support Services</t>
  </si>
  <si>
    <t>21s - Transportation Services</t>
  </si>
  <si>
    <t>21t - Others Services</t>
  </si>
  <si>
    <t>Exploration</t>
  </si>
  <si>
    <t>TMMJ-05</t>
  </si>
  <si>
    <t>SGET-001</t>
  </si>
  <si>
    <t>Actual - Depth (mMD)</t>
  </si>
  <si>
    <t>Plan - Depth (mMD)</t>
  </si>
  <si>
    <t>Directional</t>
  </si>
  <si>
    <t>Vertical</t>
  </si>
  <si>
    <t>Column Labels</t>
  </si>
  <si>
    <t>Total NPT (hours)</t>
  </si>
  <si>
    <t>PT Total (hours)</t>
  </si>
  <si>
    <t>Total Time (hours)</t>
  </si>
  <si>
    <t>Sum of Total NPT (hours)</t>
  </si>
  <si>
    <t>Category</t>
  </si>
  <si>
    <t>Code</t>
  </si>
  <si>
    <t>Duration</t>
  </si>
  <si>
    <t>NPT</t>
  </si>
  <si>
    <t>PT</t>
  </si>
  <si>
    <t>Sum of Duration</t>
  </si>
  <si>
    <t>Standby (days)</t>
  </si>
  <si>
    <t>P-466</t>
  </si>
  <si>
    <t>Jangan Diisi</t>
  </si>
  <si>
    <t>Sum of Actual - Operation (days)</t>
  </si>
  <si>
    <t>NPT (days)</t>
  </si>
  <si>
    <t>Sum of PT Total (hours)</t>
  </si>
  <si>
    <t>CMA-001</t>
  </si>
  <si>
    <t>SRT-1X</t>
  </si>
  <si>
    <t>Actual - Operation w/ NPT (days)</t>
  </si>
  <si>
    <t>Rig Name</t>
  </si>
  <si>
    <t>Sum of Availability</t>
  </si>
  <si>
    <t>Sum of Utility</t>
  </si>
  <si>
    <t>Total Gross (days)</t>
  </si>
  <si>
    <t>Rig Availability (days)</t>
  </si>
  <si>
    <t>Average Rig Availability</t>
  </si>
  <si>
    <t>Average Rig Utility</t>
  </si>
  <si>
    <t>Rig Utility (days)</t>
  </si>
  <si>
    <t>Sum of Average Rig Availability</t>
  </si>
  <si>
    <t>Sum of Average Rig Utility</t>
  </si>
  <si>
    <t>Sum of Actual - Move</t>
  </si>
  <si>
    <t>Sum of Actual - R/U Endurance</t>
  </si>
  <si>
    <t>Sum of Actual - Operation</t>
  </si>
  <si>
    <t>Sum of Actual - R/D</t>
  </si>
  <si>
    <t>Sum of Actual - NPT</t>
  </si>
  <si>
    <t>Sum of Actual - Standby</t>
  </si>
  <si>
    <t>Longitude</t>
  </si>
  <si>
    <t>Latitude</t>
  </si>
  <si>
    <t>New Well</t>
  </si>
  <si>
    <t>Completed</t>
  </si>
  <si>
    <t>Status Sumur</t>
  </si>
  <si>
    <t>On Going</t>
  </si>
  <si>
    <t>Actual Operation (days)</t>
  </si>
  <si>
    <t>Plan Operation (days)</t>
  </si>
  <si>
    <t>AFE Plan Budget</t>
  </si>
  <si>
    <t>Total Actual Cost</t>
  </si>
  <si>
    <t>Sum of Delta Dur</t>
  </si>
  <si>
    <t>Sum of Delta Cos</t>
  </si>
  <si>
    <t>TIME</t>
  </si>
  <si>
    <t>COST</t>
  </si>
  <si>
    <t>Ideal</t>
  </si>
  <si>
    <t>(Multiple Items)</t>
  </si>
  <si>
    <t>Cost Category</t>
  </si>
  <si>
    <t>Budget</t>
  </si>
  <si>
    <t>Value</t>
  </si>
  <si>
    <t>Additional</t>
  </si>
  <si>
    <t>DHB</t>
  </si>
  <si>
    <t>CHB</t>
  </si>
  <si>
    <t>NPT Impact</t>
  </si>
  <si>
    <t>Plan</t>
  </si>
  <si>
    <t>Properties</t>
  </si>
  <si>
    <t>Actual</t>
  </si>
  <si>
    <t>Consorsium</t>
  </si>
  <si>
    <t>Repair compressor cementing unit</t>
  </si>
  <si>
    <t>Mud pump leaked</t>
  </si>
  <si>
    <t>Specification</t>
  </si>
  <si>
    <t>Rig</t>
  </si>
  <si>
    <t>Top drive torque problem</t>
  </si>
  <si>
    <t>Break out tong leaking during break out conn stab dan float sub</t>
  </si>
  <si>
    <t>HCR 4“ connection, Bell Nipple and Annular connection, flexible hose to HCR 4-1/16"-5K psi and master valve BPM connection leaked</t>
  </si>
  <si>
    <t>Clamp pitolik 5" detached from connection</t>
  </si>
  <si>
    <t>Sling disconnected during swabbing</t>
  </si>
  <si>
    <t>Cement Unit</t>
  </si>
  <si>
    <t>Wireline Unit</t>
  </si>
  <si>
    <t>Overheat crane and dais rotary slip DC not working properly</t>
  </si>
  <si>
    <t>Swab engine rig not working properly, gas trotel broken</t>
  </si>
  <si>
    <t>Diesel engines are unable to withstand power loads</t>
  </si>
  <si>
    <t>Generator Set</t>
  </si>
  <si>
    <t>Seal and liner wash pipe on swivel are leaked</t>
  </si>
  <si>
    <t>Drawwork transmission is leaked</t>
  </si>
  <si>
    <t>DC Dies Slip components broken</t>
  </si>
  <si>
    <t>Water influx from nearby injection wells</t>
  </si>
  <si>
    <t>Loss of circulation during injectivity test</t>
  </si>
  <si>
    <t>Remedial squeeze cementing 7" casing due to loss of circulation</t>
  </si>
  <si>
    <t>Drawwork components (bearing) broken</t>
  </si>
  <si>
    <t>Lost communication (error) on RDT sensor</t>
  </si>
  <si>
    <t>Coiled Tubing Unit</t>
  </si>
  <si>
    <t>Directional Drilling Unit</t>
  </si>
  <si>
    <t>Repair sensor indicator CTU</t>
  </si>
  <si>
    <t>Drilling paramater abnormal condition (normal 612 gpm / 1330 psi), pressure drop 300 psi</t>
  </si>
  <si>
    <t>Casing Hanger 7" can not sit on CHS</t>
  </si>
  <si>
    <t>Detonator explodes, but primacord and shaped charge do not explode (low order detonating)</t>
  </si>
  <si>
    <t>Well Head &amp; X-Mastree Unit</t>
  </si>
  <si>
    <t>Mud pump problems</t>
  </si>
  <si>
    <t>Repair robotic system in TDS and the 1/4" hose in the grabber broken</t>
  </si>
  <si>
    <t>Indication of plug nozzles on the bit</t>
  </si>
  <si>
    <t>Heavy rain and lighting</t>
  </si>
  <si>
    <t>Fishing Job on debris of Milling Job</t>
  </si>
  <si>
    <t>Swivel sinker bar disconnected</t>
  </si>
  <si>
    <t>TDS's motor liner leaked</t>
  </si>
  <si>
    <t>Change rubber piston on mud pump</t>
  </si>
  <si>
    <t>Transmitter DSI tool not working properly</t>
  </si>
  <si>
    <t>BOP leaked</t>
  </si>
  <si>
    <t>Drill Stem Test Unit</t>
  </si>
  <si>
    <t>Downhole valve broken, hydraulic engine &amp; radiator leaked, annulus communication to DST#1</t>
  </si>
  <si>
    <t>Coiled tubing disconnected</t>
  </si>
  <si>
    <t>Can't load gun because of rain</t>
  </si>
  <si>
    <t>Brake system malfunction, unable to released</t>
  </si>
  <si>
    <t>Install power supply cable</t>
  </si>
  <si>
    <t>ESP Unit</t>
  </si>
  <si>
    <t>Continue to RIH PDC 8-1/4" + BHA DD series from a depth of 2787 m to 2838 m while reamdown, string stucked (indication pack off)</t>
  </si>
  <si>
    <t>Repair and voltage checking of the Cat-3512 Generator Engine</t>
  </si>
  <si>
    <t>Travelling block sags. Leakage in airflex low gear drawwork. Drawwork brake system lock, found control panel wichita brake drop pressure. Leakage in drawwork weight indicator. Travelling block can't go down. Troubleshooting the problem of lack of supply pressure HPU to Brake Drawork</t>
  </si>
  <si>
    <t>Top Connection Washpipe TDS leaked. Repair of Lube Pump Gearbox</t>
  </si>
  <si>
    <t xml:space="preserve">Bonnet seal double ram leak during the BOP function test group 20-3/4" X 3000 psi. Leak in the 4" Co-flex and flange connection. Replacement RAM Shaft Double RAM and Replacement Annular BOP 13-5/8". Hydraulic impact wrenc lock malfunction. Replacing of a pair of variable ram segments. RBOP Function and Pressure Test. Tester plug stuck in annular
</t>
  </si>
  <si>
    <t>There is a reduction in OD from a 5" DP which breaks up to 4-3/4". Repair 5" DP slip</t>
  </si>
  <si>
    <t>Casing stuck in power tong casing</t>
  </si>
  <si>
    <t>Casing Drive System</t>
  </si>
  <si>
    <t>LOT remedial squeeze cementing. Carbonat Cement Plug Job for wellbore strengthening</t>
  </si>
  <si>
    <t>Fishing with a 6x stand, free it with Jar Up</t>
  </si>
  <si>
    <t>Leaks in Finger-Print MPD (leaks in the MP#4 liner and RCD bearings)</t>
  </si>
  <si>
    <t>Repair cementing unit (loss prime in morris pump) and surge tank problem. Reverse out with rig pump to remove water ahead and spacer to CF</t>
  </si>
  <si>
    <t>Sagatrade Murni</t>
  </si>
  <si>
    <t>The 18/32" nozzle on the bullnose is washouted. When OH logging 12", Run#5: XL Rock/Back Up MSCT, the coring motor cannot extend when going to coring point #1 @2017 m</t>
  </si>
  <si>
    <t>Indication of error in PSCC VSP</t>
  </si>
  <si>
    <t>OD casing cannot fit into the wellhead</t>
  </si>
  <si>
    <t>Cutting Auger sealed by cuttings</t>
  </si>
  <si>
    <t>Stop operations, personnel at the location is Positive Covid-19.</t>
  </si>
  <si>
    <t>Loss circulation during drilling formation, combating loss</t>
  </si>
  <si>
    <t>During drilling the vertical traject 12-1/4" at a depth of 6250 ft, there was an increase in flow return from 25% to 40%. After the flow check is carried out there is a flow from the well.</t>
  </si>
  <si>
    <t>Casing collapse</t>
  </si>
  <si>
    <t>Repair Mud Pump</t>
  </si>
  <si>
    <t>Sub saver is detached</t>
  </si>
  <si>
    <t>Repair flange leak between Top Flange Annular and RCD Assy bottom connection</t>
  </si>
  <si>
    <t xml:space="preserve">After casing pressure 0 psi, the drilling string is tried to be lifted but the pipe is pinched. </t>
  </si>
  <si>
    <t>RCI-Sampling tool Wireline baker short connection, RCI is squeezed at a depth of 6366 ftWL, RCI is squeezed at a depth of 6519 ftWL</t>
  </si>
  <si>
    <t>7" Liner Casing is seated at 6966 ft</t>
  </si>
  <si>
    <t>Fishing job</t>
  </si>
  <si>
    <t>MWD Surface Aquicision problem, first PBL function test #1 PBL valve can open but cannot close</t>
  </si>
  <si>
    <t>There was a flange leak between Top Annular and RCD Assy</t>
  </si>
  <si>
    <t>Liner Hanger, DSCC, ECP Unit</t>
  </si>
  <si>
    <t>RCD &amp; MPD Unit</t>
  </si>
  <si>
    <t>Cement premature set when cementing the casing 9-5/8"</t>
  </si>
  <si>
    <t>Lock screw in baker wireline radioactive tools is not suitable, RCI-Sampling tool Wireline baker short connection</t>
  </si>
  <si>
    <t>Found Ovsershot Bowl Top Body uneven/eccentric</t>
  </si>
  <si>
    <t>Fishing Unit</t>
  </si>
  <si>
    <t>Wait for the picking up of explosives</t>
  </si>
  <si>
    <t>Coordinator</t>
  </si>
  <si>
    <t>7" ID Liner is asymmetrical</t>
  </si>
  <si>
    <t>J</t>
  </si>
  <si>
    <t>R</t>
  </si>
  <si>
    <t>P</t>
  </si>
  <si>
    <t>PS</t>
  </si>
  <si>
    <t>PB</t>
  </si>
  <si>
    <t>J1</t>
  </si>
  <si>
    <t>J2</t>
  </si>
  <si>
    <t>J3</t>
  </si>
  <si>
    <t>J4</t>
  </si>
  <si>
    <t>R1</t>
  </si>
  <si>
    <t>R2</t>
  </si>
  <si>
    <t>R3</t>
  </si>
  <si>
    <t>R4</t>
  </si>
  <si>
    <t>R5</t>
  </si>
  <si>
    <t>R6</t>
  </si>
  <si>
    <t>R7</t>
  </si>
  <si>
    <t>R8</t>
  </si>
  <si>
    <t>R9</t>
  </si>
  <si>
    <t>R10</t>
  </si>
  <si>
    <t>R11</t>
  </si>
  <si>
    <t>R12</t>
  </si>
  <si>
    <t>R13</t>
  </si>
  <si>
    <t>PS1</t>
  </si>
  <si>
    <t>J5</t>
  </si>
  <si>
    <t>J6</t>
  </si>
  <si>
    <t>J7</t>
  </si>
  <si>
    <t>J8</t>
  </si>
  <si>
    <t>J9</t>
  </si>
  <si>
    <t>J10</t>
  </si>
  <si>
    <t>J11</t>
  </si>
  <si>
    <t>J12</t>
  </si>
  <si>
    <t>J13</t>
  </si>
  <si>
    <t>J14</t>
  </si>
  <si>
    <t>PB1</t>
  </si>
  <si>
    <t>J15</t>
  </si>
  <si>
    <t>N#1</t>
  </si>
  <si>
    <t>P#42.3</t>
  </si>
  <si>
    <t>T#12</t>
  </si>
  <si>
    <t>P#23.1</t>
  </si>
  <si>
    <t>P#41.3</t>
  </si>
  <si>
    <t>P#17</t>
  </si>
  <si>
    <t>Zone F</t>
  </si>
  <si>
    <t>Plan and Budget</t>
  </si>
  <si>
    <t>T#5</t>
  </si>
  <si>
    <t>CL</t>
  </si>
  <si>
    <t>T</t>
  </si>
  <si>
    <t>PI</t>
  </si>
  <si>
    <t>Hal</t>
  </si>
  <si>
    <t>AM</t>
  </si>
  <si>
    <t>El</t>
  </si>
  <si>
    <t>N</t>
  </si>
  <si>
    <t>BS</t>
  </si>
  <si>
    <t>SN</t>
  </si>
  <si>
    <t>Car</t>
  </si>
  <si>
    <t>Schberg</t>
  </si>
  <si>
    <t>Directional tools problem (transmission from power section to bearing failed). Troubleshoot Schberg depth sensor switching and re-logging. Replace Mud Motor not working properly. Replacement of RCD bearings</t>
  </si>
  <si>
    <t>AD</t>
  </si>
  <si>
    <t xml:space="preserve">DSCC port cannot close. Junk screen Running Tool bolt comes off. Dressing tie-back. Junk screen bolt Running Tool detached &amp; dressing tie-back. There is a leak in the EMR ADpter
</t>
  </si>
  <si>
    <t>Bak</t>
  </si>
  <si>
    <t>Wes</t>
  </si>
  <si>
    <t>AFGL</t>
  </si>
  <si>
    <t>Sus</t>
  </si>
  <si>
    <t>IM</t>
  </si>
  <si>
    <t>Swab Job equIMent (sandline tool) that is not ready, the sinker bar cannot enter the lubricator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</si>
</sst>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 #,##0_-;_-* &quot;-&quot;_-;_-@_-"/>
    <numFmt numFmtId="165" formatCode="_-* #,##0.00_-;\-* #,##0.00_-;_-* &quot;-&quot;??_-;_-@_-"/>
    <numFmt numFmtId="166" formatCode="0.0"/>
    <numFmt numFmtId="167" formatCode="[$$-409]#,##0"/>
    <numFmt numFmtId="168" formatCode="0.000"/>
    <numFmt numFmtId="169" formatCode="_(* #,##0_);_(* \(#,##0\);_(* \-_);_(@_)"/>
    <numFmt numFmtId="170" formatCode="0.00\ \ \ ;\-0.00\ \ \ ;0.00\ \ \ ;[Red]@&quot;    &quot;"/>
  </numFmts>
  <fonts count="20" x14ac:knownFonts="1">
    <font>
      <sz val="11"/>
      <color theme="1"/>
      <name val="Calibri"/>
      <family val="2"/>
      <scheme val="minor"/>
    </font>
    <font>
      <sz val="8"/>
      <name val="Calibri"/>
      <family val="2"/>
      <scheme val="minor"/>
    </font>
    <font>
      <sz val="11"/>
      <color theme="1"/>
      <name val="Calibri"/>
      <family val="2"/>
      <scheme val="minor"/>
    </font>
    <font>
      <sz val="10"/>
      <name val="Arial"/>
      <family val="2"/>
    </font>
    <font>
      <sz val="12"/>
      <name val="Arial"/>
      <family val="2"/>
    </font>
    <font>
      <sz val="11"/>
      <color indexed="62"/>
      <name val="Calibri"/>
      <family val="2"/>
    </font>
    <font>
      <sz val="11"/>
      <color indexed="8"/>
      <name val="Calibri"/>
      <family val="2"/>
    </font>
    <font>
      <sz val="11"/>
      <color indexed="9"/>
      <name val="Calibri"/>
      <family val="2"/>
    </font>
    <font>
      <sz val="11"/>
      <color indexed="20"/>
      <name val="Calibri"/>
      <family val="2"/>
    </font>
    <font>
      <b/>
      <sz val="11"/>
      <color indexed="9"/>
      <name val="Calibri"/>
      <family val="2"/>
    </font>
    <font>
      <b/>
      <sz val="11"/>
      <color indexed="52"/>
      <name val="Calibri"/>
      <family val="2"/>
    </font>
    <font>
      <sz val="8"/>
      <name val="Arial"/>
      <family val="2"/>
    </font>
    <font>
      <sz val="11"/>
      <color indexed="17"/>
      <name val="Calibri"/>
      <family val="2"/>
    </font>
    <font>
      <b/>
      <sz val="11"/>
      <color indexed="63"/>
      <name val="Calibri"/>
      <family val="2"/>
    </font>
    <font>
      <sz val="8"/>
      <name val="Arial Narrow"/>
      <family val="2"/>
    </font>
    <font>
      <sz val="10"/>
      <name val="Arabic Transparent"/>
      <charset val="178"/>
    </font>
    <font>
      <sz val="11"/>
      <color indexed="60"/>
      <name val="Calibri"/>
      <family val="2"/>
    </font>
    <font>
      <sz val="10"/>
      <name val="Times New Roman"/>
      <family val="1"/>
    </font>
    <font>
      <sz val="10"/>
      <name val="Arial"/>
      <family val="2"/>
    </font>
    <font>
      <b/>
      <sz val="11"/>
      <color theme="1"/>
      <name val="Calibri"/>
      <family val="2"/>
      <scheme val="minor"/>
    </font>
  </fonts>
  <fills count="27">
    <fill>
      <patternFill patternType="none"/>
    </fill>
    <fill>
      <patternFill patternType="gray125"/>
    </fill>
    <fill>
      <patternFill patternType="solid">
        <fgColor indexed="45"/>
        <bgColor indexed="64"/>
      </patternFill>
    </fill>
    <fill>
      <patternFill patternType="solid">
        <fgColor indexed="47"/>
        <bgColor indexed="64"/>
      </patternFill>
    </fill>
    <fill>
      <patternFill patternType="solid">
        <fgColor indexed="11"/>
        <bgColor indexed="64"/>
      </patternFill>
    </fill>
    <fill>
      <patternFill patternType="solid">
        <fgColor indexed="44"/>
        <bgColor indexed="64"/>
      </patternFill>
    </fill>
    <fill>
      <patternFill patternType="solid">
        <fgColor indexed="29"/>
        <bgColor indexed="64"/>
      </patternFill>
    </fill>
    <fill>
      <patternFill patternType="solid">
        <fgColor indexed="36"/>
        <bgColor indexed="64"/>
      </patternFill>
    </fill>
    <fill>
      <patternFill patternType="solid">
        <fgColor indexed="42"/>
        <bgColor indexed="64"/>
      </patternFill>
    </fill>
    <fill>
      <patternFill patternType="solid">
        <fgColor indexed="55"/>
        <bgColor indexed="64"/>
      </patternFill>
    </fill>
    <fill>
      <patternFill patternType="solid">
        <fgColor indexed="49"/>
        <bgColor indexed="64"/>
      </patternFill>
    </fill>
    <fill>
      <patternFill patternType="solid">
        <fgColor indexed="31"/>
        <bgColor indexed="64"/>
      </patternFill>
    </fill>
    <fill>
      <patternFill patternType="solid">
        <fgColor indexed="46"/>
        <bgColor indexed="64"/>
      </patternFill>
    </fill>
    <fill>
      <patternFill patternType="solid">
        <fgColor indexed="22"/>
        <bgColor indexed="64"/>
      </patternFill>
    </fill>
    <fill>
      <patternFill patternType="solid">
        <fgColor indexed="27"/>
        <bgColor indexed="64"/>
      </patternFill>
    </fill>
    <fill>
      <patternFill patternType="solid">
        <fgColor indexed="30"/>
        <bgColor indexed="64"/>
      </patternFill>
    </fill>
    <fill>
      <patternFill patternType="solid">
        <fgColor indexed="5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6"/>
        <bgColor indexed="64"/>
      </patternFill>
    </fill>
    <fill>
      <patternFill patternType="mediumGray">
        <fgColor indexed="11"/>
      </patternFill>
    </fill>
    <fill>
      <patternFill patternType="solid">
        <fgColor indexed="22"/>
        <bgColor indexed="31"/>
      </patternFill>
    </fill>
    <fill>
      <patternFill patternType="solid">
        <fgColor indexed="43"/>
        <bgColor indexed="64"/>
      </patternFill>
    </fill>
    <fill>
      <patternFill patternType="solid">
        <fgColor rgb="FFFFFF00"/>
        <bgColor indexed="64"/>
      </patternFill>
    </fill>
  </fills>
  <borders count="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ck">
        <color auto="1"/>
      </top>
      <bottom style="hair">
        <color auto="1"/>
      </bottom>
      <diagonal/>
    </border>
    <border>
      <left style="thin">
        <color indexed="63"/>
      </left>
      <right style="thin">
        <color indexed="63"/>
      </right>
      <top style="thin">
        <color indexed="63"/>
      </top>
      <bottom style="thin">
        <color indexed="63"/>
      </bottom>
      <diagonal/>
    </border>
    <border>
      <left style="thin">
        <color auto="1"/>
      </left>
      <right/>
      <top/>
      <bottom/>
      <diagonal/>
    </border>
    <border>
      <left style="thin">
        <color auto="1"/>
      </left>
      <right style="thin">
        <color auto="1"/>
      </right>
      <top style="hair">
        <color auto="1"/>
      </top>
      <bottom style="hair">
        <color auto="1"/>
      </bottom>
      <diagonal/>
    </border>
  </borders>
  <cellStyleXfs count="83">
    <xf numFmtId="0" fontId="0" fillId="0" borderId="0"/>
    <xf numFmtId="0" fontId="3" fillId="0" borderId="0"/>
    <xf numFmtId="169" fontId="18" fillId="0" borderId="0" applyFill="0" applyBorder="0" applyAlignment="0" applyProtection="0"/>
    <xf numFmtId="0" fontId="6" fillId="8" borderId="0" applyNumberFormat="0" applyBorder="0" applyAlignment="0" applyProtection="0"/>
    <xf numFmtId="0" fontId="7" fillId="4" borderId="0" applyNumberFormat="0" applyBorder="0" applyAlignment="0" applyProtection="0"/>
    <xf numFmtId="0" fontId="6" fillId="6" borderId="0" applyNumberFormat="0" applyBorder="0" applyAlignment="0" applyProtection="0"/>
    <xf numFmtId="0" fontId="4" fillId="0" borderId="0"/>
    <xf numFmtId="0" fontId="6" fillId="12" borderId="0" applyNumberFormat="0" applyBorder="0" applyAlignment="0" applyProtection="0"/>
    <xf numFmtId="0" fontId="4" fillId="0" borderId="0"/>
    <xf numFmtId="0" fontId="7" fillId="7" borderId="0" applyNumberFormat="0" applyBorder="0" applyAlignment="0" applyProtection="0"/>
    <xf numFmtId="0" fontId="4" fillId="0" borderId="0"/>
    <xf numFmtId="0" fontId="9" fillId="9" borderId="2" applyNumberFormat="0" applyAlignment="0" applyProtection="0"/>
    <xf numFmtId="0" fontId="6" fillId="5" borderId="0" applyNumberFormat="0" applyBorder="0" applyAlignment="0" applyProtection="0"/>
    <xf numFmtId="0" fontId="7" fillId="6"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1" borderId="0" applyNumberFormat="0" applyBorder="0" applyAlignment="0" applyProtection="0"/>
    <xf numFmtId="0" fontId="6" fillId="2"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6" fillId="5" borderId="0" applyNumberFormat="0" applyBorder="0" applyAlignment="0" applyProtection="0"/>
    <xf numFmtId="0" fontId="4" fillId="0" borderId="0"/>
    <xf numFmtId="0" fontId="6" fillId="12" borderId="0" applyNumberFormat="0" applyBorder="0" applyAlignment="0" applyProtection="0"/>
    <xf numFmtId="0" fontId="6" fillId="16"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8" fillId="0" borderId="0"/>
    <xf numFmtId="0" fontId="7" fillId="10" borderId="0" applyNumberFormat="0" applyBorder="0" applyAlignment="0" applyProtection="0"/>
    <xf numFmtId="0" fontId="7" fillId="21" borderId="0" applyNumberFormat="0" applyBorder="0" applyAlignment="0" applyProtection="0"/>
    <xf numFmtId="0" fontId="8" fillId="2" borderId="0" applyNumberFormat="0" applyBorder="0" applyAlignment="0" applyProtection="0"/>
    <xf numFmtId="0" fontId="10" fillId="13" borderId="1" applyNumberFormat="0" applyAlignment="0" applyProtection="0"/>
    <xf numFmtId="0" fontId="18" fillId="0" borderId="0"/>
    <xf numFmtId="0" fontId="18" fillId="0" borderId="0"/>
    <xf numFmtId="0" fontId="18" fillId="0" borderId="0"/>
    <xf numFmtId="164" fontId="18" fillId="0" borderId="0" applyFont="0" applyFill="0" applyBorder="0" applyAlignment="0" applyProtection="0"/>
    <xf numFmtId="164" fontId="18" fillId="0" borderId="0" applyFont="0" applyFill="0" applyBorder="0" applyAlignment="0" applyProtection="0"/>
    <xf numFmtId="165" fontId="2" fillId="0" borderId="0" applyFont="0" applyFill="0" applyBorder="0" applyAlignment="0" applyProtection="0"/>
    <xf numFmtId="165" fontId="18" fillId="0" borderId="0" applyFont="0" applyFill="0" applyBorder="0" applyAlignment="0" applyProtection="0"/>
    <xf numFmtId="0" fontId="18" fillId="22" borderId="3" applyNumberFormat="0" applyFont="0" applyAlignment="0" applyProtection="0"/>
    <xf numFmtId="165" fontId="18" fillId="0" borderId="0" applyFont="0" applyFill="0" applyBorder="0" applyAlignment="0" applyProtection="0"/>
    <xf numFmtId="0" fontId="11" fillId="23" borderId="4" applyNumberFormat="0" applyFont="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12" fillId="8" borderId="0" applyNumberFormat="0" applyBorder="0" applyAlignment="0" applyProtection="0"/>
    <xf numFmtId="0" fontId="5" fillId="3" borderId="1" applyNumberFormat="0" applyAlignment="0" applyProtection="0"/>
    <xf numFmtId="0" fontId="13" fillId="13" borderId="5" applyNumberFormat="0" applyAlignment="0" applyProtection="0"/>
    <xf numFmtId="0" fontId="18" fillId="24" borderId="0" applyNumberFormat="0" applyBorder="0" applyAlignment="0">
      <protection locked="0"/>
    </xf>
    <xf numFmtId="12" fontId="14" fillId="13" borderId="6" applyNumberFormat="0" applyFont="0" applyBorder="0" applyAlignment="0">
      <alignment horizontal="center"/>
      <protection locked="0"/>
    </xf>
    <xf numFmtId="0" fontId="15" fillId="0" borderId="0" applyNumberFormat="0">
      <alignment horizontal="right"/>
    </xf>
    <xf numFmtId="0" fontId="16" fillId="25" borderId="0" applyNumberFormat="0" applyBorder="0" applyAlignment="0" applyProtection="0"/>
    <xf numFmtId="0" fontId="4" fillId="0" borderId="0"/>
    <xf numFmtId="0" fontId="4" fillId="0" borderId="0"/>
    <xf numFmtId="0" fontId="4" fillId="0" borderId="0"/>
    <xf numFmtId="0" fontId="4" fillId="0" borderId="0"/>
    <xf numFmtId="0" fontId="18" fillId="0" borderId="0"/>
    <xf numFmtId="0" fontId="18" fillId="0" borderId="0"/>
    <xf numFmtId="0" fontId="18" fillId="0" borderId="0"/>
    <xf numFmtId="0" fontId="2" fillId="0" borderId="0"/>
    <xf numFmtId="9" fontId="18" fillId="0" borderId="0" applyFont="0" applyFill="0" applyBorder="0" applyAlignment="0" applyProtection="0"/>
    <xf numFmtId="170" fontId="11" fillId="0" borderId="7" applyNumberFormat="0" applyFont="0" applyFill="0" applyAlignment="0" applyProtection="0">
      <alignment horizontal="right"/>
    </xf>
    <xf numFmtId="0" fontId="17" fillId="0" borderId="0"/>
    <xf numFmtId="169" fontId="3" fillId="0" borderId="0" applyFill="0" applyBorder="0" applyAlignment="0" applyProtection="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0" fontId="3" fillId="22" borderId="3" applyNumberFormat="0" applyFon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24" borderId="0" applyNumberFormat="0" applyBorder="0" applyAlignment="0">
      <protection locked="0"/>
    </xf>
    <xf numFmtId="0" fontId="3" fillId="0" borderId="0"/>
    <xf numFmtId="0" fontId="3" fillId="0" borderId="0"/>
    <xf numFmtId="0" fontId="3" fillId="0" borderId="0"/>
    <xf numFmtId="9" fontId="3" fillId="0" borderId="0" applyFont="0" applyFill="0" applyBorder="0" applyAlignment="0" applyProtection="0"/>
  </cellStyleXfs>
  <cellXfs count="34">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1" fontId="0" fillId="0" borderId="0" xfId="0" applyNumberFormat="1"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17"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pivotButton="1"/>
    <xf numFmtId="0" fontId="0" fillId="0" borderId="0" xfId="0" applyAlignment="1">
      <alignment horizontal="left"/>
    </xf>
    <xf numFmtId="22" fontId="0" fillId="0" borderId="0" xfId="0" applyNumberFormat="1" applyAlignment="1">
      <alignment horizontal="center" vertical="center"/>
    </xf>
    <xf numFmtId="0" fontId="0" fillId="0" borderId="0" xfId="0" applyAlignment="1">
      <alignment horizontal="center" vertical="center" wrapText="1"/>
    </xf>
    <xf numFmtId="166" fontId="0" fillId="0" borderId="0" xfId="0" applyNumberFormat="1" applyAlignment="1">
      <alignment horizontal="center" vertical="center" wrapText="1"/>
    </xf>
    <xf numFmtId="3" fontId="0" fillId="0" borderId="0" xfId="0" applyNumberFormat="1" applyAlignment="1">
      <alignment horizontal="center" vertical="center" wrapText="1"/>
    </xf>
    <xf numFmtId="167" fontId="0" fillId="0" borderId="0" xfId="0" applyNumberFormat="1" applyAlignment="1">
      <alignment horizontal="center" vertical="center" wrapText="1"/>
    </xf>
    <xf numFmtId="0" fontId="19" fillId="26" borderId="0" xfId="0" applyFont="1" applyFill="1" applyAlignment="1">
      <alignment horizontal="center" vertical="center"/>
    </xf>
    <xf numFmtId="2" fontId="0" fillId="0" borderId="0" xfId="0" applyNumberFormat="1" applyAlignment="1">
      <alignment horizontal="center" vertical="center"/>
    </xf>
    <xf numFmtId="0" fontId="0" fillId="0" borderId="0" xfId="0" pivotButton="1" applyAlignment="1">
      <alignment horizontal="center" vertical="center" wrapText="1"/>
    </xf>
    <xf numFmtId="2" fontId="0" fillId="0" borderId="0" xfId="0" applyNumberFormat="1" applyAlignment="1">
      <alignment horizontal="center" vertical="center" wrapText="1"/>
    </xf>
    <xf numFmtId="168" fontId="0" fillId="0" borderId="0" xfId="0" applyNumberFormat="1" applyAlignment="1">
      <alignment horizontal="center" vertical="center" wrapText="1"/>
    </xf>
    <xf numFmtId="0" fontId="0" fillId="0" borderId="0" xfId="0" pivotButton="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pivotButton="1" applyAlignment="1">
      <alignment horizontal="center" vertical="center"/>
    </xf>
    <xf numFmtId="10" fontId="0" fillId="0" borderId="0" xfId="0" applyNumberFormat="1"/>
    <xf numFmtId="10" fontId="0" fillId="0" borderId="0" xfId="0" applyNumberFormat="1" applyAlignment="1">
      <alignment vertical="center"/>
    </xf>
    <xf numFmtId="10" fontId="0" fillId="0" borderId="0" xfId="0" applyNumberFormat="1" applyAlignment="1">
      <alignment horizontal="center" vertical="center"/>
    </xf>
    <xf numFmtId="168" fontId="19" fillId="26" borderId="0" xfId="0" applyNumberFormat="1" applyFont="1" applyFill="1" applyAlignment="1">
      <alignment horizontal="center" vertical="center"/>
    </xf>
    <xf numFmtId="2" fontId="0" fillId="0" borderId="0" xfId="0" applyNumberFormat="1"/>
    <xf numFmtId="4" fontId="0" fillId="0" borderId="0" xfId="0" applyNumberFormat="1"/>
    <xf numFmtId="10" fontId="0" fillId="0" borderId="0" xfId="0" applyNumberFormat="1" applyAlignment="1">
      <alignment horizontal="center" vertical="center" wrapText="1"/>
    </xf>
    <xf numFmtId="166" fontId="0" fillId="0" borderId="0" xfId="0" applyNumberFormat="1" applyAlignment="1">
      <alignment horizontal="left" vertical="center"/>
    </xf>
    <xf numFmtId="168" fontId="0" fillId="0" borderId="0" xfId="0" applyNumberFormat="1" applyAlignment="1">
      <alignment horizontal="left" vertical="center"/>
    </xf>
    <xf numFmtId="166" fontId="0" fillId="0" borderId="0" xfId="0" applyNumberFormat="1" applyAlignment="1">
      <alignment horizontal="left" vertical="center" wrapText="1"/>
    </xf>
  </cellXfs>
  <cellStyles count="83">
    <cellStyle name="20% - Accent1 2" xfId="16" xr:uid="{901743C3-0AFE-4004-A2EB-8D2BBC8DB72A}"/>
    <cellStyle name="20% - Accent2 2" xfId="17" xr:uid="{7DC948B1-57D9-45DC-AB89-22448132A1BD}"/>
    <cellStyle name="20% - Accent3 2" xfId="3" xr:uid="{AF3E7143-1B38-4769-9093-A66B58EFD3B3}"/>
    <cellStyle name="20% - Accent4 2" xfId="7" xr:uid="{B2B7F2AB-257B-457A-8D4F-2F18A8B92C57}"/>
    <cellStyle name="20% - Accent5 2" xfId="18" xr:uid="{FC84DB0F-42C9-4E6C-A0C7-A7A320275C70}"/>
    <cellStyle name="20% - Accent6 2" xfId="14" xr:uid="{DCECBA1D-5BB2-428B-A98D-1D87FA71B5C5}"/>
    <cellStyle name="40% - Accent1 2" xfId="20" xr:uid="{7CC1AE60-A74A-4ADD-9416-50D8DB3731FF}"/>
    <cellStyle name="40% - Accent2 2" xfId="5" xr:uid="{BE6AFF0F-DE86-41D4-BE82-081E1833180D}"/>
    <cellStyle name="40% - Accent3 2" xfId="15" xr:uid="{418D8933-6B47-4618-9D8D-AAE2383E5BED}"/>
    <cellStyle name="40% - Accent4 2" xfId="22" xr:uid="{4C0C2034-C75C-4F8C-AB67-206CC4D7EC3B}"/>
    <cellStyle name="40% - Accent5 2" xfId="12" xr:uid="{A1B53382-4FFD-4F8C-A921-1BEE860FC51B}"/>
    <cellStyle name="40% - Accent6 2" xfId="23" xr:uid="{A75D62F7-6536-46DB-BE31-0D7827A9A0D4}"/>
    <cellStyle name="60% - Accent1 2" xfId="19" xr:uid="{AB000405-D60F-4E47-9887-A8972FA41313}"/>
    <cellStyle name="60% - Accent2 2" xfId="13" xr:uid="{6C6EC55A-6FBE-44FE-BAD2-A6C8D0F16EFF}"/>
    <cellStyle name="60% - Accent3 2" xfId="4" xr:uid="{FBB7A921-2347-4F68-8158-41B31ABA4446}"/>
    <cellStyle name="60% - Accent4 2" xfId="24" xr:uid="{4CBF9703-9784-4D2E-89CA-DA67B1C7BE16}"/>
    <cellStyle name="60% - Accent5 2" xfId="25" xr:uid="{A2457198-1971-4D27-943F-365B5D8F8314}"/>
    <cellStyle name="60% - Accent6 2" xfId="26" xr:uid="{25AEF474-5A5D-46F3-B001-19D0FD382F82}"/>
    <cellStyle name="Accent1 2" xfId="27" xr:uid="{48B5CB7D-D02B-485E-BEAC-AF8DEA6BDB57}"/>
    <cellStyle name="Accent2 2" xfId="28" xr:uid="{98D2E220-1D3E-4E5D-8C04-31AA6D933F1C}"/>
    <cellStyle name="Accent3 2" xfId="29" xr:uid="{23CEAC76-180A-4A5D-BB95-A114788A6B6D}"/>
    <cellStyle name="Accent4 2" xfId="9" xr:uid="{AEC9C282-1E67-4AC7-9506-0336023D7336}"/>
    <cellStyle name="Accent5 2" xfId="31" xr:uid="{5BFC8890-82D8-42EA-B7F6-3848BD1B8918}"/>
    <cellStyle name="Accent6 2" xfId="32" xr:uid="{0C7616CD-BD02-4ACB-BABB-598AEA16354E}"/>
    <cellStyle name="Bad 2" xfId="33" xr:uid="{106D255A-3D54-484C-885E-B11E472E76F8}"/>
    <cellStyle name="Calculation 2" xfId="34" xr:uid="{597077C5-8436-4026-A0B1-42D324712716}"/>
    <cellStyle name="Check Cell 2" xfId="11" xr:uid="{DDE8C226-185A-4B29-A4B6-B9DCCD61D625}"/>
    <cellStyle name="Comma  - Style1" xfId="35" xr:uid="{8AF0AC09-BA20-49DA-990F-38E226CC55EA}"/>
    <cellStyle name="Comma  - Style1 2" xfId="67" xr:uid="{FB23CE26-3718-4322-A9AB-B1282FE059EB}"/>
    <cellStyle name="Comma  - Style2" xfId="30" xr:uid="{30FC2CD9-3395-4441-9906-2051A310AE23}"/>
    <cellStyle name="Comma  - Style2 2" xfId="66" xr:uid="{90285AE8-965B-4192-8E45-CFEA287E3801}"/>
    <cellStyle name="Comma  - Style3" xfId="36" xr:uid="{774A43D7-C886-4F7B-B953-A2888FEFD933}"/>
    <cellStyle name="Comma  - Style3 2" xfId="68" xr:uid="{758CCA98-4E27-4030-A656-0A13C85BEACA}"/>
    <cellStyle name="Comma  - Style4" xfId="37" xr:uid="{38F4B0FF-BACC-4084-B756-BD7BDC66324E}"/>
    <cellStyle name="Comma  - Style4 2" xfId="69" xr:uid="{76C0D83B-990B-403D-989E-EBBC432BD5A6}"/>
    <cellStyle name="Comma [0] 2" xfId="38" xr:uid="{376D41A1-F504-4119-9592-97508AD3868C}"/>
    <cellStyle name="Comma [0] 2 2" xfId="70" xr:uid="{E5546F62-725A-4680-8029-A700E409C8A9}"/>
    <cellStyle name="Comma [0] 3" xfId="39" xr:uid="{6D8BE42F-792C-4F09-B628-B07357E7562B}"/>
    <cellStyle name="Comma [0] 3 2" xfId="71" xr:uid="{57AC7881-5B3C-4C01-9858-CA985A8D1DFB}"/>
    <cellStyle name="Comma [0] 4" xfId="2" xr:uid="{E974ADF2-507F-482C-BDB3-CD87609FA515}"/>
    <cellStyle name="Comma [0] 4 2" xfId="65" xr:uid="{42D5A38D-7F23-4517-8992-C737030261B6}"/>
    <cellStyle name="Comma 12" xfId="40" xr:uid="{6A09BDD9-9A2B-409F-AFED-83AFA12410F5}"/>
    <cellStyle name="Comma 12 2" xfId="72" xr:uid="{D6CAF9F6-B965-45FF-A3CF-A83CF53421F0}"/>
    <cellStyle name="Comma 2" xfId="41" xr:uid="{2CF84DAE-4879-4FC4-BBBD-DB90C1108300}"/>
    <cellStyle name="Comma 2 2" xfId="73" xr:uid="{75E95521-1642-47BC-A618-4C1F2AF259EE}"/>
    <cellStyle name="Comma 3" xfId="43" xr:uid="{F281F5AC-76B1-4143-8180-918C8F206BB9}"/>
    <cellStyle name="Comma 3 2" xfId="75" xr:uid="{8DD5F466-356E-4D7C-8D36-7EFEB1D27715}"/>
    <cellStyle name="Comma 4" xfId="45" xr:uid="{14015294-E4B7-4EE4-B1F0-7B81863593D5}"/>
    <cellStyle name="Comma 4 2" xfId="76" xr:uid="{427DBC2A-38C6-403F-86C3-92FFF23932C8}"/>
    <cellStyle name="Comma 5" xfId="46" xr:uid="{65FCA44A-928E-4915-B2BE-C2603633E6D8}"/>
    <cellStyle name="Comma 5 2" xfId="77" xr:uid="{5B5381A5-3FF7-4870-9278-A27DD2C523F3}"/>
    <cellStyle name="Good 2" xfId="47" xr:uid="{16CDCF46-DC2F-4EB4-BEAD-A26BED11CE1B}"/>
    <cellStyle name="Input 2" xfId="48" xr:uid="{2D93CDED-88FF-4DC5-BA44-428D0A48B4DC}"/>
    <cellStyle name="Input cells" xfId="50" xr:uid="{BBDA341F-08EA-42E7-8272-386D57E3948B}"/>
    <cellStyle name="Input cells 2" xfId="51" xr:uid="{73636766-7591-47BA-A97D-AA48FDCB98C0}"/>
    <cellStyle name="Input cells 3" xfId="78" xr:uid="{377C5E5F-18BD-497B-B33A-3EFB81589346}"/>
    <cellStyle name="MS_Arabic" xfId="52" xr:uid="{349F7EFF-DB75-459E-B12C-E38611695751}"/>
    <cellStyle name="Neutral 2" xfId="53" xr:uid="{A3DF00F2-25E7-490A-92DD-57BC65177F1E}"/>
    <cellStyle name="Normal" xfId="0" builtinId="0"/>
    <cellStyle name="Normal - Style1" xfId="6" xr:uid="{0DF2964B-4FBD-402E-A932-E9262DF85F82}"/>
    <cellStyle name="Normal - Style2" xfId="8" xr:uid="{FBAD541C-7E35-4F68-BEA0-B1BDABF9EE38}"/>
    <cellStyle name="Normal - Style3" xfId="10" xr:uid="{DC7A1A6A-D98D-4449-AC7B-A4541E62DED3}"/>
    <cellStyle name="Normal - Style4" xfId="54" xr:uid="{527FC1DC-0FB5-4A00-A720-0C48822609ED}"/>
    <cellStyle name="Normal - Style5" xfId="55" xr:uid="{C26E7317-F9CB-49DF-B8FB-A41DC3AC7D07}"/>
    <cellStyle name="Normal - Style6" xfId="56" xr:uid="{3A6EDD0A-E495-42BB-977E-A355FCDF1BF2}"/>
    <cellStyle name="Normal - Style7" xfId="57" xr:uid="{3BFBA331-0CCB-48D6-A35E-861E55DE89A5}"/>
    <cellStyle name="Normal - Style8" xfId="21" xr:uid="{337FC3C4-44A1-49F8-BAFA-A3BBB734FC57}"/>
    <cellStyle name="Normal 10 2 3" xfId="58" xr:uid="{048E5CA3-9E2F-4DB9-B0F7-52A0412C9EE6}"/>
    <cellStyle name="Normal 10 2 3 2" xfId="79" xr:uid="{6008B23E-F0AA-45C1-BBC0-EA4383D73B40}"/>
    <cellStyle name="Normal 2" xfId="59" xr:uid="{DBB790CB-7764-422D-925F-0C620D1FD388}"/>
    <cellStyle name="Normal 2 10" xfId="60" xr:uid="{A5E4E95D-57F1-4513-835F-88BE3F1B65F0}"/>
    <cellStyle name="Normal 2 10 2" xfId="81" xr:uid="{968DAE40-81C2-448C-BF12-C97B2D009218}"/>
    <cellStyle name="Normal 2 2" xfId="80" xr:uid="{9A3844CC-07F7-4EBA-A234-2B2F5275E155}"/>
    <cellStyle name="Normal 3" xfId="61" xr:uid="{94A599B4-B733-471F-9A6A-6B919D2964C6}"/>
    <cellStyle name="Normal 4" xfId="1" xr:uid="{74DBD0B4-A452-4992-A6F3-85558F935CEF}"/>
    <cellStyle name="Note 2" xfId="42" xr:uid="{B56544F2-2F64-4FCC-858A-1987330A2E0D}"/>
    <cellStyle name="Note 2 2" xfId="74" xr:uid="{1A7E8C41-D968-4FB4-8038-5CFEBCDBA59F}"/>
    <cellStyle name="Output 2" xfId="49" xr:uid="{9E71B184-685C-4589-988D-CC2050199F09}"/>
    <cellStyle name="Percent 2" xfId="62" xr:uid="{0F3D078C-E741-4727-A3CE-CB0308FCE8B9}"/>
    <cellStyle name="Percent 2 2" xfId="82" xr:uid="{682B22C3-6FB5-4A79-BE7B-6893B6F6349A}"/>
    <cellStyle name="Profile" xfId="44" xr:uid="{CCA71414-05F0-4081-9CFC-B11454239210}"/>
    <cellStyle name="TableBorder" xfId="63" xr:uid="{D755059B-C16B-46D3-9EC2-32846F3555BD}"/>
    <cellStyle name="標準_DDR_26jun00" xfId="64" xr:uid="{718E0F7A-E996-4835-9EE8-77F821C090C8}"/>
  </cellStyles>
  <dxfs count="213">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numFmt numFmtId="2" formatCode="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numFmt numFmtId="14" formatCode="0.00%"/>
    </dxf>
    <dxf>
      <numFmt numFmtId="1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cap="rnd">
            <a:solidFill>
              <a:srgbClr val="00B050">
                <a:alpha val="5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rgbClr val="00B050">
                <a:alpha val="50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pivotFmt>
      <c:pivotFmt>
        <c:idx val="44"/>
      </c:pivotFmt>
      <c:pivotFmt>
        <c:idx val="45"/>
      </c:pivotFmt>
    </c:pivotFmts>
    <c:plotArea>
      <c:layout/>
      <c:barChart>
        <c:barDir val="col"/>
        <c:grouping val="clustered"/>
        <c:varyColors val="0"/>
        <c:ser>
          <c:idx val="0"/>
          <c:order val="0"/>
          <c:tx>
            <c:strRef>
              <c:f>Graph!$B$6</c:f>
              <c:strCache>
                <c:ptCount val="1"/>
                <c:pt idx="0">
                  <c:v>Plan Operation (days)</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Graph!$A$7</c:f>
              <c:strCache>
                <c:ptCount val="1"/>
                <c:pt idx="0">
                  <c:v>Grand Total</c:v>
                </c:pt>
              </c:strCache>
            </c:strRef>
          </c:cat>
          <c:val>
            <c:numRef>
              <c:f>Graph!$B$7</c:f>
              <c:numCache>
                <c:formatCode>0.00</c:formatCode>
                <c:ptCount val="1"/>
              </c:numCache>
            </c:numRef>
          </c:val>
          <c:extLst>
            <c:ext xmlns:c16="http://schemas.microsoft.com/office/drawing/2014/chart" uri="{C3380CC4-5D6E-409C-BE32-E72D297353CC}">
              <c16:uniqueId val="{00000001-C054-4BFA-9D4B-E40B469A6B6E}"/>
            </c:ext>
          </c:extLst>
        </c:ser>
        <c:ser>
          <c:idx val="1"/>
          <c:order val="1"/>
          <c:tx>
            <c:strRef>
              <c:f>Graph!$C$6</c:f>
              <c:strCache>
                <c:ptCount val="1"/>
                <c:pt idx="0">
                  <c:v>Actual Operation (days)</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Graph!$A$7</c:f>
              <c:strCache>
                <c:ptCount val="1"/>
                <c:pt idx="0">
                  <c:v>Grand Total</c:v>
                </c:pt>
              </c:strCache>
            </c:strRef>
          </c:cat>
          <c:val>
            <c:numRef>
              <c:f>Graph!$C$7</c:f>
              <c:numCache>
                <c:formatCode>0.00</c:formatCode>
                <c:ptCount val="1"/>
              </c:numCache>
            </c:numRef>
          </c:val>
          <c:extLst>
            <c:ext xmlns:c16="http://schemas.microsoft.com/office/drawing/2014/chart" uri="{C3380CC4-5D6E-409C-BE32-E72D297353CC}">
              <c16:uniqueId val="{00000002-C054-4BFA-9D4B-E40B469A6B6E}"/>
            </c:ext>
          </c:extLst>
        </c:ser>
        <c:dLbls>
          <c:showLegendKey val="0"/>
          <c:showVal val="1"/>
          <c:showCatName val="0"/>
          <c:showSerName val="0"/>
          <c:showPercent val="0"/>
          <c:showBubbleSize val="0"/>
        </c:dLbls>
        <c:gapWidth val="269"/>
        <c:axId val="2012974623"/>
        <c:axId val="2012975455"/>
      </c:barChart>
      <c:lineChart>
        <c:grouping val="standard"/>
        <c:varyColors val="0"/>
        <c:ser>
          <c:idx val="2"/>
          <c:order val="2"/>
          <c:tx>
            <c:strRef>
              <c:f>Graph!$D$6</c:f>
              <c:strCache>
                <c:ptCount val="1"/>
                <c:pt idx="0">
                  <c:v>AFE Plan Budget</c:v>
                </c:pt>
              </c:strCache>
            </c:strRef>
          </c:tx>
          <c:spPr>
            <a:ln w="38100" cap="rnd">
              <a:solidFill>
                <a:schemeClr val="accent3"/>
              </a:solidFill>
              <a:round/>
            </a:ln>
            <a:effectLst/>
          </c:spPr>
          <c:marker>
            <c:symbol val="none"/>
          </c:marker>
          <c:dLbls>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Graph!$A$7</c:f>
              <c:strCache>
                <c:ptCount val="1"/>
                <c:pt idx="0">
                  <c:v>Grand Total</c:v>
                </c:pt>
              </c:strCache>
            </c:strRef>
          </c:cat>
          <c:val>
            <c:numRef>
              <c:f>Graph!$D$7</c:f>
              <c:numCache>
                <c:formatCode>0.00</c:formatCode>
                <c:ptCount val="1"/>
              </c:numCache>
            </c:numRef>
          </c:val>
          <c:smooth val="0"/>
          <c:extLst>
            <c:ext xmlns:c16="http://schemas.microsoft.com/office/drawing/2014/chart" uri="{C3380CC4-5D6E-409C-BE32-E72D297353CC}">
              <c16:uniqueId val="{00000003-C054-4BFA-9D4B-E40B469A6B6E}"/>
            </c:ext>
          </c:extLst>
        </c:ser>
        <c:ser>
          <c:idx val="3"/>
          <c:order val="3"/>
          <c:tx>
            <c:strRef>
              <c:f>Graph!$E$6</c:f>
              <c:strCache>
                <c:ptCount val="1"/>
                <c:pt idx="0">
                  <c:v>Total Actual Cost</c:v>
                </c:pt>
              </c:strCache>
            </c:strRef>
          </c:tx>
          <c:spPr>
            <a:ln w="38100" cap="rnd">
              <a:solidFill>
                <a:schemeClr val="accent4"/>
              </a:solidFill>
              <a:round/>
            </a:ln>
            <a:effectLst/>
          </c:spPr>
          <c:marker>
            <c:symbol val="none"/>
          </c:marker>
          <c:dLbls>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Graph!$A$7</c:f>
              <c:strCache>
                <c:ptCount val="1"/>
                <c:pt idx="0">
                  <c:v>Grand Total</c:v>
                </c:pt>
              </c:strCache>
            </c:strRef>
          </c:cat>
          <c:val>
            <c:numRef>
              <c:f>Graph!$E$7</c:f>
              <c:numCache>
                <c:formatCode>0.00</c:formatCode>
                <c:ptCount val="1"/>
              </c:numCache>
            </c:numRef>
          </c:val>
          <c:smooth val="0"/>
          <c:extLst>
            <c:ext xmlns:c16="http://schemas.microsoft.com/office/drawing/2014/chart" uri="{C3380CC4-5D6E-409C-BE32-E72D297353CC}">
              <c16:uniqueId val="{00000004-C054-4BFA-9D4B-E40B469A6B6E}"/>
            </c:ext>
          </c:extLst>
        </c:ser>
        <c:dLbls>
          <c:showLegendKey val="0"/>
          <c:showVal val="1"/>
          <c:showCatName val="0"/>
          <c:showSerName val="0"/>
          <c:showPercent val="0"/>
          <c:showBubbleSize val="0"/>
        </c:dLbls>
        <c:marker val="1"/>
        <c:smooth val="0"/>
        <c:axId val="1850961935"/>
        <c:axId val="1850951119"/>
      </c:lineChart>
      <c:catAx>
        <c:axId val="201297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5455"/>
        <c:crosses val="autoZero"/>
        <c:auto val="1"/>
        <c:lblAlgn val="ctr"/>
        <c:lblOffset val="100"/>
        <c:noMultiLvlLbl val="0"/>
      </c:catAx>
      <c:valAx>
        <c:axId val="201297545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a:t>
                </a:r>
                <a:r>
                  <a:rPr lang="en-US" baseline="0"/>
                  <a:t> days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4623"/>
        <c:crosses val="autoZero"/>
        <c:crossBetween val="between"/>
      </c:valAx>
      <c:valAx>
        <c:axId val="1850951119"/>
        <c:scaling>
          <c:orientation val="minMax"/>
        </c:scaling>
        <c:delete val="0"/>
        <c:axPos val="r"/>
        <c:numFmt formatCode="[$$-409]#,##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50961935"/>
        <c:crosses val="max"/>
        <c:crossBetween val="between"/>
        <c:dispUnits>
          <c:builtInUnit val="millions"/>
          <c:dispUnitsLbl>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dispUnitsLbl>
        </c:dispUnits>
      </c:valAx>
      <c:catAx>
        <c:axId val="1850961935"/>
        <c:scaling>
          <c:orientation val="minMax"/>
        </c:scaling>
        <c:delete val="1"/>
        <c:axPos val="b"/>
        <c:numFmt formatCode="General" sourceLinked="1"/>
        <c:majorTickMark val="out"/>
        <c:minorTickMark val="none"/>
        <c:tickLblPos val="nextTo"/>
        <c:crossAx val="18509511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Center Gravity!PivotTable1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cap="rnd">
            <a:solidFill>
              <a:srgbClr val="00B050">
                <a:alpha val="5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rgbClr val="00B050">
                <a:alpha val="50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1"/>
          </a:solidFill>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1"/>
          </a:solidFill>
          <a:ln w="38100" cap="rnd">
            <a:solidFill>
              <a:schemeClr val="accent4"/>
            </a:solidFill>
            <a:round/>
          </a:ln>
          <a:effectLst/>
        </c:spPr>
        <c:marker>
          <c:symbol val="none"/>
        </c:marker>
      </c:pivotFmt>
      <c:pivotFmt>
        <c:idx val="44"/>
        <c:spPr>
          <a:solidFill>
            <a:schemeClr val="accent1"/>
          </a:solidFill>
          <a:ln w="38100" cap="rnd">
            <a:solidFill>
              <a:schemeClr val="accent4"/>
            </a:solidFill>
            <a:round/>
          </a:ln>
          <a:effectLst/>
        </c:spPr>
        <c:marker>
          <c:symbol val="none"/>
        </c:marker>
      </c:pivotFmt>
      <c:pivotFmt>
        <c:idx val="45"/>
        <c:spPr>
          <a:solidFill>
            <a:schemeClr val="accent1"/>
          </a:solidFill>
          <a:ln w="38100" cap="rnd">
            <a:solidFill>
              <a:schemeClr val="accent4"/>
            </a:solidFill>
            <a:round/>
          </a:ln>
          <a:effectLst/>
        </c:spPr>
        <c:marker>
          <c:symbol val="none"/>
        </c:marker>
      </c:pivotFmt>
      <c:pivotFmt>
        <c:idx val="4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9"/>
        <c:spPr>
          <a:solidFill>
            <a:schemeClr val="accent1"/>
          </a:solidFill>
          <a:ln>
            <a:noFill/>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 Center Gravity'!$B$5</c:f>
              <c:strCache>
                <c:ptCount val="1"/>
                <c:pt idx="0">
                  <c:v>Sum of Delta Dur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Center Gravity'!$A$6</c:f>
              <c:strCache>
                <c:ptCount val="1"/>
                <c:pt idx="0">
                  <c:v>Grand Total</c:v>
                </c:pt>
              </c:strCache>
            </c:strRef>
          </c:cat>
          <c:val>
            <c:numRef>
              <c:f>'Graph Center Gravity'!$B$6</c:f>
              <c:numCache>
                <c:formatCode>0.00</c:formatCode>
                <c:ptCount val="1"/>
                <c:pt idx="0">
                  <c:v>0</c:v>
                </c:pt>
              </c:numCache>
            </c:numRef>
          </c:val>
          <c:extLst>
            <c:ext xmlns:c16="http://schemas.microsoft.com/office/drawing/2014/chart" uri="{C3380CC4-5D6E-409C-BE32-E72D297353CC}">
              <c16:uniqueId val="{00000007-F8DC-4930-9DB9-20DCA6FE0C08}"/>
            </c:ext>
          </c:extLst>
        </c:ser>
        <c:ser>
          <c:idx val="1"/>
          <c:order val="1"/>
          <c:tx>
            <c:strRef>
              <c:f>'Graph Center Gravity'!$C$5</c:f>
              <c:strCache>
                <c:ptCount val="1"/>
                <c:pt idx="0">
                  <c:v>Sum of Delta Cos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Center Gravity'!$A$6</c:f>
              <c:strCache>
                <c:ptCount val="1"/>
                <c:pt idx="0">
                  <c:v>Grand Total</c:v>
                </c:pt>
              </c:strCache>
            </c:strRef>
          </c:cat>
          <c:val>
            <c:numRef>
              <c:f>'Graph Center Gravity'!$C$6</c:f>
              <c:numCache>
                <c:formatCode>0.00</c:formatCode>
                <c:ptCount val="1"/>
                <c:pt idx="0">
                  <c:v>0</c:v>
                </c:pt>
              </c:numCache>
            </c:numRef>
          </c:val>
          <c:extLst>
            <c:ext xmlns:c16="http://schemas.microsoft.com/office/drawing/2014/chart" uri="{C3380CC4-5D6E-409C-BE32-E72D297353CC}">
              <c16:uniqueId val="{00000008-F8DC-4930-9DB9-20DCA6FE0C08}"/>
            </c:ext>
          </c:extLst>
        </c:ser>
        <c:dLbls>
          <c:showLegendKey val="0"/>
          <c:showVal val="1"/>
          <c:showCatName val="0"/>
          <c:showSerName val="0"/>
          <c:showPercent val="0"/>
          <c:showBubbleSize val="0"/>
        </c:dLbls>
        <c:gapWidth val="269"/>
        <c:axId val="2012974623"/>
        <c:axId val="2012975455"/>
      </c:barChart>
      <c:catAx>
        <c:axId val="201297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5455"/>
        <c:crosses val="autoZero"/>
        <c:auto val="1"/>
        <c:lblAlgn val="ctr"/>
        <c:lblOffset val="100"/>
        <c:noMultiLvlLbl val="0"/>
      </c:catAx>
      <c:valAx>
        <c:axId val="201297545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a:t>
                </a:r>
                <a:r>
                  <a:rPr lang="en-US" baseline="0"/>
                  <a:t> days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'Graph Center Gravity'!$F$6</c:f>
              <c:strCache>
                <c:ptCount val="1"/>
                <c:pt idx="0">
                  <c:v>SGET-001</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Gravity'!$H$6</c:f>
              <c:numCache>
                <c:formatCode>General</c:formatCode>
                <c:ptCount val="1"/>
                <c:pt idx="0">
                  <c:v>3012413.8673505653</c:v>
                </c:pt>
              </c:numCache>
            </c:numRef>
          </c:xVal>
          <c:yVal>
            <c:numRef>
              <c:f>'Graph Center Gravity'!$G$6</c:f>
              <c:numCache>
                <c:formatCode>General</c:formatCode>
                <c:ptCount val="1"/>
                <c:pt idx="0">
                  <c:v>25.933333333335753</c:v>
                </c:pt>
              </c:numCache>
            </c:numRef>
          </c:yVal>
          <c:smooth val="0"/>
          <c:extLst>
            <c:ext xmlns:c16="http://schemas.microsoft.com/office/drawing/2014/chart" uri="{C3380CC4-5D6E-409C-BE32-E72D297353CC}">
              <c16:uniqueId val="{00000000-9316-4193-93FF-1D5FDEE31123}"/>
            </c:ext>
          </c:extLst>
        </c:ser>
        <c:ser>
          <c:idx val="1"/>
          <c:order val="1"/>
          <c:tx>
            <c:strRef>
              <c:f>'Graph Center Gravity'!$F$7</c:f>
              <c:strCache>
                <c:ptCount val="1"/>
                <c:pt idx="0">
                  <c:v>CMA-001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Gravity'!$H$7</c:f>
              <c:numCache>
                <c:formatCode>General</c:formatCode>
                <c:ptCount val="1"/>
                <c:pt idx="0">
                  <c:v>-27266011.204052478</c:v>
                </c:pt>
              </c:numCache>
            </c:numRef>
          </c:xVal>
          <c:yVal>
            <c:numRef>
              <c:f>'Graph Center Gravity'!$G$7</c:f>
              <c:numCache>
                <c:formatCode>General</c:formatCode>
                <c:ptCount val="1"/>
                <c:pt idx="0">
                  <c:v>-244.24333333333576</c:v>
                </c:pt>
              </c:numCache>
            </c:numRef>
          </c:yVal>
          <c:smooth val="0"/>
          <c:extLst>
            <c:ext xmlns:c16="http://schemas.microsoft.com/office/drawing/2014/chart" uri="{C3380CC4-5D6E-409C-BE32-E72D297353CC}">
              <c16:uniqueId val="{00000001-9316-4193-93FF-1D5FDEE31123}"/>
            </c:ext>
          </c:extLst>
        </c:ser>
        <c:ser>
          <c:idx val="2"/>
          <c:order val="2"/>
          <c:tx>
            <c:strRef>
              <c:f>'Graph Center Gravity'!$F$8</c:f>
              <c:strCache>
                <c:ptCount val="1"/>
                <c:pt idx="0">
                  <c:v>SRT-1X</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Gravity'!$H$8</c:f>
              <c:numCache>
                <c:formatCode>General</c:formatCode>
                <c:ptCount val="1"/>
                <c:pt idx="0">
                  <c:v>-10346686.641228801</c:v>
                </c:pt>
              </c:numCache>
            </c:numRef>
          </c:xVal>
          <c:yVal>
            <c:numRef>
              <c:f>'Graph Center Gravity'!$G$8</c:f>
              <c:numCache>
                <c:formatCode>General</c:formatCode>
                <c:ptCount val="1"/>
                <c:pt idx="0">
                  <c:v>-122.25</c:v>
                </c:pt>
              </c:numCache>
            </c:numRef>
          </c:yVal>
          <c:smooth val="0"/>
          <c:extLst>
            <c:ext xmlns:c16="http://schemas.microsoft.com/office/drawing/2014/chart" uri="{C3380CC4-5D6E-409C-BE32-E72D297353CC}">
              <c16:uniqueId val="{00000002-9316-4193-93FF-1D5FDEE31123}"/>
            </c:ext>
          </c:extLst>
        </c:ser>
        <c:dLbls>
          <c:showLegendKey val="0"/>
          <c:showVal val="0"/>
          <c:showCatName val="0"/>
          <c:showSerName val="0"/>
          <c:showPercent val="0"/>
          <c:showBubbleSize val="0"/>
        </c:dLbls>
        <c:axId val="1970638096"/>
        <c:axId val="1970638512"/>
      </c:scatterChart>
      <c:valAx>
        <c:axId val="1970638096"/>
        <c:scaling>
          <c:orientation val="minMax"/>
          <c:max val="30000000"/>
          <c:min val="-30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COST,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dispUnits>
          <c:builtInUnit val="millions"/>
          <c:dispUnitsLbl>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dispUnitsLbl>
        </c:dispUnits>
      </c:valAx>
      <c:valAx>
        <c:axId val="1970638512"/>
        <c:scaling>
          <c:orientation val="minMax"/>
          <c:max val="3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TIME, Days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'Graph Center Gravity'!$F$6</c:f>
              <c:strCache>
                <c:ptCount val="1"/>
                <c:pt idx="0">
                  <c:v>SGET-001</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Gravity'!$N$6</c:f>
              <c:numCache>
                <c:formatCode>General</c:formatCode>
                <c:ptCount val="1"/>
                <c:pt idx="0">
                  <c:v>0.70448649247853057</c:v>
                </c:pt>
              </c:numCache>
            </c:numRef>
          </c:xVal>
          <c:yVal>
            <c:numRef>
              <c:f>'Graph Center Gravity'!$M$6</c:f>
              <c:numCache>
                <c:formatCode>General</c:formatCode>
                <c:ptCount val="1"/>
                <c:pt idx="0">
                  <c:v>0.70053887605847853</c:v>
                </c:pt>
              </c:numCache>
            </c:numRef>
          </c:yVal>
          <c:smooth val="0"/>
          <c:extLst>
            <c:ext xmlns:c16="http://schemas.microsoft.com/office/drawing/2014/chart" uri="{C3380CC4-5D6E-409C-BE32-E72D297353CC}">
              <c16:uniqueId val="{00000000-EABC-49BD-B3E5-C75736BDD4E2}"/>
            </c:ext>
          </c:extLst>
        </c:ser>
        <c:ser>
          <c:idx val="1"/>
          <c:order val="1"/>
          <c:tx>
            <c:strRef>
              <c:f>'Graph Center Gravity'!$F$7</c:f>
              <c:strCache>
                <c:ptCount val="1"/>
                <c:pt idx="0">
                  <c:v>CMA-001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Gravity'!$N$7</c:f>
              <c:numCache>
                <c:formatCode>General</c:formatCode>
                <c:ptCount val="1"/>
                <c:pt idx="0">
                  <c:v>2.024267773525513</c:v>
                </c:pt>
              </c:numCache>
            </c:numRef>
          </c:xVal>
          <c:yVal>
            <c:numRef>
              <c:f>'Graph Center Gravity'!$M$7</c:f>
              <c:numCache>
                <c:formatCode>General</c:formatCode>
                <c:ptCount val="1"/>
                <c:pt idx="0">
                  <c:v>2.3160371428058393</c:v>
                </c:pt>
              </c:numCache>
            </c:numRef>
          </c:yVal>
          <c:smooth val="0"/>
          <c:extLst>
            <c:ext xmlns:c16="http://schemas.microsoft.com/office/drawing/2014/chart" uri="{C3380CC4-5D6E-409C-BE32-E72D297353CC}">
              <c16:uniqueId val="{00000001-EABC-49BD-B3E5-C75736BDD4E2}"/>
            </c:ext>
          </c:extLst>
        </c:ser>
        <c:ser>
          <c:idx val="2"/>
          <c:order val="2"/>
          <c:tx>
            <c:strRef>
              <c:f>'Graph Center Gravity'!$F$8</c:f>
              <c:strCache>
                <c:ptCount val="1"/>
                <c:pt idx="0">
                  <c:v>SRT-1X</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Gravity'!$N$8</c:f>
              <c:numCache>
                <c:formatCode>General</c:formatCode>
                <c:ptCount val="1"/>
                <c:pt idx="0">
                  <c:v>1.9057457022644277</c:v>
                </c:pt>
              </c:numCache>
            </c:numRef>
          </c:xVal>
          <c:yVal>
            <c:numRef>
              <c:f>'Graph Center Gravity'!$M$8</c:f>
              <c:numCache>
                <c:formatCode>General</c:formatCode>
                <c:ptCount val="1"/>
                <c:pt idx="0">
                  <c:v>2.971774193548387</c:v>
                </c:pt>
              </c:numCache>
            </c:numRef>
          </c:yVal>
          <c:smooth val="0"/>
          <c:extLst>
            <c:ext xmlns:c16="http://schemas.microsoft.com/office/drawing/2014/chart" uri="{C3380CC4-5D6E-409C-BE32-E72D297353CC}">
              <c16:uniqueId val="{00000002-EABC-49BD-B3E5-C75736BDD4E2}"/>
            </c:ext>
          </c:extLst>
        </c:ser>
        <c:ser>
          <c:idx val="3"/>
          <c:order val="3"/>
          <c:tx>
            <c:strRef>
              <c:f>'Graph Center Gravity'!$F$9</c:f>
              <c:strCache>
                <c:ptCount val="1"/>
                <c:pt idx="0">
                  <c:v>Ideal</c:v>
                </c:pt>
              </c:strCache>
            </c:strRef>
          </c:tx>
          <c:spPr>
            <a:ln w="22225" cap="rnd">
              <a:solidFill>
                <a:schemeClr val="tx1">
                  <a:lumMod val="15000"/>
                  <a:lumOff val="85000"/>
                </a:schemeClr>
              </a:solidFill>
              <a:round/>
            </a:ln>
            <a:effectLst/>
          </c:spPr>
          <c:marker>
            <c:symbol val="none"/>
          </c:marker>
          <c:xVal>
            <c:numRef>
              <c:f>'Graph Center Gravity'!$N$9:$N$10</c:f>
              <c:numCache>
                <c:formatCode>General</c:formatCode>
                <c:ptCount val="2"/>
                <c:pt idx="0">
                  <c:v>0</c:v>
                </c:pt>
                <c:pt idx="1">
                  <c:v>100</c:v>
                </c:pt>
              </c:numCache>
            </c:numRef>
          </c:xVal>
          <c:yVal>
            <c:numRef>
              <c:f>'Graph Center Gravity'!$M$9:$M$10</c:f>
              <c:numCache>
                <c:formatCode>General</c:formatCode>
                <c:ptCount val="2"/>
                <c:pt idx="0">
                  <c:v>0</c:v>
                </c:pt>
                <c:pt idx="1">
                  <c:v>100</c:v>
                </c:pt>
              </c:numCache>
            </c:numRef>
          </c:yVal>
          <c:smooth val="0"/>
          <c:extLst>
            <c:ext xmlns:c16="http://schemas.microsoft.com/office/drawing/2014/chart" uri="{C3380CC4-5D6E-409C-BE32-E72D297353CC}">
              <c16:uniqueId val="{00000006-EABC-49BD-B3E5-C75736BDD4E2}"/>
            </c:ext>
          </c:extLst>
        </c:ser>
        <c:dLbls>
          <c:showLegendKey val="0"/>
          <c:showVal val="0"/>
          <c:showCatName val="0"/>
          <c:showSerName val="0"/>
          <c:showPercent val="0"/>
          <c:showBubbleSize val="0"/>
        </c:dLbls>
        <c:axId val="1970638096"/>
        <c:axId val="1970638512"/>
      </c:scatterChart>
      <c:valAx>
        <c:axId val="1970638096"/>
        <c:scaling>
          <c:orientation val="minMax"/>
          <c:max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 COST,</a:t>
                </a:r>
                <a:r>
                  <a:rPr lang="en-US" baseline="0"/>
                  <a:t> fraction</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valAx>
      <c:valAx>
        <c:axId val="1970638512"/>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a:t>
                </a:r>
                <a:r>
                  <a:rPr lang="en-US" baseline="0"/>
                  <a:t> time, fraction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'Graph Center Gravity'!$F$43</c:f>
              <c:strCache>
                <c:ptCount val="1"/>
                <c:pt idx="0">
                  <c:v>P-460</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Gravity'!$H$43</c:f>
              <c:numCache>
                <c:formatCode>General</c:formatCode>
                <c:ptCount val="1"/>
                <c:pt idx="0">
                  <c:v>438356.80717857159</c:v>
                </c:pt>
              </c:numCache>
            </c:numRef>
          </c:xVal>
          <c:yVal>
            <c:numRef>
              <c:f>'Graph Center Gravity'!$G$43</c:f>
              <c:numCache>
                <c:formatCode>General</c:formatCode>
                <c:ptCount val="1"/>
                <c:pt idx="0">
                  <c:v>-0.81333333333575908</c:v>
                </c:pt>
              </c:numCache>
            </c:numRef>
          </c:yVal>
          <c:smooth val="0"/>
          <c:extLst>
            <c:ext xmlns:c16="http://schemas.microsoft.com/office/drawing/2014/chart" uri="{C3380CC4-5D6E-409C-BE32-E72D297353CC}">
              <c16:uniqueId val="{00000000-978B-4396-848F-FE6F89C89702}"/>
            </c:ext>
          </c:extLst>
        </c:ser>
        <c:ser>
          <c:idx val="1"/>
          <c:order val="1"/>
          <c:tx>
            <c:strRef>
              <c:f>'Graph Center Gravity'!$F$44</c:f>
              <c:strCache>
                <c:ptCount val="1"/>
                <c:pt idx="0">
                  <c:v>P-461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Gravity'!$H$44</c:f>
              <c:numCache>
                <c:formatCode>General</c:formatCode>
                <c:ptCount val="1"/>
                <c:pt idx="0">
                  <c:v>232659.64471270842</c:v>
                </c:pt>
              </c:numCache>
            </c:numRef>
          </c:xVal>
          <c:yVal>
            <c:numRef>
              <c:f>'Graph Center Gravity'!$G$44</c:f>
              <c:numCache>
                <c:formatCode>General</c:formatCode>
                <c:ptCount val="1"/>
                <c:pt idx="0">
                  <c:v>5.8333333335760074E-2</c:v>
                </c:pt>
              </c:numCache>
            </c:numRef>
          </c:yVal>
          <c:smooth val="0"/>
          <c:extLst>
            <c:ext xmlns:c16="http://schemas.microsoft.com/office/drawing/2014/chart" uri="{C3380CC4-5D6E-409C-BE32-E72D297353CC}">
              <c16:uniqueId val="{00000001-978B-4396-848F-FE6F89C89702}"/>
            </c:ext>
          </c:extLst>
        </c:ser>
        <c:ser>
          <c:idx val="2"/>
          <c:order val="2"/>
          <c:tx>
            <c:strRef>
              <c:f>'Graph Center Gravity'!$F$45</c:f>
              <c:strCache>
                <c:ptCount val="1"/>
                <c:pt idx="0">
                  <c:v>P-462</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Gravity'!$H$45</c:f>
              <c:numCache>
                <c:formatCode>General</c:formatCode>
                <c:ptCount val="1"/>
                <c:pt idx="0">
                  <c:v>399420.72429616703</c:v>
                </c:pt>
              </c:numCache>
            </c:numRef>
          </c:xVal>
          <c:yVal>
            <c:numRef>
              <c:f>'Graph Center Gravity'!$G$45</c:f>
              <c:numCache>
                <c:formatCode>General</c:formatCode>
                <c:ptCount val="1"/>
                <c:pt idx="0">
                  <c:v>-3.7883333333357569</c:v>
                </c:pt>
              </c:numCache>
            </c:numRef>
          </c:yVal>
          <c:smooth val="0"/>
          <c:extLst>
            <c:ext xmlns:c16="http://schemas.microsoft.com/office/drawing/2014/chart" uri="{C3380CC4-5D6E-409C-BE32-E72D297353CC}">
              <c16:uniqueId val="{00000002-978B-4396-848F-FE6F89C89702}"/>
            </c:ext>
          </c:extLst>
        </c:ser>
        <c:ser>
          <c:idx val="3"/>
          <c:order val="3"/>
          <c:tx>
            <c:strRef>
              <c:f>'Graph Center Gravity'!$F$46</c:f>
              <c:strCache>
                <c:ptCount val="1"/>
                <c:pt idx="0">
                  <c:v>P-463</c:v>
                </c:pt>
              </c:strCache>
            </c:strRef>
          </c:tx>
          <c:spPr>
            <a:ln w="25400" cap="rnd">
              <a:noFill/>
              <a:round/>
            </a:ln>
            <a:effectLst/>
          </c:spPr>
          <c:marker>
            <c:symbol val="x"/>
            <c:size val="6"/>
            <c:spPr>
              <a:noFill/>
              <a:ln w="9525">
                <a:solidFill>
                  <a:schemeClr val="accent4"/>
                </a:solidFill>
                <a:round/>
              </a:ln>
              <a:effectLst/>
            </c:spPr>
          </c:marker>
          <c:xVal>
            <c:numRef>
              <c:f>'Graph Center Gravity'!$H$46</c:f>
              <c:numCache>
                <c:formatCode>General</c:formatCode>
                <c:ptCount val="1"/>
                <c:pt idx="0">
                  <c:v>-259254.14592566807</c:v>
                </c:pt>
              </c:numCache>
            </c:numRef>
          </c:xVal>
          <c:yVal>
            <c:numRef>
              <c:f>'Graph Center Gravity'!$G$46</c:f>
              <c:numCache>
                <c:formatCode>General</c:formatCode>
                <c:ptCount val="1"/>
                <c:pt idx="0">
                  <c:v>-3.1499999999999986</c:v>
                </c:pt>
              </c:numCache>
            </c:numRef>
          </c:yVal>
          <c:smooth val="0"/>
          <c:extLst>
            <c:ext xmlns:c16="http://schemas.microsoft.com/office/drawing/2014/chart" uri="{C3380CC4-5D6E-409C-BE32-E72D297353CC}">
              <c16:uniqueId val="{00000003-978B-4396-848F-FE6F89C89702}"/>
            </c:ext>
          </c:extLst>
        </c:ser>
        <c:ser>
          <c:idx val="4"/>
          <c:order val="4"/>
          <c:tx>
            <c:strRef>
              <c:f>'Graph Center Gravity'!$F$42</c:f>
              <c:strCache>
                <c:ptCount val="1"/>
                <c:pt idx="0">
                  <c:v>KSB-065</c:v>
                </c:pt>
              </c:strCache>
            </c:strRef>
          </c:tx>
          <c:spPr>
            <a:ln w="25400" cap="rnd">
              <a:noFill/>
              <a:round/>
            </a:ln>
            <a:effectLst/>
          </c:spPr>
          <c:marker>
            <c:symbol val="star"/>
            <c:size val="6"/>
            <c:spPr>
              <a:noFill/>
              <a:ln w="9525">
                <a:solidFill>
                  <a:schemeClr val="accent5"/>
                </a:solidFill>
                <a:round/>
              </a:ln>
              <a:effectLst/>
            </c:spPr>
          </c:marker>
          <c:xVal>
            <c:numRef>
              <c:f>'Graph Center Gravity'!$H$42</c:f>
              <c:numCache>
                <c:formatCode>General</c:formatCode>
                <c:ptCount val="1"/>
                <c:pt idx="0">
                  <c:v>-309558.58174366737</c:v>
                </c:pt>
              </c:numCache>
            </c:numRef>
          </c:xVal>
          <c:yVal>
            <c:numRef>
              <c:f>'Graph Center Gravity'!$G$42</c:f>
              <c:numCache>
                <c:formatCode>General</c:formatCode>
                <c:ptCount val="1"/>
                <c:pt idx="0">
                  <c:v>-13.149999999999999</c:v>
                </c:pt>
              </c:numCache>
            </c:numRef>
          </c:yVal>
          <c:smooth val="0"/>
          <c:extLst>
            <c:ext xmlns:c16="http://schemas.microsoft.com/office/drawing/2014/chart" uri="{C3380CC4-5D6E-409C-BE32-E72D297353CC}">
              <c16:uniqueId val="{00000004-978B-4396-848F-FE6F89C89702}"/>
            </c:ext>
          </c:extLst>
        </c:ser>
        <c:ser>
          <c:idx val="5"/>
          <c:order val="5"/>
          <c:tx>
            <c:strRef>
              <c:f>'Graph Center Gravity'!$F$47</c:f>
              <c:strCache>
                <c:ptCount val="1"/>
                <c:pt idx="0">
                  <c:v>P-464</c:v>
                </c:pt>
              </c:strCache>
            </c:strRef>
          </c:tx>
          <c:spPr>
            <a:ln w="25400" cap="rnd">
              <a:noFill/>
              <a:round/>
            </a:ln>
            <a:effectLst/>
          </c:spPr>
          <c:marker>
            <c:symbol val="circle"/>
            <c:size val="6"/>
            <c:spPr>
              <a:solidFill>
                <a:schemeClr val="accent6"/>
              </a:solidFill>
              <a:ln w="9525">
                <a:solidFill>
                  <a:schemeClr val="accent6"/>
                </a:solidFill>
                <a:round/>
              </a:ln>
              <a:effectLst/>
            </c:spPr>
          </c:marker>
          <c:xVal>
            <c:numRef>
              <c:f>'Graph Center Gravity'!$H$47</c:f>
              <c:numCache>
                <c:formatCode>General</c:formatCode>
                <c:ptCount val="1"/>
                <c:pt idx="0">
                  <c:v>352693.21334469644</c:v>
                </c:pt>
              </c:numCache>
            </c:numRef>
          </c:xVal>
          <c:yVal>
            <c:numRef>
              <c:f>'Graph Center Gravity'!$G$47</c:f>
              <c:numCache>
                <c:formatCode>General</c:formatCode>
                <c:ptCount val="1"/>
                <c:pt idx="0">
                  <c:v>1.2916666666715173</c:v>
                </c:pt>
              </c:numCache>
            </c:numRef>
          </c:yVal>
          <c:smooth val="0"/>
          <c:extLst>
            <c:ext xmlns:c16="http://schemas.microsoft.com/office/drawing/2014/chart" uri="{C3380CC4-5D6E-409C-BE32-E72D297353CC}">
              <c16:uniqueId val="{00000005-978B-4396-848F-FE6F89C89702}"/>
            </c:ext>
          </c:extLst>
        </c:ser>
        <c:ser>
          <c:idx val="6"/>
          <c:order val="6"/>
          <c:tx>
            <c:strRef>
              <c:f>'Graph Center Gravity'!$F$48</c:f>
              <c:strCache>
                <c:ptCount val="1"/>
                <c:pt idx="0">
                  <c:v>P-466</c:v>
                </c:pt>
              </c:strCache>
            </c:strRef>
          </c:tx>
          <c:spPr>
            <a:ln w="25400" cap="rnd">
              <a:noFill/>
              <a:round/>
            </a:ln>
            <a:effectLst/>
          </c:spPr>
          <c:marker>
            <c:symbol val="plus"/>
            <c:size val="6"/>
            <c:spPr>
              <a:noFill/>
              <a:ln w="9525">
                <a:solidFill>
                  <a:schemeClr val="accent1">
                    <a:lumMod val="60000"/>
                  </a:schemeClr>
                </a:solidFill>
                <a:round/>
              </a:ln>
              <a:effectLst/>
            </c:spPr>
          </c:marker>
          <c:xVal>
            <c:numRef>
              <c:f>'Graph Center Gravity'!$H$48</c:f>
              <c:numCache>
                <c:formatCode>General</c:formatCode>
                <c:ptCount val="1"/>
                <c:pt idx="0">
                  <c:v>-13556.624111498706</c:v>
                </c:pt>
              </c:numCache>
            </c:numRef>
          </c:xVal>
          <c:yVal>
            <c:numRef>
              <c:f>'Graph Center Gravity'!$G$48</c:f>
              <c:numCache>
                <c:formatCode>General</c:formatCode>
                <c:ptCount val="1"/>
                <c:pt idx="0">
                  <c:v>0.64166666666424277</c:v>
                </c:pt>
              </c:numCache>
            </c:numRef>
          </c:yVal>
          <c:smooth val="0"/>
          <c:extLst>
            <c:ext xmlns:c16="http://schemas.microsoft.com/office/drawing/2014/chart" uri="{C3380CC4-5D6E-409C-BE32-E72D297353CC}">
              <c16:uniqueId val="{00000006-978B-4396-848F-FE6F89C89702}"/>
            </c:ext>
          </c:extLst>
        </c:ser>
        <c:dLbls>
          <c:showLegendKey val="0"/>
          <c:showVal val="0"/>
          <c:showCatName val="0"/>
          <c:showSerName val="0"/>
          <c:showPercent val="0"/>
          <c:showBubbleSize val="0"/>
        </c:dLbls>
        <c:axId val="1970638096"/>
        <c:axId val="1970638512"/>
      </c:scatterChart>
      <c:valAx>
        <c:axId val="1970638096"/>
        <c:scaling>
          <c:orientation val="minMax"/>
          <c:min val="-5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COST,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dispUnits>
          <c:builtInUnit val="millions"/>
          <c:dispUnitsLbl>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dispUnitsLbl>
        </c:dispUnits>
      </c:valAx>
      <c:valAx>
        <c:axId val="1970638512"/>
        <c:scaling>
          <c:orientation val="minMax"/>
          <c:max val="15"/>
          <c:min val="-1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TIME, Days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7"/>
          <c:order val="7"/>
          <c:tx>
            <c:strRef>
              <c:f>'Graph Center Gravity'!$F$49</c:f>
              <c:strCache>
                <c:ptCount val="1"/>
                <c:pt idx="0">
                  <c:v>Ideal</c:v>
                </c:pt>
              </c:strCache>
            </c:strRef>
          </c:tx>
          <c:spPr>
            <a:ln w="25400" cap="rnd">
              <a:solidFill>
                <a:schemeClr val="tx1">
                  <a:lumMod val="15000"/>
                  <a:lumOff val="85000"/>
                </a:schemeClr>
              </a:solidFill>
              <a:round/>
            </a:ln>
            <a:effectLst/>
          </c:spPr>
          <c:marker>
            <c:symbol val="none"/>
          </c:marker>
          <c:xVal>
            <c:numRef>
              <c:f>'Graph Center Gravity'!$N$49:$N$50</c:f>
              <c:numCache>
                <c:formatCode>General</c:formatCode>
                <c:ptCount val="2"/>
                <c:pt idx="0">
                  <c:v>0</c:v>
                </c:pt>
                <c:pt idx="1">
                  <c:v>100</c:v>
                </c:pt>
              </c:numCache>
            </c:numRef>
          </c:xVal>
          <c:yVal>
            <c:numRef>
              <c:f>'Graph Center Gravity'!$M$49:$M$50</c:f>
              <c:numCache>
                <c:formatCode>General</c:formatCode>
                <c:ptCount val="2"/>
                <c:pt idx="0">
                  <c:v>0</c:v>
                </c:pt>
                <c:pt idx="1">
                  <c:v>100</c:v>
                </c:pt>
              </c:numCache>
            </c:numRef>
          </c:yVal>
          <c:smooth val="0"/>
          <c:extLst>
            <c:ext xmlns:c16="http://schemas.microsoft.com/office/drawing/2014/chart" uri="{C3380CC4-5D6E-409C-BE32-E72D297353CC}">
              <c16:uniqueId val="{00000007-74E7-452A-98BB-C9E22DAE23A2}"/>
            </c:ext>
          </c:extLst>
        </c:ser>
        <c:ser>
          <c:idx val="0"/>
          <c:order val="0"/>
          <c:tx>
            <c:strRef>
              <c:f>'Graph Center Gravity'!$F$43</c:f>
              <c:strCache>
                <c:ptCount val="1"/>
                <c:pt idx="0">
                  <c:v>P-460</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Gravity'!$N$43</c:f>
              <c:numCache>
                <c:formatCode>General</c:formatCode>
                <c:ptCount val="1"/>
                <c:pt idx="0">
                  <c:v>0.81089733518489948</c:v>
                </c:pt>
              </c:numCache>
            </c:numRef>
          </c:xVal>
          <c:yVal>
            <c:numRef>
              <c:f>'Graph Center Gravity'!$M$43</c:f>
              <c:numCache>
                <c:formatCode>General</c:formatCode>
                <c:ptCount val="1"/>
                <c:pt idx="0">
                  <c:v>1.0373602817333836</c:v>
                </c:pt>
              </c:numCache>
            </c:numRef>
          </c:yVal>
          <c:smooth val="0"/>
          <c:extLst>
            <c:ext xmlns:c16="http://schemas.microsoft.com/office/drawing/2014/chart" uri="{C3380CC4-5D6E-409C-BE32-E72D297353CC}">
              <c16:uniqueId val="{00000000-74E7-452A-98BB-C9E22DAE23A2}"/>
            </c:ext>
          </c:extLst>
        </c:ser>
        <c:ser>
          <c:idx val="1"/>
          <c:order val="1"/>
          <c:tx>
            <c:strRef>
              <c:f>'Graph Center Gravity'!$F$44</c:f>
              <c:strCache>
                <c:ptCount val="1"/>
                <c:pt idx="0">
                  <c:v>P-461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Gravity'!$N$44</c:f>
              <c:numCache>
                <c:formatCode>General</c:formatCode>
                <c:ptCount val="1"/>
                <c:pt idx="0">
                  <c:v>0.90904027415821309</c:v>
                </c:pt>
              </c:numCache>
            </c:numRef>
          </c:xVal>
          <c:yVal>
            <c:numRef>
              <c:f>'Graph Center Gravity'!$M$44</c:f>
              <c:numCache>
                <c:formatCode>General</c:formatCode>
                <c:ptCount val="1"/>
                <c:pt idx="0">
                  <c:v>0.99658869395697314</c:v>
                </c:pt>
              </c:numCache>
            </c:numRef>
          </c:yVal>
          <c:smooth val="0"/>
          <c:extLst>
            <c:ext xmlns:c16="http://schemas.microsoft.com/office/drawing/2014/chart" uri="{C3380CC4-5D6E-409C-BE32-E72D297353CC}">
              <c16:uniqueId val="{00000001-74E7-452A-98BB-C9E22DAE23A2}"/>
            </c:ext>
          </c:extLst>
        </c:ser>
        <c:ser>
          <c:idx val="2"/>
          <c:order val="2"/>
          <c:tx>
            <c:strRef>
              <c:f>'Graph Center Gravity'!$F$45</c:f>
              <c:strCache>
                <c:ptCount val="1"/>
                <c:pt idx="0">
                  <c:v>P-462</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Gravity'!$N$45</c:f>
              <c:numCache>
                <c:formatCode>General</c:formatCode>
                <c:ptCount val="1"/>
                <c:pt idx="0">
                  <c:v>0.85559859372035318</c:v>
                </c:pt>
              </c:numCache>
            </c:numRef>
          </c:xVal>
          <c:yVal>
            <c:numRef>
              <c:f>'Graph Center Gravity'!$M$45</c:f>
              <c:numCache>
                <c:formatCode>General</c:formatCode>
                <c:ptCount val="1"/>
                <c:pt idx="0">
                  <c:v>1.2002290345314881</c:v>
                </c:pt>
              </c:numCache>
            </c:numRef>
          </c:yVal>
          <c:smooth val="0"/>
          <c:extLst>
            <c:ext xmlns:c16="http://schemas.microsoft.com/office/drawing/2014/chart" uri="{C3380CC4-5D6E-409C-BE32-E72D297353CC}">
              <c16:uniqueId val="{00000002-74E7-452A-98BB-C9E22DAE23A2}"/>
            </c:ext>
          </c:extLst>
        </c:ser>
        <c:ser>
          <c:idx val="3"/>
          <c:order val="3"/>
          <c:tx>
            <c:strRef>
              <c:f>'Graph Center Gravity'!$F$46</c:f>
              <c:strCache>
                <c:ptCount val="1"/>
                <c:pt idx="0">
                  <c:v>P-463</c:v>
                </c:pt>
              </c:strCache>
            </c:strRef>
          </c:tx>
          <c:spPr>
            <a:ln w="25400" cap="rnd">
              <a:noFill/>
              <a:round/>
            </a:ln>
            <a:effectLst/>
          </c:spPr>
          <c:marker>
            <c:symbol val="x"/>
            <c:size val="6"/>
            <c:spPr>
              <a:noFill/>
              <a:ln w="9525">
                <a:solidFill>
                  <a:schemeClr val="accent4"/>
                </a:solidFill>
                <a:round/>
              </a:ln>
              <a:effectLst/>
            </c:spPr>
          </c:marker>
          <c:xVal>
            <c:numRef>
              <c:f>'Graph Center Gravity'!$N$46</c:f>
              <c:numCache>
                <c:formatCode>General</c:formatCode>
                <c:ptCount val="1"/>
                <c:pt idx="0">
                  <c:v>1.1171031805599037</c:v>
                </c:pt>
              </c:numCache>
            </c:numRef>
          </c:xVal>
          <c:yVal>
            <c:numRef>
              <c:f>'Graph Center Gravity'!$M$46</c:f>
              <c:numCache>
                <c:formatCode>General</c:formatCode>
                <c:ptCount val="1"/>
                <c:pt idx="0">
                  <c:v>1.1842105263157894</c:v>
                </c:pt>
              </c:numCache>
            </c:numRef>
          </c:yVal>
          <c:smooth val="0"/>
          <c:extLst>
            <c:ext xmlns:c16="http://schemas.microsoft.com/office/drawing/2014/chart" uri="{C3380CC4-5D6E-409C-BE32-E72D297353CC}">
              <c16:uniqueId val="{00000003-74E7-452A-98BB-C9E22DAE23A2}"/>
            </c:ext>
          </c:extLst>
        </c:ser>
        <c:ser>
          <c:idx val="4"/>
          <c:order val="4"/>
          <c:tx>
            <c:strRef>
              <c:f>'Graph Center Gravity'!$F$42</c:f>
              <c:strCache>
                <c:ptCount val="1"/>
                <c:pt idx="0">
                  <c:v>KSB-065</c:v>
                </c:pt>
              </c:strCache>
            </c:strRef>
          </c:tx>
          <c:spPr>
            <a:ln w="25400" cap="rnd">
              <a:noFill/>
              <a:round/>
            </a:ln>
            <a:effectLst/>
          </c:spPr>
          <c:marker>
            <c:symbol val="star"/>
            <c:size val="6"/>
            <c:spPr>
              <a:noFill/>
              <a:ln w="9525">
                <a:solidFill>
                  <a:schemeClr val="accent5"/>
                </a:solidFill>
                <a:round/>
              </a:ln>
              <a:effectLst/>
            </c:spPr>
          </c:marker>
          <c:xVal>
            <c:numRef>
              <c:f>'Graph Center Gravity'!$N$42</c:f>
              <c:numCache>
                <c:formatCode>General</c:formatCode>
                <c:ptCount val="1"/>
                <c:pt idx="0">
                  <c:v>1.1085739975882081</c:v>
                </c:pt>
              </c:numCache>
            </c:numRef>
          </c:xVal>
          <c:yVal>
            <c:numRef>
              <c:f>'Graph Center Gravity'!$M$42</c:f>
              <c:numCache>
                <c:formatCode>General</c:formatCode>
                <c:ptCount val="1"/>
                <c:pt idx="0">
                  <c:v>1.6232227488151658</c:v>
                </c:pt>
              </c:numCache>
            </c:numRef>
          </c:yVal>
          <c:smooth val="0"/>
          <c:extLst>
            <c:ext xmlns:c16="http://schemas.microsoft.com/office/drawing/2014/chart" uri="{C3380CC4-5D6E-409C-BE32-E72D297353CC}">
              <c16:uniqueId val="{00000004-74E7-452A-98BB-C9E22DAE23A2}"/>
            </c:ext>
          </c:extLst>
        </c:ser>
        <c:ser>
          <c:idx val="5"/>
          <c:order val="5"/>
          <c:tx>
            <c:strRef>
              <c:f>'Graph Center Gravity'!$F$47</c:f>
              <c:strCache>
                <c:ptCount val="1"/>
                <c:pt idx="0">
                  <c:v>P-464</c:v>
                </c:pt>
              </c:strCache>
            </c:strRef>
          </c:tx>
          <c:spPr>
            <a:ln w="25400" cap="rnd">
              <a:noFill/>
              <a:round/>
            </a:ln>
            <a:effectLst/>
          </c:spPr>
          <c:marker>
            <c:symbol val="circle"/>
            <c:size val="6"/>
            <c:spPr>
              <a:solidFill>
                <a:schemeClr val="accent6"/>
              </a:solidFill>
              <a:ln w="9525">
                <a:solidFill>
                  <a:schemeClr val="accent6"/>
                </a:solidFill>
                <a:round/>
              </a:ln>
              <a:effectLst/>
            </c:spPr>
          </c:marker>
          <c:xVal>
            <c:numRef>
              <c:f>'Graph Center Gravity'!$N$47</c:f>
              <c:numCache>
                <c:formatCode>General</c:formatCode>
                <c:ptCount val="1"/>
                <c:pt idx="0">
                  <c:v>0.85831517011155978</c:v>
                </c:pt>
              </c:numCache>
            </c:numRef>
          </c:xVal>
          <c:yVal>
            <c:numRef>
              <c:f>'Graph Center Gravity'!$M$47</c:f>
              <c:numCache>
                <c:formatCode>General</c:formatCode>
                <c:ptCount val="1"/>
                <c:pt idx="0">
                  <c:v>0.94259259259237704</c:v>
                </c:pt>
              </c:numCache>
            </c:numRef>
          </c:yVal>
          <c:smooth val="0"/>
          <c:extLst>
            <c:ext xmlns:c16="http://schemas.microsoft.com/office/drawing/2014/chart" uri="{C3380CC4-5D6E-409C-BE32-E72D297353CC}">
              <c16:uniqueId val="{00000005-74E7-452A-98BB-C9E22DAE23A2}"/>
            </c:ext>
          </c:extLst>
        </c:ser>
        <c:ser>
          <c:idx val="6"/>
          <c:order val="6"/>
          <c:tx>
            <c:strRef>
              <c:f>'Graph Center Gravity'!$F$48</c:f>
              <c:strCache>
                <c:ptCount val="1"/>
                <c:pt idx="0">
                  <c:v>P-466</c:v>
                </c:pt>
              </c:strCache>
            </c:strRef>
          </c:tx>
          <c:spPr>
            <a:ln w="25400" cap="rnd">
              <a:noFill/>
              <a:round/>
            </a:ln>
            <a:effectLst/>
          </c:spPr>
          <c:marker>
            <c:symbol val="plus"/>
            <c:size val="6"/>
            <c:spPr>
              <a:noFill/>
              <a:ln w="9525">
                <a:solidFill>
                  <a:schemeClr val="accent1">
                    <a:lumMod val="60000"/>
                  </a:schemeClr>
                </a:solidFill>
                <a:round/>
              </a:ln>
              <a:effectLst/>
            </c:spPr>
          </c:marker>
          <c:xVal>
            <c:numRef>
              <c:f>'Graph Center Gravity'!$N$48</c:f>
              <c:numCache>
                <c:formatCode>General</c:formatCode>
                <c:ptCount val="1"/>
                <c:pt idx="0">
                  <c:v>1.00601440449733</c:v>
                </c:pt>
              </c:numCache>
            </c:numRef>
          </c:xVal>
          <c:yVal>
            <c:numRef>
              <c:f>'Graph Center Gravity'!$M$48</c:f>
              <c:numCache>
                <c:formatCode>General</c:formatCode>
                <c:ptCount val="1"/>
                <c:pt idx="0">
                  <c:v>0.96247563352840682</c:v>
                </c:pt>
              </c:numCache>
            </c:numRef>
          </c:yVal>
          <c:smooth val="0"/>
          <c:extLst>
            <c:ext xmlns:c16="http://schemas.microsoft.com/office/drawing/2014/chart" uri="{C3380CC4-5D6E-409C-BE32-E72D297353CC}">
              <c16:uniqueId val="{00000006-74E7-452A-98BB-C9E22DAE23A2}"/>
            </c:ext>
          </c:extLst>
        </c:ser>
        <c:dLbls>
          <c:showLegendKey val="0"/>
          <c:showVal val="0"/>
          <c:showCatName val="0"/>
          <c:showSerName val="0"/>
          <c:showPercent val="0"/>
          <c:showBubbleSize val="0"/>
        </c:dLbls>
        <c:axId val="1970638096"/>
        <c:axId val="1970638512"/>
      </c:scatterChart>
      <c:valAx>
        <c:axId val="1970638096"/>
        <c:scaling>
          <c:orientation val="minMax"/>
          <c:max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 COST,</a:t>
                </a:r>
                <a:r>
                  <a:rPr lang="en-US" baseline="0"/>
                  <a:t> fraction</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valAx>
      <c:valAx>
        <c:axId val="1970638512"/>
        <c:scaling>
          <c:orientation val="minMax"/>
          <c:max val="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a:t>
                </a:r>
                <a:r>
                  <a:rPr lang="en-US" baseline="0"/>
                  <a:t> time, fraction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NPT!PivotTable1</c:name>
    <c:fmtId val="1"/>
  </c:pivotSource>
  <c:chart>
    <c:title>
      <c:tx>
        <c:rich>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r>
              <a:rPr lang="en-US"/>
              <a:t>Total NPT by Well</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pPr>
            <a:solidFill>
              <a:schemeClr val="accent1">
                <a:alpha val="70000"/>
              </a:schemeClr>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 NPT'!$B$8</c:f>
              <c:strCache>
                <c:ptCount val="1"/>
                <c:pt idx="0">
                  <c:v>Sum of Total NPT (hours)</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NPT'!$A$9:$A$10</c:f>
              <c:strCache>
                <c:ptCount val="1"/>
                <c:pt idx="0">
                  <c:v>0</c:v>
                </c:pt>
              </c:strCache>
            </c:strRef>
          </c:cat>
          <c:val>
            <c:numRef>
              <c:f>'Graph NPT'!$B$9:$B$10</c:f>
              <c:numCache>
                <c:formatCode>General</c:formatCode>
                <c:ptCount val="1"/>
                <c:pt idx="0">
                  <c:v>0</c:v>
                </c:pt>
              </c:numCache>
            </c:numRef>
          </c:val>
          <c:extLst>
            <c:ext xmlns:c16="http://schemas.microsoft.com/office/drawing/2014/chart" uri="{C3380CC4-5D6E-409C-BE32-E72D297353CC}">
              <c16:uniqueId val="{00000003-890D-4CD1-B9F5-C00487939F66}"/>
            </c:ext>
          </c:extLst>
        </c:ser>
        <c:ser>
          <c:idx val="1"/>
          <c:order val="1"/>
          <c:tx>
            <c:strRef>
              <c:f>'Graph NPT'!$C$8</c:f>
              <c:strCache>
                <c:ptCount val="1"/>
                <c:pt idx="0">
                  <c:v>Sum of PT Total (hours)</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NPT'!$A$9:$A$10</c:f>
              <c:strCache>
                <c:ptCount val="1"/>
                <c:pt idx="0">
                  <c:v>0</c:v>
                </c:pt>
              </c:strCache>
            </c:strRef>
          </c:cat>
          <c:val>
            <c:numRef>
              <c:f>'Graph NPT'!$C$9:$C$10</c:f>
              <c:numCache>
                <c:formatCode>General</c:formatCode>
                <c:ptCount val="1"/>
                <c:pt idx="0">
                  <c:v>0</c:v>
                </c:pt>
              </c:numCache>
            </c:numRef>
          </c:val>
          <c:extLst>
            <c:ext xmlns:c16="http://schemas.microsoft.com/office/drawing/2014/chart" uri="{C3380CC4-5D6E-409C-BE32-E72D297353CC}">
              <c16:uniqueId val="{00000057-890D-4CD1-B9F5-C00487939F66}"/>
            </c:ext>
          </c:extLst>
        </c:ser>
        <c:dLbls>
          <c:dLblPos val="outEnd"/>
          <c:showLegendKey val="0"/>
          <c:showVal val="1"/>
          <c:showCatName val="0"/>
          <c:showSerName val="0"/>
          <c:showPercent val="0"/>
          <c:showBubbleSize val="0"/>
        </c:dLbls>
        <c:gapWidth val="80"/>
        <c:overlap val="25"/>
        <c:axId val="1453848415"/>
        <c:axId val="1453849247"/>
      </c:barChart>
      <c:catAx>
        <c:axId val="1453848415"/>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53849247"/>
        <c:crosses val="autoZero"/>
        <c:auto val="1"/>
        <c:lblAlgn val="ctr"/>
        <c:lblOffset val="100"/>
        <c:noMultiLvlLbl val="0"/>
      </c:catAx>
      <c:valAx>
        <c:axId val="145384924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 hours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5384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Firman.xlsx]Data Rig!PivotTable3</c:name>
    <c:fmtId val="2"/>
  </c:pivotSource>
  <c:chart>
    <c:title>
      <c:tx>
        <c:rich>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r>
              <a:rPr lang="en-US"/>
              <a:t>Rig Productivity</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alpha val="7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alpha val="7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Rig'!$I$22</c:f>
              <c:strCache>
                <c:ptCount val="1"/>
                <c:pt idx="0">
                  <c:v>Sum of Availability</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Rig'!$H$23:$H$29</c:f>
              <c:strCache>
                <c:ptCount val="6"/>
                <c:pt idx="0">
                  <c:v>NREM #01</c:v>
                </c:pt>
                <c:pt idx="1">
                  <c:v>PDSI #17.2/NT45-M</c:v>
                </c:pt>
                <c:pt idx="2">
                  <c:v>PDSI #23.1/CWKT210-M</c:v>
                </c:pt>
                <c:pt idx="3">
                  <c:v>PDSI #41.3/N110UE</c:v>
                </c:pt>
                <c:pt idx="4">
                  <c:v>TMMJ-05</c:v>
                </c:pt>
                <c:pt idx="5">
                  <c:v>TMMJ-12</c:v>
                </c:pt>
              </c:strCache>
            </c:strRef>
          </c:cat>
          <c:val>
            <c:numRef>
              <c:f>'Data Rig'!$I$23:$I$29</c:f>
              <c:numCache>
                <c:formatCode>0.00%</c:formatCode>
                <c:ptCount val="6"/>
                <c:pt idx="0">
                  <c:v>0.97227503168567808</c:v>
                </c:pt>
                <c:pt idx="1">
                  <c:v>1.0000447631122114</c:v>
                </c:pt>
                <c:pt idx="2">
                  <c:v>1.000034025067619</c:v>
                </c:pt>
                <c:pt idx="3">
                  <c:v>0.67225743969008633</c:v>
                </c:pt>
                <c:pt idx="4">
                  <c:v>0.91765616933402416</c:v>
                </c:pt>
                <c:pt idx="5">
                  <c:v>0.9094497068110059</c:v>
                </c:pt>
              </c:numCache>
            </c:numRef>
          </c:val>
          <c:extLst>
            <c:ext xmlns:c16="http://schemas.microsoft.com/office/drawing/2014/chart" uri="{C3380CC4-5D6E-409C-BE32-E72D297353CC}">
              <c16:uniqueId val="{00000003-C53A-42D1-A0F0-291A8434BCCC}"/>
            </c:ext>
          </c:extLst>
        </c:ser>
        <c:ser>
          <c:idx val="1"/>
          <c:order val="1"/>
          <c:tx>
            <c:strRef>
              <c:f>'Data Rig'!$J$22</c:f>
              <c:strCache>
                <c:ptCount val="1"/>
                <c:pt idx="0">
                  <c:v>Sum of Utility</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Rig'!$H$23:$H$29</c:f>
              <c:strCache>
                <c:ptCount val="6"/>
                <c:pt idx="0">
                  <c:v>NREM #01</c:v>
                </c:pt>
                <c:pt idx="1">
                  <c:v>PDSI #17.2/NT45-M</c:v>
                </c:pt>
                <c:pt idx="2">
                  <c:v>PDSI #23.1/CWKT210-M</c:v>
                </c:pt>
                <c:pt idx="3">
                  <c:v>PDSI #41.3/N110UE</c:v>
                </c:pt>
                <c:pt idx="4">
                  <c:v>TMMJ-05</c:v>
                </c:pt>
                <c:pt idx="5">
                  <c:v>TMMJ-12</c:v>
                </c:pt>
              </c:strCache>
            </c:strRef>
          </c:cat>
          <c:val>
            <c:numRef>
              <c:f>'Data Rig'!$J$23:$J$29</c:f>
              <c:numCache>
                <c:formatCode>0.00%</c:formatCode>
                <c:ptCount val="6"/>
                <c:pt idx="0">
                  <c:v>0.76774397972114761</c:v>
                </c:pt>
                <c:pt idx="1">
                  <c:v>-2.2889803942231879E-3</c:v>
                </c:pt>
                <c:pt idx="2">
                  <c:v>-1.8569297177270798E-3</c:v>
                </c:pt>
                <c:pt idx="3">
                  <c:v>0.66926395492164636</c:v>
                </c:pt>
                <c:pt idx="4">
                  <c:v>0.91765616933402416</c:v>
                </c:pt>
                <c:pt idx="5">
                  <c:v>0.85938204781235905</c:v>
                </c:pt>
              </c:numCache>
            </c:numRef>
          </c:val>
          <c:extLst>
            <c:ext xmlns:c16="http://schemas.microsoft.com/office/drawing/2014/chart" uri="{C3380CC4-5D6E-409C-BE32-E72D297353CC}">
              <c16:uniqueId val="{00000009-C53A-42D1-A0F0-291A8434BCCC}"/>
            </c:ext>
          </c:extLst>
        </c:ser>
        <c:dLbls>
          <c:dLblPos val="outEnd"/>
          <c:showLegendKey val="0"/>
          <c:showVal val="1"/>
          <c:showCatName val="0"/>
          <c:showSerName val="0"/>
          <c:showPercent val="0"/>
          <c:showBubbleSize val="0"/>
        </c:dLbls>
        <c:gapWidth val="80"/>
        <c:overlap val="25"/>
        <c:axId val="207030831"/>
        <c:axId val="207041231"/>
      </c:barChart>
      <c:lineChart>
        <c:grouping val="standard"/>
        <c:varyColors val="0"/>
        <c:ser>
          <c:idx val="2"/>
          <c:order val="2"/>
          <c:tx>
            <c:strRef>
              <c:f>'Data Rig'!$K$22</c:f>
              <c:strCache>
                <c:ptCount val="1"/>
                <c:pt idx="0">
                  <c:v>Sum of Average Rig Availability</c:v>
                </c:pt>
              </c:strCache>
            </c:strRef>
          </c:tx>
          <c:spPr>
            <a:ln w="28575" cap="rnd">
              <a:solidFill>
                <a:schemeClr val="accent3">
                  <a:alpha val="70000"/>
                </a:schemeClr>
              </a:solidFill>
              <a:round/>
            </a:ln>
            <a:effectLst/>
          </c:spPr>
          <c:marker>
            <c:symbol val="none"/>
          </c:marker>
          <c:cat>
            <c:strRef>
              <c:f>'Data Rig'!$H$23:$H$29</c:f>
              <c:strCache>
                <c:ptCount val="6"/>
                <c:pt idx="0">
                  <c:v>NREM #01</c:v>
                </c:pt>
                <c:pt idx="1">
                  <c:v>PDSI #17.2/NT45-M</c:v>
                </c:pt>
                <c:pt idx="2">
                  <c:v>PDSI #23.1/CWKT210-M</c:v>
                </c:pt>
                <c:pt idx="3">
                  <c:v>PDSI #41.3/N110UE</c:v>
                </c:pt>
                <c:pt idx="4">
                  <c:v>TMMJ-05</c:v>
                </c:pt>
                <c:pt idx="5">
                  <c:v>TMMJ-12</c:v>
                </c:pt>
              </c:strCache>
            </c:strRef>
          </c:cat>
          <c:val>
            <c:numRef>
              <c:f>'Data Rig'!$K$23:$K$29</c:f>
              <c:numCache>
                <c:formatCode>0.00%</c:formatCode>
                <c:ptCount val="6"/>
                <c:pt idx="0">
                  <c:v>1.0015086925517118</c:v>
                </c:pt>
                <c:pt idx="1">
                  <c:v>1.0015086925517118</c:v>
                </c:pt>
                <c:pt idx="2">
                  <c:v>1.0015086925517118</c:v>
                </c:pt>
                <c:pt idx="3">
                  <c:v>1.0015086925517118</c:v>
                </c:pt>
                <c:pt idx="4">
                  <c:v>1.0015086925517118</c:v>
                </c:pt>
                <c:pt idx="5">
                  <c:v>1.0015086925517118</c:v>
                </c:pt>
              </c:numCache>
            </c:numRef>
          </c:val>
          <c:smooth val="0"/>
          <c:extLst>
            <c:ext xmlns:c16="http://schemas.microsoft.com/office/drawing/2014/chart" uri="{C3380CC4-5D6E-409C-BE32-E72D297353CC}">
              <c16:uniqueId val="{0000000C-C53A-42D1-A0F0-291A8434BCCC}"/>
            </c:ext>
          </c:extLst>
        </c:ser>
        <c:ser>
          <c:idx val="3"/>
          <c:order val="3"/>
          <c:tx>
            <c:strRef>
              <c:f>'Data Rig'!$L$22</c:f>
              <c:strCache>
                <c:ptCount val="1"/>
                <c:pt idx="0">
                  <c:v>Sum of Average Rig Utility</c:v>
                </c:pt>
              </c:strCache>
            </c:strRef>
          </c:tx>
          <c:spPr>
            <a:ln w="28575" cap="rnd">
              <a:solidFill>
                <a:schemeClr val="accent4">
                  <a:alpha val="70000"/>
                </a:schemeClr>
              </a:solidFill>
              <a:round/>
            </a:ln>
            <a:effectLst/>
          </c:spPr>
          <c:marker>
            <c:symbol val="none"/>
          </c:marker>
          <c:cat>
            <c:strRef>
              <c:f>'Data Rig'!$H$23:$H$29</c:f>
              <c:strCache>
                <c:ptCount val="6"/>
                <c:pt idx="0">
                  <c:v>NREM #01</c:v>
                </c:pt>
                <c:pt idx="1">
                  <c:v>PDSI #17.2/NT45-M</c:v>
                </c:pt>
                <c:pt idx="2">
                  <c:v>PDSI #23.1/CWKT210-M</c:v>
                </c:pt>
                <c:pt idx="3">
                  <c:v>PDSI #41.3/N110UE</c:v>
                </c:pt>
                <c:pt idx="4">
                  <c:v>TMMJ-05</c:v>
                </c:pt>
                <c:pt idx="5">
                  <c:v>TMMJ-12</c:v>
                </c:pt>
              </c:strCache>
            </c:strRef>
          </c:cat>
          <c:val>
            <c:numRef>
              <c:f>'Data Rig'!$L$23:$L$29</c:f>
              <c:numCache>
                <c:formatCode>0.00%</c:formatCode>
                <c:ptCount val="6"/>
                <c:pt idx="0">
                  <c:v>-6.9336032139762395E-3</c:v>
                </c:pt>
                <c:pt idx="1">
                  <c:v>-6.9336032139762395E-3</c:v>
                </c:pt>
                <c:pt idx="2">
                  <c:v>-6.9336032139762395E-3</c:v>
                </c:pt>
                <c:pt idx="3">
                  <c:v>-6.9336032139762395E-3</c:v>
                </c:pt>
                <c:pt idx="4">
                  <c:v>-6.9336032139762395E-3</c:v>
                </c:pt>
                <c:pt idx="5">
                  <c:v>-6.9336032139762395E-3</c:v>
                </c:pt>
              </c:numCache>
            </c:numRef>
          </c:val>
          <c:smooth val="0"/>
          <c:extLst>
            <c:ext xmlns:c16="http://schemas.microsoft.com/office/drawing/2014/chart" uri="{C3380CC4-5D6E-409C-BE32-E72D297353CC}">
              <c16:uniqueId val="{0000000D-C53A-42D1-A0F0-291A8434BCCC}"/>
            </c:ext>
          </c:extLst>
        </c:ser>
        <c:dLbls>
          <c:showLegendKey val="0"/>
          <c:showVal val="0"/>
          <c:showCatName val="0"/>
          <c:showSerName val="0"/>
          <c:showPercent val="0"/>
          <c:showBubbleSize val="0"/>
        </c:dLbls>
        <c:marker val="1"/>
        <c:smooth val="0"/>
        <c:axId val="207030831"/>
        <c:axId val="207041231"/>
      </c:lineChart>
      <c:catAx>
        <c:axId val="20703083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41231"/>
        <c:crosses val="autoZero"/>
        <c:auto val="1"/>
        <c:lblAlgn val="ctr"/>
        <c:lblOffset val="100"/>
        <c:noMultiLvlLbl val="0"/>
      </c:catAx>
      <c:valAx>
        <c:axId val="207041231"/>
        <c:scaling>
          <c:orientation val="minMax"/>
          <c:max val="1"/>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30831"/>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Firman.xlsx]Data Rig!PivotTable4</c:name>
    <c:fmtId val="0"/>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r>
              <a:rPr lang="en-US"/>
              <a:t>Detail Rig Productivity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 Rig'!$S$22</c:f>
              <c:strCache>
                <c:ptCount val="1"/>
                <c:pt idx="0">
                  <c:v>Sum of Actual - Move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Rig'!$S$23:$S$30</c:f>
              <c:numCache>
                <c:formatCode>0.00%</c:formatCode>
                <c:ptCount val="7"/>
                <c:pt idx="0">
                  <c:v>6.7490494296577941E-2</c:v>
                </c:pt>
                <c:pt idx="1">
                  <c:v>-2.7976945132081489E-4</c:v>
                </c:pt>
                <c:pt idx="2">
                  <c:v>-1.5287975587710415E-4</c:v>
                </c:pt>
                <c:pt idx="3">
                  <c:v>6.1278394083465401E-2</c:v>
                </c:pt>
                <c:pt idx="4">
                  <c:v>0</c:v>
                </c:pt>
                <c:pt idx="5">
                  <c:v>0.21063500258130496</c:v>
                </c:pt>
                <c:pt idx="6">
                  <c:v>0.3175462336490622</c:v>
                </c:pt>
              </c:numCache>
            </c:numRef>
          </c:val>
          <c:extLst>
            <c:ext xmlns:c16="http://schemas.microsoft.com/office/drawing/2014/chart" uri="{C3380CC4-5D6E-409C-BE32-E72D297353CC}">
              <c16:uniqueId val="{00000007-1259-4C70-98BD-9945BC8A1F52}"/>
            </c:ext>
          </c:extLst>
        </c:ser>
        <c:ser>
          <c:idx val="1"/>
          <c:order val="1"/>
          <c:tx>
            <c:strRef>
              <c:f>'Data Rig'!$T$22</c:f>
              <c:strCache>
                <c:ptCount val="1"/>
                <c:pt idx="0">
                  <c:v>Sum of Actual - R/U Endurance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Rig'!$T$23:$T$30</c:f>
              <c:numCache>
                <c:formatCode>0.00%</c:formatCode>
                <c:ptCount val="7"/>
                <c:pt idx="0">
                  <c:v>0.2691698352344648</c:v>
                </c:pt>
                <c:pt idx="1">
                  <c:v>-4.695463958000467E-4</c:v>
                </c:pt>
                <c:pt idx="2">
                  <c:v>-5.3507914556998667E-4</c:v>
                </c:pt>
                <c:pt idx="3">
                  <c:v>2.1130480718436345E-2</c:v>
                </c:pt>
                <c:pt idx="4">
                  <c:v>0</c:v>
                </c:pt>
                <c:pt idx="5">
                  <c:v>0</c:v>
                </c:pt>
                <c:pt idx="6">
                  <c:v>6.5629228687415428E-2</c:v>
                </c:pt>
              </c:numCache>
            </c:numRef>
          </c:val>
          <c:extLst>
            <c:ext xmlns:c16="http://schemas.microsoft.com/office/drawing/2014/chart" uri="{C3380CC4-5D6E-409C-BE32-E72D297353CC}">
              <c16:uniqueId val="{00000008-1259-4C70-98BD-9945BC8A1F52}"/>
            </c:ext>
          </c:extLst>
        </c:ser>
        <c:ser>
          <c:idx val="2"/>
          <c:order val="2"/>
          <c:tx>
            <c:strRef>
              <c:f>'Data Rig'!$U$22</c:f>
              <c:strCache>
                <c:ptCount val="1"/>
                <c:pt idx="0">
                  <c:v>Sum of Actual - Operation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Rig'!$U$23:$U$30</c:f>
              <c:numCache>
                <c:formatCode>0.00%</c:formatCode>
                <c:ptCount val="7"/>
                <c:pt idx="0">
                  <c:v>0.39749683143217418</c:v>
                </c:pt>
                <c:pt idx="1">
                  <c:v>-1.3718028763098375E-3</c:v>
                </c:pt>
                <c:pt idx="2">
                  <c:v>-1.0571075802723318E-3</c:v>
                </c:pt>
                <c:pt idx="3">
                  <c:v>0.58051593590421369</c:v>
                </c:pt>
                <c:pt idx="4">
                  <c:v>0.59249208502939854</c:v>
                </c:pt>
                <c:pt idx="5">
                  <c:v>0.66933402168296474</c:v>
                </c:pt>
                <c:pt idx="6">
                  <c:v>0.44373026612540778</c:v>
                </c:pt>
              </c:numCache>
            </c:numRef>
          </c:val>
          <c:extLst>
            <c:ext xmlns:c16="http://schemas.microsoft.com/office/drawing/2014/chart" uri="{C3380CC4-5D6E-409C-BE32-E72D297353CC}">
              <c16:uniqueId val="{00000009-1259-4C70-98BD-9945BC8A1F52}"/>
            </c:ext>
          </c:extLst>
        </c:ser>
        <c:ser>
          <c:idx val="3"/>
          <c:order val="3"/>
          <c:tx>
            <c:strRef>
              <c:f>'Data Rig'!$V$22</c:f>
              <c:strCache>
                <c:ptCount val="1"/>
                <c:pt idx="0">
                  <c:v>Sum of Actual - R/D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Rig'!$V$23:$V$30</c:f>
              <c:numCache>
                <c:formatCode>0.00%</c:formatCode>
                <c:ptCount val="7"/>
                <c:pt idx="0">
                  <c:v>3.3586818757930639E-2</c:v>
                </c:pt>
                <c:pt idx="1">
                  <c:v>-1.6786167079248894E-4</c:v>
                </c:pt>
                <c:pt idx="2">
                  <c:v>-1.1186323600765704E-4</c:v>
                </c:pt>
                <c:pt idx="3">
                  <c:v>6.3391442155309036E-3</c:v>
                </c:pt>
                <c:pt idx="4">
                  <c:v>0</c:v>
                </c:pt>
                <c:pt idx="5">
                  <c:v>3.7687145069754374E-2</c:v>
                </c:pt>
                <c:pt idx="6">
                  <c:v>3.2476319350473612E-2</c:v>
                </c:pt>
              </c:numCache>
            </c:numRef>
          </c:val>
          <c:extLst>
            <c:ext xmlns:c16="http://schemas.microsoft.com/office/drawing/2014/chart" uri="{C3380CC4-5D6E-409C-BE32-E72D297353CC}">
              <c16:uniqueId val="{0000000A-1259-4C70-98BD-9945BC8A1F52}"/>
            </c:ext>
          </c:extLst>
        </c:ser>
        <c:ser>
          <c:idx val="4"/>
          <c:order val="4"/>
          <c:tx>
            <c:strRef>
              <c:f>'Data Rig'!$W$22</c:f>
              <c:strCache>
                <c:ptCount val="1"/>
                <c:pt idx="0">
                  <c:v>Sum of Actual - NPT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Rig'!$W$23:$W$30</c:f>
              <c:numCache>
                <c:formatCode>0.00%</c:formatCode>
                <c:ptCount val="7"/>
                <c:pt idx="0">
                  <c:v>2.7724968314321929E-2</c:v>
                </c:pt>
                <c:pt idx="1">
                  <c:v>-4.4763112211330381E-5</c:v>
                </c:pt>
                <c:pt idx="2">
                  <c:v>-3.4025067618995683E-5</c:v>
                </c:pt>
                <c:pt idx="3">
                  <c:v>0.32774256030991372</c:v>
                </c:pt>
                <c:pt idx="4">
                  <c:v>0.40750791497060151</c:v>
                </c:pt>
                <c:pt idx="5">
                  <c:v>8.2343830665975837E-2</c:v>
                </c:pt>
                <c:pt idx="6">
                  <c:v>9.0550293188994144E-2</c:v>
                </c:pt>
              </c:numCache>
            </c:numRef>
          </c:val>
          <c:extLst>
            <c:ext xmlns:c16="http://schemas.microsoft.com/office/drawing/2014/chart" uri="{C3380CC4-5D6E-409C-BE32-E72D297353CC}">
              <c16:uniqueId val="{0000000B-1259-4C70-98BD-9945BC8A1F52}"/>
            </c:ext>
          </c:extLst>
        </c:ser>
        <c:ser>
          <c:idx val="5"/>
          <c:order val="5"/>
          <c:tx>
            <c:strRef>
              <c:f>'Data Rig'!$X$22</c:f>
              <c:strCache>
                <c:ptCount val="1"/>
                <c:pt idx="0">
                  <c:v>Sum of Actual - Standby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Rig'!$X$23:$X$30</c:f>
              <c:numCache>
                <c:formatCode>0.00%</c:formatCode>
                <c:ptCount val="7"/>
                <c:pt idx="0">
                  <c:v>0.20453105196453047</c:v>
                </c:pt>
                <c:pt idx="1">
                  <c:v>1.0023337435064346</c:v>
                </c:pt>
                <c:pt idx="2">
                  <c:v>1.0018909547853461</c:v>
                </c:pt>
                <c:pt idx="3">
                  <c:v>2.9934847684400211E-3</c:v>
                </c:pt>
                <c:pt idx="4">
                  <c:v>0</c:v>
                </c:pt>
                <c:pt idx="5">
                  <c:v>0</c:v>
                </c:pt>
                <c:pt idx="6">
                  <c:v>5.0067658998646819E-2</c:v>
                </c:pt>
              </c:numCache>
            </c:numRef>
          </c:val>
          <c:extLst>
            <c:ext xmlns:c16="http://schemas.microsoft.com/office/drawing/2014/chart" uri="{C3380CC4-5D6E-409C-BE32-E72D297353CC}">
              <c16:uniqueId val="{0000000C-1259-4C70-98BD-9945BC8A1F52}"/>
            </c:ext>
          </c:extLst>
        </c:ser>
        <c:dLbls>
          <c:dLblPos val="ctr"/>
          <c:showLegendKey val="0"/>
          <c:showVal val="1"/>
          <c:showCatName val="0"/>
          <c:showSerName val="0"/>
          <c:showPercent val="0"/>
          <c:showBubbleSize val="0"/>
        </c:dLbls>
        <c:gapWidth val="150"/>
        <c:overlap val="100"/>
        <c:axId val="207041647"/>
        <c:axId val="207042063"/>
      </c:barChart>
      <c:catAx>
        <c:axId val="20704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42063"/>
        <c:crosses val="autoZero"/>
        <c:auto val="1"/>
        <c:lblAlgn val="ctr"/>
        <c:lblOffset val="100"/>
        <c:noMultiLvlLbl val="0"/>
      </c:catAx>
      <c:valAx>
        <c:axId val="207042063"/>
        <c:scaling>
          <c:orientation val="minMax"/>
          <c:max val="1"/>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41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Edit!PivotTable1</c:name>
    <c:fmtId val="0"/>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PT vs. NPT</a:t>
            </a:r>
          </a:p>
        </c:rich>
      </c:tx>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'Graph NPT Edit'!$B$7</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790-41FE-8AD4-FA12DBE781E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790-41FE-8AD4-FA12DBE781E6}"/>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'Graph NPT Edit'!$A$8</c:f>
              <c:strCache>
                <c:ptCount val="1"/>
                <c:pt idx="0">
                  <c:v>Grand Total</c:v>
                </c:pt>
              </c:strCache>
            </c:strRef>
          </c:cat>
          <c:val>
            <c:numRef>
              <c:f>'Graph NPT Edit'!$B$8</c:f>
              <c:numCache>
                <c:formatCode>General</c:formatCode>
                <c:ptCount val="1"/>
              </c:numCache>
            </c:numRef>
          </c:val>
          <c:extLst>
            <c:ext xmlns:c16="http://schemas.microsoft.com/office/drawing/2014/chart" uri="{C3380CC4-5D6E-409C-BE32-E72D297353CC}">
              <c16:uniqueId val="{00000000-ED7B-4D70-B198-4604F435CB35}"/>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dk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Detail!PivotTable1</c:name>
    <c:fmtId val="1"/>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aseline="0"/>
              <a:t>Total NPT Wells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numFmt formatCode="0.00%"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dLblPos val="outEnd"/>
          <c:showLegendKey val="1"/>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
        <c:idx val="27"/>
        <c:spPr>
          <a:solidFill>
            <a:schemeClr val="accent1"/>
          </a:solidFill>
          <a:ln>
            <a:noFill/>
          </a:ln>
          <a:effectLst>
            <a:outerShdw blurRad="317500" algn="ctr" rotWithShape="0">
              <a:prstClr val="black">
                <a:alpha val="25000"/>
              </a:prstClr>
            </a:outerShdw>
          </a:effectLst>
        </c:spPr>
      </c:pivotFmt>
      <c:pivotFmt>
        <c:idx val="28"/>
        <c:spPr>
          <a:solidFill>
            <a:schemeClr val="accent1"/>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pivotFmt>
      <c:pivotFmt>
        <c:idx val="40"/>
        <c:spPr>
          <a:solidFill>
            <a:schemeClr val="accent1"/>
          </a:solidFill>
          <a:ln>
            <a:noFill/>
          </a:ln>
          <a:effectLst>
            <a:outerShdw blurRad="317500" algn="ctr" rotWithShape="0">
              <a:prstClr val="black">
                <a:alpha val="25000"/>
              </a:prstClr>
            </a:outerShdw>
          </a:effectLst>
        </c:spPr>
      </c:pivotFmt>
      <c:pivotFmt>
        <c:idx val="41"/>
        <c:spPr>
          <a:solidFill>
            <a:schemeClr val="accent1"/>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'Graph NPT Detail'!$B$8</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186-4E69-8516-64E9B45DB86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186-4E69-8516-64E9B45DB86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D5C-40CA-A6B9-6A262AC1818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D5C-40CA-A6B9-6A262AC1818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D5C-40CA-A6B9-6A262AC18185}"/>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D5C-40CA-A6B9-6A262AC18185}"/>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D5C-40CA-A6B9-6A262AC18185}"/>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D5C-40CA-A6B9-6A262AC18185}"/>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D5C-40CA-A6B9-6A262AC18185}"/>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D5C-40CA-A6B9-6A262AC18185}"/>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0D5C-40CA-A6B9-6A262AC18185}"/>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0D5C-40CA-A6B9-6A262AC18185}"/>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0D5C-40CA-A6B9-6A262AC18185}"/>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15BA-4C74-B463-6D3DF2C331E2}"/>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15BA-4C74-B463-6D3DF2C331E2}"/>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3751-493C-AC57-06CF0FFF0390}"/>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3751-493C-AC57-06CF0FFF0390}"/>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1FF4-4CC4-B946-2D776ACA7DAA}"/>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1FF4-4CC4-B946-2D776ACA7DAA}"/>
              </c:ext>
            </c:extLst>
          </c:dPt>
          <c:dPt>
            <c:idx val="1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1FF4-4CC4-B946-2D776ACA7DAA}"/>
              </c:ext>
            </c:extLst>
          </c:dPt>
          <c:dPt>
            <c:idx val="20"/>
            <c:bubble3D val="0"/>
            <c:spPr>
              <a:solidFill>
                <a:schemeClr val="accent3">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1FF4-4CC4-B946-2D776ACA7DAA}"/>
              </c:ext>
            </c:extLst>
          </c:dPt>
          <c:dPt>
            <c:idx val="21"/>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1FF4-4CC4-B946-2D776ACA7DAA}"/>
              </c:ext>
            </c:extLst>
          </c:dPt>
          <c:dPt>
            <c:idx val="22"/>
            <c:bubble3D val="0"/>
            <c:spPr>
              <a:solidFill>
                <a:schemeClr val="accent5">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1FF4-4CC4-B946-2D776ACA7DAA}"/>
              </c:ext>
            </c:extLst>
          </c:dPt>
          <c:dPt>
            <c:idx val="23"/>
            <c:bubble3D val="0"/>
            <c:spPr>
              <a:solidFill>
                <a:schemeClr val="accent6">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F-1FF4-4CC4-B946-2D776ACA7DAA}"/>
              </c:ext>
            </c:extLst>
          </c:dPt>
          <c:dPt>
            <c:idx val="24"/>
            <c:bubble3D val="0"/>
            <c:spPr>
              <a:solidFill>
                <a:schemeClr val="accent1">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1-1FF4-4CC4-B946-2D776ACA7DAA}"/>
              </c:ext>
            </c:extLst>
          </c:dPt>
          <c:dLbls>
            <c:numFmt formatCode="0.00%"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'Graph NPT Detail'!$A$9</c:f>
              <c:strCache>
                <c:ptCount val="1"/>
                <c:pt idx="0">
                  <c:v>Grand Total</c:v>
                </c:pt>
              </c:strCache>
            </c:strRef>
          </c:cat>
          <c:val>
            <c:numRef>
              <c:f>'Graph NPT Detail'!$B$9</c:f>
              <c:numCache>
                <c:formatCode>General</c:formatCode>
                <c:ptCount val="1"/>
              </c:numCache>
            </c:numRef>
          </c:val>
          <c:extLst>
            <c:ext xmlns:c16="http://schemas.microsoft.com/office/drawing/2014/chart" uri="{C3380CC4-5D6E-409C-BE32-E72D297353CC}">
              <c16:uniqueId val="{00000004-8186-4E69-8516-64E9B45DB860}"/>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Detail Well!PivotTable1</c:name>
    <c:fmtId val="3"/>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r>
              <a:rPr lang="en-US"/>
              <a:t>Detail NPT by Well</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80000"/>
              <a:lumOff val="2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lumMod val="80000"/>
              <a:lumOff val="20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'Graph NPT Detail Well'!$B$7:$B$8</c:f>
              <c:strCache>
                <c:ptCount val="1"/>
                <c:pt idx="0">
                  <c:v>Grand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 Detail Well'!$A$9</c:f>
              <c:strCache>
                <c:ptCount val="1"/>
                <c:pt idx="0">
                  <c:v>Grand Total</c:v>
                </c:pt>
              </c:strCache>
            </c:strRef>
          </c:cat>
          <c:val>
            <c:numRef>
              <c:f>'Graph NPT Detail Well'!$B$9</c:f>
              <c:numCache>
                <c:formatCode>General</c:formatCode>
                <c:ptCount val="1"/>
              </c:numCache>
            </c:numRef>
          </c:val>
          <c:extLst>
            <c:ext xmlns:c16="http://schemas.microsoft.com/office/drawing/2014/chart" uri="{C3380CC4-5D6E-409C-BE32-E72D297353CC}">
              <c16:uniqueId val="{00000000-7E66-49B6-B34D-D1B2E614C737}"/>
            </c:ext>
          </c:extLst>
        </c:ser>
        <c:dLbls>
          <c:dLblPos val="ctr"/>
          <c:showLegendKey val="0"/>
          <c:showVal val="1"/>
          <c:showCatName val="0"/>
          <c:showSerName val="0"/>
          <c:showPercent val="0"/>
          <c:showBubbleSize val="0"/>
        </c:dLbls>
        <c:gapWidth val="150"/>
        <c:overlap val="100"/>
        <c:axId val="1268088079"/>
        <c:axId val="1268085583"/>
      </c:barChart>
      <c:catAx>
        <c:axId val="1268088079"/>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well</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5583"/>
        <c:crosses val="autoZero"/>
        <c:auto val="1"/>
        <c:lblAlgn val="ctr"/>
        <c:lblOffset val="100"/>
        <c:noMultiLvlLbl val="0"/>
      </c:catAx>
      <c:valAx>
        <c:axId val="1268085583"/>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 hours</a:t>
                </a:r>
              </a:p>
            </c:rich>
          </c:tx>
          <c:overlay val="0"/>
          <c:spPr>
            <a:noFill/>
            <a:ln>
              <a:noFill/>
            </a:ln>
            <a:effectLst/>
          </c:spPr>
          <c:txPr>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Clustered Column!PivotTable1</c:name>
    <c:fmtId val="12"/>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r>
              <a:rPr lang="en-US"/>
              <a:t>Detail NPT by Well</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 NPT Clustered Column'!$B$7:$B$8</c:f>
              <c:strCache>
                <c:ptCount val="1"/>
                <c:pt idx="0">
                  <c:v>Grand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 Clustered Column'!$A$9</c:f>
              <c:strCache>
                <c:ptCount val="1"/>
                <c:pt idx="0">
                  <c:v>Grand Total</c:v>
                </c:pt>
              </c:strCache>
            </c:strRef>
          </c:cat>
          <c:val>
            <c:numRef>
              <c:f>'Graph NPT Clustered Column'!$B$9</c:f>
              <c:numCache>
                <c:formatCode>General</c:formatCode>
                <c:ptCount val="1"/>
              </c:numCache>
            </c:numRef>
          </c:val>
          <c:extLst>
            <c:ext xmlns:c16="http://schemas.microsoft.com/office/drawing/2014/chart" uri="{C3380CC4-5D6E-409C-BE32-E72D297353CC}">
              <c16:uniqueId val="{00000000-8543-4010-8518-F6025AAB84EB}"/>
            </c:ext>
          </c:extLst>
        </c:ser>
        <c:dLbls>
          <c:dLblPos val="outEnd"/>
          <c:showLegendKey val="0"/>
          <c:showVal val="1"/>
          <c:showCatName val="0"/>
          <c:showSerName val="0"/>
          <c:showPercent val="0"/>
          <c:showBubbleSize val="0"/>
        </c:dLbls>
        <c:gapWidth val="150"/>
        <c:overlap val="-50"/>
        <c:axId val="1268088079"/>
        <c:axId val="1268085583"/>
      </c:barChart>
      <c:catAx>
        <c:axId val="1268088079"/>
        <c:scaling>
          <c:orientation val="minMax"/>
        </c:scaling>
        <c:delete val="0"/>
        <c:axPos val="b"/>
        <c:title>
          <c:tx>
            <c:rich>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well</a:t>
                </a:r>
              </a:p>
            </c:rich>
          </c:tx>
          <c:overlay val="0"/>
          <c:spPr>
            <a:noFill/>
            <a:ln>
              <a:noFill/>
            </a:ln>
            <a:effectLst/>
          </c:spPr>
          <c:txPr>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5583"/>
        <c:crosses val="autoZero"/>
        <c:auto val="1"/>
        <c:lblAlgn val="ctr"/>
        <c:lblOffset val="100"/>
        <c:noMultiLvlLbl val="0"/>
      </c:catAx>
      <c:valAx>
        <c:axId val="126808558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 hours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8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5</xdr:col>
      <xdr:colOff>945326</xdr:colOff>
      <xdr:row>3</xdr:row>
      <xdr:rowOff>90767</xdr:rowOff>
    </xdr:from>
    <xdr:to>
      <xdr:col>10</xdr:col>
      <xdr:colOff>84375</xdr:colOff>
      <xdr:row>23</xdr:row>
      <xdr:rowOff>104884</xdr:rowOff>
    </xdr:to>
    <xdr:graphicFrame macro="">
      <xdr:nvGraphicFramePr>
        <xdr:cNvPr id="2" name="Chart 1">
          <a:extLst>
            <a:ext uri="{FF2B5EF4-FFF2-40B4-BE49-F238E27FC236}">
              <a16:creationId xmlns:a16="http://schemas.microsoft.com/office/drawing/2014/main" id="{19F373FC-842E-34A7-459B-357C9D2F542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640527</xdr:colOff>
      <xdr:row>14</xdr:row>
      <xdr:rowOff>108696</xdr:rowOff>
    </xdr:from>
    <xdr:to>
      <xdr:col>4</xdr:col>
      <xdr:colOff>838756</xdr:colOff>
      <xdr:row>34</xdr:row>
      <xdr:rowOff>122814</xdr:rowOff>
    </xdr:to>
    <xdr:graphicFrame macro="">
      <xdr:nvGraphicFramePr>
        <xdr:cNvPr id="2" name="Chart 1">
          <a:extLst>
            <a:ext uri="{FF2B5EF4-FFF2-40B4-BE49-F238E27FC236}">
              <a16:creationId xmlns:a16="http://schemas.microsoft.com/office/drawing/2014/main" id="{0FA11AAA-54B3-438E-A280-195A5FA280B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721659</xdr:colOff>
      <xdr:row>11</xdr:row>
      <xdr:rowOff>112059</xdr:rowOff>
    </xdr:from>
    <xdr:to>
      <xdr:col>10</xdr:col>
      <xdr:colOff>70482</xdr:colOff>
      <xdr:row>31</xdr:row>
      <xdr:rowOff>126176</xdr:rowOff>
    </xdr:to>
    <xdr:graphicFrame macro="">
      <xdr:nvGraphicFramePr>
        <xdr:cNvPr id="3" name="Chart 2">
          <a:extLst>
            <a:ext uri="{FF2B5EF4-FFF2-40B4-BE49-F238E27FC236}">
              <a16:creationId xmlns:a16="http://schemas.microsoft.com/office/drawing/2014/main" id="{6C486D70-DB2A-066E-DA2F-30F9BABCE88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573741</xdr:colOff>
      <xdr:row>14</xdr:row>
      <xdr:rowOff>53787</xdr:rowOff>
    </xdr:from>
    <xdr:to>
      <xdr:col>17</xdr:col>
      <xdr:colOff>801106</xdr:colOff>
      <xdr:row>34</xdr:row>
      <xdr:rowOff>67905</xdr:rowOff>
    </xdr:to>
    <xdr:graphicFrame macro="">
      <xdr:nvGraphicFramePr>
        <xdr:cNvPr id="4" name="Chart 3">
          <a:extLst>
            <a:ext uri="{FF2B5EF4-FFF2-40B4-BE49-F238E27FC236}">
              <a16:creationId xmlns:a16="http://schemas.microsoft.com/office/drawing/2014/main" id="{316D373A-8CEC-4F2B-80C0-C10B5AF1F3D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986118</xdr:colOff>
      <xdr:row>51</xdr:row>
      <xdr:rowOff>170330</xdr:rowOff>
    </xdr:from>
    <xdr:to>
      <xdr:col>9</xdr:col>
      <xdr:colOff>119788</xdr:colOff>
      <xdr:row>72</xdr:row>
      <xdr:rowOff>5154</xdr:rowOff>
    </xdr:to>
    <xdr:graphicFrame macro="">
      <xdr:nvGraphicFramePr>
        <xdr:cNvPr id="5" name="Chart 4">
          <a:extLst>
            <a:ext uri="{FF2B5EF4-FFF2-40B4-BE49-F238E27FC236}">
              <a16:creationId xmlns:a16="http://schemas.microsoft.com/office/drawing/2014/main" id="{8C4F7E8C-AD28-4D52-A0CC-F7DC3194F3A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1165411</xdr:colOff>
      <xdr:row>51</xdr:row>
      <xdr:rowOff>107577</xdr:rowOff>
    </xdr:from>
    <xdr:to>
      <xdr:col>15</xdr:col>
      <xdr:colOff>693529</xdr:colOff>
      <xdr:row>71</xdr:row>
      <xdr:rowOff>121695</xdr:rowOff>
    </xdr:to>
    <xdr:graphicFrame macro="">
      <xdr:nvGraphicFramePr>
        <xdr:cNvPr id="6" name="Chart 5">
          <a:extLst>
            <a:ext uri="{FF2B5EF4-FFF2-40B4-BE49-F238E27FC236}">
              <a16:creationId xmlns:a16="http://schemas.microsoft.com/office/drawing/2014/main" id="{B63AEC85-37DA-4EA8-8793-CFD10F7E39E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708212</xdr:colOff>
      <xdr:row>20</xdr:row>
      <xdr:rowOff>38772</xdr:rowOff>
    </xdr:from>
    <xdr:to>
      <xdr:col>4</xdr:col>
      <xdr:colOff>361836</xdr:colOff>
      <xdr:row>40</xdr:row>
      <xdr:rowOff>52889</xdr:rowOff>
    </xdr:to>
    <xdr:graphicFrame macro="">
      <xdr:nvGraphicFramePr>
        <xdr:cNvPr id="3" name="Chart 2">
          <a:extLst>
            <a:ext uri="{FF2B5EF4-FFF2-40B4-BE49-F238E27FC236}">
              <a16:creationId xmlns:a16="http://schemas.microsoft.com/office/drawing/2014/main" id="{742509EA-30F4-CF19-1B8C-5942077035BA}"/>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31</xdr:row>
      <xdr:rowOff>156210</xdr:rowOff>
    </xdr:from>
    <xdr:to>
      <xdr:col>14</xdr:col>
      <xdr:colOff>380940</xdr:colOff>
      <xdr:row>61</xdr:row>
      <xdr:rowOff>69810</xdr:rowOff>
    </xdr:to>
    <xdr:graphicFrame macro="">
      <xdr:nvGraphicFramePr>
        <xdr:cNvPr id="3" name="Chart 2">
          <a:extLst>
            <a:ext uri="{FF2B5EF4-FFF2-40B4-BE49-F238E27FC236}">
              <a16:creationId xmlns:a16="http://schemas.microsoft.com/office/drawing/2014/main" id="{5867FD33-8051-5FD2-A660-FBD8518279E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15240</xdr:colOff>
      <xdr:row>31</xdr:row>
      <xdr:rowOff>102870</xdr:rowOff>
    </xdr:from>
    <xdr:to>
      <xdr:col>23</xdr:col>
      <xdr:colOff>830520</xdr:colOff>
      <xdr:row>61</xdr:row>
      <xdr:rowOff>16470</xdr:rowOff>
    </xdr:to>
    <xdr:graphicFrame macro="">
      <xdr:nvGraphicFramePr>
        <xdr:cNvPr id="4" name="Chart 3">
          <a:extLst>
            <a:ext uri="{FF2B5EF4-FFF2-40B4-BE49-F238E27FC236}">
              <a16:creationId xmlns:a16="http://schemas.microsoft.com/office/drawing/2014/main" id="{89A20B3D-BCF6-4199-7110-02186B7519A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579120</xdr:colOff>
      <xdr:row>5</xdr:row>
      <xdr:rowOff>83820</xdr:rowOff>
    </xdr:from>
    <xdr:to>
      <xdr:col>12</xdr:col>
      <xdr:colOff>492720</xdr:colOff>
      <xdr:row>25</xdr:row>
      <xdr:rowOff>26220</xdr:rowOff>
    </xdr:to>
    <xdr:graphicFrame macro="">
      <xdr:nvGraphicFramePr>
        <xdr:cNvPr id="2" name="Chart 1">
          <a:extLst>
            <a:ext uri="{FF2B5EF4-FFF2-40B4-BE49-F238E27FC236}">
              <a16:creationId xmlns:a16="http://schemas.microsoft.com/office/drawing/2014/main" id="{6532CAF7-B097-CB1C-B04C-BDA6291E3B7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297180</xdr:colOff>
      <xdr:row>1</xdr:row>
      <xdr:rowOff>60960</xdr:rowOff>
    </xdr:from>
    <xdr:to>
      <xdr:col>16</xdr:col>
      <xdr:colOff>342840</xdr:colOff>
      <xdr:row>30</xdr:row>
      <xdr:rowOff>157440</xdr:rowOff>
    </xdr:to>
    <xdr:graphicFrame macro="">
      <xdr:nvGraphicFramePr>
        <xdr:cNvPr id="2" name="Chart 1">
          <a:extLst>
            <a:ext uri="{FF2B5EF4-FFF2-40B4-BE49-F238E27FC236}">
              <a16:creationId xmlns:a16="http://schemas.microsoft.com/office/drawing/2014/main" id="{20FBA98F-76E8-4324-931D-3F8E99682CB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1322295</xdr:colOff>
      <xdr:row>20</xdr:row>
      <xdr:rowOff>89647</xdr:rowOff>
    </xdr:from>
    <xdr:to>
      <xdr:col>5</xdr:col>
      <xdr:colOff>1113636</xdr:colOff>
      <xdr:row>60</xdr:row>
      <xdr:rowOff>117882</xdr:rowOff>
    </xdr:to>
    <xdr:graphicFrame macro="">
      <xdr:nvGraphicFramePr>
        <xdr:cNvPr id="3" name="Chart 2">
          <a:extLst>
            <a:ext uri="{FF2B5EF4-FFF2-40B4-BE49-F238E27FC236}">
              <a16:creationId xmlns:a16="http://schemas.microsoft.com/office/drawing/2014/main" id="{9D2A3880-0C11-AC6C-3F78-28EF8A03E26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1322296</xdr:colOff>
      <xdr:row>20</xdr:row>
      <xdr:rowOff>89647</xdr:rowOff>
    </xdr:from>
    <xdr:to>
      <xdr:col>4</xdr:col>
      <xdr:colOff>1612413</xdr:colOff>
      <xdr:row>40</xdr:row>
      <xdr:rowOff>103764</xdr:rowOff>
    </xdr:to>
    <xdr:graphicFrame macro="">
      <xdr:nvGraphicFramePr>
        <xdr:cNvPr id="2" name="Chart 1">
          <a:extLst>
            <a:ext uri="{FF2B5EF4-FFF2-40B4-BE49-F238E27FC236}">
              <a16:creationId xmlns:a16="http://schemas.microsoft.com/office/drawing/2014/main" id="{98F1F1D3-C9C3-4E0C-8D9E-4BE0B5B7DA0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44.836987615738" createdVersion="8" refreshedVersion="8" minRefreshableVersion="3" recordCount="7" xr:uid="{60690ACE-D635-4A20-AA15-A69567EA28A3}">
  <cacheSource type="worksheet">
    <worksheetSource name="Table4"/>
  </cacheSource>
  <cacheFields count="21">
    <cacheField name="Rig Name" numFmtId="0">
      <sharedItems count="7">
        <s v="NREM #01"/>
        <s v="PDSI #17.2/NT45-M"/>
        <s v="PDSI #23.1/CWKT210-M"/>
        <s v="PDSI #41.3/N110UE"/>
        <s v="PDSI #42.3/N1500-E"/>
        <s v="TMMJ-05"/>
        <s v="TMMJ-12"/>
      </sharedItems>
    </cacheField>
    <cacheField name="Actual - Move (days)" numFmtId="2">
      <sharedItems containsSemiMixedTypes="0" containsString="0" containsNumber="1" minValue="0" maxValue="58.666666666664241"/>
    </cacheField>
    <cacheField name="Actual - R/U Endurance (days)" numFmtId="2">
      <sharedItems containsSemiMixedTypes="0" containsString="0" containsNumber="1" minValue="0" maxValue="70.791666666664241"/>
    </cacheField>
    <cacheField name="Actual - Operation w/ NPT (days)" numFmtId="2">
      <sharedItems containsSemiMixedTypes="0" containsString="0" containsNumber="1" minValue="60.666666666664241" maxValue="429.83333333333576"/>
    </cacheField>
    <cacheField name="Actual - R/D (days)" numFmtId="2">
      <sharedItems containsSemiMixedTypes="0" containsString="0" containsNumber="1" minValue="0" maxValue="15"/>
    </cacheField>
    <cacheField name="Standby (days)" numFmtId="2">
      <sharedItems containsSemiMixedTypes="0" containsString="0" containsNumber="1" minValue="-89567.833333333343" maxValue="53.791666666671517"/>
    </cacheField>
    <cacheField name="NPT (days)" numFmtId="2">
      <sharedItems containsSemiMixedTypes="0" containsString="0" containsNumber="1" minValue="3.0416666666666665" maxValue="155.10416666666666"/>
    </cacheField>
    <cacheField name="Total Gross (days)" numFmtId="2">
      <sharedItems containsSemiMixedTypes="0" containsString="0" containsNumber="1" minValue="-89394.875" maxValue="473.25"/>
    </cacheField>
    <cacheField name="Rig Availability (days)" numFmtId="168">
      <sharedItems containsSemiMixedTypes="0" containsString="0" containsNumber="1" minValue="-89397.916666666657" maxValue="318.14583333333337"/>
    </cacheField>
    <cacheField name="Rig Utility (days)" numFmtId="168">
      <sharedItems containsSemiMixedTypes="0" containsString="0" containsNumber="1" minValue="74.06250000000243" maxValue="316.72916666666913"/>
    </cacheField>
    <cacheField name="Average Rig Availability" numFmtId="168">
      <sharedItems containsSemiMixedTypes="0" containsString="0" containsNumber="1" minValue="1.0015086925517118" maxValue="1.0015086925517118"/>
    </cacheField>
    <cacheField name="Average Rig Utility" numFmtId="168">
      <sharedItems containsSemiMixedTypes="0" containsString="0" containsNumber="1" minValue="-6.9336032139762395E-3" maxValue="-6.9336032139762395E-3"/>
    </cacheField>
    <cacheField name="Actual - Operation (days)" numFmtId="2">
      <sharedItems containsSemiMixedTypes="0" containsString="0" containsNumber="1" minValue="54.020833333330906" maxValue="274.72916666666913"/>
    </cacheField>
    <cacheField name="Availability" numFmtId="0" formula="('Actual - Move (days)'+'Actual - R/U Endurance (days)'+'Actual - Operation w/ NPT (days)'-'NPT (days)'+'Actual - R/D (days)'+'Standby (days)')/'Total Gross (days)'" databaseField="0"/>
    <cacheField name="Utility" numFmtId="0" formula=" ('Actual - Move (days)'+'Actual - R/U Endurance (days)'+'Actual - Operation w/ NPT (days)'+'Actual - R/D (days)'-'NPT (days)')/'Total Gross (days)'" databaseField="0"/>
    <cacheField name="Actual - Move" numFmtId="0" formula="'Actual - Move (days)'/'Total Gross (days)'" databaseField="0"/>
    <cacheField name="Actual - R/U Endurance" numFmtId="0" formula="'Actual - R/U Endurance (days)'/'Total Gross (days)'" databaseField="0"/>
    <cacheField name="Actual - Operation" numFmtId="0" formula="'Actual - Operation (days)'/'Total Gross (days)'" databaseField="0"/>
    <cacheField name="Actual - R/D" numFmtId="0" formula="'Actual - R/D (days)'/'Total Gross (days)'" databaseField="0"/>
    <cacheField name="Actual - NPT" numFmtId="0" formula="'NPT (days)'/'Total Gross (days)'" databaseField="0"/>
    <cacheField name="Actual - Standby" numFmtId="0" formula="'Standby (days)'/'Total Gross (days)'"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44.836987847222" createdVersion="8" refreshedVersion="8" minRefreshableVersion="3" recordCount="93" xr:uid="{BC150526-8BE6-4070-9916-CFA59736B1EE}">
  <cacheSource type="worksheet">
    <worksheetSource name="NPTDataEdit"/>
  </cacheSource>
  <cacheFields count="16">
    <cacheField name="Asset" numFmtId="0">
      <sharedItems containsBlank="1" count="2">
        <s v="Zona 1"/>
        <m u="1"/>
      </sharedItems>
    </cacheField>
    <cacheField name="Field" numFmtId="0">
      <sharedItems containsBlank="1" count="5">
        <s v="Jambi"/>
        <s v="Rantau"/>
        <s v="Pangkalan Brandan"/>
        <m u="1"/>
        <s v="Sungai Rotan" u="1"/>
      </sharedItems>
    </cacheField>
    <cacheField name="Nama Lokasi" numFmtId="0">
      <sharedItems/>
    </cacheField>
    <cacheField name="Nama Sumur" numFmtId="0">
      <sharedItems containsBlank="1" count="41">
        <s v="SKB-002 (SKB-B)"/>
        <s v="P-462 (RNT-INJ06)"/>
        <s v="P-460 (RNT-PRD09)"/>
        <s v="P-461 (RNT-SZ25)"/>
        <s v="P-463 (RNT-SZ27)"/>
        <s v="SGC-032 (SGC-X8)"/>
        <s v="TPN-220 (TPN-DZ20.1)"/>
        <s v="TPN-221 (TPN-DZ20.2)"/>
        <s v="SGC-031 (SGC-X6)"/>
        <s v="KTT-045 (KTT-UP1)"/>
        <s v="PPS-005ST (PPS-E)"/>
        <s v="SGET-001 (SGET-001)"/>
        <s v="KSB-065 (KSB-PROP7)"/>
        <s v="P-464 (RNT-PRD01R)"/>
        <s v="CMA-001 (CMA-001)"/>
        <s v="KTT-046 (KTT-UP8)"/>
        <s v="TPN-222 (TPN-DZ20.5)"/>
        <s v="P-466 (RNT-SZ30)"/>
        <s v="SRT-1X (SRT-1X)"/>
        <s v="P-465 (RNT-PRD15R)"/>
        <m u="1"/>
        <s v="P-460" u="1"/>
        <s v="SKB-002" u="1"/>
        <s v="P-466" u="1"/>
        <s v="SGC-031" u="1"/>
        <s v="TPN-220" u="1"/>
        <s v="SGC-032" u="1"/>
        <s v="TPN-221" u="1"/>
        <s v="TPN-222" u="1"/>
        <s v="KTT-045" u="1"/>
        <s v="P-465" u="1"/>
        <s v="CMA-001" u="1"/>
        <s v="KSB-065" u="1"/>
        <s v="KTT-046" u="1"/>
        <s v="P-464" u="1"/>
        <s v="P-463" u="1"/>
        <s v="PPS-005ST" u="1"/>
        <s v="P-462" u="1"/>
        <s v="P-461" u="1"/>
        <s v="SRT-1X" u="1"/>
        <s v="SGET-001" u="1"/>
      </sharedItems>
    </cacheField>
    <cacheField name="C/F, C/O, New" numFmtId="0">
      <sharedItems/>
    </cacheField>
    <cacheField name="Jenis Pekerjaan" numFmtId="0">
      <sharedItems/>
    </cacheField>
    <cacheField name="Kategori Sumur" numFmtId="0">
      <sharedItems containsBlank="1" count="3">
        <s v="Development"/>
        <s v="Exploration"/>
        <m u="1"/>
      </sharedItems>
    </cacheField>
    <cacheField name="Tipe Sumur" numFmtId="0">
      <sharedItems/>
    </cacheField>
    <cacheField name="Nama Rig" numFmtId="0">
      <sharedItems containsBlank="1" count="8">
        <s v="NREM #01"/>
        <s v="TMMJ-12"/>
        <s v="PDSI #23.1/CWKT210-M"/>
        <s v="PDSI #17.2/NT45-M"/>
        <s v="TMMJ-05"/>
        <s v="PDSI #41.3/N110UE"/>
        <s v="PDSI #42.3/N1500-E"/>
        <m u="1"/>
      </sharedItems>
    </cacheField>
    <cacheField name="Tipe Rig" numFmtId="0">
      <sharedItems/>
    </cacheField>
    <cacheField name="HP Rig" numFmtId="0">
      <sharedItems containsSemiMixedTypes="0" containsString="0" containsNumber="1" containsInteger="1" minValue="400" maxValue="1500"/>
    </cacheField>
    <cacheField name="WP&amp;B 2022" numFmtId="17">
      <sharedItems containsNonDate="0" containsDate="1" containsString="0" containsBlank="1" minDate="2021-04-02T00:00:00" maxDate="2022-11-03T00:00:00"/>
    </cacheField>
    <cacheField name="Category" numFmtId="0">
      <sharedItems containsBlank="1" count="3">
        <s v="NPT"/>
        <s v="PT"/>
        <m u="1"/>
      </sharedItems>
    </cacheField>
    <cacheField name="Code" numFmtId="0">
      <sharedItems containsBlank="1" count="31">
        <s v="21f - Cementing Services"/>
        <m/>
        <s v="8a - Repair Power System"/>
        <s v="8n - Repair Safety System"/>
        <s v="22g - Other Problem Time"/>
        <s v="23a - Waiting on Weather"/>
        <s v="8s - Repair Others"/>
        <s v="21i - Wireline Services"/>
        <s v="8c - Repair Circulating System"/>
        <s v="21a - Directional Services"/>
        <s v="21m - Well Head &amp; X-Mastree Services"/>
        <s v="8d - Repair Rotating System"/>
        <s v="8f - Tubular Problem"/>
        <s v="8b - Repair Hoisting System"/>
        <s v="19a - Fishing Operations"/>
        <s v="8e - Repair Blow Out Preventer System"/>
        <s v="21g - Down Hole &amp; Surface Services"/>
        <s v="28b - Swabbing Problem Time"/>
        <s v="2h - Lossing Circulation / Pumping LCM / Monitor Unplanned"/>
        <s v="2j - Stuck Pipe Include Handling Operations"/>
        <s v="12f - Run Casing / Liner Problem"/>
        <s v="18b - Squeeze Unplanned"/>
        <s v="21d - UBD, MPD, Aerated Services"/>
        <s v="21j - Slick Line Services"/>
        <s v="21o - Waste Management Services"/>
        <s v="2g - Well Control Operations / Situation"/>
        <s v="3b - Washing / Reaming / Backreaming Unplanned"/>
        <s v="11d - Wireline / Slick Line Job Unplanned"/>
        <s v="21t - Others Services"/>
        <s v="22e - Logistics Problems"/>
        <s v="21b - Mud Services"/>
      </sharedItems>
    </cacheField>
    <cacheField name="Duration" numFmtId="0">
      <sharedItems containsSemiMixedTypes="0" containsString="0" containsNumber="1" minValue="1" maxValue="6635.5"/>
    </cacheField>
    <cacheField name="Remark"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44.836988194445" createdVersion="8" refreshedVersion="8" minRefreshableVersion="3" recordCount="30" xr:uid="{446ECF83-D3B0-4A73-87F4-6560B141784E}">
  <cacheSource type="worksheet">
    <worksheetSource name="NPTData"/>
  </cacheSource>
  <cacheFields count="69">
    <cacheField name="No." numFmtId="0">
      <sharedItems containsSemiMixedTypes="0" containsString="0" containsNumber="1" containsInteger="1" minValue="1" maxValue="30"/>
    </cacheField>
    <cacheField name="KKKS" numFmtId="0">
      <sharedItems/>
    </cacheField>
    <cacheField name="Wilayah Kerja" numFmtId="0">
      <sharedItems/>
    </cacheField>
    <cacheField name="Asset" numFmtId="0">
      <sharedItems count="1">
        <s v="Zona 1"/>
      </sharedItems>
    </cacheField>
    <cacheField name="Field" numFmtId="0">
      <sharedItems count="9">
        <s v="Jambi"/>
        <s v="Rantau"/>
        <s v="Pangkalan Susu"/>
        <s v="Pangkalan Brandan"/>
        <s v="Ketaling Barat" u="1"/>
        <s v="Secuari" u="1"/>
        <s v="Kuala Simpang" u="1"/>
        <s v="Sungai Rotan" u="1"/>
        <s v="Ketaling Timur" u="1"/>
      </sharedItems>
    </cacheField>
    <cacheField name="Nama Lokasi" numFmtId="0">
      <sharedItems/>
    </cacheField>
    <cacheField name="Nama Sumur" numFmtId="0">
      <sharedItems containsMixedTypes="1" containsNumber="1" containsInteger="1" minValue="0" maxValue="0" count="22">
        <n v="0"/>
        <s v="SKB-002 (SKB-B)"/>
        <s v="KTT-046 (KTT-UP8)"/>
        <s v="KSB-065 (KSB-PROP7)"/>
        <s v="P-462 (RNT-INJ06)"/>
        <s v="P-464 (RNT-PRD01R)"/>
        <s v="P-460 (RNT-PRD09)"/>
        <s v="P-465 (RNT-PRD15R)"/>
        <s v="P-461 (RNT-SZ25)"/>
        <s v="P-463 (RNT-SZ27)"/>
        <s v="P-466 (RNT-SZ30)"/>
        <s v="SGC-032 (SGC-X8)"/>
        <s v="TPN-220 (TPN-DZ20.1)"/>
        <s v="TPN-221 (TPN-DZ20.2)"/>
        <s v="TPN-222 (TPN-DZ20.5)"/>
        <s v="TPN-223 (TPN-DZ20.6)"/>
        <s v="SGC-031 (SGC-X6)"/>
        <s v="KTT-045 (KTT-UP1)"/>
        <s v="PPS-005ST (PPS-E)"/>
        <s v="SGET-001 (SGET-001)"/>
        <s v="CMA-001 (CMA-001)"/>
        <s v="SRT-1X (SRT-1X)"/>
      </sharedItems>
    </cacheField>
    <cacheField name="C/F, C/O, New" numFmtId="0">
      <sharedItems/>
    </cacheField>
    <cacheField name="Jenis Pekerjaan" numFmtId="0">
      <sharedItems/>
    </cacheField>
    <cacheField name="Kategori Sumur" numFmtId="0">
      <sharedItems count="2">
        <s v="Development"/>
        <s v="Exploration"/>
      </sharedItems>
    </cacheField>
    <cacheField name="Tipe Sumur" numFmtId="0">
      <sharedItems count="4">
        <s v="Directional"/>
        <s v="Vertical"/>
        <s v="Direksional" u="1"/>
        <s v="Vertikal" u="1"/>
      </sharedItems>
    </cacheField>
    <cacheField name="Nama Rig" numFmtId="0">
      <sharedItems count="7">
        <s v="PDSI #42.3/N1500-E"/>
        <s v="NREM #01"/>
        <s v="PDSI #17.2/NT45-M"/>
        <s v="TMMJ-12"/>
        <s v="PDSI #23.1/CWKT210-M"/>
        <s v="PDSI #41.3/N110UE"/>
        <s v="TMMJ-05"/>
      </sharedItems>
    </cacheField>
    <cacheField name="Tipe Rig" numFmtId="0">
      <sharedItems/>
    </cacheField>
    <cacheField name="HP Rig" numFmtId="0">
      <sharedItems containsSemiMixedTypes="0" containsString="0" containsNumber="1" containsInteger="1" minValue="400" maxValue="1500"/>
    </cacheField>
    <cacheField name="WP&amp;B 2022" numFmtId="17">
      <sharedItems containsSemiMixedTypes="0" containsNonDate="0" containsDate="1" containsString="0" minDate="1899-12-30T00:00:00" maxDate="2022-11-16T00:00:00"/>
    </cacheField>
    <cacheField name="2g - Well Control Operations / Situation" numFmtId="0">
      <sharedItems containsString="0" containsBlank="1" containsNumber="1" minValue="583.5" maxValue="583.5"/>
    </cacheField>
    <cacheField name="2h - Lossing Circulation / Pumping LCM / Monitor Unplanned" numFmtId="0">
      <sharedItems containsString="0" containsBlank="1" containsNumber="1" minValue="1625.5" maxValue="1625.5"/>
    </cacheField>
    <cacheField name="2j - Stuck Pipe Include Handling Operations" numFmtId="0">
      <sharedItems containsString="0" containsBlank="1" containsNumber="1" minValue="113.5" maxValue="455.5"/>
    </cacheField>
    <cacheField name="3b - Washing / Reaming / Backreaming Unplanned" numFmtId="0">
      <sharedItems containsString="0" containsBlank="1" containsNumber="1" containsInteger="1" minValue="2" maxValue="2"/>
    </cacheField>
    <cacheField name="5c - Circulate / Condition Mud Unplanned" numFmtId="0">
      <sharedItems containsNonDate="0" containsString="0" containsBlank="1"/>
    </cacheField>
    <cacheField name="8a - Repair Power System" numFmtId="0">
      <sharedItems containsString="0" containsBlank="1" containsNumber="1" minValue="2" maxValue="36.5"/>
    </cacheField>
    <cacheField name="8b - Repair Hoisting System" numFmtId="0">
      <sharedItems containsString="0" containsBlank="1" containsNumber="1" minValue="31" maxValue="83.5"/>
    </cacheField>
    <cacheField name="8c - Repair Circulating System" numFmtId="0">
      <sharedItems containsString="0" containsBlank="1" containsNumber="1" minValue="12" maxValue="66.5"/>
    </cacheField>
    <cacheField name="8d - Repair Rotating System" numFmtId="0">
      <sharedItems containsString="0" containsBlank="1" containsNumber="1" minValue="3" maxValue="33.5"/>
    </cacheField>
    <cacheField name="8e - Repair Blow Out Preventer System" numFmtId="0">
      <sharedItems containsString="0" containsBlank="1" containsNumber="1" minValue="13" maxValue="145.5"/>
    </cacheField>
    <cacheField name="8f - Tubular Problem" numFmtId="0">
      <sharedItems containsString="0" containsBlank="1" containsNumber="1" minValue="18.5" maxValue="48"/>
    </cacheField>
    <cacheField name="8g - Personal Problem" numFmtId="0">
      <sharedItems containsNonDate="0" containsString="0" containsBlank="1"/>
    </cacheField>
    <cacheField name="8n - Repair Safety System" numFmtId="0">
      <sharedItems containsString="0" containsBlank="1" containsNumber="1" containsInteger="1" minValue="3" maxValue="3"/>
    </cacheField>
    <cacheField name="8s - Repair Others" numFmtId="0">
      <sharedItems containsString="0" containsBlank="1" containsNumber="1" containsInteger="1" minValue="11" maxValue="11"/>
    </cacheField>
    <cacheField name="11d - Wireline / Slick Line Job Unplanned" numFmtId="0">
      <sharedItems containsString="0" containsBlank="1" containsNumber="1" containsInteger="1" minValue="24" maxValue="24"/>
    </cacheField>
    <cacheField name="12f - Run Casing / Liner Problem" numFmtId="0">
      <sharedItems containsString="0" containsBlank="1" containsNumber="1" minValue="3.5" maxValue="52"/>
    </cacheField>
    <cacheField name="18b - Squeeze Unplanned" numFmtId="0">
      <sharedItems containsString="0" containsBlank="1" containsNumber="1" minValue="52" maxValue="188.5"/>
    </cacheField>
    <cacheField name="19a - Fishing Operations" numFmtId="0">
      <sharedItems containsString="0" containsBlank="1" containsNumber="1" containsInteger="1" minValue="18" maxValue="342"/>
    </cacheField>
    <cacheField name="21a - Directional Services" numFmtId="0">
      <sharedItems containsString="0" containsBlank="1" containsNumber="1" minValue="4" maxValue="144"/>
    </cacheField>
    <cacheField name="21b - Mud Services" numFmtId="0">
      <sharedItems containsString="0" containsBlank="1" containsNumber="1" containsInteger="1" minValue="14" maxValue="14"/>
    </cacheField>
    <cacheField name="21c - MLU Services" numFmtId="0">
      <sharedItems containsNonDate="0" containsString="0" containsBlank="1"/>
    </cacheField>
    <cacheField name="21d - UBD, MPD, Aerated Services" numFmtId="0">
      <sharedItems containsString="0" containsBlank="1" containsNumber="1" minValue="3.5" maxValue="14.5"/>
    </cacheField>
    <cacheField name="21e - Casing Drilling Services" numFmtId="0">
      <sharedItems containsNonDate="0" containsString="0" containsBlank="1"/>
    </cacheField>
    <cacheField name="21f - Cementing Services" numFmtId="0">
      <sharedItems containsString="0" containsBlank="1" containsNumber="1" containsInteger="1" minValue="3" maxValue="162"/>
    </cacheField>
    <cacheField name="21g - Down Hole &amp; Surface Services" numFmtId="0">
      <sharedItems containsString="0" containsBlank="1" containsNumber="1" minValue="8.5" maxValue="387.5"/>
    </cacheField>
    <cacheField name="21h - Coiled Tubing Services" numFmtId="0">
      <sharedItems containsNonDate="0" containsString="0" containsBlank="1"/>
    </cacheField>
    <cacheField name="21i - Wireline Services" numFmtId="0">
      <sharedItems containsString="0" containsBlank="1" containsNumber="1" minValue="1.5" maxValue="21.5"/>
    </cacheField>
    <cacheField name="21j - Slick Line Services" numFmtId="0">
      <sharedItems containsString="0" containsBlank="1" containsNumber="1" minValue="1.5" maxValue="1.5"/>
    </cacheField>
    <cacheField name="21k - RTO Services" numFmtId="0">
      <sharedItems containsNonDate="0" containsString="0" containsBlank="1"/>
    </cacheField>
    <cacheField name="21l - Tubular Services" numFmtId="0">
      <sharedItems containsNonDate="0" containsString="0" containsBlank="1"/>
    </cacheField>
    <cacheField name="21m - Well Head &amp; X-Mastree Services" numFmtId="0">
      <sharedItems containsString="0" containsBlank="1" containsNumber="1" containsInteger="1" minValue="14" maxValue="21"/>
    </cacheField>
    <cacheField name="21n - Solid Control Services" numFmtId="0">
      <sharedItems containsNonDate="0" containsString="0" containsBlank="1"/>
    </cacheField>
    <cacheField name="21o - Waste Management Services" numFmtId="0">
      <sharedItems containsString="0" containsBlank="1" containsNumber="1" minValue="15.5" maxValue="15.5"/>
    </cacheField>
    <cacheField name="21p - H2S Services" numFmtId="0">
      <sharedItems containsNonDate="0" containsString="0" containsBlank="1"/>
    </cacheField>
    <cacheField name="21q - Stimulation Services" numFmtId="0">
      <sharedItems containsNonDate="0" containsString="0" containsBlank="1"/>
    </cacheField>
    <cacheField name="21r - Marine Support Services" numFmtId="0">
      <sharedItems containsNonDate="0" containsString="0" containsBlank="1"/>
    </cacheField>
    <cacheField name="21s - Transportation Services" numFmtId="0">
      <sharedItems containsNonDate="0" containsString="0" containsBlank="1"/>
    </cacheField>
    <cacheField name="21t - Others Services" numFmtId="0">
      <sharedItems containsString="0" containsBlank="1" containsNumber="1" minValue="4.5" maxValue="4.5"/>
    </cacheField>
    <cacheField name="22a - Material Problems" numFmtId="0">
      <sharedItems containsNonDate="0" containsString="0" containsBlank="1"/>
    </cacheField>
    <cacheField name="22b - Social Issue" numFmtId="0">
      <sharedItems containsNonDate="0" containsString="0" containsBlank="1"/>
    </cacheField>
    <cacheField name="22c - Environment Issue" numFmtId="0">
      <sharedItems containsNonDate="0" containsString="0" containsBlank="1"/>
    </cacheField>
    <cacheField name="22d - Location Problems" numFmtId="0">
      <sharedItems containsNonDate="0" containsString="0" containsBlank="1"/>
    </cacheField>
    <cacheField name="22e - Logistics Problems" numFmtId="0">
      <sharedItems containsString="0" containsBlank="1" containsNumber="1" containsInteger="1" minValue="25" maxValue="25"/>
    </cacheField>
    <cacheField name="22f - Regulatory Problems" numFmtId="0">
      <sharedItems containsNonDate="0" containsString="0" containsBlank="1"/>
    </cacheField>
    <cacheField name="22g - Other Problem Time" numFmtId="0">
      <sharedItems containsString="0" containsBlank="1" containsNumber="1" minValue="1" maxValue="662"/>
    </cacheField>
    <cacheField name="23a - Waiting on Weather" numFmtId="0">
      <sharedItems containsString="0" containsBlank="1" containsNumber="1" containsInteger="1" minValue="1" maxValue="2"/>
    </cacheField>
    <cacheField name="26d - Trip Problem Time" numFmtId="0">
      <sharedItems containsNonDate="0" containsString="0" containsBlank="1"/>
    </cacheField>
    <cacheField name="28b - Swabbing Problem Time" numFmtId="0">
      <sharedItems containsString="0" containsBlank="1" containsNumber="1" minValue="8" maxValue="20.5"/>
    </cacheField>
    <cacheField name="30c - Tree Problem Time" numFmtId="0">
      <sharedItems containsNonDate="0" containsString="0" containsBlank="1"/>
    </cacheField>
    <cacheField name="31b - Other Completions Problem Time" numFmtId="0">
      <sharedItems containsNonDate="0" containsString="0" containsBlank="1"/>
    </cacheField>
    <cacheField name="Total NPT (hours)" numFmtId="0">
      <sharedItems containsSemiMixedTypes="0" containsString="0" containsNumber="1" minValue="0" maxValue="3722.5"/>
    </cacheField>
    <cacheField name="PT Total (hours)" numFmtId="0">
      <sharedItems containsSemiMixedTypes="0" containsString="0" containsNumber="1" minValue="0" maxValue="6635.5"/>
    </cacheField>
    <cacheField name="Total Time (hours)" numFmtId="0">
      <sharedItems containsString="0" containsBlank="1" containsNumber="1" containsInteger="1" minValue="395" maxValue="10358"/>
    </cacheField>
    <cacheField name="Remark"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44.836988310184" createdVersion="8" refreshedVersion="8" minRefreshableVersion="3" recordCount="30" xr:uid="{6CCA58BD-6C59-4C02-9016-BAC97EA98AD8}">
  <cacheSource type="worksheet">
    <worksheetSource name="MainData"/>
  </cacheSource>
  <cacheFields count="45">
    <cacheField name="No." numFmtId="0">
      <sharedItems containsSemiMixedTypes="0" containsString="0" containsNumber="1" containsInteger="1" minValue="1" maxValue="30"/>
    </cacheField>
    <cacheField name="KKKS" numFmtId="0">
      <sharedItems/>
    </cacheField>
    <cacheField name="Wilayah Kerja" numFmtId="0">
      <sharedItems/>
    </cacheField>
    <cacheField name="Asset" numFmtId="0">
      <sharedItems/>
    </cacheField>
    <cacheField name="Field" numFmtId="0">
      <sharedItems containsBlank="1" count="13">
        <s v="Jambi"/>
        <s v="Rantau"/>
        <s v="Pangkalan Susu"/>
        <s v="Pangkalan Brandan"/>
        <m u="1"/>
        <s v="Ketaling Barat" u="1"/>
        <s v="Sungai Gelam Timur" u="1"/>
        <s v="Secuari" u="1"/>
        <s v="Tempino" u="1"/>
        <s v="Kuala Simpang" u="1"/>
        <s v="Sungai Gelam" u="1"/>
        <s v="Sungai Rotan" u="1"/>
        <s v="Ketaling Timur" u="1"/>
      </sharedItems>
    </cacheField>
    <cacheField name="Nama Lokasi" numFmtId="0">
      <sharedItems/>
    </cacheField>
    <cacheField name="Nama Sumur" numFmtId="0">
      <sharedItems containsBlank="1" count="43">
        <m/>
        <s v="SKB-002 (SKB-B)"/>
        <s v="KTT-046 (KTT-UP8)"/>
        <s v="KSB-065 (KSB-PROP7)"/>
        <s v="P-462 (RNT-INJ06)"/>
        <s v="P-464 (RNT-PRD01R)"/>
        <s v="P-460 (RNT-PRD09)"/>
        <s v="P-465 (RNT-PRD15R)"/>
        <s v="P-461 (RNT-SZ25)"/>
        <s v="P-463 (RNT-SZ27)"/>
        <s v="P-466 (RNT-SZ30)"/>
        <s v="SGC-032 (SGC-X8)"/>
        <s v="TPN-220 (TPN-DZ20.1)"/>
        <s v="TPN-221 (TPN-DZ20.2)"/>
        <s v="TPN-222 (TPN-DZ20.5)"/>
        <s v="TPN-223 (TPN-DZ20.6)"/>
        <s v="SGC-031 (SGC-X6)"/>
        <s v="KTT-045 (KTT-UP1)"/>
        <s v="PPS-005ST (PPS-E)"/>
        <s v="SGET-001 (SGET-001)"/>
        <s v="CMA-001 (CMA-001)"/>
        <s v="SRT-1X (SRT-1X)"/>
        <s v="P-460" u="1"/>
        <s v="SKB-002" u="1"/>
        <s v="P-466" u="1"/>
        <s v="SGC-031" u="1"/>
        <s v="TPN-220" u="1"/>
        <s v="SGC-032" u="1"/>
        <s v="TPN-221" u="1"/>
        <s v="TPN-222" u="1"/>
        <s v="KTT-045" u="1"/>
        <s v="P-465" u="1"/>
        <s v="CMA-001" u="1"/>
        <s v="TPN-223" u="1"/>
        <s v="KSB-065" u="1"/>
        <s v="KTT-046" u="1"/>
        <s v="P-464" u="1"/>
        <s v="P-463" u="1"/>
        <s v="PPS-005ST" u="1"/>
        <s v="P-462" u="1"/>
        <s v="P-461" u="1"/>
        <s v="SRT-1X" u="1"/>
        <s v="SGET-001" u="1"/>
      </sharedItems>
    </cacheField>
    <cacheField name="C/F, C/O, New" numFmtId="0">
      <sharedItems/>
    </cacheField>
    <cacheField name="Jenis Pekerjaan" numFmtId="0">
      <sharedItems/>
    </cacheField>
    <cacheField name="Kategori Sumur" numFmtId="0">
      <sharedItems count="2">
        <s v="Development"/>
        <s v="Exploration"/>
      </sharedItems>
    </cacheField>
    <cacheField name="Tipe Sumur" numFmtId="0">
      <sharedItems containsBlank="1" count="5">
        <s v="Directional"/>
        <s v="Vertical"/>
        <m u="1"/>
        <s v="Direksional" u="1"/>
        <s v="Vertikal" u="1"/>
      </sharedItems>
    </cacheField>
    <cacheField name="Status Sumur" numFmtId="0">
      <sharedItems containsBlank="1"/>
    </cacheField>
    <cacheField name="Nama Rig" numFmtId="0">
      <sharedItems count="7">
        <s v="PDSI #42.3/N1500-E"/>
        <s v="NREM #01"/>
        <s v="PDSI #17.2/NT45-M"/>
        <s v="TMMJ-12"/>
        <s v="PDSI #23.1/CWKT210-M"/>
        <s v="PDSI #41.3/N110UE"/>
        <s v="TMMJ-05"/>
      </sharedItems>
    </cacheField>
    <cacheField name="Tipe Rig" numFmtId="0">
      <sharedItems/>
    </cacheField>
    <cacheField name="HP Rig" numFmtId="0">
      <sharedItems containsSemiMixedTypes="0" containsString="0" containsNumber="1" containsInteger="1" minValue="400" maxValue="1500"/>
    </cacheField>
    <cacheField name="WP&amp;B 2022" numFmtId="17">
      <sharedItems containsNonDate="0" containsDate="1" containsString="0" containsBlank="1" minDate="2021-04-02T00:00:00" maxDate="2022-11-16T00:00:00"/>
    </cacheField>
    <cacheField name="Plan - Durasi Operasi (days)" numFmtId="166">
      <sharedItems containsSemiMixedTypes="0" containsString="0" containsNumber="1" minValue="17.100000000000001" maxValue="213.83"/>
    </cacheField>
    <cacheField name="Plan - Depth (mMD)" numFmtId="3">
      <sharedItems containsSemiMixedTypes="0" containsString="0" containsNumber="1" minValue="715" maxValue="4032.8"/>
    </cacheField>
    <cacheField name="AFE Budget" numFmtId="167">
      <sharedItems containsSemiMixedTypes="0" containsString="0" containsNumber="1" minValue="2213895" maxValue="26620003"/>
    </cacheField>
    <cacheField name="Longitude" numFmtId="0">
      <sharedItems containsString="0" containsBlank="1" containsNumber="1" minValue="98.052231591840595" maxValue="98.186653732393907"/>
    </cacheField>
    <cacheField name="Latitude" numFmtId="0">
      <sharedItems containsString="0" containsBlank="1" containsNumber="1" minValue="3.9918034864350802" maxValue="4.3510401736709996"/>
    </cacheField>
    <cacheField name="Actual - Start Move Date" numFmtId="22">
      <sharedItems containsNonDate="0" containsDate="1" containsString="0" containsBlank="1" minDate="2021-03-03T00:00:00" maxDate="2022-08-10T09:00:00"/>
    </cacheField>
    <cacheField name="Actual - Finish Move Date" numFmtId="22">
      <sharedItems containsNonDate="0" containsDate="1" containsString="0" containsBlank="1" minDate="2021-04-01T00:00:00" maxDate="2022-08-12T09:00:00"/>
    </cacheField>
    <cacheField name="Actual - Move (days)" numFmtId="168">
      <sharedItems containsSemiMixedTypes="0" containsString="0" containsNumber="1" minValue="0" maxValue="55.291666666664241"/>
    </cacheField>
    <cacheField name="Actual - Start R/U Endurance Date" numFmtId="22">
      <sharedItems containsNonDate="0" containsDate="1" containsString="0" containsBlank="1" minDate="2021-04-02T10:00:00" maxDate="2022-08-12T09:00:00"/>
    </cacheField>
    <cacheField name="Actual - Finish R/U Endurance Date" numFmtId="22">
      <sharedItems containsNonDate="0" containsDate="1" containsString="0" containsBlank="1" minDate="2021-04-12T10:00:00" maxDate="2022-08-21T10:00:00"/>
    </cacheField>
    <cacheField name="Actual - R/U Endurance (days)" numFmtId="168">
      <sharedItems containsSemiMixedTypes="0" containsString="0" containsNumber="1" minValue="0" maxValue="23.916666666664241"/>
    </cacheField>
    <cacheField name="Actual - Start Drilling Date" numFmtId="22">
      <sharedItems containsNonDate="0" containsDate="1" containsString="0" containsBlank="1" minDate="2021-04-12T10:00:00" maxDate="2022-08-21T10:00:00"/>
    </cacheField>
    <cacheField name="Actual - Finish Drilling Date" numFmtId="22">
      <sharedItems containsNonDate="0" containsDate="1" containsString="0" containsBlank="1" minDate="2021-12-24T04:00:00" maxDate="2022-08-31T10:00:00"/>
    </cacheField>
    <cacheField name="Actual - Drilling (days)" numFmtId="168">
      <sharedItems containsSemiMixedTypes="0" containsString="0" containsNumber="1" minValue="0" maxValue="336.375"/>
    </cacheField>
    <cacheField name="Actual - Start Completion Date" numFmtId="22">
      <sharedItems containsNonDate="0" containsDate="1" containsString="0" containsBlank="1" minDate="2021-12-24T04:00:00" maxDate="2022-08-31T10:00:00"/>
    </cacheField>
    <cacheField name="Actual - Finish Completion Date" numFmtId="22">
      <sharedItems containsNonDate="0" containsDate="1" containsString="0" containsBlank="1" minDate="2022-01-15T17:00:00" maxDate="2022-09-29T00:00:00"/>
    </cacheField>
    <cacheField name="Actual - Completion (days)" numFmtId="168">
      <sharedItems containsSemiMixedTypes="0" containsString="0" containsNumber="1" minValue="0" maxValue="95.395833333335759"/>
    </cacheField>
    <cacheField name="Actual - Operation (days)" numFmtId="168">
      <sharedItems containsSemiMixedTypes="0" containsString="0" containsNumber="1" minValue="0" maxValue="429.83333333333576"/>
    </cacheField>
    <cacheField name="Actual - Start R/D Date" numFmtId="22">
      <sharedItems containsNonDate="0" containsDate="1" containsString="0" containsBlank="1" minDate="2022-01-15T17:00:00" maxDate="2022-09-06T21:00:00"/>
    </cacheField>
    <cacheField name="Actual - Finish R/D Date" numFmtId="22">
      <sharedItems containsNonDate="0" containsDate="1" containsString="0" containsBlank="1" minDate="2022-01-18T17:00:00" maxDate="2022-09-08T21:00:00"/>
    </cacheField>
    <cacheField name="Actual - R/D (days)" numFmtId="0">
      <sharedItems containsSemiMixedTypes="0" containsString="0" containsNumber="1" minValue="0" maxValue="3.0416666666715173"/>
    </cacheField>
    <cacheField name="Actual - Total" numFmtId="168">
      <sharedItems containsSemiMixedTypes="0" containsString="0" containsNumber="1" minValue="0" maxValue="471.83333333333576"/>
    </cacheField>
    <cacheField name="Actual - Depth (mMD)" numFmtId="3">
      <sharedItems containsString="0" containsBlank="1" containsNumber="1" minValue="715" maxValue="3255"/>
    </cacheField>
    <cacheField name="Actual - DHB Cost" numFmtId="167">
      <sharedItems containsString="0" containsBlank="1" containsNumber="1" minValue="848047.64753048774" maxValue="47485213.662025839"/>
    </cacheField>
    <cacheField name="Actual - CHB Cost" numFmtId="167">
      <sharedItems containsString="0" containsBlank="1" containsNumber="1" minValue="654625.20717592631" maxValue="13292152.394450137"/>
    </cacheField>
    <cacheField name="Actual - Total Cost" numFmtId="167">
      <sharedItems containsSemiMixedTypes="0" containsString="0" containsNumber="1" minValue="0" maxValue="53886014.204052478"/>
    </cacheField>
    <cacheField name="Remark" numFmtId="0">
      <sharedItems containsBlank="1" longText="1"/>
    </cacheField>
    <cacheField name="Delta Dur" numFmtId="0" formula="'Plan - Durasi Operasi (days)'-'Actual - Operation (days)'" databaseField="0"/>
    <cacheField name="Delta Cos" numFmtId="0" formula="'AFE Budget'-'Actual - Total Cos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17.75"/>
    <n v="70.791666666664241"/>
    <n v="111.83333333332848"/>
    <n v="8.8333333333357587"/>
    <n v="53.791666666671517"/>
    <n v="7.291666666666667"/>
    <n v="263"/>
    <n v="255.70833333333334"/>
    <n v="201.91666666666183"/>
    <n v="1.0015086925517118"/>
    <n v="-6.9336032139762395E-3"/>
    <n v="104.54166666666181"/>
  </r>
  <r>
    <x v="1"/>
    <n v="25"/>
    <n v="41.958333333328483"/>
    <n v="126.58333333334303"/>
    <n v="15"/>
    <n v="-89567.833333333343"/>
    <n v="4"/>
    <n v="-89359.291666666672"/>
    <n v="-89363.291666666672"/>
    <n v="204.54166666667152"/>
    <n v="1.0015086925517118"/>
    <n v="-6.9336032139762395E-3"/>
    <n v="122.58333333334303"/>
  </r>
  <r>
    <x v="2"/>
    <n v="13.666666666664241"/>
    <n v="47.833333333335759"/>
    <n v="97.541666666664241"/>
    <n v="10"/>
    <n v="-89563.916666666657"/>
    <n v="3.0416666666666665"/>
    <n v="-89394.875"/>
    <n v="-89397.916666666657"/>
    <n v="165.99999999999758"/>
    <n v="1.0015086925517118"/>
    <n v="-6.9336032139762395E-3"/>
    <n v="94.49999999999757"/>
  </r>
  <r>
    <x v="3"/>
    <n v="29"/>
    <n v="10"/>
    <n v="429.83333333333576"/>
    <n v="3"/>
    <n v="1.41666666666424"/>
    <n v="155.10416666666666"/>
    <n v="473.25"/>
    <n v="318.14583333333337"/>
    <n v="316.72916666666913"/>
    <n v="1.0015086925517118"/>
    <n v="-6.9336032139762395E-3"/>
    <n v="274.72916666666913"/>
  </r>
  <r>
    <x v="4"/>
    <n v="0"/>
    <n v="0"/>
    <n v="184.25"/>
    <n v="0"/>
    <n v="0"/>
    <n v="75.083333333333329"/>
    <n v="184.25"/>
    <n v="109.16666666666667"/>
    <n v="109.16666666666667"/>
    <n v="1.0015086925517118"/>
    <n v="-6.9336032139762395E-3"/>
    <n v="109.16666666666667"/>
  </r>
  <r>
    <x v="5"/>
    <n v="17"/>
    <n v="0"/>
    <n v="60.666666666664241"/>
    <n v="3.0416666666715173"/>
    <n v="0"/>
    <n v="6.645833333333333"/>
    <n v="80.708333333335759"/>
    <n v="74.06250000000243"/>
    <n v="74.06250000000243"/>
    <n v="1.0015086925517118"/>
    <n v="-6.9336032139762395E-3"/>
    <n v="54.020833333330906"/>
  </r>
  <r>
    <x v="6"/>
    <n v="58.666666666664241"/>
    <n v="12.125"/>
    <n v="98.708333333335759"/>
    <n v="6"/>
    <n v="9.25"/>
    <n v="16.729166666666668"/>
    <n v="184.75"/>
    <n v="168.02083333333334"/>
    <n v="158.77083333333334"/>
    <n v="1.0015086925517118"/>
    <n v="-6.9336032139762395E-3"/>
    <n v="81.9791666666690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x v="0"/>
    <s v="SKB-B"/>
    <x v="0"/>
    <s v="C/F"/>
    <s v="New Well"/>
    <x v="0"/>
    <s v="Vertical"/>
    <x v="0"/>
    <s v="Rig Darat"/>
    <n v="550"/>
    <d v="2022-02-15T00:00:00"/>
    <x v="0"/>
    <x v="0"/>
    <n v="8"/>
    <m/>
  </r>
  <r>
    <x v="0"/>
    <x v="0"/>
    <s v="SKB-B"/>
    <x v="0"/>
    <s v="C/F"/>
    <s v="New Well"/>
    <x v="0"/>
    <s v="Vertical"/>
    <x v="0"/>
    <s v="Rig Darat"/>
    <n v="550"/>
    <d v="2022-02-15T00:00:00"/>
    <x v="1"/>
    <x v="1"/>
    <n v="620"/>
    <m/>
  </r>
  <r>
    <x v="0"/>
    <x v="1"/>
    <s v="RNT-INJ06"/>
    <x v="1"/>
    <s v="New"/>
    <s v="New Well"/>
    <x v="0"/>
    <s v="Vertical"/>
    <x v="1"/>
    <s v="Rig Darat"/>
    <n v="550"/>
    <d v="2022-07-02T00:00:00"/>
    <x v="0"/>
    <x v="2"/>
    <n v="23"/>
    <m/>
  </r>
  <r>
    <x v="0"/>
    <x v="1"/>
    <s v="RNT-INJ06"/>
    <x v="1"/>
    <s v="New"/>
    <s v="New Well"/>
    <x v="0"/>
    <s v="Vertical"/>
    <x v="1"/>
    <s v="Rig Darat"/>
    <n v="550"/>
    <d v="2022-07-02T00:00:00"/>
    <x v="0"/>
    <x v="3"/>
    <n v="3"/>
    <m/>
  </r>
  <r>
    <x v="0"/>
    <x v="1"/>
    <s v="RNT-INJ06"/>
    <x v="1"/>
    <s v="New"/>
    <s v="New Well"/>
    <x v="0"/>
    <s v="Vertical"/>
    <x v="1"/>
    <s v="Rig Darat"/>
    <n v="550"/>
    <d v="2022-07-02T00:00:00"/>
    <x v="0"/>
    <x v="4"/>
    <n v="1"/>
    <m/>
  </r>
  <r>
    <x v="0"/>
    <x v="1"/>
    <s v="RNT-INJ06"/>
    <x v="1"/>
    <s v="New"/>
    <s v="New Well"/>
    <x v="0"/>
    <s v="Vertical"/>
    <x v="1"/>
    <s v="Rig Darat"/>
    <n v="550"/>
    <d v="2022-07-02T00:00:00"/>
    <x v="0"/>
    <x v="5"/>
    <n v="1"/>
    <m/>
  </r>
  <r>
    <x v="0"/>
    <x v="1"/>
    <s v="RNT-INJ06"/>
    <x v="1"/>
    <s v="New"/>
    <s v="New Well"/>
    <x v="0"/>
    <s v="Vertical"/>
    <x v="1"/>
    <s v="Rig Darat"/>
    <n v="550"/>
    <d v="2022-07-02T00:00:00"/>
    <x v="1"/>
    <x v="1"/>
    <n v="518"/>
    <m/>
  </r>
  <r>
    <x v="0"/>
    <x v="1"/>
    <s v="RNT-PRD09"/>
    <x v="2"/>
    <s v="C/F"/>
    <s v="New Well"/>
    <x v="0"/>
    <s v="Vertical"/>
    <x v="2"/>
    <s v="Rig Darat"/>
    <n v="400"/>
    <d v="2022-01-02T00:00:00"/>
    <x v="0"/>
    <x v="2"/>
    <n v="36.5"/>
    <m/>
  </r>
  <r>
    <x v="0"/>
    <x v="1"/>
    <s v="RNT-PRD09"/>
    <x v="2"/>
    <s v="C/F"/>
    <s v="New Well"/>
    <x v="0"/>
    <s v="Vertical"/>
    <x v="2"/>
    <s v="Rig Darat"/>
    <n v="400"/>
    <d v="2022-01-02T00:00:00"/>
    <x v="0"/>
    <x v="6"/>
    <n v="11"/>
    <m/>
  </r>
  <r>
    <x v="0"/>
    <x v="1"/>
    <s v="RNT-PRD09"/>
    <x v="2"/>
    <s v="C/F"/>
    <s v="New Well"/>
    <x v="0"/>
    <s v="Vertical"/>
    <x v="2"/>
    <s v="Rig Darat"/>
    <n v="400"/>
    <d v="2022-01-02T00:00:00"/>
    <x v="1"/>
    <x v="1"/>
    <n v="492.5"/>
    <m/>
  </r>
  <r>
    <x v="0"/>
    <x v="1"/>
    <s v="RNT-SZ25"/>
    <x v="3"/>
    <s v="New"/>
    <s v="New Well"/>
    <x v="0"/>
    <s v="Vertical"/>
    <x v="2"/>
    <s v="Rig Darat"/>
    <n v="400"/>
    <d v="2022-03-15T00:00:00"/>
    <x v="1"/>
    <x v="1"/>
    <n v="409"/>
    <m/>
  </r>
  <r>
    <x v="0"/>
    <x v="1"/>
    <s v="RNT-SZ27"/>
    <x v="4"/>
    <s v="New"/>
    <s v="New Well"/>
    <x v="0"/>
    <s v="Vertical"/>
    <x v="2"/>
    <s v="Rig Darat"/>
    <n v="400"/>
    <d v="2022-05-02T00:00:00"/>
    <x v="1"/>
    <x v="1"/>
    <n v="486"/>
    <m/>
  </r>
  <r>
    <x v="0"/>
    <x v="0"/>
    <s v="SGC-X8"/>
    <x v="5"/>
    <s v="New"/>
    <s v="New Well"/>
    <x v="0"/>
    <s v="Directional"/>
    <x v="3"/>
    <s v="Rig Darat"/>
    <n v="550"/>
    <d v="2022-02-08T00:00:00"/>
    <x v="0"/>
    <x v="7"/>
    <n v="4"/>
    <m/>
  </r>
  <r>
    <x v="0"/>
    <x v="0"/>
    <s v="SGC-X8"/>
    <x v="5"/>
    <s v="New"/>
    <s v="New Well"/>
    <x v="0"/>
    <s v="Directional"/>
    <x v="3"/>
    <s v="Rig Darat"/>
    <n v="550"/>
    <d v="2022-02-08T00:00:00"/>
    <x v="1"/>
    <x v="1"/>
    <n v="530"/>
    <m/>
  </r>
  <r>
    <x v="0"/>
    <x v="0"/>
    <s v="TPN-DZ20.1"/>
    <x v="6"/>
    <s v="New"/>
    <s v="New Well"/>
    <x v="0"/>
    <s v="Directional"/>
    <x v="3"/>
    <s v="Rig Darat"/>
    <n v="550"/>
    <d v="2022-03-22T00:00:00"/>
    <x v="0"/>
    <x v="8"/>
    <n v="13.5"/>
    <m/>
  </r>
  <r>
    <x v="0"/>
    <x v="0"/>
    <s v="TPN-DZ20.1"/>
    <x v="6"/>
    <s v="New"/>
    <s v="New Well"/>
    <x v="0"/>
    <s v="Directional"/>
    <x v="3"/>
    <s v="Rig Darat"/>
    <n v="550"/>
    <d v="2022-03-22T00:00:00"/>
    <x v="0"/>
    <x v="9"/>
    <n v="20"/>
    <m/>
  </r>
  <r>
    <x v="0"/>
    <x v="0"/>
    <s v="TPN-DZ20.1"/>
    <x v="6"/>
    <s v="New"/>
    <s v="New Well"/>
    <x v="0"/>
    <s v="Directional"/>
    <x v="3"/>
    <s v="Rig Darat"/>
    <n v="550"/>
    <d v="2022-03-22T00:00:00"/>
    <x v="0"/>
    <x v="10"/>
    <n v="21"/>
    <m/>
  </r>
  <r>
    <x v="0"/>
    <x v="0"/>
    <s v="TPN-DZ20.1"/>
    <x v="6"/>
    <s v="New"/>
    <s v="New Well"/>
    <x v="0"/>
    <s v="Directional"/>
    <x v="3"/>
    <s v="Rig Darat"/>
    <n v="550"/>
    <d v="2022-03-22T00:00:00"/>
    <x v="1"/>
    <x v="1"/>
    <n v="722.5"/>
    <m/>
  </r>
  <r>
    <x v="0"/>
    <x v="0"/>
    <s v="TPN-DZ20.2"/>
    <x v="7"/>
    <s v="New"/>
    <s v="New Well"/>
    <x v="0"/>
    <s v="Directional"/>
    <x v="3"/>
    <s v="Rig Darat"/>
    <n v="550"/>
    <d v="2022-06-08T00:00:00"/>
    <x v="0"/>
    <x v="7"/>
    <n v="21.5"/>
    <m/>
  </r>
  <r>
    <x v="0"/>
    <x v="0"/>
    <s v="TPN-DZ20.2"/>
    <x v="7"/>
    <s v="New"/>
    <s v="New Well"/>
    <x v="0"/>
    <s v="Directional"/>
    <x v="3"/>
    <s v="Rig Darat"/>
    <n v="550"/>
    <d v="2022-06-08T00:00:00"/>
    <x v="1"/>
    <x v="1"/>
    <n v="501.5"/>
    <m/>
  </r>
  <r>
    <x v="0"/>
    <x v="0"/>
    <s v="SGC-X6"/>
    <x v="8"/>
    <s v="C/O"/>
    <s v="New Well"/>
    <x v="0"/>
    <s v="Vertical"/>
    <x v="0"/>
    <s v="Rig Darat"/>
    <n v="550"/>
    <d v="2021-12-22T00:00:00"/>
    <x v="0"/>
    <x v="8"/>
    <n v="40"/>
    <m/>
  </r>
  <r>
    <x v="0"/>
    <x v="0"/>
    <s v="SGC-X6"/>
    <x v="8"/>
    <s v="C/O"/>
    <s v="New Well"/>
    <x v="0"/>
    <s v="Vertical"/>
    <x v="0"/>
    <s v="Rig Darat"/>
    <n v="550"/>
    <d v="2021-12-22T00:00:00"/>
    <x v="0"/>
    <x v="11"/>
    <n v="13.5"/>
    <m/>
  </r>
  <r>
    <x v="0"/>
    <x v="0"/>
    <s v="SGC-X6"/>
    <x v="8"/>
    <s v="C/O"/>
    <s v="New Well"/>
    <x v="0"/>
    <s v="Vertical"/>
    <x v="0"/>
    <s v="Rig Darat"/>
    <n v="550"/>
    <d v="2021-12-22T00:00:00"/>
    <x v="0"/>
    <x v="12"/>
    <n v="18.5"/>
    <m/>
  </r>
  <r>
    <x v="0"/>
    <x v="0"/>
    <s v="SGC-X6"/>
    <x v="8"/>
    <s v="C/O"/>
    <s v="New Well"/>
    <x v="0"/>
    <s v="Vertical"/>
    <x v="0"/>
    <s v="Rig Darat"/>
    <n v="550"/>
    <d v="2021-12-22T00:00:00"/>
    <x v="1"/>
    <x v="1"/>
    <n v="714"/>
    <m/>
  </r>
  <r>
    <x v="0"/>
    <x v="0"/>
    <s v="KTT-UP1"/>
    <x v="9"/>
    <s v="C/O"/>
    <s v="New Well"/>
    <x v="0"/>
    <s v="Directional"/>
    <x v="3"/>
    <s v="Rig Darat"/>
    <n v="550"/>
    <d v="2021-12-01T00:00:00"/>
    <x v="1"/>
    <x v="1"/>
    <n v="458"/>
    <m/>
  </r>
  <r>
    <x v="0"/>
    <x v="0"/>
    <s v="PPS-E"/>
    <x v="10"/>
    <s v="New"/>
    <s v="New Well"/>
    <x v="0"/>
    <s v="Directional"/>
    <x v="0"/>
    <s v="Rig Darat"/>
    <n v="550"/>
    <m/>
    <x v="0"/>
    <x v="13"/>
    <n v="31"/>
    <m/>
  </r>
  <r>
    <x v="0"/>
    <x v="0"/>
    <s v="PPS-E"/>
    <x v="10"/>
    <s v="New"/>
    <s v="New Well"/>
    <x v="0"/>
    <s v="Directional"/>
    <x v="0"/>
    <s v="Rig Darat"/>
    <n v="550"/>
    <m/>
    <x v="0"/>
    <x v="8"/>
    <n v="12.5"/>
    <m/>
  </r>
  <r>
    <x v="0"/>
    <x v="0"/>
    <s v="PPS-E"/>
    <x v="10"/>
    <s v="New"/>
    <s v="New Well"/>
    <x v="0"/>
    <s v="Directional"/>
    <x v="0"/>
    <s v="Rig Darat"/>
    <n v="550"/>
    <m/>
    <x v="0"/>
    <x v="11"/>
    <n v="33.5"/>
    <m/>
  </r>
  <r>
    <x v="0"/>
    <x v="0"/>
    <s v="PPS-E"/>
    <x v="10"/>
    <s v="New"/>
    <s v="New Well"/>
    <x v="0"/>
    <s v="Directional"/>
    <x v="0"/>
    <s v="Rig Darat"/>
    <n v="550"/>
    <m/>
    <x v="0"/>
    <x v="14"/>
    <n v="18"/>
    <m/>
  </r>
  <r>
    <x v="0"/>
    <x v="0"/>
    <s v="PPS-E"/>
    <x v="10"/>
    <s v="New"/>
    <s v="New Well"/>
    <x v="0"/>
    <s v="Directional"/>
    <x v="0"/>
    <s v="Rig Darat"/>
    <n v="550"/>
    <m/>
    <x v="1"/>
    <x v="1"/>
    <n v="709"/>
    <m/>
  </r>
  <r>
    <x v="0"/>
    <x v="0"/>
    <s v="SGET-001"/>
    <x v="11"/>
    <s v="C/O"/>
    <s v="New Well"/>
    <x v="1"/>
    <s v="Directional"/>
    <x v="4"/>
    <s v="Rig Darat"/>
    <n v="700"/>
    <d v="2021-11-15T00:00:00"/>
    <x v="0"/>
    <x v="15"/>
    <n v="18"/>
    <m/>
  </r>
  <r>
    <x v="0"/>
    <x v="0"/>
    <s v="SGET-001"/>
    <x v="11"/>
    <s v="C/O"/>
    <s v="New Well"/>
    <x v="1"/>
    <s v="Directional"/>
    <x v="4"/>
    <s v="Rig Darat"/>
    <n v="700"/>
    <d v="2021-11-15T00:00:00"/>
    <x v="0"/>
    <x v="16"/>
    <n v="140"/>
    <m/>
  </r>
  <r>
    <x v="0"/>
    <x v="0"/>
    <s v="SGET-001"/>
    <x v="11"/>
    <s v="C/O"/>
    <s v="New Well"/>
    <x v="1"/>
    <s v="Directional"/>
    <x v="4"/>
    <s v="Rig Darat"/>
    <n v="700"/>
    <d v="2021-11-15T00:00:00"/>
    <x v="0"/>
    <x v="7"/>
    <n v="1.5"/>
    <m/>
  </r>
  <r>
    <x v="0"/>
    <x v="0"/>
    <s v="SGET-001"/>
    <x v="11"/>
    <s v="C/O"/>
    <s v="New Well"/>
    <x v="1"/>
    <s v="Directional"/>
    <x v="4"/>
    <s v="Rig Darat"/>
    <n v="700"/>
    <d v="2021-11-15T00:00:00"/>
    <x v="1"/>
    <x v="1"/>
    <n v="1314.5"/>
    <m/>
  </r>
  <r>
    <x v="0"/>
    <x v="1"/>
    <s v="KSB-PROP7"/>
    <x v="12"/>
    <s v="New"/>
    <s v="New Well"/>
    <x v="0"/>
    <s v="Directional"/>
    <x v="1"/>
    <s v="Rig Darat"/>
    <n v="550"/>
    <d v="2022-04-02T00:00:00"/>
    <x v="0"/>
    <x v="2"/>
    <n v="2"/>
    <m/>
  </r>
  <r>
    <x v="0"/>
    <x v="1"/>
    <s v="KSB-PROP7"/>
    <x v="12"/>
    <s v="New"/>
    <s v="New Well"/>
    <x v="0"/>
    <s v="Directional"/>
    <x v="1"/>
    <s v="Rig Darat"/>
    <n v="550"/>
    <d v="2022-04-02T00:00:00"/>
    <x v="0"/>
    <x v="8"/>
    <n v="66.5"/>
    <m/>
  </r>
  <r>
    <x v="0"/>
    <x v="1"/>
    <s v="KSB-PROP7"/>
    <x v="12"/>
    <s v="New"/>
    <s v="New Well"/>
    <x v="0"/>
    <s v="Directional"/>
    <x v="1"/>
    <s v="Rig Darat"/>
    <n v="550"/>
    <d v="2022-04-02T00:00:00"/>
    <x v="0"/>
    <x v="11"/>
    <n v="14.5"/>
    <m/>
  </r>
  <r>
    <x v="0"/>
    <x v="1"/>
    <s v="KSB-PROP7"/>
    <x v="12"/>
    <s v="New"/>
    <s v="New Well"/>
    <x v="0"/>
    <s v="Directional"/>
    <x v="1"/>
    <s v="Rig Darat"/>
    <n v="550"/>
    <d v="2022-04-02T00:00:00"/>
    <x v="0"/>
    <x v="15"/>
    <n v="13"/>
    <m/>
  </r>
  <r>
    <x v="0"/>
    <x v="1"/>
    <s v="KSB-PROP7"/>
    <x v="12"/>
    <s v="New"/>
    <s v="New Well"/>
    <x v="0"/>
    <s v="Directional"/>
    <x v="1"/>
    <s v="Rig Darat"/>
    <n v="550"/>
    <d v="2022-04-02T00:00:00"/>
    <x v="1"/>
    <x v="1"/>
    <n v="726"/>
    <m/>
  </r>
  <r>
    <x v="0"/>
    <x v="1"/>
    <s v="RNT-PRD01R"/>
    <x v="13"/>
    <s v="New"/>
    <s v="New Well"/>
    <x v="0"/>
    <s v="Vertical"/>
    <x v="2"/>
    <s v="Rig Darat"/>
    <n v="400"/>
    <d v="2022-08-02T00:00:00"/>
    <x v="0"/>
    <x v="0"/>
    <n v="3"/>
    <m/>
  </r>
  <r>
    <x v="0"/>
    <x v="1"/>
    <s v="RNT-PRD01R"/>
    <x v="13"/>
    <s v="New"/>
    <s v="New Well"/>
    <x v="0"/>
    <s v="Vertical"/>
    <x v="2"/>
    <s v="Rig Darat"/>
    <n v="400"/>
    <d v="2022-08-02T00:00:00"/>
    <x v="0"/>
    <x v="17"/>
    <n v="20.5"/>
    <m/>
  </r>
  <r>
    <x v="0"/>
    <x v="1"/>
    <s v="RNT-PRD01R"/>
    <x v="13"/>
    <s v="New"/>
    <s v="New Well"/>
    <x v="0"/>
    <s v="Vertical"/>
    <x v="2"/>
    <s v="Rig Darat"/>
    <n v="400"/>
    <d v="2022-08-02T00:00:00"/>
    <x v="1"/>
    <x v="1"/>
    <n v="485.5"/>
    <m/>
  </r>
  <r>
    <x v="0"/>
    <x v="2"/>
    <s v="CMA-001"/>
    <x v="14"/>
    <s v="C/O"/>
    <s v="New Well"/>
    <x v="1"/>
    <s v="Vertical"/>
    <x v="5"/>
    <s v="Rig Darat"/>
    <n v="1500"/>
    <d v="2021-04-02T00:00:00"/>
    <x v="0"/>
    <x v="18"/>
    <n v="1625.5"/>
    <m/>
  </r>
  <r>
    <x v="0"/>
    <x v="2"/>
    <s v="CMA-001"/>
    <x v="14"/>
    <s v="C/O"/>
    <s v="New Well"/>
    <x v="1"/>
    <s v="Vertical"/>
    <x v="5"/>
    <s v="Rig Darat"/>
    <n v="1500"/>
    <d v="2021-04-02T00:00:00"/>
    <x v="0"/>
    <x v="19"/>
    <n v="113.5"/>
    <m/>
  </r>
  <r>
    <x v="0"/>
    <x v="2"/>
    <s v="CMA-001"/>
    <x v="14"/>
    <s v="C/O"/>
    <s v="New Well"/>
    <x v="1"/>
    <s v="Vertical"/>
    <x v="5"/>
    <s v="Rig Darat"/>
    <n v="1500"/>
    <d v="2021-04-02T00:00:00"/>
    <x v="0"/>
    <x v="2"/>
    <n v="7.5"/>
    <m/>
  </r>
  <r>
    <x v="0"/>
    <x v="2"/>
    <s v="CMA-001"/>
    <x v="14"/>
    <s v="C/O"/>
    <s v="New Well"/>
    <x v="1"/>
    <s v="Vertical"/>
    <x v="5"/>
    <s v="Rig Darat"/>
    <n v="1500"/>
    <d v="2021-04-02T00:00:00"/>
    <x v="0"/>
    <x v="13"/>
    <n v="83.5"/>
    <m/>
  </r>
  <r>
    <x v="0"/>
    <x v="2"/>
    <s v="CMA-001"/>
    <x v="14"/>
    <s v="C/O"/>
    <s v="New Well"/>
    <x v="1"/>
    <s v="Vertical"/>
    <x v="5"/>
    <s v="Rig Darat"/>
    <n v="1500"/>
    <d v="2021-04-02T00:00:00"/>
    <x v="0"/>
    <x v="11"/>
    <n v="11"/>
    <m/>
  </r>
  <r>
    <x v="0"/>
    <x v="2"/>
    <s v="CMA-001"/>
    <x v="14"/>
    <s v="C/O"/>
    <s v="New Well"/>
    <x v="1"/>
    <s v="Vertical"/>
    <x v="5"/>
    <s v="Rig Darat"/>
    <n v="1500"/>
    <d v="2021-04-02T00:00:00"/>
    <x v="0"/>
    <x v="15"/>
    <n v="145.5"/>
    <m/>
  </r>
  <r>
    <x v="0"/>
    <x v="2"/>
    <s v="CMA-001"/>
    <x v="14"/>
    <s v="C/O"/>
    <s v="New Well"/>
    <x v="1"/>
    <s v="Vertical"/>
    <x v="5"/>
    <s v="Rig Darat"/>
    <n v="1500"/>
    <d v="2021-04-02T00:00:00"/>
    <x v="0"/>
    <x v="12"/>
    <n v="48"/>
    <m/>
  </r>
  <r>
    <x v="0"/>
    <x v="2"/>
    <s v="CMA-001"/>
    <x v="14"/>
    <s v="C/O"/>
    <s v="New Well"/>
    <x v="1"/>
    <s v="Vertical"/>
    <x v="5"/>
    <s v="Rig Darat"/>
    <n v="1500"/>
    <d v="2021-04-02T00:00:00"/>
    <x v="0"/>
    <x v="20"/>
    <n v="3.5"/>
    <m/>
  </r>
  <r>
    <x v="0"/>
    <x v="2"/>
    <s v="CMA-001"/>
    <x v="14"/>
    <s v="C/O"/>
    <s v="New Well"/>
    <x v="1"/>
    <s v="Vertical"/>
    <x v="5"/>
    <s v="Rig Darat"/>
    <n v="1500"/>
    <d v="2021-04-02T00:00:00"/>
    <x v="0"/>
    <x v="21"/>
    <n v="188.5"/>
    <m/>
  </r>
  <r>
    <x v="0"/>
    <x v="2"/>
    <s v="CMA-001"/>
    <x v="14"/>
    <s v="C/O"/>
    <s v="New Well"/>
    <x v="1"/>
    <s v="Vertical"/>
    <x v="5"/>
    <s v="Rig Darat"/>
    <n v="1500"/>
    <d v="2021-04-02T00:00:00"/>
    <x v="0"/>
    <x v="14"/>
    <n v="342"/>
    <m/>
  </r>
  <r>
    <x v="0"/>
    <x v="2"/>
    <s v="CMA-001"/>
    <x v="14"/>
    <s v="C/O"/>
    <s v="New Well"/>
    <x v="1"/>
    <s v="Vertical"/>
    <x v="5"/>
    <s v="Rig Darat"/>
    <n v="1500"/>
    <d v="2021-04-02T00:00:00"/>
    <x v="0"/>
    <x v="9"/>
    <n v="51.5"/>
    <m/>
  </r>
  <r>
    <x v="0"/>
    <x v="2"/>
    <s v="CMA-001"/>
    <x v="14"/>
    <s v="C/O"/>
    <s v="New Well"/>
    <x v="1"/>
    <s v="Vertical"/>
    <x v="5"/>
    <s v="Rig Darat"/>
    <n v="1500"/>
    <d v="2021-04-02T00:00:00"/>
    <x v="0"/>
    <x v="22"/>
    <n v="3.5"/>
    <m/>
  </r>
  <r>
    <x v="0"/>
    <x v="2"/>
    <s v="CMA-001"/>
    <x v="14"/>
    <s v="C/O"/>
    <s v="New Well"/>
    <x v="1"/>
    <s v="Vertical"/>
    <x v="5"/>
    <s v="Rig Darat"/>
    <n v="1500"/>
    <d v="2021-04-02T00:00:00"/>
    <x v="0"/>
    <x v="0"/>
    <n v="13"/>
    <m/>
  </r>
  <r>
    <x v="0"/>
    <x v="2"/>
    <s v="CMA-001"/>
    <x v="14"/>
    <s v="C/O"/>
    <s v="New Well"/>
    <x v="1"/>
    <s v="Vertical"/>
    <x v="5"/>
    <s v="Rig Darat"/>
    <n v="1500"/>
    <d v="2021-04-02T00:00:00"/>
    <x v="0"/>
    <x v="16"/>
    <n v="387.5"/>
    <m/>
  </r>
  <r>
    <x v="0"/>
    <x v="2"/>
    <s v="CMA-001"/>
    <x v="14"/>
    <s v="C/O"/>
    <s v="New Well"/>
    <x v="1"/>
    <s v="Vertical"/>
    <x v="5"/>
    <s v="Rig Darat"/>
    <n v="1500"/>
    <d v="2021-04-02T00:00:00"/>
    <x v="0"/>
    <x v="7"/>
    <n v="5.5"/>
    <m/>
  </r>
  <r>
    <x v="0"/>
    <x v="2"/>
    <s v="CMA-001"/>
    <x v="14"/>
    <s v="C/O"/>
    <s v="New Well"/>
    <x v="1"/>
    <s v="Vertical"/>
    <x v="5"/>
    <s v="Rig Darat"/>
    <n v="1500"/>
    <d v="2021-04-02T00:00:00"/>
    <x v="0"/>
    <x v="23"/>
    <n v="1.5"/>
    <m/>
  </r>
  <r>
    <x v="0"/>
    <x v="2"/>
    <s v="CMA-001"/>
    <x v="14"/>
    <s v="C/O"/>
    <s v="New Well"/>
    <x v="1"/>
    <s v="Vertical"/>
    <x v="5"/>
    <s v="Rig Darat"/>
    <n v="1500"/>
    <d v="2021-04-02T00:00:00"/>
    <x v="0"/>
    <x v="10"/>
    <n v="14"/>
    <m/>
  </r>
  <r>
    <x v="0"/>
    <x v="2"/>
    <s v="CMA-001"/>
    <x v="14"/>
    <s v="C/O"/>
    <s v="New Well"/>
    <x v="1"/>
    <s v="Vertical"/>
    <x v="5"/>
    <s v="Rig Darat"/>
    <n v="1500"/>
    <d v="2021-04-02T00:00:00"/>
    <x v="0"/>
    <x v="24"/>
    <n v="15.5"/>
    <m/>
  </r>
  <r>
    <x v="0"/>
    <x v="2"/>
    <s v="CMA-001"/>
    <x v="14"/>
    <s v="C/O"/>
    <s v="New Well"/>
    <x v="1"/>
    <s v="Vertical"/>
    <x v="5"/>
    <s v="Rig Darat"/>
    <n v="1500"/>
    <d v="2021-04-02T00:00:00"/>
    <x v="0"/>
    <x v="4"/>
    <n v="662"/>
    <m/>
  </r>
  <r>
    <x v="0"/>
    <x v="2"/>
    <s v="CMA-001"/>
    <x v="14"/>
    <s v="C/O"/>
    <s v="New Well"/>
    <x v="1"/>
    <s v="Vertical"/>
    <x v="5"/>
    <s v="Rig Darat"/>
    <n v="1500"/>
    <d v="2021-04-02T00:00:00"/>
    <x v="1"/>
    <x v="1"/>
    <n v="6635.5"/>
    <m/>
  </r>
  <r>
    <x v="0"/>
    <x v="0"/>
    <s v="KTT-UP8"/>
    <x v="15"/>
    <s v="New"/>
    <s v="New Well"/>
    <x v="0"/>
    <s v="Vertical"/>
    <x v="0"/>
    <s v="Rig Darat"/>
    <n v="550"/>
    <d v="2022-07-15T00:00:00"/>
    <x v="1"/>
    <x v="1"/>
    <n v="466"/>
    <m/>
  </r>
  <r>
    <x v="0"/>
    <x v="0"/>
    <s v="TPN-DZ20.5"/>
    <x v="16"/>
    <s v="New"/>
    <s v="New Well"/>
    <x v="0"/>
    <s v="Directional"/>
    <x v="3"/>
    <s v="Rig Darat"/>
    <n v="550"/>
    <d v="2022-07-22T00:00:00"/>
    <x v="0"/>
    <x v="11"/>
    <n v="5"/>
    <m/>
  </r>
  <r>
    <x v="0"/>
    <x v="0"/>
    <s v="TPN-DZ20.5"/>
    <x v="16"/>
    <s v="New"/>
    <s v="New Well"/>
    <x v="0"/>
    <s v="Directional"/>
    <x v="3"/>
    <s v="Rig Darat"/>
    <n v="550"/>
    <d v="2022-07-22T00:00:00"/>
    <x v="0"/>
    <x v="4"/>
    <n v="11"/>
    <m/>
  </r>
  <r>
    <x v="0"/>
    <x v="0"/>
    <s v="TPN-DZ20.5"/>
    <x v="16"/>
    <s v="New"/>
    <s v="New Well"/>
    <x v="0"/>
    <s v="Directional"/>
    <x v="3"/>
    <s v="Rig Darat"/>
    <n v="550"/>
    <d v="2022-07-22T00:00:00"/>
    <x v="1"/>
    <x v="1"/>
    <n v="730"/>
    <m/>
  </r>
  <r>
    <x v="0"/>
    <x v="1"/>
    <s v="RNT-SZ30"/>
    <x v="17"/>
    <s v="New"/>
    <s v="New Well"/>
    <x v="0"/>
    <s v="Vertical"/>
    <x v="2"/>
    <s v="Rig Darat"/>
    <n v="400"/>
    <d v="2022-06-15T00:00:00"/>
    <x v="0"/>
    <x v="5"/>
    <n v="2"/>
    <m/>
  </r>
  <r>
    <x v="0"/>
    <x v="1"/>
    <s v="RNT-SZ30"/>
    <x v="17"/>
    <s v="New"/>
    <s v="New Well"/>
    <x v="0"/>
    <s v="Vertical"/>
    <x v="2"/>
    <s v="Rig Darat"/>
    <n v="400"/>
    <d v="2022-06-15T00:00:00"/>
    <x v="1"/>
    <x v="1"/>
    <n v="393"/>
    <m/>
  </r>
  <r>
    <x v="0"/>
    <x v="0"/>
    <s v="SRT-1X"/>
    <x v="18"/>
    <s v="C/F"/>
    <s v="New Well"/>
    <x v="1"/>
    <s v="Directional"/>
    <x v="6"/>
    <s v="Rig Darat"/>
    <n v="1500"/>
    <d v="2022-02-02T00:00:00"/>
    <x v="0"/>
    <x v="25"/>
    <n v="583.5"/>
    <m/>
  </r>
  <r>
    <x v="0"/>
    <x v="0"/>
    <s v="SRT-1X"/>
    <x v="18"/>
    <s v="C/F"/>
    <s v="New Well"/>
    <x v="1"/>
    <s v="Directional"/>
    <x v="6"/>
    <s v="Rig Darat"/>
    <n v="1500"/>
    <d v="2022-02-02T00:00:00"/>
    <x v="0"/>
    <x v="19"/>
    <n v="455.5"/>
    <m/>
  </r>
  <r>
    <x v="0"/>
    <x v="0"/>
    <s v="SRT-1X"/>
    <x v="18"/>
    <s v="C/F"/>
    <s v="New Well"/>
    <x v="1"/>
    <s v="Directional"/>
    <x v="6"/>
    <s v="Rig Darat"/>
    <n v="1500"/>
    <d v="2022-02-02T00:00:00"/>
    <x v="0"/>
    <x v="26"/>
    <n v="2"/>
    <m/>
  </r>
  <r>
    <x v="0"/>
    <x v="0"/>
    <s v="SRT-1X"/>
    <x v="18"/>
    <s v="C/F"/>
    <s v="New Well"/>
    <x v="1"/>
    <s v="Directional"/>
    <x v="6"/>
    <s v="Rig Darat"/>
    <n v="1500"/>
    <d v="2022-02-02T00:00:00"/>
    <x v="0"/>
    <x v="8"/>
    <n v="12"/>
    <m/>
  </r>
  <r>
    <x v="0"/>
    <x v="0"/>
    <s v="SRT-1X"/>
    <x v="18"/>
    <s v="C/F"/>
    <s v="New Well"/>
    <x v="1"/>
    <s v="Directional"/>
    <x v="6"/>
    <s v="Rig Darat"/>
    <n v="1500"/>
    <d v="2022-02-02T00:00:00"/>
    <x v="0"/>
    <x v="11"/>
    <n v="3"/>
    <m/>
  </r>
  <r>
    <x v="0"/>
    <x v="0"/>
    <s v="SRT-1X"/>
    <x v="18"/>
    <s v="C/F"/>
    <s v="New Well"/>
    <x v="1"/>
    <s v="Directional"/>
    <x v="6"/>
    <s v="Rig Darat"/>
    <n v="1500"/>
    <d v="2022-02-02T00:00:00"/>
    <x v="0"/>
    <x v="15"/>
    <n v="31.5"/>
    <m/>
  </r>
  <r>
    <x v="0"/>
    <x v="0"/>
    <s v="SRT-1X"/>
    <x v="18"/>
    <s v="C/F"/>
    <s v="New Well"/>
    <x v="1"/>
    <s v="Directional"/>
    <x v="6"/>
    <s v="Rig Darat"/>
    <n v="1500"/>
    <d v="2022-02-02T00:00:00"/>
    <x v="0"/>
    <x v="27"/>
    <n v="24"/>
    <m/>
  </r>
  <r>
    <x v="0"/>
    <x v="0"/>
    <s v="SRT-1X"/>
    <x v="18"/>
    <s v="C/F"/>
    <s v="New Well"/>
    <x v="1"/>
    <s v="Directional"/>
    <x v="6"/>
    <s v="Rig Darat"/>
    <n v="1500"/>
    <d v="2022-02-02T00:00:00"/>
    <x v="0"/>
    <x v="20"/>
    <n v="52"/>
    <m/>
  </r>
  <r>
    <x v="0"/>
    <x v="0"/>
    <s v="SRT-1X"/>
    <x v="18"/>
    <s v="C/F"/>
    <s v="New Well"/>
    <x v="1"/>
    <s v="Directional"/>
    <x v="6"/>
    <s v="Rig Darat"/>
    <n v="1500"/>
    <d v="2022-02-02T00:00:00"/>
    <x v="0"/>
    <x v="14"/>
    <n v="206"/>
    <m/>
  </r>
  <r>
    <x v="0"/>
    <x v="0"/>
    <s v="SRT-1X"/>
    <x v="18"/>
    <s v="C/F"/>
    <s v="New Well"/>
    <x v="1"/>
    <s v="Directional"/>
    <x v="6"/>
    <s v="Rig Darat"/>
    <n v="1500"/>
    <d v="2022-02-02T00:00:00"/>
    <x v="0"/>
    <x v="9"/>
    <n v="4"/>
    <m/>
  </r>
  <r>
    <x v="0"/>
    <x v="0"/>
    <s v="SRT-1X"/>
    <x v="18"/>
    <s v="C/F"/>
    <s v="New Well"/>
    <x v="1"/>
    <s v="Directional"/>
    <x v="6"/>
    <s v="Rig Darat"/>
    <n v="1500"/>
    <d v="2022-02-02T00:00:00"/>
    <x v="0"/>
    <x v="22"/>
    <n v="14.5"/>
    <m/>
  </r>
  <r>
    <x v="0"/>
    <x v="0"/>
    <s v="SRT-1X"/>
    <x v="18"/>
    <s v="C/F"/>
    <s v="New Well"/>
    <x v="1"/>
    <s v="Directional"/>
    <x v="6"/>
    <s v="Rig Darat"/>
    <n v="1500"/>
    <d v="2022-02-02T00:00:00"/>
    <x v="0"/>
    <x v="0"/>
    <n v="162"/>
    <m/>
  </r>
  <r>
    <x v="0"/>
    <x v="0"/>
    <s v="SRT-1X"/>
    <x v="18"/>
    <s v="C/F"/>
    <s v="New Well"/>
    <x v="1"/>
    <s v="Directional"/>
    <x v="6"/>
    <s v="Rig Darat"/>
    <n v="1500"/>
    <d v="2022-02-02T00:00:00"/>
    <x v="0"/>
    <x v="16"/>
    <n v="8.5"/>
    <m/>
  </r>
  <r>
    <x v="0"/>
    <x v="0"/>
    <s v="SRT-1X"/>
    <x v="18"/>
    <s v="C/F"/>
    <s v="New Well"/>
    <x v="1"/>
    <s v="Directional"/>
    <x v="6"/>
    <s v="Rig Darat"/>
    <n v="1500"/>
    <d v="2022-02-02T00:00:00"/>
    <x v="0"/>
    <x v="7"/>
    <n v="11.5"/>
    <m/>
  </r>
  <r>
    <x v="0"/>
    <x v="0"/>
    <s v="SRT-1X"/>
    <x v="18"/>
    <s v="C/F"/>
    <s v="New Well"/>
    <x v="1"/>
    <s v="Directional"/>
    <x v="6"/>
    <s v="Rig Darat"/>
    <n v="1500"/>
    <d v="2022-02-02T00:00:00"/>
    <x v="0"/>
    <x v="28"/>
    <n v="4.5"/>
    <m/>
  </r>
  <r>
    <x v="0"/>
    <x v="0"/>
    <s v="SRT-1X"/>
    <x v="18"/>
    <s v="C/F"/>
    <s v="New Well"/>
    <x v="1"/>
    <s v="Directional"/>
    <x v="6"/>
    <s v="Rig Darat"/>
    <n v="1500"/>
    <d v="2022-02-02T00:00:00"/>
    <x v="0"/>
    <x v="29"/>
    <n v="25"/>
    <m/>
  </r>
  <r>
    <x v="0"/>
    <x v="0"/>
    <s v="SRT-1X"/>
    <x v="18"/>
    <s v="C/F"/>
    <s v="New Well"/>
    <x v="1"/>
    <s v="Directional"/>
    <x v="6"/>
    <s v="Rig Darat"/>
    <n v="1500"/>
    <d v="2022-02-02T00:00:00"/>
    <x v="0"/>
    <x v="4"/>
    <n v="202.5"/>
    <m/>
  </r>
  <r>
    <x v="0"/>
    <x v="0"/>
    <s v="SRT-1X"/>
    <x v="18"/>
    <s v="C/F"/>
    <s v="New Well"/>
    <x v="1"/>
    <s v="Directional"/>
    <x v="6"/>
    <s v="Rig Darat"/>
    <n v="1500"/>
    <d v="2022-02-02T00:00:00"/>
    <x v="1"/>
    <x v="1"/>
    <n v="2607"/>
    <m/>
  </r>
  <r>
    <x v="0"/>
    <x v="1"/>
    <s v="RNT-PRD15R"/>
    <x v="19"/>
    <s v="New"/>
    <s v="New Well"/>
    <x v="0"/>
    <s v="Vertical"/>
    <x v="1"/>
    <s v="Rig Darat"/>
    <n v="550"/>
    <d v="2022-11-02T00:00:00"/>
    <x v="0"/>
    <x v="8"/>
    <n v="21.5"/>
    <m/>
  </r>
  <r>
    <x v="0"/>
    <x v="1"/>
    <s v="RNT-PRD15R"/>
    <x v="19"/>
    <s v="New"/>
    <s v="New Well"/>
    <x v="0"/>
    <s v="Vertical"/>
    <x v="1"/>
    <s v="Rig Darat"/>
    <n v="550"/>
    <d v="2022-11-02T00:00:00"/>
    <x v="0"/>
    <x v="21"/>
    <n v="52"/>
    <m/>
  </r>
  <r>
    <x v="0"/>
    <x v="1"/>
    <s v="RNT-PRD15R"/>
    <x v="19"/>
    <s v="New"/>
    <s v="New Well"/>
    <x v="0"/>
    <s v="Vertical"/>
    <x v="1"/>
    <s v="Rig Darat"/>
    <n v="550"/>
    <d v="2022-11-02T00:00:00"/>
    <x v="0"/>
    <x v="14"/>
    <n v="38"/>
    <m/>
  </r>
  <r>
    <x v="0"/>
    <x v="1"/>
    <s v="RNT-PRD15R"/>
    <x v="19"/>
    <s v="New"/>
    <s v="New Well"/>
    <x v="0"/>
    <s v="Vertical"/>
    <x v="1"/>
    <s v="Rig Darat"/>
    <n v="550"/>
    <d v="2022-11-02T00:00:00"/>
    <x v="0"/>
    <x v="9"/>
    <n v="144"/>
    <m/>
  </r>
  <r>
    <x v="0"/>
    <x v="1"/>
    <s v="RNT-PRD15R"/>
    <x v="19"/>
    <s v="New"/>
    <s v="New Well"/>
    <x v="0"/>
    <s v="Vertical"/>
    <x v="1"/>
    <s v="Rig Darat"/>
    <n v="550"/>
    <d v="2022-11-02T00:00:00"/>
    <x v="0"/>
    <x v="30"/>
    <n v="14"/>
    <m/>
  </r>
  <r>
    <x v="0"/>
    <x v="1"/>
    <s v="RNT-PRD15R"/>
    <x v="19"/>
    <s v="New"/>
    <s v="New Well"/>
    <x v="0"/>
    <s v="Vertical"/>
    <x v="1"/>
    <s v="Rig Darat"/>
    <n v="550"/>
    <d v="2022-11-02T00:00:00"/>
    <x v="0"/>
    <x v="17"/>
    <n v="8"/>
    <m/>
  </r>
  <r>
    <x v="0"/>
    <x v="1"/>
    <s v="RNT-PRD15R"/>
    <x v="19"/>
    <s v="New"/>
    <s v="New Well"/>
    <x v="0"/>
    <s v="Vertical"/>
    <x v="1"/>
    <s v="Rig Darat"/>
    <n v="550"/>
    <d v="2022-11-02T00:00:00"/>
    <x v="1"/>
    <x v="1"/>
    <n v="724.5"/>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s v="Pertamina EP"/>
    <s v="Indonesia"/>
    <x v="0"/>
    <x v="0"/>
    <s v="PPS-G"/>
    <x v="0"/>
    <s v="C/F"/>
    <s v="New Well"/>
    <x v="0"/>
    <x v="0"/>
    <x v="0"/>
    <s v="Rig Darat"/>
    <n v="1000"/>
    <d v="2022-06-22T00:00:00"/>
    <m/>
    <m/>
    <m/>
    <m/>
    <m/>
    <m/>
    <m/>
    <m/>
    <m/>
    <m/>
    <m/>
    <m/>
    <m/>
    <m/>
    <m/>
    <m/>
    <m/>
    <m/>
    <m/>
    <m/>
    <m/>
    <m/>
    <m/>
    <m/>
    <m/>
    <m/>
    <m/>
    <m/>
    <m/>
    <m/>
    <m/>
    <m/>
    <m/>
    <m/>
    <m/>
    <m/>
    <m/>
    <m/>
    <m/>
    <m/>
    <m/>
    <m/>
    <m/>
    <m/>
    <m/>
    <m/>
    <m/>
    <m/>
    <m/>
    <m/>
    <n v="0"/>
    <n v="0"/>
    <m/>
    <m/>
  </r>
  <r>
    <n v="2"/>
    <s v="Pertamina EP"/>
    <s v="Indonesia"/>
    <x v="0"/>
    <x v="0"/>
    <s v="SKB-B"/>
    <x v="1"/>
    <s v="C/F"/>
    <s v="New Well"/>
    <x v="0"/>
    <x v="1"/>
    <x v="1"/>
    <s v="Rig Darat"/>
    <n v="550"/>
    <d v="2022-02-15T00:00:00"/>
    <m/>
    <m/>
    <m/>
    <m/>
    <m/>
    <m/>
    <m/>
    <m/>
    <m/>
    <m/>
    <m/>
    <m/>
    <m/>
    <m/>
    <m/>
    <m/>
    <m/>
    <m/>
    <m/>
    <m/>
    <m/>
    <m/>
    <m/>
    <n v="8"/>
    <m/>
    <m/>
    <m/>
    <m/>
    <m/>
    <m/>
    <m/>
    <m/>
    <m/>
    <m/>
    <m/>
    <m/>
    <m/>
    <m/>
    <m/>
    <m/>
    <m/>
    <m/>
    <m/>
    <m/>
    <m/>
    <m/>
    <m/>
    <m/>
    <m/>
    <m/>
    <n v="8"/>
    <n v="620"/>
    <n v="628"/>
    <m/>
  </r>
  <r>
    <n v="3"/>
    <s v="Pertamina EP"/>
    <s v="Indonesia"/>
    <x v="0"/>
    <x v="0"/>
    <s v="KTB-J09"/>
    <x v="0"/>
    <s v="C/F"/>
    <s v="New Well"/>
    <x v="0"/>
    <x v="0"/>
    <x v="2"/>
    <s v="Rig Darat"/>
    <n v="550"/>
    <d v="2022-09-02T00:00:00"/>
    <m/>
    <m/>
    <m/>
    <m/>
    <m/>
    <m/>
    <m/>
    <m/>
    <m/>
    <m/>
    <m/>
    <m/>
    <m/>
    <m/>
    <m/>
    <m/>
    <m/>
    <m/>
    <m/>
    <m/>
    <m/>
    <m/>
    <m/>
    <m/>
    <m/>
    <m/>
    <m/>
    <m/>
    <m/>
    <m/>
    <m/>
    <m/>
    <m/>
    <m/>
    <m/>
    <m/>
    <m/>
    <m/>
    <m/>
    <m/>
    <m/>
    <m/>
    <m/>
    <m/>
    <m/>
    <m/>
    <m/>
    <m/>
    <m/>
    <m/>
    <n v="0"/>
    <n v="0"/>
    <m/>
    <m/>
  </r>
  <r>
    <n v="4"/>
    <s v="Pertamina EP"/>
    <s v="Indonesia"/>
    <x v="0"/>
    <x v="0"/>
    <s v="KTT-UP8"/>
    <x v="2"/>
    <s v="New"/>
    <s v="New Well"/>
    <x v="0"/>
    <x v="1"/>
    <x v="1"/>
    <s v="Rig Darat"/>
    <n v="550"/>
    <d v="2022-07-15T00:00:00"/>
    <m/>
    <m/>
    <m/>
    <m/>
    <m/>
    <m/>
    <m/>
    <m/>
    <m/>
    <m/>
    <m/>
    <m/>
    <m/>
    <m/>
    <m/>
    <m/>
    <m/>
    <m/>
    <m/>
    <m/>
    <m/>
    <m/>
    <m/>
    <m/>
    <m/>
    <m/>
    <m/>
    <m/>
    <m/>
    <m/>
    <m/>
    <m/>
    <m/>
    <m/>
    <m/>
    <m/>
    <m/>
    <m/>
    <m/>
    <m/>
    <m/>
    <m/>
    <m/>
    <m/>
    <m/>
    <m/>
    <m/>
    <m/>
    <m/>
    <m/>
    <n v="0"/>
    <n v="466"/>
    <n v="466"/>
    <m/>
  </r>
  <r>
    <n v="5"/>
    <s v="Pertamina EP"/>
    <s v="Indonesia"/>
    <x v="0"/>
    <x v="1"/>
    <s v="KSB-A12"/>
    <x v="0"/>
    <s v="New"/>
    <s v="New Well"/>
    <x v="0"/>
    <x v="0"/>
    <x v="3"/>
    <s v="Rig Darat"/>
    <n v="550"/>
    <d v="2022-05-15T00:00:00"/>
    <m/>
    <m/>
    <m/>
    <m/>
    <m/>
    <m/>
    <m/>
    <m/>
    <m/>
    <m/>
    <m/>
    <m/>
    <m/>
    <m/>
    <m/>
    <m/>
    <m/>
    <m/>
    <m/>
    <m/>
    <m/>
    <m/>
    <m/>
    <m/>
    <m/>
    <m/>
    <m/>
    <m/>
    <m/>
    <m/>
    <m/>
    <m/>
    <m/>
    <m/>
    <m/>
    <m/>
    <m/>
    <m/>
    <m/>
    <m/>
    <m/>
    <m/>
    <m/>
    <m/>
    <m/>
    <m/>
    <m/>
    <m/>
    <m/>
    <m/>
    <n v="0"/>
    <n v="0"/>
    <m/>
    <m/>
  </r>
  <r>
    <n v="6"/>
    <s v="Pertamina EP"/>
    <s v="Indonesia"/>
    <x v="0"/>
    <x v="1"/>
    <s v="KSB-PROP7"/>
    <x v="3"/>
    <s v="New"/>
    <s v="New Well"/>
    <x v="0"/>
    <x v="0"/>
    <x v="3"/>
    <s v="Rig Darat"/>
    <n v="550"/>
    <d v="2022-04-02T00:00:00"/>
    <m/>
    <m/>
    <m/>
    <m/>
    <m/>
    <n v="2"/>
    <m/>
    <n v="66.5"/>
    <n v="14.5"/>
    <n v="13"/>
    <m/>
    <m/>
    <m/>
    <m/>
    <m/>
    <m/>
    <m/>
    <m/>
    <m/>
    <m/>
    <m/>
    <m/>
    <m/>
    <m/>
    <m/>
    <m/>
    <m/>
    <m/>
    <m/>
    <m/>
    <m/>
    <m/>
    <m/>
    <m/>
    <m/>
    <m/>
    <m/>
    <m/>
    <m/>
    <m/>
    <m/>
    <m/>
    <m/>
    <m/>
    <m/>
    <m/>
    <m/>
    <m/>
    <m/>
    <m/>
    <n v="96"/>
    <n v="726"/>
    <n v="822"/>
    <m/>
  </r>
  <r>
    <n v="7"/>
    <s v="Pertamina EP"/>
    <s v="Indonesia"/>
    <x v="0"/>
    <x v="1"/>
    <s v="RNT-INJ06"/>
    <x v="4"/>
    <s v="New"/>
    <s v="New Well"/>
    <x v="0"/>
    <x v="1"/>
    <x v="3"/>
    <s v="Rig Darat"/>
    <n v="550"/>
    <d v="2022-07-02T00:00:00"/>
    <m/>
    <m/>
    <m/>
    <m/>
    <m/>
    <n v="23"/>
    <m/>
    <m/>
    <m/>
    <m/>
    <m/>
    <m/>
    <n v="3"/>
    <m/>
    <m/>
    <m/>
    <m/>
    <m/>
    <m/>
    <m/>
    <m/>
    <m/>
    <m/>
    <m/>
    <m/>
    <m/>
    <m/>
    <m/>
    <m/>
    <m/>
    <m/>
    <m/>
    <m/>
    <m/>
    <m/>
    <m/>
    <m/>
    <m/>
    <m/>
    <m/>
    <m/>
    <m/>
    <m/>
    <m/>
    <n v="1"/>
    <n v="1"/>
    <m/>
    <m/>
    <m/>
    <m/>
    <n v="28"/>
    <n v="517"/>
    <n v="545"/>
    <m/>
  </r>
  <r>
    <n v="8"/>
    <s v="Pertamina EP"/>
    <s v="Indonesia"/>
    <x v="0"/>
    <x v="1"/>
    <s v="RNT-INJ14"/>
    <x v="0"/>
    <s v="New"/>
    <s v="New Well"/>
    <x v="0"/>
    <x v="1"/>
    <x v="3"/>
    <s v="Rig Darat"/>
    <n v="550"/>
    <d v="2022-10-02T00:00:00"/>
    <m/>
    <m/>
    <m/>
    <m/>
    <m/>
    <m/>
    <m/>
    <m/>
    <m/>
    <m/>
    <m/>
    <m/>
    <m/>
    <m/>
    <m/>
    <m/>
    <m/>
    <m/>
    <m/>
    <m/>
    <m/>
    <m/>
    <m/>
    <m/>
    <m/>
    <m/>
    <m/>
    <m/>
    <m/>
    <m/>
    <m/>
    <m/>
    <m/>
    <m/>
    <m/>
    <m/>
    <m/>
    <m/>
    <m/>
    <m/>
    <m/>
    <m/>
    <m/>
    <m/>
    <m/>
    <m/>
    <m/>
    <m/>
    <m/>
    <m/>
    <n v="0"/>
    <n v="0"/>
    <m/>
    <m/>
  </r>
  <r>
    <n v="9"/>
    <s v="Pertamina EP"/>
    <s v="Indonesia"/>
    <x v="0"/>
    <x v="1"/>
    <s v="RNT-PRD01R"/>
    <x v="5"/>
    <s v="New"/>
    <s v="New Well"/>
    <x v="0"/>
    <x v="1"/>
    <x v="4"/>
    <s v="Rig Darat"/>
    <n v="400"/>
    <d v="2022-08-02T00:00:00"/>
    <m/>
    <m/>
    <m/>
    <m/>
    <m/>
    <m/>
    <m/>
    <m/>
    <m/>
    <m/>
    <m/>
    <m/>
    <m/>
    <m/>
    <m/>
    <m/>
    <m/>
    <m/>
    <m/>
    <m/>
    <m/>
    <m/>
    <m/>
    <n v="3"/>
    <m/>
    <m/>
    <m/>
    <m/>
    <m/>
    <m/>
    <m/>
    <m/>
    <m/>
    <m/>
    <m/>
    <m/>
    <m/>
    <m/>
    <m/>
    <m/>
    <m/>
    <m/>
    <m/>
    <m/>
    <m/>
    <m/>
    <m/>
    <n v="20.5"/>
    <m/>
    <m/>
    <n v="23.5"/>
    <n v="485.5"/>
    <n v="509"/>
    <m/>
  </r>
  <r>
    <n v="10"/>
    <s v="Pertamina EP"/>
    <s v="Indonesia"/>
    <x v="0"/>
    <x v="1"/>
    <s v="RNT-PRD03"/>
    <x v="0"/>
    <s v="New"/>
    <s v="New Well"/>
    <x v="0"/>
    <x v="1"/>
    <x v="4"/>
    <s v="Rig Darat"/>
    <n v="400"/>
    <d v="2022-11-15T00:00:00"/>
    <m/>
    <m/>
    <m/>
    <m/>
    <m/>
    <m/>
    <m/>
    <m/>
    <m/>
    <m/>
    <m/>
    <m/>
    <m/>
    <m/>
    <m/>
    <m/>
    <m/>
    <m/>
    <m/>
    <m/>
    <m/>
    <m/>
    <m/>
    <m/>
    <m/>
    <m/>
    <m/>
    <m/>
    <m/>
    <m/>
    <m/>
    <m/>
    <m/>
    <m/>
    <m/>
    <m/>
    <m/>
    <m/>
    <m/>
    <m/>
    <m/>
    <m/>
    <m/>
    <m/>
    <m/>
    <m/>
    <m/>
    <m/>
    <m/>
    <m/>
    <n v="0"/>
    <n v="0"/>
    <m/>
    <m/>
  </r>
  <r>
    <n v="11"/>
    <s v="Pertamina EP"/>
    <s v="Indonesia"/>
    <x v="0"/>
    <x v="1"/>
    <s v="RNT-PRD06"/>
    <x v="0"/>
    <s v="New"/>
    <s v="New Well"/>
    <x v="0"/>
    <x v="1"/>
    <x v="4"/>
    <s v="Rig Darat"/>
    <n v="400"/>
    <d v="2022-09-15T00:00:00"/>
    <m/>
    <m/>
    <m/>
    <m/>
    <m/>
    <m/>
    <m/>
    <m/>
    <m/>
    <m/>
    <m/>
    <m/>
    <m/>
    <m/>
    <m/>
    <m/>
    <m/>
    <m/>
    <m/>
    <m/>
    <m/>
    <m/>
    <m/>
    <m/>
    <m/>
    <m/>
    <m/>
    <m/>
    <m/>
    <m/>
    <m/>
    <m/>
    <m/>
    <m/>
    <m/>
    <m/>
    <m/>
    <m/>
    <m/>
    <m/>
    <m/>
    <m/>
    <m/>
    <m/>
    <m/>
    <m/>
    <m/>
    <m/>
    <m/>
    <m/>
    <n v="0"/>
    <n v="0"/>
    <m/>
    <m/>
  </r>
  <r>
    <n v="12"/>
    <s v="Pertamina EP"/>
    <s v="Indonesia"/>
    <x v="0"/>
    <x v="1"/>
    <s v="RNT-PRD09"/>
    <x v="6"/>
    <s v="C/F"/>
    <s v="New Well"/>
    <x v="0"/>
    <x v="1"/>
    <x v="4"/>
    <s v="Rig Darat"/>
    <n v="400"/>
    <d v="2022-01-02T00:00:00"/>
    <m/>
    <m/>
    <m/>
    <m/>
    <m/>
    <n v="36.5"/>
    <m/>
    <m/>
    <m/>
    <m/>
    <m/>
    <m/>
    <m/>
    <n v="11"/>
    <m/>
    <m/>
    <m/>
    <m/>
    <m/>
    <m/>
    <m/>
    <m/>
    <m/>
    <m/>
    <m/>
    <m/>
    <m/>
    <m/>
    <m/>
    <m/>
    <m/>
    <m/>
    <m/>
    <m/>
    <m/>
    <m/>
    <m/>
    <m/>
    <m/>
    <m/>
    <m/>
    <m/>
    <m/>
    <m/>
    <m/>
    <m/>
    <m/>
    <m/>
    <m/>
    <m/>
    <n v="47.5"/>
    <n v="492.5"/>
    <n v="540"/>
    <m/>
  </r>
  <r>
    <n v="13"/>
    <s v="Pertamina EP"/>
    <s v="Indonesia"/>
    <x v="0"/>
    <x v="1"/>
    <s v="RNT-PRD14R"/>
    <x v="0"/>
    <s v="New"/>
    <s v="New Well"/>
    <x v="0"/>
    <x v="1"/>
    <x v="4"/>
    <s v="Rig Darat"/>
    <n v="400"/>
    <d v="2022-08-15T00:00:00"/>
    <m/>
    <m/>
    <m/>
    <m/>
    <m/>
    <m/>
    <m/>
    <m/>
    <m/>
    <m/>
    <m/>
    <m/>
    <m/>
    <m/>
    <m/>
    <m/>
    <m/>
    <m/>
    <m/>
    <m/>
    <m/>
    <m/>
    <m/>
    <m/>
    <m/>
    <m/>
    <m/>
    <m/>
    <m/>
    <m/>
    <m/>
    <m/>
    <m/>
    <m/>
    <m/>
    <m/>
    <m/>
    <m/>
    <m/>
    <m/>
    <m/>
    <m/>
    <m/>
    <m/>
    <m/>
    <m/>
    <m/>
    <m/>
    <m/>
    <m/>
    <n v="0"/>
    <n v="0"/>
    <m/>
    <m/>
  </r>
  <r>
    <n v="14"/>
    <s v="Pertamina EP"/>
    <s v="Indonesia"/>
    <x v="0"/>
    <x v="1"/>
    <s v="RNT-PRD15R"/>
    <x v="7"/>
    <s v="New"/>
    <s v="New Well"/>
    <x v="0"/>
    <x v="1"/>
    <x v="3"/>
    <s v="Rig Darat"/>
    <n v="550"/>
    <d v="2022-11-02T00:00:00"/>
    <m/>
    <m/>
    <m/>
    <m/>
    <m/>
    <m/>
    <m/>
    <n v="21.5"/>
    <m/>
    <m/>
    <m/>
    <m/>
    <m/>
    <m/>
    <m/>
    <m/>
    <n v="52"/>
    <n v="38"/>
    <n v="144"/>
    <n v="14"/>
    <m/>
    <m/>
    <m/>
    <m/>
    <m/>
    <m/>
    <m/>
    <m/>
    <m/>
    <m/>
    <m/>
    <m/>
    <m/>
    <m/>
    <m/>
    <m/>
    <m/>
    <m/>
    <m/>
    <m/>
    <m/>
    <m/>
    <m/>
    <m/>
    <m/>
    <m/>
    <m/>
    <n v="8"/>
    <m/>
    <m/>
    <n v="277.5"/>
    <n v="724.5"/>
    <n v="1002"/>
    <m/>
  </r>
  <r>
    <n v="15"/>
    <s v="Pertamina EP"/>
    <s v="Indonesia"/>
    <x v="0"/>
    <x v="1"/>
    <s v="RNT-SZ25"/>
    <x v="8"/>
    <s v="New"/>
    <s v="New Well"/>
    <x v="0"/>
    <x v="1"/>
    <x v="4"/>
    <s v="Rig Darat"/>
    <n v="400"/>
    <d v="2022-03-15T00:00:00"/>
    <m/>
    <m/>
    <m/>
    <m/>
    <m/>
    <m/>
    <m/>
    <m/>
    <m/>
    <m/>
    <m/>
    <m/>
    <m/>
    <m/>
    <m/>
    <m/>
    <m/>
    <m/>
    <m/>
    <m/>
    <m/>
    <m/>
    <m/>
    <m/>
    <m/>
    <m/>
    <m/>
    <m/>
    <m/>
    <m/>
    <m/>
    <m/>
    <m/>
    <m/>
    <m/>
    <m/>
    <m/>
    <m/>
    <m/>
    <m/>
    <m/>
    <m/>
    <m/>
    <m/>
    <m/>
    <m/>
    <m/>
    <m/>
    <m/>
    <m/>
    <n v="0"/>
    <n v="409"/>
    <n v="409"/>
    <m/>
  </r>
  <r>
    <n v="16"/>
    <s v="Pertamina EP"/>
    <s v="Indonesia"/>
    <x v="0"/>
    <x v="1"/>
    <s v="RNT-SZ27"/>
    <x v="9"/>
    <s v="New"/>
    <s v="New Well"/>
    <x v="0"/>
    <x v="1"/>
    <x v="4"/>
    <s v="Rig Darat"/>
    <n v="400"/>
    <d v="2022-05-02T00:00:00"/>
    <m/>
    <m/>
    <m/>
    <m/>
    <m/>
    <m/>
    <m/>
    <m/>
    <m/>
    <m/>
    <m/>
    <m/>
    <m/>
    <m/>
    <m/>
    <m/>
    <m/>
    <m/>
    <m/>
    <m/>
    <m/>
    <m/>
    <m/>
    <m/>
    <m/>
    <m/>
    <m/>
    <m/>
    <m/>
    <m/>
    <m/>
    <m/>
    <m/>
    <m/>
    <m/>
    <m/>
    <m/>
    <m/>
    <m/>
    <m/>
    <m/>
    <m/>
    <m/>
    <m/>
    <m/>
    <m/>
    <m/>
    <m/>
    <m/>
    <m/>
    <n v="0"/>
    <n v="486"/>
    <n v="486"/>
    <m/>
  </r>
  <r>
    <n v="17"/>
    <s v="Pertamina EP"/>
    <s v="Indonesia"/>
    <x v="0"/>
    <x v="1"/>
    <s v="RNT-SZ30"/>
    <x v="10"/>
    <s v="New"/>
    <s v="New Well"/>
    <x v="0"/>
    <x v="1"/>
    <x v="4"/>
    <s v="Rig Darat"/>
    <n v="400"/>
    <d v="2022-06-15T00:00:00"/>
    <m/>
    <m/>
    <m/>
    <m/>
    <m/>
    <m/>
    <m/>
    <m/>
    <m/>
    <m/>
    <m/>
    <m/>
    <m/>
    <m/>
    <m/>
    <m/>
    <m/>
    <m/>
    <m/>
    <m/>
    <m/>
    <m/>
    <m/>
    <m/>
    <m/>
    <m/>
    <m/>
    <m/>
    <m/>
    <m/>
    <m/>
    <m/>
    <m/>
    <m/>
    <m/>
    <m/>
    <m/>
    <m/>
    <m/>
    <m/>
    <m/>
    <m/>
    <m/>
    <m/>
    <m/>
    <n v="2"/>
    <m/>
    <m/>
    <m/>
    <m/>
    <n v="2"/>
    <n v="393"/>
    <n v="395"/>
    <m/>
  </r>
  <r>
    <n v="18"/>
    <s v="Pertamina EP"/>
    <s v="Indonesia"/>
    <x v="0"/>
    <x v="2"/>
    <s v="SEC-A2"/>
    <x v="0"/>
    <s v="C/F"/>
    <s v="New Well"/>
    <x v="0"/>
    <x v="0"/>
    <x v="5"/>
    <s v="Rig Darat"/>
    <n v="1000"/>
    <d v="2022-11-15T00:00:00"/>
    <m/>
    <m/>
    <m/>
    <m/>
    <m/>
    <m/>
    <m/>
    <m/>
    <m/>
    <m/>
    <m/>
    <m/>
    <m/>
    <m/>
    <m/>
    <m/>
    <m/>
    <m/>
    <m/>
    <m/>
    <m/>
    <m/>
    <m/>
    <m/>
    <m/>
    <m/>
    <m/>
    <m/>
    <m/>
    <m/>
    <m/>
    <m/>
    <m/>
    <m/>
    <m/>
    <m/>
    <m/>
    <m/>
    <m/>
    <m/>
    <m/>
    <m/>
    <m/>
    <m/>
    <m/>
    <m/>
    <m/>
    <m/>
    <m/>
    <m/>
    <n v="0"/>
    <n v="0"/>
    <m/>
    <m/>
  </r>
  <r>
    <n v="19"/>
    <s v="Pertamina EP"/>
    <s v="Indonesia"/>
    <x v="0"/>
    <x v="0"/>
    <s v="SGC-X8"/>
    <x v="11"/>
    <s v="New"/>
    <s v="New Well"/>
    <x v="0"/>
    <x v="0"/>
    <x v="2"/>
    <s v="Rig Darat"/>
    <n v="550"/>
    <d v="2022-02-08T00:00:00"/>
    <m/>
    <m/>
    <m/>
    <m/>
    <m/>
    <m/>
    <m/>
    <m/>
    <m/>
    <m/>
    <m/>
    <m/>
    <m/>
    <m/>
    <m/>
    <m/>
    <m/>
    <m/>
    <m/>
    <m/>
    <m/>
    <m/>
    <m/>
    <m/>
    <m/>
    <m/>
    <n v="4"/>
    <m/>
    <m/>
    <m/>
    <m/>
    <m/>
    <m/>
    <m/>
    <m/>
    <m/>
    <m/>
    <m/>
    <m/>
    <m/>
    <m/>
    <m/>
    <m/>
    <m/>
    <m/>
    <m/>
    <m/>
    <m/>
    <m/>
    <m/>
    <n v="4"/>
    <n v="530"/>
    <n v="534"/>
    <m/>
  </r>
  <r>
    <n v="20"/>
    <s v="Pertamina EP"/>
    <s v="Indonesia"/>
    <x v="0"/>
    <x v="0"/>
    <s v="TPN-176 TW"/>
    <x v="0"/>
    <s v="C/O"/>
    <s v="New Well"/>
    <x v="0"/>
    <x v="0"/>
    <x v="0"/>
    <s v="Rig Darat"/>
    <n v="1500"/>
    <d v="2022-05-02T00:00:00"/>
    <m/>
    <m/>
    <m/>
    <m/>
    <m/>
    <m/>
    <m/>
    <m/>
    <m/>
    <m/>
    <m/>
    <m/>
    <m/>
    <m/>
    <m/>
    <m/>
    <m/>
    <m/>
    <m/>
    <m/>
    <m/>
    <m/>
    <m/>
    <m/>
    <m/>
    <m/>
    <m/>
    <m/>
    <m/>
    <m/>
    <m/>
    <m/>
    <m/>
    <m/>
    <m/>
    <m/>
    <m/>
    <m/>
    <m/>
    <m/>
    <m/>
    <m/>
    <m/>
    <m/>
    <m/>
    <m/>
    <m/>
    <m/>
    <m/>
    <m/>
    <n v="0"/>
    <n v="0"/>
    <m/>
    <m/>
  </r>
  <r>
    <n v="21"/>
    <s v="Pertamina EP"/>
    <s v="Indonesia"/>
    <x v="0"/>
    <x v="0"/>
    <s v="TPN-DZ20.1"/>
    <x v="12"/>
    <s v="New"/>
    <s v="New Well"/>
    <x v="0"/>
    <x v="0"/>
    <x v="2"/>
    <s v="Rig Darat"/>
    <n v="550"/>
    <d v="2022-03-22T00:00:00"/>
    <m/>
    <m/>
    <m/>
    <m/>
    <m/>
    <m/>
    <m/>
    <n v="13.5"/>
    <m/>
    <m/>
    <m/>
    <m/>
    <m/>
    <m/>
    <m/>
    <m/>
    <m/>
    <m/>
    <n v="20"/>
    <m/>
    <m/>
    <m/>
    <m/>
    <m/>
    <m/>
    <m/>
    <m/>
    <m/>
    <m/>
    <m/>
    <n v="21"/>
    <m/>
    <m/>
    <m/>
    <m/>
    <m/>
    <m/>
    <m/>
    <m/>
    <m/>
    <m/>
    <m/>
    <m/>
    <m/>
    <m/>
    <m/>
    <m/>
    <m/>
    <m/>
    <m/>
    <n v="54.5"/>
    <n v="722.5"/>
    <n v="777"/>
    <m/>
  </r>
  <r>
    <n v="22"/>
    <s v="Pertamina EP"/>
    <s v="Indonesia"/>
    <x v="0"/>
    <x v="0"/>
    <s v="TPN-DZ20.2"/>
    <x v="13"/>
    <s v="New"/>
    <s v="New Well"/>
    <x v="0"/>
    <x v="0"/>
    <x v="2"/>
    <s v="Rig Darat"/>
    <n v="550"/>
    <d v="2022-06-08T00:00:00"/>
    <m/>
    <m/>
    <m/>
    <m/>
    <m/>
    <m/>
    <m/>
    <m/>
    <m/>
    <m/>
    <m/>
    <m/>
    <m/>
    <m/>
    <m/>
    <m/>
    <m/>
    <m/>
    <m/>
    <m/>
    <m/>
    <m/>
    <m/>
    <m/>
    <m/>
    <m/>
    <n v="21.5"/>
    <m/>
    <m/>
    <m/>
    <m/>
    <m/>
    <m/>
    <m/>
    <m/>
    <m/>
    <m/>
    <m/>
    <m/>
    <m/>
    <m/>
    <m/>
    <m/>
    <m/>
    <m/>
    <m/>
    <m/>
    <m/>
    <m/>
    <m/>
    <n v="21.5"/>
    <n v="501.5"/>
    <n v="523"/>
    <m/>
  </r>
  <r>
    <n v="23"/>
    <s v="Pertamina EP"/>
    <s v="Indonesia"/>
    <x v="0"/>
    <x v="0"/>
    <s v="TPN-DZ20.5"/>
    <x v="14"/>
    <s v="New"/>
    <s v="New Well"/>
    <x v="0"/>
    <x v="0"/>
    <x v="2"/>
    <s v="Rig Darat"/>
    <n v="550"/>
    <d v="2022-07-22T00:00:00"/>
    <m/>
    <m/>
    <m/>
    <m/>
    <m/>
    <m/>
    <m/>
    <m/>
    <n v="5"/>
    <m/>
    <m/>
    <m/>
    <m/>
    <m/>
    <m/>
    <m/>
    <m/>
    <m/>
    <m/>
    <m/>
    <m/>
    <m/>
    <m/>
    <m/>
    <m/>
    <m/>
    <m/>
    <m/>
    <m/>
    <m/>
    <m/>
    <m/>
    <m/>
    <m/>
    <m/>
    <m/>
    <m/>
    <m/>
    <m/>
    <m/>
    <m/>
    <m/>
    <m/>
    <m/>
    <n v="11"/>
    <m/>
    <m/>
    <m/>
    <m/>
    <m/>
    <n v="16"/>
    <n v="730"/>
    <n v="746"/>
    <m/>
  </r>
  <r>
    <n v="24"/>
    <s v="Pertamina EP"/>
    <s v="Indonesia"/>
    <x v="0"/>
    <x v="0"/>
    <s v="TPN-DZ20.6"/>
    <x v="15"/>
    <s v="New"/>
    <s v="New Well"/>
    <x v="0"/>
    <x v="0"/>
    <x v="2"/>
    <s v="Rig Darat"/>
    <n v="550"/>
    <d v="2022-09-08T00:00:00"/>
    <m/>
    <m/>
    <m/>
    <m/>
    <m/>
    <m/>
    <m/>
    <m/>
    <m/>
    <m/>
    <m/>
    <m/>
    <m/>
    <m/>
    <m/>
    <m/>
    <m/>
    <m/>
    <m/>
    <m/>
    <m/>
    <m/>
    <m/>
    <m/>
    <m/>
    <m/>
    <m/>
    <m/>
    <m/>
    <m/>
    <m/>
    <m/>
    <m/>
    <m/>
    <m/>
    <m/>
    <m/>
    <m/>
    <m/>
    <m/>
    <m/>
    <m/>
    <m/>
    <m/>
    <m/>
    <m/>
    <m/>
    <m/>
    <m/>
    <m/>
    <n v="0"/>
    <n v="0"/>
    <m/>
    <m/>
  </r>
  <r>
    <n v="25"/>
    <s v="Pertamina EP"/>
    <s v="Indonesia"/>
    <x v="0"/>
    <x v="0"/>
    <s v="SGC-X6"/>
    <x v="16"/>
    <s v="C/O"/>
    <s v="New Well"/>
    <x v="0"/>
    <x v="1"/>
    <x v="1"/>
    <s v="Rig Darat"/>
    <n v="550"/>
    <d v="2021-12-22T00:00:00"/>
    <m/>
    <m/>
    <m/>
    <m/>
    <m/>
    <m/>
    <m/>
    <n v="40"/>
    <n v="13.5"/>
    <m/>
    <n v="18.5"/>
    <m/>
    <m/>
    <m/>
    <m/>
    <m/>
    <m/>
    <m/>
    <m/>
    <m/>
    <m/>
    <m/>
    <m/>
    <m/>
    <m/>
    <m/>
    <m/>
    <m/>
    <m/>
    <m/>
    <m/>
    <m/>
    <m/>
    <m/>
    <m/>
    <m/>
    <m/>
    <m/>
    <m/>
    <m/>
    <m/>
    <m/>
    <m/>
    <m/>
    <m/>
    <m/>
    <m/>
    <m/>
    <m/>
    <m/>
    <n v="72"/>
    <n v="714"/>
    <n v="786"/>
    <m/>
  </r>
  <r>
    <n v="26"/>
    <s v="Pertamina EP"/>
    <s v="Indonesia"/>
    <x v="0"/>
    <x v="0"/>
    <s v="KTT-UP1"/>
    <x v="17"/>
    <s v="C/O"/>
    <s v="New Well"/>
    <x v="0"/>
    <x v="0"/>
    <x v="2"/>
    <s v="Rig Darat"/>
    <n v="550"/>
    <d v="2021-12-01T00:00:00"/>
    <m/>
    <m/>
    <m/>
    <m/>
    <m/>
    <m/>
    <m/>
    <m/>
    <m/>
    <m/>
    <m/>
    <m/>
    <m/>
    <m/>
    <m/>
    <m/>
    <m/>
    <m/>
    <m/>
    <m/>
    <m/>
    <m/>
    <m/>
    <m/>
    <m/>
    <m/>
    <m/>
    <m/>
    <m/>
    <m/>
    <m/>
    <m/>
    <m/>
    <m/>
    <m/>
    <m/>
    <m/>
    <m/>
    <m/>
    <m/>
    <m/>
    <m/>
    <m/>
    <m/>
    <m/>
    <m/>
    <m/>
    <m/>
    <m/>
    <m/>
    <n v="0"/>
    <n v="458"/>
    <n v="458"/>
    <m/>
  </r>
  <r>
    <n v="27"/>
    <s v="Pertamina EP"/>
    <s v="Indonesia"/>
    <x v="0"/>
    <x v="0"/>
    <s v="PPS-E"/>
    <x v="18"/>
    <s v="New"/>
    <s v="New Well"/>
    <x v="0"/>
    <x v="0"/>
    <x v="1"/>
    <s v="Rig Darat"/>
    <n v="550"/>
    <d v="1899-12-30T00:00:00"/>
    <m/>
    <m/>
    <m/>
    <m/>
    <m/>
    <m/>
    <n v="31"/>
    <n v="12.5"/>
    <n v="33.5"/>
    <m/>
    <m/>
    <m/>
    <m/>
    <m/>
    <m/>
    <m/>
    <m/>
    <n v="18"/>
    <m/>
    <m/>
    <m/>
    <m/>
    <m/>
    <m/>
    <m/>
    <m/>
    <m/>
    <m/>
    <m/>
    <m/>
    <m/>
    <m/>
    <m/>
    <m/>
    <m/>
    <m/>
    <m/>
    <m/>
    <m/>
    <m/>
    <m/>
    <m/>
    <m/>
    <m/>
    <m/>
    <m/>
    <m/>
    <m/>
    <m/>
    <m/>
    <n v="95"/>
    <n v="709"/>
    <n v="804"/>
    <m/>
  </r>
  <r>
    <n v="28"/>
    <s v="Pertamina EP"/>
    <s v="Indonesia"/>
    <x v="0"/>
    <x v="0"/>
    <s v="SGET-001"/>
    <x v="19"/>
    <s v="C/O"/>
    <s v="New Well"/>
    <x v="1"/>
    <x v="0"/>
    <x v="6"/>
    <s v="Rig Darat"/>
    <n v="700"/>
    <d v="2021-11-15T00:00:00"/>
    <m/>
    <m/>
    <m/>
    <m/>
    <m/>
    <m/>
    <m/>
    <m/>
    <m/>
    <n v="18"/>
    <m/>
    <m/>
    <m/>
    <m/>
    <m/>
    <m/>
    <m/>
    <m/>
    <m/>
    <m/>
    <m/>
    <m/>
    <m/>
    <m/>
    <n v="140"/>
    <m/>
    <n v="1.5"/>
    <m/>
    <m/>
    <m/>
    <m/>
    <m/>
    <m/>
    <m/>
    <m/>
    <m/>
    <m/>
    <m/>
    <m/>
    <m/>
    <m/>
    <m/>
    <m/>
    <m/>
    <m/>
    <m/>
    <m/>
    <m/>
    <m/>
    <m/>
    <n v="159.5"/>
    <n v="1296.5"/>
    <n v="1456"/>
    <m/>
  </r>
  <r>
    <n v="29"/>
    <s v="Pertamina EP"/>
    <s v="Indonesia"/>
    <x v="0"/>
    <x v="3"/>
    <s v="CMA-001"/>
    <x v="20"/>
    <s v="C/O"/>
    <s v="New Well"/>
    <x v="1"/>
    <x v="1"/>
    <x v="5"/>
    <s v="Rig Darat"/>
    <n v="1500"/>
    <d v="2021-04-02T00:00:00"/>
    <m/>
    <n v="1625.5"/>
    <n v="113.5"/>
    <m/>
    <m/>
    <n v="7.5"/>
    <n v="83.5"/>
    <m/>
    <n v="11"/>
    <n v="145.5"/>
    <n v="48"/>
    <m/>
    <m/>
    <m/>
    <m/>
    <n v="3.5"/>
    <n v="188.5"/>
    <n v="342"/>
    <n v="51.5"/>
    <m/>
    <m/>
    <n v="3.5"/>
    <m/>
    <n v="13"/>
    <n v="387.5"/>
    <m/>
    <n v="5.5"/>
    <n v="1.5"/>
    <m/>
    <m/>
    <n v="14"/>
    <m/>
    <n v="15.5"/>
    <m/>
    <m/>
    <m/>
    <m/>
    <m/>
    <m/>
    <m/>
    <m/>
    <m/>
    <m/>
    <m/>
    <n v="662"/>
    <m/>
    <m/>
    <m/>
    <m/>
    <m/>
    <n v="3722.5"/>
    <n v="6635.5"/>
    <n v="10358"/>
    <m/>
  </r>
  <r>
    <n v="30"/>
    <s v="Pertamina EP"/>
    <s v="Indonesia"/>
    <x v="0"/>
    <x v="0"/>
    <s v="SRT-1X"/>
    <x v="21"/>
    <s v="C/F"/>
    <s v="New Well"/>
    <x v="1"/>
    <x v="0"/>
    <x v="0"/>
    <s v="Rig Darat"/>
    <n v="1500"/>
    <d v="2022-02-02T00:00:00"/>
    <n v="583.5"/>
    <m/>
    <n v="455.5"/>
    <n v="2"/>
    <m/>
    <m/>
    <m/>
    <n v="12"/>
    <n v="3"/>
    <n v="31.5"/>
    <m/>
    <m/>
    <m/>
    <m/>
    <n v="24"/>
    <n v="52"/>
    <m/>
    <n v="206"/>
    <n v="4"/>
    <m/>
    <m/>
    <n v="14.5"/>
    <m/>
    <n v="162"/>
    <n v="8.5"/>
    <m/>
    <n v="11.5"/>
    <m/>
    <m/>
    <m/>
    <m/>
    <m/>
    <m/>
    <m/>
    <m/>
    <m/>
    <m/>
    <n v="4.5"/>
    <m/>
    <m/>
    <m/>
    <m/>
    <n v="25"/>
    <m/>
    <n v="202.5"/>
    <m/>
    <m/>
    <m/>
    <m/>
    <m/>
    <n v="1802"/>
    <n v="2607"/>
    <n v="4409"/>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s v="Pertamina EP"/>
    <s v="Indonesia"/>
    <s v="Zona 1"/>
    <x v="0"/>
    <s v="PPS-G"/>
    <x v="0"/>
    <s v="C/F"/>
    <s v="New Well"/>
    <x v="0"/>
    <x v="0"/>
    <m/>
    <x v="0"/>
    <s v="Rig Darat"/>
    <n v="1000"/>
    <d v="2022-06-22T00:00:00"/>
    <n v="39"/>
    <n v="1997"/>
    <n v="3640285"/>
    <m/>
    <m/>
    <m/>
    <m/>
    <n v="0"/>
    <m/>
    <m/>
    <n v="0"/>
    <m/>
    <m/>
    <n v="0"/>
    <m/>
    <m/>
    <n v="0"/>
    <n v="0"/>
    <m/>
    <m/>
    <n v="0"/>
    <n v="0"/>
    <m/>
    <m/>
    <m/>
    <n v="0"/>
    <m/>
  </r>
  <r>
    <n v="2"/>
    <s v="Pertamina EP"/>
    <s v="Indonesia"/>
    <s v="Zona 1"/>
    <x v="0"/>
    <s v="SKB-B"/>
    <x v="1"/>
    <s v="C/F"/>
    <s v="New Well"/>
    <x v="0"/>
    <x v="1"/>
    <s v="Completed"/>
    <x v="1"/>
    <s v="Rig Darat"/>
    <n v="550"/>
    <d v="2022-02-15T00:00:00"/>
    <n v="20.2"/>
    <n v="1572"/>
    <n v="2868237"/>
    <m/>
    <m/>
    <d v="2022-02-02T00:00:00"/>
    <d v="2022-02-05T09:00:00"/>
    <n v="3.375"/>
    <d v="2022-02-05T09:00:00"/>
    <d v="2022-02-21T20:00:00"/>
    <n v="16.458333333335759"/>
    <d v="2022-02-21T20:00:00"/>
    <d v="2022-03-04T20:00:00"/>
    <n v="11"/>
    <d v="2022-03-04T20:00:00"/>
    <d v="2022-03-20T00:00:00"/>
    <n v="15.166666666664241"/>
    <n v="26.166666666664241"/>
    <d v="2022-03-20T00:00:00"/>
    <d v="2022-03-22T12:00:00"/>
    <n v="2.5"/>
    <n v="48.5"/>
    <n v="1569"/>
    <n v="1485151.9540594812"/>
    <n v="915173.2597307791"/>
    <n v="2400325.2137902603"/>
    <s v="Keterlambatan Move In:_x000a_1. Tanggal 04 Feb 2022 jam 02.00 - 10.00 armada BPM 9 Lad dihentikan warga Simpang Betung untuk negosiasi ulang tenaga kerja lokal_x000a_2. Tanggal 06 Februari 2022 portal milik kebun sawit dibuka ukul 08.30 dan tutup pukul 12.00_x000a_3. Portal Kebun Saeit dibuka pukul 08.30 - 16.00 di hari kerja_x000a_4. 07 Februari 2022 terdapat hajatan di desa Tarikan &amp; Desa Betung sehingga armad atidak bisa lewat karena akses jalan menyempit_x000a_5. 09 Februari 2022 armada move tidak mampu melanjutkan perjalanan karena terpuruk akibat jalan berlumpur dan tanah lembut akibat hujan_x000a_6. Tanah di lokasi SKB-B lunak dan berlumpur menyebabkan kegiatan MIRU terhambat"/>
  </r>
  <r>
    <n v="3"/>
    <s v="Pertamina EP"/>
    <s v="Indonesia"/>
    <s v="Zona 1"/>
    <x v="0"/>
    <s v="KTB-J09"/>
    <x v="0"/>
    <s v="C/F"/>
    <s v="New Well"/>
    <x v="0"/>
    <x v="0"/>
    <m/>
    <x v="2"/>
    <s v="Rig Darat"/>
    <n v="550"/>
    <d v="2022-09-02T00:00:00"/>
    <n v="33.4"/>
    <n v="1484"/>
    <n v="3072122"/>
    <m/>
    <m/>
    <m/>
    <m/>
    <n v="0"/>
    <m/>
    <m/>
    <n v="0"/>
    <m/>
    <m/>
    <n v="0"/>
    <m/>
    <m/>
    <n v="0"/>
    <n v="0"/>
    <m/>
    <m/>
    <n v="0"/>
    <n v="0"/>
    <m/>
    <m/>
    <m/>
    <n v="0"/>
    <m/>
  </r>
  <r>
    <n v="4"/>
    <s v="Pertamina EP"/>
    <s v="Indonesia"/>
    <s v="Zona 1"/>
    <x v="0"/>
    <s v="KTT-UP8"/>
    <x v="2"/>
    <s v="New"/>
    <s v="New Well"/>
    <x v="0"/>
    <x v="1"/>
    <s v="Completed"/>
    <x v="1"/>
    <s v="Rig Darat"/>
    <n v="550"/>
    <d v="2022-07-15T00:00:00"/>
    <n v="19.7"/>
    <n v="1157.7"/>
    <n v="2692554"/>
    <m/>
    <m/>
    <d v="2022-07-06T08:00:00"/>
    <d v="2022-07-12T08:00:00"/>
    <n v="6"/>
    <d v="2022-07-12T08:00:00"/>
    <d v="2022-08-05T06:00:00"/>
    <n v="23.916666666664241"/>
    <d v="2022-08-05T06:00:00"/>
    <d v="2022-08-14T08:30:00"/>
    <n v="9.1041666666642413"/>
    <d v="2022-08-14T08:30:00"/>
    <d v="2022-08-24T16:00:00"/>
    <n v="10.3125"/>
    <n v="19.416666666664241"/>
    <d v="2022-08-24T16:00:00"/>
    <d v="2022-08-27T00:00:00"/>
    <n v="2.3333333333357587"/>
    <n v="51.666666666664241"/>
    <n v="1157.7"/>
    <n v="1281085.9423937472"/>
    <n v="783380.91215532948"/>
    <n v="2064466.8545490766"/>
    <s v="Keterlambatan Move In:_x000a_1. Rig NREM#01 mulai melakukan pekerjaan R/D Rig di lokasi PPS-E/ST (PPS-005ST) mulai tanggal 29 Juni pukul 15.00 WIB dan selesai R/D Rig tanggal 01 Juli 2022 pukul 15.00 WIB_x000a_2. Rig NREM#01 mulai melakukan pekerjaan Move dari lokasi PPS-E/ST ke lokasi KTT-UP8 mulai tanggal 06 Juli 2022 pukul 08.00 WIB dan selesai Move tanggal 12 Juli 2022 pukul 24.00 WIB_x000a_3. Rig NREM#01 mulai melakukan pekerjaan R/U di lokasi KTT-UP8 tanggal 12 Juli 2022 pukul 08.00 WIB dan Selesai R/U tanggal 05 Agustus 2022 pukul 06.00 WIB_x000a_4. Pada tanggal 13 Juli 2022 pukul 08.00 WIB s/d selesai Crew Rig NREM#01 mengikuti kegiatan Workshop Petrol di Hotel Swiss Bell_x000a_5. Keterlambatan R/U dikarenakan pengurusan administrasi crew berupa Vaksin Booster dan SIML agar bisa memasuki lokasi KTT-UP8_x000a_6. Keterlambatan R/U dikarenakan Jatuhnya Survey tool ke dalam Sumur pada saat melakukan pekerjaan Cabut Rangkaian 17-1/2&quot; Bit mulai tanggal 28 Juli 2022 pukul 16.30 WIB sampai 31 Juli 2022 pukul 21.30 WIB_x000a_7. Jalan menuju lokasi KTT-UP8 yang bergelombang dan berlubang menghambat perjalanan armada move menuju lokasi KTT-UP8_x000a_8. Pada tanggal 08 Juli 2022 adanya Pasar Jumat di daerah KTT-UP8 mulai pukul 07.00 WIB spi 15.00 WIB sehingga armada move tidak bisa lewat menuju lokasi KTT-UP8_x000a_9. Pada tanggal 12 Juli 2022 armada move yang membawa Rig Carier terpuruk di tanjakan menuju lokasi KTT-UP8 sehingga menyebabkan antrian panjang armada move"/>
  </r>
  <r>
    <n v="5"/>
    <s v="Pertamina EP"/>
    <s v="Indonesia"/>
    <s v="Zona 1"/>
    <x v="1"/>
    <s v="KSB-A12"/>
    <x v="0"/>
    <s v="New"/>
    <s v="New Well"/>
    <x v="0"/>
    <x v="0"/>
    <m/>
    <x v="3"/>
    <s v="Rig Darat"/>
    <n v="550"/>
    <d v="2022-05-15T00:00:00"/>
    <n v="38.5"/>
    <n v="1350"/>
    <n v="2983792"/>
    <m/>
    <m/>
    <m/>
    <m/>
    <n v="0"/>
    <m/>
    <m/>
    <n v="0"/>
    <m/>
    <m/>
    <n v="0"/>
    <m/>
    <m/>
    <n v="0"/>
    <n v="0"/>
    <m/>
    <m/>
    <n v="0"/>
    <n v="0"/>
    <m/>
    <m/>
    <m/>
    <n v="0"/>
    <m/>
  </r>
  <r>
    <n v="6"/>
    <s v="Pertamina EP"/>
    <s v="Indonesia"/>
    <s v="Zona 1"/>
    <x v="1"/>
    <s v="KSB-PROP7"/>
    <x v="3"/>
    <s v="New"/>
    <s v="New Well"/>
    <x v="0"/>
    <x v="0"/>
    <s v="Completed"/>
    <x v="3"/>
    <s v="Rig Darat"/>
    <n v="550"/>
    <d v="2022-04-02T00:00:00"/>
    <n v="21.1"/>
    <n v="1300"/>
    <n v="2851130"/>
    <n v="98.052231591840595"/>
    <n v="4.2895986781536202"/>
    <d v="2022-05-30T06:00:00"/>
    <d v="2022-06-02T15:00:00"/>
    <n v="3.375"/>
    <d v="2022-06-02T15:00:00"/>
    <d v="2022-06-14T18:00:00"/>
    <n v="12.125"/>
    <d v="2022-06-14T18:00:00"/>
    <d v="2022-07-06T13:00:00"/>
    <n v="21.791666666664241"/>
    <d v="2022-07-06T13:00:00"/>
    <d v="2022-07-19T00:00:00"/>
    <n v="12.458333333335759"/>
    <n v="34.25"/>
    <d v="2022-07-19T00:00:00"/>
    <d v="2022-07-22T00:00:00"/>
    <n v="3"/>
    <n v="52.75"/>
    <n v="1370"/>
    <n v="2084781.7294244175"/>
    <n v="1075906.8523192499"/>
    <n v="3160688.5817436674"/>
    <s v="Keterlambatan Move In:_x000a_1. Rabu 25 s/d 26 Mei 2022, jalur moving dari lokasi RNT-INJ06 ke lokasi KSB-PROP7 terhambat dengan adanya proses moving RTU-01 (48 jam)_x000a_2. Jumat 27 Mei 2022 (09.00 s/d 17.00 WIB), ada perbaikan jalan akses masuk ke KSB-PROP7 (8 jam)_x000a_3. Selasa 31 Mei 2022 (07.00 s/d 17.00 WIB), jalur moving dari lokasi RNT-INJ06 ke lokasi KSB-PROP7 tidak bisa dilewati karena ada kegiatan Pasar Tradisional Desa Upah (10 jam)"/>
  </r>
  <r>
    <n v="7"/>
    <s v="Pertamina EP"/>
    <s v="Indonesia"/>
    <s v="Zona 1"/>
    <x v="1"/>
    <s v="RNT-INJ06"/>
    <x v="4"/>
    <s v="New"/>
    <s v="New Well"/>
    <x v="0"/>
    <x v="1"/>
    <s v="Completed"/>
    <x v="3"/>
    <s v="Rig Darat"/>
    <n v="550"/>
    <d v="2022-07-02T00:00:00"/>
    <n v="18.920000000000002"/>
    <n v="820"/>
    <n v="2766044.56"/>
    <n v="98.106168891631"/>
    <n v="4.3339829342811198"/>
    <d v="2022-03-01T00:00:00"/>
    <d v="2022-04-25T07:00:00"/>
    <n v="55.291666666664241"/>
    <m/>
    <m/>
    <n v="0"/>
    <d v="2022-04-25T07:00:00"/>
    <d v="2022-05-03T00:00:00"/>
    <n v="7.7083333333357587"/>
    <d v="2022-05-03T00:00:00"/>
    <d v="2022-05-18T00:00:00"/>
    <n v="15"/>
    <n v="22.708333333335759"/>
    <d v="2022-05-18T00:00:00"/>
    <d v="2022-05-21T00:00:00"/>
    <n v="3"/>
    <n v="81"/>
    <n v="820"/>
    <n v="1630790.9984825787"/>
    <n v="735832.83722125436"/>
    <n v="2366623.835703833"/>
    <s v="Keterlambatan Move In:_x000a_1. Rig sudah 100% berada di lokasi staging area P-460 pada tanggal 31 Maret 2022_x000a_2. Rig baru diijinkan melakukan Moving ke lokasi RNT Inj 6 pada tanggal 10 April 2022"/>
  </r>
  <r>
    <n v="8"/>
    <s v="Pertamina EP"/>
    <s v="Indonesia"/>
    <s v="Zona 1"/>
    <x v="1"/>
    <s v="RNT-INJ14"/>
    <x v="0"/>
    <s v="New"/>
    <s v="New Well"/>
    <x v="0"/>
    <x v="1"/>
    <m/>
    <x v="3"/>
    <s v="Rig Darat"/>
    <n v="550"/>
    <d v="2022-10-02T00:00:00"/>
    <n v="19.100000000000001"/>
    <n v="850"/>
    <n v="2227744"/>
    <n v="98.099246046717298"/>
    <n v="4.33516885412807"/>
    <m/>
    <m/>
    <n v="0"/>
    <m/>
    <m/>
    <n v="0"/>
    <m/>
    <m/>
    <n v="0"/>
    <m/>
    <m/>
    <n v="0"/>
    <n v="0"/>
    <m/>
    <m/>
    <n v="0"/>
    <n v="0"/>
    <m/>
    <m/>
    <m/>
    <n v="0"/>
    <m/>
  </r>
  <r>
    <n v="9"/>
    <s v="Pertamina EP"/>
    <s v="Indonesia"/>
    <s v="Zona 1"/>
    <x v="1"/>
    <s v="RNT-PRD01R"/>
    <x v="5"/>
    <s v="New"/>
    <s v="New Well"/>
    <x v="0"/>
    <x v="1"/>
    <s v="Completed"/>
    <x v="4"/>
    <s v="Rig Darat"/>
    <n v="400"/>
    <d v="2022-08-02T00:00:00"/>
    <n v="22.5"/>
    <n v="790"/>
    <n v="2489280"/>
    <n v="98.099558606421596"/>
    <n v="4.3375937027245799"/>
    <d v="2022-06-28T00:00:00"/>
    <d v="2022-06-30T16:00:00"/>
    <n v="2.6666666666642413"/>
    <d v="2022-07-01T00:00:00"/>
    <d v="2022-07-10T11:00:00"/>
    <n v="9.4583333333357587"/>
    <d v="2022-07-10T11:00:00"/>
    <d v="2022-07-18T00:00:00"/>
    <n v="7.5416666666642413"/>
    <d v="2022-07-18T00:00:00"/>
    <d v="2022-07-31T16:00:00"/>
    <n v="13.666666666664241"/>
    <n v="21.208333333328483"/>
    <d v="2022-07-31T16:00:00"/>
    <d v="2022-08-02T16:00:00"/>
    <n v="2"/>
    <n v="35.333333333328483"/>
    <n v="790"/>
    <n v="1166626.3931849203"/>
    <n v="969960.39347038325"/>
    <n v="2136586.7866553036"/>
    <s v="Keterlambatan Move In:_x000a_1. 30 Juni 2022 (00.00 s/d 16.00 WIB), kondisi jalan perlu penambahan sertu dan pemadatan_x000a__x000a_Keterlambatan R/U:_x000a_1. 01 Juli 2022 (00.00 WIB) s/d 02 Juli 2022 (24.00 WIB), masih ada pengerjaan lokasi oleh Tim SF dari Pertamina EP Asset I Field Rantau_x000a_2. 03 Juli 2022 (00.00 s/d 11.00 WIB), masih ada pengerjaan dan perataan lokasi yang masih labil"/>
  </r>
  <r>
    <n v="10"/>
    <s v="Pertamina EP"/>
    <s v="Indonesia"/>
    <s v="Zona 1"/>
    <x v="1"/>
    <s v="RNT-PRD03"/>
    <x v="0"/>
    <s v="New"/>
    <s v="New Well"/>
    <x v="0"/>
    <x v="1"/>
    <m/>
    <x v="4"/>
    <s v="Rig Darat"/>
    <n v="400"/>
    <d v="2022-11-15T00:00:00"/>
    <n v="21.6"/>
    <n v="750"/>
    <n v="3183371"/>
    <n v="98.103569579553806"/>
    <n v="4.3371823362975697"/>
    <m/>
    <m/>
    <n v="0"/>
    <m/>
    <m/>
    <n v="0"/>
    <m/>
    <m/>
    <n v="0"/>
    <m/>
    <m/>
    <n v="0"/>
    <n v="0"/>
    <m/>
    <m/>
    <n v="0"/>
    <n v="0"/>
    <m/>
    <m/>
    <m/>
    <n v="0"/>
    <m/>
  </r>
  <r>
    <n v="11"/>
    <s v="Pertamina EP"/>
    <s v="Indonesia"/>
    <s v="Zona 1"/>
    <x v="1"/>
    <s v="RNT-PRD06"/>
    <x v="0"/>
    <s v="New"/>
    <s v="New Well"/>
    <x v="0"/>
    <x v="1"/>
    <m/>
    <x v="4"/>
    <s v="Rig Darat"/>
    <n v="400"/>
    <d v="2022-09-15T00:00:00"/>
    <n v="21.5"/>
    <n v="720"/>
    <n v="2400606"/>
    <n v="98.111287635034302"/>
    <n v="4.3419047323109501"/>
    <m/>
    <m/>
    <n v="0"/>
    <m/>
    <m/>
    <n v="0"/>
    <m/>
    <m/>
    <n v="0"/>
    <m/>
    <m/>
    <n v="0"/>
    <n v="0"/>
    <m/>
    <m/>
    <n v="0"/>
    <n v="0"/>
    <m/>
    <m/>
    <m/>
    <n v="0"/>
    <m/>
  </r>
  <r>
    <n v="12"/>
    <s v="Pertamina EP"/>
    <s v="Indonesia"/>
    <s v="Zona 1"/>
    <x v="1"/>
    <s v="RNT-PRD09"/>
    <x v="6"/>
    <s v="C/F"/>
    <s v="New Well"/>
    <x v="0"/>
    <x v="1"/>
    <s v="Completed"/>
    <x v="4"/>
    <s v="Rig Darat"/>
    <n v="400"/>
    <d v="2022-01-02T00:00:00"/>
    <n v="21.77"/>
    <n v="800"/>
    <n v="2318089"/>
    <n v="98.1059045370707"/>
    <n v="4.33653375335048"/>
    <d v="2021-12-20T00:00:00"/>
    <d v="2021-12-24T00:00:00"/>
    <n v="4"/>
    <d v="2021-12-24T00:00:00"/>
    <d v="2022-01-01T00:00:00"/>
    <n v="8"/>
    <d v="2022-01-01T00:00:00"/>
    <d v="2022-01-09T22:00:00"/>
    <n v="8.9166666666642413"/>
    <d v="2022-01-09T22:00:00"/>
    <d v="2022-01-23T14:00:00"/>
    <n v="13.666666666671517"/>
    <n v="22.583333333335759"/>
    <d v="2022-01-23T14:00:00"/>
    <d v="2022-01-25T14:00:00"/>
    <n v="2"/>
    <n v="36.583333333335759"/>
    <n v="802"/>
    <n v="1225106.9856455021"/>
    <n v="654625.20717592631"/>
    <n v="1879732.1928214284"/>
    <s v="Keterlambatan R/U:_x000a_1. Intensitas curah hujan yang terus menerus sehingga menghambat pekerjaan Rig Up karena lokasi menjadi rusak dan perlu ada perbaikan serta penimbunan lokasi kembali."/>
  </r>
  <r>
    <n v="13"/>
    <s v="Pertamina EP"/>
    <s v="Indonesia"/>
    <s v="Zona 1"/>
    <x v="1"/>
    <s v="RNT-PRD14R"/>
    <x v="0"/>
    <s v="New"/>
    <s v="New Well"/>
    <x v="0"/>
    <x v="1"/>
    <m/>
    <x v="4"/>
    <s v="Rig Darat"/>
    <n v="400"/>
    <d v="2022-08-15T00:00:00"/>
    <n v="36.9"/>
    <n v="804"/>
    <n v="2442750"/>
    <m/>
    <m/>
    <m/>
    <m/>
    <n v="0"/>
    <m/>
    <m/>
    <n v="0"/>
    <m/>
    <m/>
    <n v="0"/>
    <m/>
    <m/>
    <n v="0"/>
    <n v="0"/>
    <m/>
    <m/>
    <n v="0"/>
    <n v="0"/>
    <m/>
    <m/>
    <m/>
    <n v="0"/>
    <m/>
  </r>
  <r>
    <n v="14"/>
    <s v="Pertamina EP"/>
    <s v="Indonesia"/>
    <s v="Zona 1"/>
    <x v="1"/>
    <s v="RNT-PRD15R"/>
    <x v="7"/>
    <s v="New"/>
    <s v="New Well"/>
    <x v="0"/>
    <x v="1"/>
    <s v="Completed"/>
    <x v="3"/>
    <s v="Rig Darat"/>
    <n v="550"/>
    <d v="2022-11-02T00:00:00"/>
    <n v="22.5"/>
    <n v="780"/>
    <n v="2505645"/>
    <n v="98.114475778147707"/>
    <n v="4.3361005748450898"/>
    <m/>
    <m/>
    <n v="0"/>
    <m/>
    <m/>
    <n v="0"/>
    <d v="2022-08-17T06:00:00"/>
    <d v="2022-08-31T10:00:00"/>
    <n v="14.166666666664241"/>
    <d v="2022-08-31T10:00:00"/>
    <d v="2022-09-28T00:00:00"/>
    <n v="27.583333333335759"/>
    <n v="41.75"/>
    <m/>
    <m/>
    <n v="0"/>
    <n v="41.75"/>
    <n v="780"/>
    <n v="1568197.6731391596"/>
    <n v="1325500.2863495932"/>
    <n v="2893697.9594887528"/>
    <m/>
  </r>
  <r>
    <n v="15"/>
    <s v="Pertamina EP"/>
    <s v="Indonesia"/>
    <s v="Zona 1"/>
    <x v="1"/>
    <s v="RNT-SZ25"/>
    <x v="8"/>
    <s v="New"/>
    <s v="New Well"/>
    <x v="0"/>
    <x v="1"/>
    <s v="Completed"/>
    <x v="4"/>
    <s v="Rig Darat"/>
    <n v="400"/>
    <d v="2022-03-15T00:00:00"/>
    <n v="17.100000000000001"/>
    <n v="715"/>
    <n v="2557831.42"/>
    <n v="98.110172992180495"/>
    <n v="4.34712329160135"/>
    <d v="2022-04-08T14:00:00"/>
    <d v="2022-04-11T14:00:00"/>
    <n v="3"/>
    <d v="2022-04-11T14:00:00"/>
    <d v="2022-04-23T05:00:00"/>
    <n v="11.625"/>
    <d v="2022-04-23T05:00:00"/>
    <d v="2022-04-30T05:00:00"/>
    <n v="7"/>
    <d v="2022-04-30T05:00:00"/>
    <d v="2022-05-10T06:00:00"/>
    <n v="10.041666666664241"/>
    <n v="17.041666666664241"/>
    <d v="2022-05-10T06:00:00"/>
    <d v="2022-05-12T06:00:00"/>
    <n v="2"/>
    <n v="33.666666666664241"/>
    <n v="715"/>
    <n v="1631787.4110684954"/>
    <n v="693384.36421879614"/>
    <n v="2325171.7752872915"/>
    <s v="Keterlambatan Move In:_x000a_1. Ada penimbunan / perbaikan balong di lokasi_x000a__x000a_Keterlambatan R/U:_x000a_1. Ada permasalahan terlambatnya pengisian air balong (1 hari) dan meeting petrol (2 hari)"/>
  </r>
  <r>
    <n v="16"/>
    <s v="Pertamina EP"/>
    <s v="Indonesia"/>
    <s v="Zona 1"/>
    <x v="1"/>
    <s v="RNT-SZ27"/>
    <x v="9"/>
    <s v="New"/>
    <s v="New Well"/>
    <x v="0"/>
    <x v="1"/>
    <s v="Completed"/>
    <x v="4"/>
    <s v="Rig Darat"/>
    <n v="400"/>
    <d v="2022-05-02T00:00:00"/>
    <n v="17.100000000000001"/>
    <n v="715"/>
    <n v="2213895"/>
    <n v="98.107378206242998"/>
    <n v="4.3479070351280198"/>
    <d v="2022-05-12T15:00:00"/>
    <d v="2022-05-14T15:00:00"/>
    <n v="2"/>
    <d v="2022-05-14T15:00:00"/>
    <d v="2022-05-24T08:00:00"/>
    <n v="9.7083333333357587"/>
    <d v="2022-05-24T08:00:00"/>
    <d v="2022-05-31T18:30:00"/>
    <n v="7.4375"/>
    <d v="2022-05-31T18:30:00"/>
    <d v="2022-06-13T14:00:00"/>
    <n v="12.8125"/>
    <n v="20.25"/>
    <d v="2022-06-13T14:00:00"/>
    <d v="2022-06-15T14:00:00"/>
    <n v="2"/>
    <n v="33.958333333335759"/>
    <n v="715.15"/>
    <n v="1652687.4109692222"/>
    <n v="820461.73495644587"/>
    <n v="2473149.1459256681"/>
    <s v="Keterlambatan R/U:_x000a_1. Ada perbaikan lokasi di beberapa titik seperti area setting catwalk &amp; V-door, area setting BPM, pipe rack, mud gas separator hancur saat manuver armada moving yang menyebabkan pekerjaan pengesetan peralatan terkendala dan perlu adanya pemadatan kembali guna kelancaran proses Rig Up 100%."/>
  </r>
  <r>
    <n v="17"/>
    <s v="Pertamina EP"/>
    <s v="Indonesia"/>
    <s v="Zona 1"/>
    <x v="1"/>
    <s v="RNT-SZ30"/>
    <x v="10"/>
    <s v="New"/>
    <s v="New Well"/>
    <x v="0"/>
    <x v="1"/>
    <s v="Completed"/>
    <x v="4"/>
    <s v="Rig Darat"/>
    <n v="400"/>
    <d v="2022-06-15T00:00:00"/>
    <n v="17.100000000000001"/>
    <n v="715"/>
    <n v="2254026"/>
    <n v="98.102318505106396"/>
    <n v="4.3510401736709996"/>
    <d v="2022-08-10T09:00:00"/>
    <d v="2022-08-12T09:00:00"/>
    <n v="2"/>
    <d v="2022-08-12T09:00:00"/>
    <d v="2022-08-21T10:00:00"/>
    <n v="9.0416666666642413"/>
    <d v="2022-08-21T10:00:00"/>
    <d v="2022-08-28T15:30:00"/>
    <n v="7.2291666666715173"/>
    <d v="2022-08-28T15:30:00"/>
    <d v="2022-09-06T21:00:00"/>
    <n v="9.2291666666642413"/>
    <n v="16.458333333335759"/>
    <d v="2022-09-06T21:00:00"/>
    <d v="2022-09-08T21:00:00"/>
    <n v="2"/>
    <n v="29.5"/>
    <n v="715.1"/>
    <n v="1607042.102158827"/>
    <n v="660540.5219526717"/>
    <n v="2267582.6241114987"/>
    <s v="Keterlambatan R/U:_x000a_1. Masih ada pengerjaan dan perataan lokasi yang masih labil_x000a_2. Adanya pengerjaan line produksi pada saat Rig Up_x000a_3. Pada tanggal 16 Agustus 2022 jam 16.00 WIB, Rig sudah siap untuk pelaksanaan Endurance Test, namun belum dapat dilaksanakan karena belum ada Mud Engineer dan baru dapat dilaksanakan pada tanggal 17 Agustus 2022 jam 09.00 WIB"/>
  </r>
  <r>
    <n v="18"/>
    <s v="Pertamina EP"/>
    <s v="Indonesia"/>
    <s v="Zona 1"/>
    <x v="2"/>
    <s v="SEC-A2"/>
    <x v="0"/>
    <s v="C/F"/>
    <s v="New Well"/>
    <x v="0"/>
    <x v="0"/>
    <m/>
    <x v="5"/>
    <s v="Rig Darat"/>
    <n v="1000"/>
    <d v="2022-11-15T00:00:00"/>
    <n v="64.099999999999994"/>
    <n v="1920"/>
    <n v="6397170"/>
    <m/>
    <m/>
    <m/>
    <m/>
    <n v="0"/>
    <m/>
    <m/>
    <n v="0"/>
    <m/>
    <m/>
    <n v="0"/>
    <m/>
    <m/>
    <n v="0"/>
    <n v="0"/>
    <m/>
    <m/>
    <n v="0"/>
    <n v="0"/>
    <m/>
    <m/>
    <m/>
    <n v="0"/>
    <m/>
  </r>
  <r>
    <n v="19"/>
    <s v="Pertamina EP"/>
    <s v="Indonesia"/>
    <s v="Zona 1"/>
    <x v="0"/>
    <s v="SGC-X8"/>
    <x v="11"/>
    <s v="New"/>
    <s v="New Well"/>
    <x v="0"/>
    <x v="0"/>
    <s v="Completed"/>
    <x v="2"/>
    <s v="Rig Darat"/>
    <n v="550"/>
    <d v="2022-02-08T00:00:00"/>
    <n v="31.6"/>
    <n v="1804"/>
    <n v="3226593.01"/>
    <m/>
    <m/>
    <d v="2022-01-27T00:00:00"/>
    <d v="2022-01-31T00:00:00"/>
    <n v="4"/>
    <d v="2022-01-31T00:00:00"/>
    <d v="2022-02-09T18:00:00"/>
    <n v="9.75"/>
    <d v="2022-02-09T18:00:00"/>
    <d v="2022-02-21T01:00:00"/>
    <n v="11.291666666664241"/>
    <d v="2022-02-21T01:00:00"/>
    <d v="2022-03-04T00:00:00"/>
    <n v="10.958333333335759"/>
    <n v="22.25"/>
    <d v="2022-03-04T00:00:00"/>
    <d v="2022-03-07T00:00:00"/>
    <n v="3"/>
    <n v="39"/>
    <n v="1844"/>
    <n v="1622813.3721959998"/>
    <n v="917600.61883330229"/>
    <n v="2540413.9910293021"/>
    <s v="Keterlambatan Move In:_x000a_1. Setiap hari di lokasi KTT-UP1 (KTT-045) ada aktivitas penyedotan / transfer Crude Oil dari shettle tank / tangki produksi KTT-045 ke Vacum Truck oleh Tim produksi EP. Aktivitas ini dilakukan 2x dalam sehari (00.00 - 01.00 WIB &amp; 11.00 - 12.00 WIB). Vacum Truck standby di akses utama lokasi sehingga menghalangi armada moving masuk / keluar lokasi._x000a_2. Armada masuk dan keluar lokasi KTT-UP1 di backup (ditarik / didorong) oleh 1 unit Excavator PT RJA/SF mengingat lokasi amblas / bonyok dan berpotensi menyebabkan armada terperosok._x000a_3. Ada pasar tumpah (pasar Jum'at) di jalur moving RT. 21 Ketaling sehingga armada tidak bisa / tidak boleh lewat karena ramai aktivitas pasar (06.00 - 14.00 WIB)."/>
  </r>
  <r>
    <n v="20"/>
    <s v="Pertamina EP"/>
    <s v="Indonesia"/>
    <s v="Zona 1"/>
    <x v="0"/>
    <s v="TPN-176 TW"/>
    <x v="0"/>
    <s v="C/O"/>
    <s v="New Well"/>
    <x v="0"/>
    <x v="0"/>
    <m/>
    <x v="0"/>
    <s v="Rig Darat"/>
    <n v="1500"/>
    <d v="2022-05-02T00:00:00"/>
    <n v="43"/>
    <n v="2800"/>
    <n v="7626889.1899999995"/>
    <m/>
    <m/>
    <m/>
    <m/>
    <n v="0"/>
    <m/>
    <m/>
    <n v="0"/>
    <m/>
    <m/>
    <n v="0"/>
    <m/>
    <m/>
    <n v="0"/>
    <n v="0"/>
    <m/>
    <m/>
    <n v="0"/>
    <n v="0"/>
    <m/>
    <m/>
    <m/>
    <n v="0"/>
    <m/>
  </r>
  <r>
    <n v="21"/>
    <s v="Pertamina EP"/>
    <s v="Indonesia"/>
    <s v="Zona 1"/>
    <x v="0"/>
    <s v="TPN-DZ20.1"/>
    <x v="12"/>
    <s v="New"/>
    <s v="New Well"/>
    <x v="0"/>
    <x v="0"/>
    <s v="Completed"/>
    <x v="2"/>
    <s v="Rig Darat"/>
    <n v="550"/>
    <d v="2022-03-22T00:00:00"/>
    <n v="29.2"/>
    <n v="1251"/>
    <n v="2508579"/>
    <m/>
    <m/>
    <d v="2022-03-07T06:00:00"/>
    <d v="2022-03-12T06:00:00"/>
    <n v="5"/>
    <d v="2022-03-12T06:00:00"/>
    <d v="2022-03-21T15:00:00"/>
    <n v="9.375"/>
    <d v="2022-03-21T15:00:00"/>
    <d v="2022-04-02T00:00:00"/>
    <n v="11.375"/>
    <d v="2022-04-02T00:00:00"/>
    <d v="2022-04-23T00:00:00"/>
    <n v="21"/>
    <n v="32.375"/>
    <d v="2022-04-23T00:00:00"/>
    <d v="2022-04-26T00:00:00"/>
    <n v="3"/>
    <n v="49.75"/>
    <n v="1251"/>
    <n v="1090648.2784494774"/>
    <n v="1165827.5916138317"/>
    <n v="2256475.8700633091"/>
    <s v="Keterlambatan Move In:_x000a_1. Hujan lebat di lokasi SGC-X8, pandangan operator crane terbatas, aktivitas loading dihentikan (tgl 07 Maret 2022 pukul 20.00 - 21.00) (1 jam)_x000a_2. Armada muatan terperosok ke selokan karena jalanan licin (tanggal 08 Maret 2022 pukul 04.00 - 09.00) (2 jam)_x000a_3. Unit Rig Carrier &amp; armada moving Rig Sigma Terperosok di SP Gelam sehingga armada moving Rig PDSI tidak dapat melakukan kegiatan moving (tgl 08 Maret 2022 pukul 16.00 s.d. 09  Maret 2022 pukul  11.00) (19 jam)_x000a_4 Hujan deras di lokasi SGC-X8 &amp; TPN-DZ20.1 sehingga pandangan operator crane terbatas dan proses load/unload terhenti ( tgl 09 Maret 2022 pkl 22.00 s.d. 10 Maret 2022 pkl 02.30) (5.5 jam)_x000a_5. Armada moving stand by di RM Rindu Wisata tgl 10 Maret 2022 pkl 04.00 karena jalanan masuk lokasi licin. Baru mulai masuk lokasi jam 12.00 (8 jam)_x000a_6. Hujan deras mengakibatkan armada tidak dapat keluar masuk lokasi karena jalanan licin (tanggal 11 Maret 2022 pkl 13.30 s.d. 16.00) (2.5 jam)"/>
  </r>
  <r>
    <n v="22"/>
    <s v="Pertamina EP"/>
    <s v="Indonesia"/>
    <s v="Zona 1"/>
    <x v="0"/>
    <s v="TPN-DZ20.2"/>
    <x v="13"/>
    <s v="New"/>
    <s v="New Well"/>
    <x v="0"/>
    <x v="0"/>
    <s v="Completed"/>
    <x v="2"/>
    <s v="Rig Darat"/>
    <n v="550"/>
    <d v="2022-06-08T00:00:00"/>
    <n v="27.8"/>
    <n v="1291"/>
    <n v="2362404"/>
    <m/>
    <m/>
    <d v="2022-05-14T06:00:00"/>
    <d v="2022-05-15T06:00:00"/>
    <n v="1"/>
    <d v="2022-05-15T06:00:00"/>
    <d v="2022-05-21T22:00:00"/>
    <n v="6.6666666666642413"/>
    <d v="2022-05-21T22:00:00"/>
    <d v="2022-05-30T11:00:00"/>
    <n v="8.5416666666715173"/>
    <d v="2022-05-30T11:00:00"/>
    <d v="2022-06-12T17:00:00"/>
    <n v="13.25"/>
    <n v="21.791666666671517"/>
    <d v="2022-06-12T17:00:00"/>
    <d v="2022-06-15T17:00:00"/>
    <n v="3"/>
    <n v="32.458333333335759"/>
    <n v="1286"/>
    <n v="848047.64753048774"/>
    <n v="1226303.9124346692"/>
    <n v="2074351.559965157"/>
    <m/>
  </r>
  <r>
    <n v="23"/>
    <s v="Pertamina EP"/>
    <s v="Indonesia"/>
    <s v="Zona 1"/>
    <x v="0"/>
    <s v="TPN-DZ20.5"/>
    <x v="14"/>
    <s v="New"/>
    <s v="New Well"/>
    <x v="0"/>
    <x v="0"/>
    <s v="Completed"/>
    <x v="2"/>
    <s v="Rig Darat"/>
    <n v="550"/>
    <d v="2022-07-22T00:00:00"/>
    <n v="27.833333333333339"/>
    <n v="1270.81"/>
    <n v="2433487"/>
    <m/>
    <m/>
    <d v="2022-07-17T06:00:00"/>
    <d v="2022-07-20T06:00:00"/>
    <n v="3"/>
    <d v="2022-07-20T06:00:00"/>
    <d v="2022-07-29T13:00:00"/>
    <n v="9.2916666666642413"/>
    <d v="2022-07-29T13:00:00"/>
    <d v="2022-08-07T14:00:00"/>
    <n v="9.0416666666715173"/>
    <d v="2022-08-07T14:00:00"/>
    <d v="2022-08-29T14:00:00"/>
    <n v="22"/>
    <n v="31.041666666671517"/>
    <d v="2022-08-29T14:00:00"/>
    <d v="2022-09-01T14:00:00"/>
    <n v="3"/>
    <n v="46.333333333335759"/>
    <n v="1275"/>
    <n v="1092510.741951494"/>
    <n v="1393160.410692377"/>
    <n v="2485671.152643871"/>
    <s v="Keterlambatan Endurance Test:_x000a_1. Rig Up Rig + Top Drive serta function test sudah 100% dan rangkaian pahat 17-1/2&quot; sudah di make up (siap putar) TMT. 25 Juli 2022 jam 06.00 wib_x000a_2. Chemical lumpur baru tiba di lokasi TPN-DZ20.5 tanggal 25 Juli 2022 jam 17.00 wib. Lanjut bongkar chemical lumpur dari armada dan tunggu personil Mud Eng._x000a_3. Mud Eng baru tiba di lokasi Tgl. 25 Juli 2022 jam 23.00 wib, lanjut bongkar chemical lumpur dari armada dan persiapan mixing sampai Tgl. 26 Juli 2022 pkl. 09.00 wib_x000a_4. Mixing Gel water untuk fluida endurance test baru bisa dilaksanakan tanggal 26 Juli 2022 mulai jam 09.00 wib dan Endurance test mulai pkl. 12.00 wib_x000a_5. Cementing engineer tiba di lokasi Tgl. 26 Juli 2022 pkl. 06.00 wib untuk mixing cement simultan dengan endurance test_x000a_6. Setelah endurance test dan pemasangan stove pipe 100%, stok air di water pit masih kurang untuk pemboran selanjutnya, sehingga balong diisi menggunakan Vacuum Truck sampai Tgl. 29 Juli 2022 pkl. 13.00 wib dan sumur siap Tajak"/>
  </r>
  <r>
    <n v="24"/>
    <s v="Pertamina EP"/>
    <s v="Indonesia"/>
    <s v="Zona 1"/>
    <x v="0"/>
    <s v="TPN-DZ20.6"/>
    <x v="15"/>
    <s v="New"/>
    <s v="New Well"/>
    <x v="0"/>
    <x v="0"/>
    <s v="On Going"/>
    <x v="2"/>
    <s v="Rig Darat"/>
    <n v="550"/>
    <d v="2022-09-08T00:00:00"/>
    <n v="27.9"/>
    <n v="1307"/>
    <n v="2434078"/>
    <m/>
    <m/>
    <m/>
    <m/>
    <n v="0"/>
    <m/>
    <m/>
    <n v="0"/>
    <m/>
    <m/>
    <n v="0"/>
    <m/>
    <m/>
    <n v="0"/>
    <n v="0"/>
    <m/>
    <m/>
    <n v="0"/>
    <n v="0"/>
    <m/>
    <m/>
    <m/>
    <n v="0"/>
    <m/>
  </r>
  <r>
    <n v="25"/>
    <s v="Pertamina EP"/>
    <s v="Indonesia"/>
    <s v="Zona 1"/>
    <x v="0"/>
    <s v="SGC-X6"/>
    <x v="16"/>
    <s v="C/O"/>
    <s v="New Well"/>
    <x v="0"/>
    <x v="1"/>
    <s v="Completed"/>
    <x v="1"/>
    <s v="Rig Darat"/>
    <n v="550"/>
    <d v="2021-12-22T00:00:00"/>
    <n v="24.7"/>
    <n v="1650"/>
    <n v="2623025.7528246213"/>
    <m/>
    <m/>
    <d v="2021-12-07T00:00:00"/>
    <d v="2021-12-11T09:00:00"/>
    <n v="4.375"/>
    <d v="2021-12-11T09:00:00"/>
    <d v="2021-12-25T00:00:00"/>
    <n v="13.625"/>
    <d v="2021-12-25T00:00:00"/>
    <d v="2022-01-09T15:30:00"/>
    <n v="15.645833333335759"/>
    <d v="2022-01-09T15:30:00"/>
    <d v="2022-01-26T18:00:00"/>
    <n v="17.104166666664241"/>
    <n v="32.75"/>
    <d v="2022-01-26T18:00:00"/>
    <d v="2022-01-28T18:00:00"/>
    <n v="2"/>
    <n v="52.75"/>
    <n v="1650"/>
    <n v="1540219.1054954408"/>
    <n v="887574.16343053197"/>
    <n v="2427793.2689259727"/>
    <s v="Keterlambatan Move In:_x000a_1. Portal milik perkebunan sawit baru terbuka pada pukul 8,30 WIB dan ditutup pada pukul 16.00_x000a_2. Move in pada tanggal 8 desember 2021 pukul 10.00 WIB sampai pukul 14.00 WIB terganggu karena jalan masuk lokasi lunak dana da armada moving terpuruk_x000a_3. Pada tanggal 9 Desember di Desa Pulau Mentaro ada pasar sehingga armada terhambat untuk lewat saat pagi hari sampai siang jam 13.00_x000a_4. Move in pada tanggal 10 Desember 2021 pukul 9.00 WIB sampai pukul 15.00 WIB terganggu karena jalan masuk lokasi lunak dan ada armada moving terpuruk."/>
  </r>
  <r>
    <n v="26"/>
    <s v="Pertamina EP"/>
    <s v="Indonesia"/>
    <s v="Zona 1"/>
    <x v="0"/>
    <s v="KTT-UP1"/>
    <x v="17"/>
    <s v="C/O"/>
    <s v="New Well"/>
    <x v="0"/>
    <x v="0"/>
    <s v="Completed"/>
    <x v="2"/>
    <s v="Rig Darat"/>
    <n v="550"/>
    <d v="2021-12-01T00:00:00"/>
    <n v="24.7"/>
    <n v="1211"/>
    <n v="2529742"/>
    <m/>
    <m/>
    <d v="2021-12-05T00:00:00"/>
    <d v="2021-12-17T00:00:00"/>
    <n v="12"/>
    <d v="2021-12-17T00:00:00"/>
    <d v="2021-12-23T21:00:00"/>
    <n v="6.875"/>
    <d v="2021-12-27T14:00:00"/>
    <d v="2022-01-03T19:30:00"/>
    <n v="7.2291666666642413"/>
    <d v="2022-01-03T19:30:00"/>
    <d v="2022-01-15T17:00:00"/>
    <n v="11.895833333335759"/>
    <n v="19.125"/>
    <d v="2022-01-15T17:00:00"/>
    <d v="2022-01-18T17:00:00"/>
    <n v="3"/>
    <n v="41"/>
    <n v="1208"/>
    <n v="1262404.0251826181"/>
    <n v="814917.57195490645"/>
    <n v="2077321.5971375245"/>
    <s v="Keterlambatan Move In:_x000a_1. Kondisi lokasi KTT-UP1 yang amblas membuat crane tidak bisa manuver dan armada susah untuk masuk lokasi_x000a_2. Aktivitas Move-in di lokasi KTT-UP1 di stop oleh warga (Pemuda Batak Bersatu-PBB) terkait sosialisasi/kejelasan tenaga kerja KTT-UP1 (5 Desember 2021 jam 21.00 WIB s/d 6 Desember 2021 jam 12)_x000a_3. Hujan deras di lokasi PPS-F maupun lokasi KTT-UP1. Aktivitas unloading dihetikan pandangan terbatas operator crane, operator alat berat PT.RJA istirahat, lokasi KTT-UP1 licin dan amblas (tanggal 7 Desember 2021)_x000a_4. Crane terperosok sehingga tidak bisa membantu kegiatan unloading peralatan (tgl. 8 Desember 2021 jam 20.00 WIB s/d 9 Desember 2021 jam 11 WIB)_x000a_5. Hujan deras di lokasi PPS-F/KTT-UP1 sehingga membuat kegiatan unloading/loading berhenti sementara (10 Desember 2021 jam 14.00 s/d 18.00)_x000a_6. Ada kegiatan pasar tumpah/Jumat di jalur moving 2KM sebelum masuk lokasi KTT-UP1(10 Desember 2021 jam 6.00 s/d 14.00)_x000a_7. Armada moving kembali di stop oleh warga tidak boleh masuk lokasi karena permasalahan sosialisasi yang belum selesai(11 Desember 2021 22.30 s.d. 24.00)"/>
  </r>
  <r>
    <n v="27"/>
    <s v="Pertamina EP"/>
    <s v="Indonesia"/>
    <s v="Zona 1"/>
    <x v="0"/>
    <s v="PPS-E"/>
    <x v="18"/>
    <s v="New"/>
    <s v="New Well"/>
    <x v="0"/>
    <x v="0"/>
    <s v="Completed"/>
    <x v="1"/>
    <s v="Rig Darat"/>
    <n v="550"/>
    <m/>
    <n v="31.6"/>
    <n v="1719.12"/>
    <n v="2466748"/>
    <m/>
    <m/>
    <d v="2022-05-06T08:00:00"/>
    <d v="2022-05-10T08:00:00"/>
    <n v="4"/>
    <d v="2022-05-10T08:00:00"/>
    <d v="2022-05-27T03:00:00"/>
    <n v="16.791666666664241"/>
    <d v="2022-05-27T03:00:00"/>
    <d v="2022-06-09T13:00:00"/>
    <n v="13.416666666664241"/>
    <d v="2022-06-09T13:00:00"/>
    <d v="2022-06-29T15:00:00"/>
    <n v="20.083333333335759"/>
    <n v="33.5"/>
    <d v="2022-06-29T15:00:00"/>
    <d v="2022-07-01T15:00:00"/>
    <n v="2"/>
    <n v="56.291666666664241"/>
    <n v="1743"/>
    <n v="973032.71080390271"/>
    <n v="1012638.2867474677"/>
    <n v="1985670.9975513704"/>
    <s v="Keterlambatan Move In:_x000a_1. Portal kebun sawit dibuka pukul 08.30 dan ditutup pukul 16.00 (hari kerja) 12.00 (hari minggu)_x000a_2. Pada tanggal 07 Mei 2022 Crane XCMG &amp; armada move yang membawa Mud Tank terpuruk di lokasi PPS-E ST akibat tanah di lokasi yang masih lembut dan berlumpur sehingga tidak dapat melanjutkan perjalanan_x000a_3. Pada tanggal 10 Mei 2022 armada move yang membawa pipe box DP tidak bosa melanjutkan perjalanan karena terpuruk akibat jalanan yang berlumpur dan tanah yang lembut sehingga terjadi antrian armada move yang melewati akses jalan tersebut._x000a_4. Tanah di lokasi SKB-B dan PPS-E ST lunak dna berlumpur menyebabkan kegiatan Rig Move dan Rig Up Terhambat._x000a__x000a_Keterlambatan R/U:_x000a_1. Menunggu Tubular Good yang lolos inspeksi sampai dinyatakan lengkap untuk memenuhi kebutuhan bor formasi 8-1/2&quot;. Keterlambatan R/U dikenakan denda sesuai PJP Rig NREM-01"/>
  </r>
  <r>
    <n v="28"/>
    <s v="Pertamina EP"/>
    <s v="Indonesia"/>
    <s v="Zona 1"/>
    <x v="0"/>
    <s v="SGET-001"/>
    <x v="19"/>
    <s v="C/O"/>
    <s v="New Well"/>
    <x v="1"/>
    <x v="0"/>
    <s v="Completed"/>
    <x v="6"/>
    <s v="Rig Darat"/>
    <n v="700"/>
    <d v="2021-11-15T00:00:00"/>
    <n v="86.6"/>
    <n v="1919.39"/>
    <n v="10193828"/>
    <m/>
    <m/>
    <d v="2021-10-19T18:00:00"/>
    <d v="2021-11-05T18:00:00"/>
    <n v="17"/>
    <m/>
    <m/>
    <n v="0"/>
    <d v="2021-12-02T00:00:00"/>
    <d v="2021-12-24T04:00:00"/>
    <n v="22.166666666664241"/>
    <d v="2021-12-24T04:00:00"/>
    <d v="2022-01-31T16:00:00"/>
    <n v="38.5"/>
    <n v="60.666666666664241"/>
    <d v="2022-01-31T16:00:00"/>
    <d v="2022-02-03T17:00:00"/>
    <n v="3.0416666666715173"/>
    <n v="80.708333333335759"/>
    <n v="1922"/>
    <n v="4059872.0076282974"/>
    <n v="3121542.1250211373"/>
    <n v="7181414.1326494347"/>
    <m/>
  </r>
  <r>
    <n v="29"/>
    <s v="Pertamina EP"/>
    <s v="Indonesia"/>
    <s v="Zona 1"/>
    <x v="3"/>
    <s v="CMA-001"/>
    <x v="20"/>
    <s v="C/O"/>
    <s v="New Well"/>
    <x v="1"/>
    <x v="1"/>
    <s v="Completed"/>
    <x v="5"/>
    <s v="Rig Darat"/>
    <n v="1500"/>
    <d v="2021-04-02T00:00:00"/>
    <n v="213.83"/>
    <n v="4032.8"/>
    <n v="26620003"/>
    <n v="98.186653732393907"/>
    <n v="3.9918034864350802"/>
    <d v="2021-03-03T00:00:00"/>
    <d v="2021-04-01T00:00:00"/>
    <n v="29"/>
    <d v="2021-04-02T10:00:00"/>
    <d v="2021-04-12T10:00:00"/>
    <n v="10"/>
    <d v="2021-04-12T10:00:00"/>
    <d v="2022-03-14T19:00:00"/>
    <n v="336.375"/>
    <d v="2022-03-14T19:00:00"/>
    <d v="2022-06-16T06:00:00"/>
    <n v="93.458333333335759"/>
    <n v="429.83333333333576"/>
    <d v="2022-06-16T06:00:00"/>
    <d v="2022-06-19T06:00:00"/>
    <n v="3"/>
    <n v="471.83333333333576"/>
    <n v="3255"/>
    <n v="47485213.662025839"/>
    <n v="6400800.542026639"/>
    <n v="53886014.204052478"/>
    <m/>
  </r>
  <r>
    <n v="30"/>
    <s v="Pertamina EP"/>
    <s v="Indonesia"/>
    <s v="Zona 1"/>
    <x v="0"/>
    <s v="SRT-1X"/>
    <x v="21"/>
    <s v="C/F"/>
    <s v="New Well"/>
    <x v="1"/>
    <x v="0"/>
    <s v="Completed"/>
    <x v="0"/>
    <s v="Rig Darat"/>
    <n v="1500"/>
    <d v="2022-02-02T00:00:00"/>
    <n v="62"/>
    <n v="2542.6415999999999"/>
    <n v="11423390.2687712"/>
    <m/>
    <m/>
    <m/>
    <m/>
    <n v="0"/>
    <m/>
    <m/>
    <n v="0"/>
    <d v="2022-03-07T18:00:00"/>
    <d v="2022-06-04T14:30:00"/>
    <n v="88.854166666664241"/>
    <d v="2022-06-04T14:30:00"/>
    <d v="2022-09-08T00:00:00"/>
    <n v="95.395833333335759"/>
    <n v="184.25"/>
    <m/>
    <m/>
    <n v="0"/>
    <n v="184.25"/>
    <n v="2190.1404000000002"/>
    <n v="8477924.5155498628"/>
    <n v="13292152.394450137"/>
    <n v="21770076.9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E9A79D-426B-4322-BF7C-227B9D639F5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6:E7" firstHeaderRow="0" firstDataRow="1" firstDataCol="1" rowPageCount="3" colPageCount="1"/>
  <pivotFields count="45">
    <pivotField showAll="0"/>
    <pivotField showAll="0"/>
    <pivotField showAll="0"/>
    <pivotField showAll="0"/>
    <pivotField axis="axisPage" multipleItemSelectionAllowed="1" showAll="0">
      <items count="14">
        <item m="1" x="4"/>
        <item x="0"/>
        <item m="1" x="5"/>
        <item m="1" x="12"/>
        <item m="1" x="9"/>
        <item x="1"/>
        <item m="1" x="7"/>
        <item m="1" x="10"/>
        <item m="1" x="8"/>
        <item m="1" x="6"/>
        <item x="3"/>
        <item m="1" x="11"/>
        <item x="2"/>
        <item t="default"/>
      </items>
    </pivotField>
    <pivotField showAll="0"/>
    <pivotField axis="axisRow" multipleItemSelectionAllowed="1" showAll="0">
      <items count="44">
        <item m="1" x="34"/>
        <item h="1" m="1" x="30"/>
        <item m="1" x="22"/>
        <item m="1" x="40"/>
        <item m="1" x="39"/>
        <item m="1" x="37"/>
        <item m="1" x="36"/>
        <item h="1" m="1" x="25"/>
        <item h="1" m="1" x="27"/>
        <item h="1" m="1" x="23"/>
        <item h="1" m="1" x="26"/>
        <item h="1" m="1" x="28"/>
        <item h="1" x="0"/>
        <item h="1" m="1" x="38"/>
        <item h="1" m="1" x="42"/>
        <item h="1" m="1" x="35"/>
        <item h="1" m="1" x="31"/>
        <item m="1" x="24"/>
        <item h="1" m="1" x="29"/>
        <item h="1" m="1" x="32"/>
        <item h="1" m="1" x="41"/>
        <item h="1" m="1" x="33"/>
        <item h="1" x="1"/>
        <item h="1" x="2"/>
        <item h="1" x="3"/>
        <item h="1" x="4"/>
        <item h="1" x="5"/>
        <item h="1" x="6"/>
        <item h="1" x="7"/>
        <item h="1" x="8"/>
        <item h="1" x="9"/>
        <item h="1" x="10"/>
        <item h="1" x="11"/>
        <item h="1" x="12"/>
        <item h="1" x="13"/>
        <item h="1" x="14"/>
        <item h="1" x="15"/>
        <item h="1" x="16"/>
        <item h="1" x="17"/>
        <item h="1" x="18"/>
        <item h="1" x="19"/>
        <item h="1" x="20"/>
        <item h="1" x="21"/>
        <item t="default"/>
      </items>
    </pivotField>
    <pivotField showAll="0"/>
    <pivotField showAll="0"/>
    <pivotField axis="axisPage" multipleItemSelectionAllowed="1" showAll="0">
      <items count="3">
        <item x="0"/>
        <item h="1" x="1"/>
        <item t="default"/>
      </items>
    </pivotField>
    <pivotField axis="axisRow" showAll="0">
      <items count="6">
        <item m="1" x="3"/>
        <item m="1" x="4"/>
        <item x="0"/>
        <item x="1"/>
        <item m="1" x="2"/>
        <item t="default"/>
      </items>
    </pivotField>
    <pivotField showAll="0"/>
    <pivotField axis="axisPage" multipleItemSelectionAllowed="1" showAll="0">
      <items count="8">
        <item x="1"/>
        <item x="2"/>
        <item x="4"/>
        <item x="5"/>
        <item x="0"/>
        <item x="3"/>
        <item x="6"/>
        <item t="default"/>
      </items>
    </pivotField>
    <pivotField showAll="0"/>
    <pivotField showAll="0"/>
    <pivotField showAll="0"/>
    <pivotField dataField="1" showAll="0"/>
    <pivotField numFmtId="3"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8" showAll="0"/>
    <pivotField showAll="0"/>
    <pivotField showAll="0"/>
    <pivotField showAll="0"/>
    <pivotField showAll="0"/>
    <pivotField showAll="0"/>
    <pivotField showAll="0"/>
    <pivotField showAll="0"/>
    <pivotField dataField="1" numFmtId="167" showAll="0"/>
    <pivotField showAll="0"/>
    <pivotField dragToRow="0" dragToCol="0" dragToPage="0" showAll="0" defaultSubtotal="0"/>
    <pivotField dragToRow="0" dragToCol="0" dragToPage="0" showAll="0" defaultSubtotal="0"/>
  </pivotFields>
  <rowFields count="2">
    <field x="10"/>
    <field x="6"/>
  </rowFields>
  <rowItems count="1">
    <i t="grand">
      <x/>
    </i>
  </rowItems>
  <colFields count="1">
    <field x="-2"/>
  </colFields>
  <colItems count="4">
    <i>
      <x/>
    </i>
    <i i="1">
      <x v="1"/>
    </i>
    <i i="2">
      <x v="2"/>
    </i>
    <i i="3">
      <x v="3"/>
    </i>
  </colItems>
  <pageFields count="3">
    <pageField fld="4" hier="-1"/>
    <pageField fld="9" hier="-1"/>
    <pageField fld="12" hier="-1"/>
  </pageFields>
  <dataFields count="4">
    <dataField name="Plan Operation (days)" fld="16" baseField="0" baseItem="0"/>
    <dataField name="Actual Operation (days)" fld="33" baseField="0" baseItem="0"/>
    <dataField name="AFE Plan Budget" fld="18" baseField="0" baseItem="0"/>
    <dataField name="Total Actual Cost" fld="41" baseField="0" baseItem="0"/>
  </dataFields>
  <formats count="1">
    <format dxfId="169">
      <pivotArea outline="0" collapsedLevelsAreSubtotals="1" fieldPosition="0"/>
    </format>
  </formats>
  <chartFormats count="7">
    <chartFormat chart="0" format="39" series="1">
      <pivotArea type="data" outline="0" fieldPosition="0">
        <references count="1">
          <reference field="4294967294" count="1" selected="0">
            <x v="0"/>
          </reference>
        </references>
      </pivotArea>
    </chartFormat>
    <chartFormat chart="0" format="40" series="1">
      <pivotArea type="data" outline="0" fieldPosition="0">
        <references count="1">
          <reference field="4294967294" count="1" selected="0">
            <x v="1"/>
          </reference>
        </references>
      </pivotArea>
    </chartFormat>
    <chartFormat chart="0" format="41" series="1">
      <pivotArea type="data" outline="0" fieldPosition="0">
        <references count="1">
          <reference field="4294967294" count="1" selected="0">
            <x v="2"/>
          </reference>
        </references>
      </pivotArea>
    </chartFormat>
    <chartFormat chart="0" format="42" series="1">
      <pivotArea type="data" outline="0" fieldPosition="0">
        <references count="1">
          <reference field="4294967294" count="1" selected="0">
            <x v="3"/>
          </reference>
        </references>
      </pivotArea>
    </chartFormat>
    <chartFormat chart="0" format="43">
      <pivotArea type="data" outline="0" fieldPosition="0">
        <references count="3">
          <reference field="4294967294" count="1" selected="0">
            <x v="3"/>
          </reference>
          <reference field="6" count="1" selected="0">
            <x v="19"/>
          </reference>
          <reference field="10" count="1" selected="0">
            <x v="3"/>
          </reference>
        </references>
      </pivotArea>
    </chartFormat>
    <chartFormat chart="0" format="44">
      <pivotArea type="data" outline="0" fieldPosition="0">
        <references count="3">
          <reference field="4294967294" count="1" selected="0">
            <x v="3"/>
          </reference>
          <reference field="6" count="1" selected="0">
            <x v="20"/>
          </reference>
          <reference field="10" count="1" selected="0">
            <x v="2"/>
          </reference>
        </references>
      </pivotArea>
    </chartFormat>
    <chartFormat chart="0" format="45">
      <pivotArea type="data" outline="0" fieldPosition="0">
        <references count="3">
          <reference field="4294967294" count="1" selected="0">
            <x v="3"/>
          </reference>
          <reference field="6" count="1" selected="0">
            <x v="14"/>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012DF5-DFE5-47B7-8B04-B8531609FD9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C6" firstHeaderRow="0" firstDataRow="1" firstDataCol="1" rowPageCount="3" colPageCount="1"/>
  <pivotFields count="45">
    <pivotField showAll="0"/>
    <pivotField showAll="0"/>
    <pivotField showAll="0"/>
    <pivotField showAll="0"/>
    <pivotField axis="axisPage" multipleItemSelectionAllowed="1" showAll="0">
      <items count="14">
        <item m="1" x="4"/>
        <item x="0"/>
        <item m="1" x="5"/>
        <item m="1" x="12"/>
        <item m="1" x="9"/>
        <item x="1"/>
        <item m="1" x="7"/>
        <item m="1" x="10"/>
        <item m="1" x="8"/>
        <item m="1" x="6"/>
        <item x="3"/>
        <item m="1" x="11"/>
        <item x="2"/>
        <item t="default"/>
      </items>
    </pivotField>
    <pivotField showAll="0"/>
    <pivotField axis="axisRow" showAll="0">
      <items count="44">
        <item m="1" x="34"/>
        <item h="1" m="1" x="30"/>
        <item m="1" x="22"/>
        <item m="1" x="40"/>
        <item m="1" x="39"/>
        <item m="1" x="37"/>
        <item m="1" x="36"/>
        <item h="1" m="1" x="25"/>
        <item h="1" m="1" x="27"/>
        <item h="1" m="1" x="23"/>
        <item h="1" m="1" x="26"/>
        <item h="1" m="1" x="28"/>
        <item h="1" x="0"/>
        <item h="1" m="1" x="38"/>
        <item h="1" m="1" x="42"/>
        <item h="1" m="1" x="35"/>
        <item h="1" m="1" x="31"/>
        <item m="1" x="24"/>
        <item h="1" m="1" x="29"/>
        <item h="1" m="1" x="32"/>
        <item h="1" m="1" x="41"/>
        <item h="1" m="1" x="33"/>
        <item h="1" x="1"/>
        <item h="1" x="2"/>
        <item h="1" x="3"/>
        <item h="1" x="4"/>
        <item h="1" x="5"/>
        <item h="1" x="6"/>
        <item h="1" x="7"/>
        <item h="1" x="8"/>
        <item h="1" x="9"/>
        <item h="1" x="10"/>
        <item h="1" x="11"/>
        <item h="1" x="12"/>
        <item h="1" x="13"/>
        <item h="1" x="14"/>
        <item h="1" x="15"/>
        <item h="1" x="16"/>
        <item h="1" x="17"/>
        <item h="1" x="18"/>
        <item h="1" x="19"/>
        <item h="1" x="20"/>
        <item h="1" x="21"/>
        <item t="default"/>
      </items>
    </pivotField>
    <pivotField showAll="0"/>
    <pivotField showAll="0"/>
    <pivotField axis="axisPage" multipleItemSelectionAllowed="1" showAll="0">
      <items count="3">
        <item x="0"/>
        <item h="1" x="1"/>
        <item t="default"/>
      </items>
    </pivotField>
    <pivotField showAll="0"/>
    <pivotField showAll="0"/>
    <pivotField axis="axisPage" multipleItemSelectionAllowed="1" showAll="0">
      <items count="8">
        <item x="1"/>
        <item x="2"/>
        <item x="4"/>
        <item x="5"/>
        <item x="0"/>
        <item x="3"/>
        <item x="6"/>
        <item t="default"/>
      </items>
    </pivotField>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8" showAll="0"/>
    <pivotField showAll="0"/>
    <pivotField showAll="0"/>
    <pivotField showAll="0"/>
    <pivotField showAll="0"/>
    <pivotField showAll="0"/>
    <pivotField showAll="0"/>
    <pivotField showAll="0"/>
    <pivotField numFmtId="167" showAll="0"/>
    <pivotField showAll="0"/>
    <pivotField dataField="1" dragToRow="0" dragToCol="0" dragToPage="0" showAll="0" defaultSubtotal="0"/>
    <pivotField dataField="1" dragToRow="0" dragToCol="0" dragToPage="0" showAll="0" defaultSubtotal="0"/>
  </pivotFields>
  <rowFields count="1">
    <field x="6"/>
  </rowFields>
  <rowItems count="1">
    <i t="grand">
      <x/>
    </i>
  </rowItems>
  <colFields count="1">
    <field x="-2"/>
  </colFields>
  <colItems count="2">
    <i>
      <x/>
    </i>
    <i i="1">
      <x v="1"/>
    </i>
  </colItems>
  <pageFields count="3">
    <pageField fld="4" hier="-1"/>
    <pageField fld="9" hier="-1"/>
    <pageField fld="12" hier="-1"/>
  </pageFields>
  <dataFields count="2">
    <dataField name="Sum of Delta Dur" fld="43" baseField="0" baseItem="0" numFmtId="168"/>
    <dataField name="Sum of Delta Cos" fld="44" baseField="0" baseItem="0" numFmtId="167"/>
  </dataFields>
  <formats count="1">
    <format dxfId="168">
      <pivotArea outline="0" collapsedLevelsAreSubtotals="1" fieldPosition="0"/>
    </format>
  </formats>
  <chartFormats count="2">
    <chartFormat chart="8" format="66" series="1">
      <pivotArea type="data" outline="0" fieldPosition="0">
        <references count="1">
          <reference field="4294967294" count="1" selected="0">
            <x v="0"/>
          </reference>
        </references>
      </pivotArea>
    </chartFormat>
    <chartFormat chart="8" format="6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5078C1-E6C2-49CA-BBB5-0C01379925E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8:C10" firstHeaderRow="0" firstDataRow="1" firstDataCol="1" rowPageCount="5" colPageCount="1"/>
  <pivotFields count="69">
    <pivotField showAll="0"/>
    <pivotField showAll="0"/>
    <pivotField showAll="0"/>
    <pivotField axis="axisPage" showAll="0">
      <items count="2">
        <item x="0"/>
        <item t="default"/>
      </items>
    </pivotField>
    <pivotField axis="axisPage" showAll="0">
      <items count="10">
        <item x="0"/>
        <item m="1" x="4"/>
        <item m="1" x="8"/>
        <item m="1" x="6"/>
        <item x="1"/>
        <item m="1" x="5"/>
        <item x="3"/>
        <item m="1" x="7"/>
        <item x="2"/>
        <item t="default"/>
      </items>
    </pivotField>
    <pivotField showAll="0"/>
    <pivotField axis="axisRow" showAll="0">
      <items count="23">
        <item x="0"/>
        <item h="1" x="1"/>
        <item h="1" x="2"/>
        <item h="1" x="3"/>
        <item h="1" x="4"/>
        <item h="1" x="5"/>
        <item h="1" x="6"/>
        <item h="1" x="7"/>
        <item h="1" x="8"/>
        <item h="1" x="9"/>
        <item h="1" x="10"/>
        <item h="1" x="11"/>
        <item h="1" x="12"/>
        <item h="1" x="13"/>
        <item h="1" x="14"/>
        <item h="1" x="15"/>
        <item h="1" x="16"/>
        <item h="1" x="17"/>
        <item h="1" x="18"/>
        <item h="1" x="19"/>
        <item h="1" x="20"/>
        <item h="1" x="21"/>
        <item t="default"/>
      </items>
    </pivotField>
    <pivotField showAll="0"/>
    <pivotField showAll="0"/>
    <pivotField axis="axisPage" multipleItemSelectionAllowed="1" showAll="0">
      <items count="3">
        <item x="0"/>
        <item h="1" x="1"/>
        <item t="default"/>
      </items>
    </pivotField>
    <pivotField axis="axisPage" showAll="0">
      <items count="5">
        <item m="1" x="2"/>
        <item m="1" x="3"/>
        <item x="0"/>
        <item x="1"/>
        <item t="default"/>
      </items>
    </pivotField>
    <pivotField axis="axisPage" multipleItemSelectionAllowed="1" showAll="0">
      <items count="8">
        <item x="1"/>
        <item x="2"/>
        <item x="4"/>
        <item x="5"/>
        <item x="0"/>
        <item x="6"/>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6"/>
  </rowFields>
  <rowItems count="2">
    <i>
      <x/>
    </i>
    <i t="grand">
      <x/>
    </i>
  </rowItems>
  <colFields count="1">
    <field x="-2"/>
  </colFields>
  <colItems count="2">
    <i>
      <x/>
    </i>
    <i i="1">
      <x v="1"/>
    </i>
  </colItems>
  <pageFields count="5">
    <pageField fld="3" hier="-1"/>
    <pageField fld="4" hier="-1"/>
    <pageField fld="9" hier="-1"/>
    <pageField fld="10" hier="-1"/>
    <pageField fld="11" hier="-1"/>
  </pageFields>
  <dataFields count="2">
    <dataField name="Sum of Total NPT (hours)" fld="65" baseField="0" baseItem="0"/>
    <dataField name="Sum of PT Total (hours)" fld="66" baseField="0" baseItem="0"/>
  </dataFields>
  <chartFormats count="2">
    <chartFormat chart="1" format="38" series="1">
      <pivotArea type="data" outline="0" fieldPosition="0">
        <references count="1">
          <reference field="4294967294" count="1" selected="0">
            <x v="0"/>
          </reference>
        </references>
      </pivotArea>
    </chartFormat>
    <chartFormat chart="1" format="3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99B405-97DC-43CD-8ACA-21EF2BF620F8}" name="PivotTable4" cacheId="0"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1">
  <location ref="R22:X30" firstHeaderRow="0" firstDataRow="1" firstDataCol="1"/>
  <pivotFields count="21">
    <pivotField axis="axisRow" showAll="0">
      <items count="8">
        <item x="0"/>
        <item x="1"/>
        <item x="2"/>
        <item x="3"/>
        <item x="4"/>
        <item x="5"/>
        <item x="6"/>
        <item t="default"/>
      </items>
    </pivotField>
    <pivotField numFmtId="2" showAll="0"/>
    <pivotField numFmtId="2" showAll="0"/>
    <pivotField numFmtId="2" showAll="0"/>
    <pivotField numFmtId="2" showAll="0"/>
    <pivotField numFmtId="2" showAll="0"/>
    <pivotField numFmtId="2" showAll="0"/>
    <pivotField numFmtId="2" showAll="0"/>
    <pivotField numFmtId="168" showAll="0"/>
    <pivotField numFmtId="168" showAll="0"/>
    <pivotField numFmtId="2" showAll="0"/>
    <pivotField numFmtId="2" showAll="0"/>
    <pivotField numFmtId="2" showAl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8">
    <i>
      <x/>
    </i>
    <i>
      <x v="1"/>
    </i>
    <i>
      <x v="2"/>
    </i>
    <i>
      <x v="3"/>
    </i>
    <i>
      <x v="4"/>
    </i>
    <i>
      <x v="5"/>
    </i>
    <i>
      <x v="6"/>
    </i>
    <i t="grand">
      <x/>
    </i>
  </rowItems>
  <colFields count="1">
    <field x="-2"/>
  </colFields>
  <colItems count="6">
    <i>
      <x/>
    </i>
    <i i="1">
      <x v="1"/>
    </i>
    <i i="2">
      <x v="2"/>
    </i>
    <i i="3">
      <x v="3"/>
    </i>
    <i i="4">
      <x v="4"/>
    </i>
    <i i="5">
      <x v="5"/>
    </i>
  </colItems>
  <dataFields count="6">
    <dataField name="Sum of Actual - Move" fld="15" baseField="0" baseItem="0" numFmtId="10"/>
    <dataField name="Sum of Actual - R/U Endurance" fld="16" baseField="0" baseItem="0" numFmtId="10"/>
    <dataField name="Sum of Actual - Operation" fld="17" baseField="0" baseItem="0" numFmtId="10"/>
    <dataField name="Sum of Actual - R/D" fld="18" baseField="0" baseItem="0" numFmtId="10"/>
    <dataField name="Sum of Actual - NPT" fld="19" baseField="0" baseItem="0" numFmtId="10"/>
    <dataField name="Sum of Actual - Standby" fld="20" baseField="0" baseItem="0" numFmtId="10"/>
  </dataFields>
  <chartFormats count="6">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0" format="8" series="1">
      <pivotArea type="data" outline="0" fieldPosition="0">
        <references count="1">
          <reference field="4294967294" count="1" selected="0">
            <x v="2"/>
          </reference>
        </references>
      </pivotArea>
    </chartFormat>
    <chartFormat chart="0" format="9" series="1">
      <pivotArea type="data" outline="0" fieldPosition="0">
        <references count="1">
          <reference field="4294967294" count="1" selected="0">
            <x v="3"/>
          </reference>
        </references>
      </pivotArea>
    </chartFormat>
    <chartFormat chart="0" format="10" series="1">
      <pivotArea type="data" outline="0" fieldPosition="0">
        <references count="1">
          <reference field="4294967294" count="1" selected="0">
            <x v="4"/>
          </reference>
        </references>
      </pivotArea>
    </chartFormat>
    <chartFormat chart="0" format="11"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363E08-2285-4930-82FB-F048B945D01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H22:L29" firstHeaderRow="0" firstDataRow="1" firstDataCol="1"/>
  <pivotFields count="21">
    <pivotField axis="axisRow" showAll="0">
      <items count="8">
        <item x="0"/>
        <item x="1"/>
        <item x="2"/>
        <item x="3"/>
        <item h="1" x="4"/>
        <item x="5"/>
        <item x="6"/>
        <item t="default"/>
      </items>
    </pivotField>
    <pivotField showAll="0"/>
    <pivotField showAll="0"/>
    <pivotField showAll="0"/>
    <pivotField showAll="0"/>
    <pivotField numFmtId="2" showAll="0"/>
    <pivotField showAll="0"/>
    <pivotField numFmtId="2" showAll="0"/>
    <pivotField numFmtId="168" showAll="0"/>
    <pivotField numFmtId="168" showAll="0"/>
    <pivotField dataField="1" numFmtId="2" showAll="0"/>
    <pivotField dataField="1" numFmtId="2" showAll="0"/>
    <pivotField numFmtId="2" showAl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7">
    <i>
      <x/>
    </i>
    <i>
      <x v="1"/>
    </i>
    <i>
      <x v="2"/>
    </i>
    <i>
      <x v="3"/>
    </i>
    <i>
      <x v="5"/>
    </i>
    <i>
      <x v="6"/>
    </i>
    <i t="grand">
      <x/>
    </i>
  </rowItems>
  <colFields count="1">
    <field x="-2"/>
  </colFields>
  <colItems count="4">
    <i>
      <x/>
    </i>
    <i i="1">
      <x v="1"/>
    </i>
    <i i="2">
      <x v="2"/>
    </i>
    <i i="3">
      <x v="3"/>
    </i>
  </colItems>
  <dataFields count="4">
    <dataField name="Sum of Availability" fld="13" baseField="0" baseItem="0" numFmtId="10"/>
    <dataField name="Sum of Utility" fld="14" baseField="0" baseItem="0" numFmtId="10"/>
    <dataField name="Sum of Average Rig Availability" fld="10" baseField="0" baseItem="0" numFmtId="10"/>
    <dataField name="Sum of Average Rig Utility" fld="11" baseField="0" baseItem="0" numFmtId="10"/>
  </dataFields>
  <formats count="8">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0"/>
        </references>
      </pivotArea>
    </format>
    <format dxfId="57">
      <pivotArea dataOnly="0" labelOnly="1" grandRow="1" outline="0" fieldPosition="0"/>
    </format>
    <format dxfId="56">
      <pivotArea dataOnly="0" labelOnly="1" outline="0" fieldPosition="0">
        <references count="1">
          <reference field="4294967294" count="2">
            <x v="0"/>
            <x v="1"/>
          </reference>
        </references>
      </pivotArea>
    </format>
    <format dxfId="55">
      <pivotArea outline="0" fieldPosition="0">
        <references count="1">
          <reference field="4294967294" count="1">
            <x v="2"/>
          </reference>
        </references>
      </pivotArea>
    </format>
    <format dxfId="54">
      <pivotArea outline="0" fieldPosition="0">
        <references count="1">
          <reference field="4294967294" count="1">
            <x v="3"/>
          </reference>
        </references>
      </pivotArea>
    </format>
  </formats>
  <chartFormats count="4">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 chart="2" format="9" series="1">
      <pivotArea type="data" outline="0" fieldPosition="0">
        <references count="1">
          <reference field="4294967294" count="1" selected="0">
            <x v="2"/>
          </reference>
        </references>
      </pivotArea>
    </chartFormat>
    <chartFormat chart="2" format="10"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832EA9-1BD2-43BB-9EB6-29E80B4CD4CD}"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9" firstHeaderRow="0"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1"/>
        <item x="2"/>
        <item x="4"/>
        <item x="5"/>
        <item x="0"/>
        <item x="6"/>
        <item x="3"/>
        <item t="default"/>
      </items>
    </pivotField>
    <pivotField showAll="0"/>
    <pivotField showAll="0"/>
    <pivotField showAll="0"/>
    <pivotField numFmtId="166" showAll="0"/>
    <pivotField numFmtId="3" showAll="0"/>
    <pivotField numFmtId="167" showAll="0"/>
    <pivotField showAll="0"/>
    <pivotField showAll="0"/>
    <pivotField showAll="0"/>
    <pivotField showAll="0"/>
    <pivotField dataField="1" showAll="0"/>
    <pivotField showAll="0"/>
    <pivotField showAll="0"/>
    <pivotField dataField="1" showAll="0"/>
    <pivotField showAll="0"/>
    <pivotField showAll="0"/>
    <pivotField showAll="0"/>
    <pivotField numFmtId="22" showAll="0"/>
    <pivotField showAll="0"/>
    <pivotField showAll="0"/>
    <pivotField dataField="1" numFmtId="168" showAll="0"/>
    <pivotField showAll="0"/>
    <pivotField showAll="0"/>
    <pivotField dataField="1" showAll="0"/>
    <pivotField showAll="0"/>
    <pivotField showAll="0"/>
    <pivotField showAll="0"/>
    <pivotField showAll="0"/>
    <pivotField numFmtId="167" showAll="0"/>
    <pivotField showAll="0"/>
    <pivotField dragToRow="0" dragToCol="0" dragToPage="0" showAll="0" defaultSubtotal="0"/>
    <pivotField dragToRow="0" dragToCol="0" dragToPage="0" showAll="0" defaultSubtotal="0"/>
  </pivotFields>
  <rowFields count="1">
    <field x="12"/>
  </rowFields>
  <rowItems count="8">
    <i>
      <x/>
    </i>
    <i>
      <x v="1"/>
    </i>
    <i>
      <x v="2"/>
    </i>
    <i>
      <x v="3"/>
    </i>
    <i>
      <x v="4"/>
    </i>
    <i>
      <x v="5"/>
    </i>
    <i>
      <x v="6"/>
    </i>
    <i t="grand">
      <x/>
    </i>
  </rowItems>
  <colFields count="1">
    <field x="-2"/>
  </colFields>
  <colItems count="4">
    <i>
      <x/>
    </i>
    <i i="1">
      <x v="1"/>
    </i>
    <i i="2">
      <x v="2"/>
    </i>
    <i i="3">
      <x v="3"/>
    </i>
  </colItems>
  <dataFields count="4">
    <dataField name="Sum of Actual - Move (days)" fld="23" baseField="0" baseItem="0"/>
    <dataField name="Sum of Actual - R/U Endurance (days)" fld="26" baseField="0" baseItem="0"/>
    <dataField name="Sum of Actual - Operation (days)" fld="33" baseField="0" baseItem="0"/>
    <dataField name="Sum of Actual - R/D (days)" fld="36" baseField="0" baseItem="0"/>
  </dataFields>
  <formats count="14">
    <format dxfId="75">
      <pivotArea field="12" type="button" dataOnly="0" labelOnly="1" outline="0" axis="axisRow" fieldPosition="0"/>
    </format>
    <format dxfId="74">
      <pivotArea dataOnly="0" labelOnly="1" outline="0" fieldPosition="0">
        <references count="1">
          <reference field="4294967294" count="4">
            <x v="0"/>
            <x v="1"/>
            <x v="2"/>
            <x v="3"/>
          </reference>
        </references>
      </pivotArea>
    </format>
    <format dxfId="73">
      <pivotArea type="all" dataOnly="0" outline="0" fieldPosition="0"/>
    </format>
    <format dxfId="72">
      <pivotArea outline="0" collapsedLevelsAreSubtotals="1" fieldPosition="0"/>
    </format>
    <format dxfId="71">
      <pivotArea field="12" type="button" dataOnly="0" labelOnly="1" outline="0" axis="axisRow" fieldPosition="0"/>
    </format>
    <format dxfId="70">
      <pivotArea dataOnly="0" labelOnly="1" fieldPosition="0">
        <references count="1">
          <reference field="12" count="0"/>
        </references>
      </pivotArea>
    </format>
    <format dxfId="69">
      <pivotArea dataOnly="0" labelOnly="1" grandRow="1" outline="0" fieldPosition="0"/>
    </format>
    <format dxfId="68">
      <pivotArea dataOnly="0" labelOnly="1" outline="0" fieldPosition="0">
        <references count="1">
          <reference field="4294967294" count="4">
            <x v="0"/>
            <x v="1"/>
            <x v="2"/>
            <x v="3"/>
          </reference>
        </references>
      </pivotArea>
    </format>
    <format dxfId="67">
      <pivotArea type="all" dataOnly="0" outline="0" fieldPosition="0"/>
    </format>
    <format dxfId="66">
      <pivotArea outline="0" collapsedLevelsAreSubtotals="1" fieldPosition="0"/>
    </format>
    <format dxfId="65">
      <pivotArea field="12" type="button" dataOnly="0" labelOnly="1" outline="0" axis="axisRow" fieldPosition="0"/>
    </format>
    <format dxfId="64">
      <pivotArea dataOnly="0" labelOnly="1" fieldPosition="0">
        <references count="1">
          <reference field="12" count="0"/>
        </references>
      </pivotArea>
    </format>
    <format dxfId="63">
      <pivotArea dataOnly="0" labelOnly="1" grandRow="1" outline="0" fieldPosition="0"/>
    </format>
    <format dxfId="6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9D0268-C37E-4915-9B99-51C4D0B7A5A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C30" firstHeaderRow="0" firstDataRow="1" firstDataCol="1"/>
  <pivotFields count="69">
    <pivotField showAll="0"/>
    <pivotField showAll="0"/>
    <pivotField showAll="0"/>
    <pivotField showAll="0"/>
    <pivotField showAll="0"/>
    <pivotField showAll="0"/>
    <pivotField showAll="0"/>
    <pivotField showAll="0"/>
    <pivotField showAll="0"/>
    <pivotField showAll="0"/>
    <pivotField showAll="0"/>
    <pivotField axis="axisRow" showAll="0">
      <items count="8">
        <item x="1"/>
        <item x="2"/>
        <item x="4"/>
        <item x="5"/>
        <item x="0"/>
        <item x="6"/>
        <item x="3"/>
        <item t="default"/>
      </items>
    </pivotField>
    <pivotField showAll="0"/>
    <pivotField showAll="0"/>
    <pivotField numFmtId="17"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11"/>
  </rowFields>
  <rowItems count="8">
    <i>
      <x/>
    </i>
    <i>
      <x v="1"/>
    </i>
    <i>
      <x v="2"/>
    </i>
    <i>
      <x v="3"/>
    </i>
    <i>
      <x v="4"/>
    </i>
    <i>
      <x v="5"/>
    </i>
    <i>
      <x v="6"/>
    </i>
    <i t="grand">
      <x/>
    </i>
  </rowItems>
  <colFields count="1">
    <field x="-2"/>
  </colFields>
  <colItems count="2">
    <i>
      <x/>
    </i>
    <i i="1">
      <x v="1"/>
    </i>
  </colItems>
  <dataFields count="2">
    <dataField name="Sum of Total NPT (hours)" fld="65" baseField="0" baseItem="0"/>
    <dataField name="Sum of PT Total (hours)" fld="66" baseField="0" baseItem="0"/>
  </dataFields>
  <formats count="12">
    <format dxfId="87">
      <pivotArea type="all" dataOnly="0" outline="0" fieldPosition="0"/>
    </format>
    <format dxfId="86">
      <pivotArea outline="0" collapsedLevelsAreSubtotals="1" fieldPosition="0"/>
    </format>
    <format dxfId="85">
      <pivotArea field="11" type="button" dataOnly="0" labelOnly="1" outline="0" axis="axisRow" fieldPosition="0"/>
    </format>
    <format dxfId="84">
      <pivotArea dataOnly="0" labelOnly="1" fieldPosition="0">
        <references count="1">
          <reference field="11" count="0"/>
        </references>
      </pivotArea>
    </format>
    <format dxfId="83">
      <pivotArea dataOnly="0" labelOnly="1" grandRow="1" outline="0" fieldPosition="0"/>
    </format>
    <format dxfId="82">
      <pivotArea dataOnly="0" labelOnly="1" outline="0" fieldPosition="0">
        <references count="1">
          <reference field="4294967294" count="2">
            <x v="0"/>
            <x v="1"/>
          </reference>
        </references>
      </pivotArea>
    </format>
    <format dxfId="81">
      <pivotArea type="all" dataOnly="0" outline="0" fieldPosition="0"/>
    </format>
    <format dxfId="80">
      <pivotArea outline="0" collapsedLevelsAreSubtotals="1" fieldPosition="0"/>
    </format>
    <format dxfId="79">
      <pivotArea field="11" type="button" dataOnly="0" labelOnly="1" outline="0" axis="axisRow" fieldPosition="0"/>
    </format>
    <format dxfId="78">
      <pivotArea dataOnly="0" labelOnly="1" fieldPosition="0">
        <references count="1">
          <reference field="11" count="0"/>
        </references>
      </pivotArea>
    </format>
    <format dxfId="77">
      <pivotArea dataOnly="0" labelOnly="1" grandRow="1" outline="0" fieldPosition="0"/>
    </format>
    <format dxfId="7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C2E9F-B331-4F0D-B1F2-87E7DB4CB5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3">
  <location ref="A7:B8" firstHeaderRow="1" firstDataRow="1" firstDataCol="1" rowPageCount="5" colPageCount="1"/>
  <pivotFields count="16">
    <pivotField axis="axisPage" multipleItemSelectionAllowed="1" showAll="0">
      <items count="3">
        <item x="0"/>
        <item m="1" x="1"/>
        <item t="default"/>
      </items>
    </pivotField>
    <pivotField axis="axisPage" multipleItemSelectionAllowed="1" showAll="0">
      <items count="6">
        <item x="0"/>
        <item x="1"/>
        <item m="1" x="3"/>
        <item x="2"/>
        <item m="1" x="4"/>
        <item t="default"/>
      </items>
    </pivotField>
    <pivotField showAll="0"/>
    <pivotField axis="axisPage" multipleItemSelectionAllowed="1" showAll="0" sortType="ascending">
      <items count="42">
        <item h="1" m="1" x="31"/>
        <item h="1" x="14"/>
        <item m="1" x="32"/>
        <item h="1" x="12"/>
        <item h="1" m="1" x="29"/>
        <item h="1" x="9"/>
        <item h="1" m="1" x="33"/>
        <item h="1" x="15"/>
        <item m="1" x="21"/>
        <item h="1" x="2"/>
        <item m="1" x="38"/>
        <item h="1" x="3"/>
        <item m="1" x="37"/>
        <item h="1" x="1"/>
        <item m="1" x="35"/>
        <item h="1" x="4"/>
        <item m="1" x="34"/>
        <item h="1" x="13"/>
        <item h="1" m="1" x="30"/>
        <item h="1" x="19"/>
        <item m="1" x="23"/>
        <item h="1" x="17"/>
        <item h="1" m="1" x="36"/>
        <item h="1" x="10"/>
        <item h="1" m="1" x="24"/>
        <item h="1" x="8"/>
        <item h="1" m="1" x="26"/>
        <item h="1" x="5"/>
        <item h="1" m="1" x="40"/>
        <item h="1" x="11"/>
        <item h="1" m="1" x="22"/>
        <item h="1" x="0"/>
        <item h="1" m="1" x="39"/>
        <item h="1" x="18"/>
        <item h="1" m="1" x="25"/>
        <item h="1" x="6"/>
        <item h="1" m="1" x="27"/>
        <item h="1" x="7"/>
        <item h="1" m="1" x="28"/>
        <item h="1" x="16"/>
        <item m="1" x="20"/>
        <item t="default"/>
      </items>
    </pivotField>
    <pivotField showAll="0"/>
    <pivotField showAll="0"/>
    <pivotField axis="axisPage" multipleItemSelectionAllowed="1" showAll="0">
      <items count="4">
        <item x="0"/>
        <item h="1" x="1"/>
        <item h="1" m="1" x="2"/>
        <item t="default"/>
      </items>
    </pivotField>
    <pivotField showAll="0"/>
    <pivotField axis="axisPage" multipleItemSelectionAllowed="1" showAll="0">
      <items count="9">
        <item x="0"/>
        <item x="3"/>
        <item x="2"/>
        <item x="4"/>
        <item x="1"/>
        <item h="1" m="1" x="7"/>
        <item x="5"/>
        <item x="6"/>
        <item t="default"/>
      </items>
    </pivotField>
    <pivotField showAll="0"/>
    <pivotField showAll="0"/>
    <pivotField showAll="0"/>
    <pivotField axis="axisRow" multipleItemSelectionAllowed="1" showAll="0" sortType="ascending">
      <items count="4">
        <item x="0"/>
        <item sd="0" x="1"/>
        <item m="1" x="2"/>
        <item t="default"/>
      </items>
    </pivotField>
    <pivotField showAll="0"/>
    <pivotField dataField="1" showAll="0"/>
    <pivotField showAll="0"/>
  </pivotFields>
  <rowFields count="1">
    <field x="12"/>
  </rowFields>
  <rowItems count="1">
    <i t="grand">
      <x/>
    </i>
  </rowItems>
  <colItems count="1">
    <i/>
  </colItems>
  <pageFields count="5">
    <pageField fld="0" hier="-1"/>
    <pageField fld="1" hier="-1"/>
    <pageField fld="6" hier="-1"/>
    <pageField fld="8" hier="-1"/>
    <pageField fld="3" hier="-1"/>
  </pageFields>
  <dataFields count="1">
    <dataField name="Sum of Duration" fld="14" baseField="0" baseItem="0"/>
  </dataFields>
  <chartFormats count="4">
    <chartFormat chart="0" format="0"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12" count="1" selected="0">
            <x v="0"/>
          </reference>
        </references>
      </pivotArea>
    </chartFormat>
    <chartFormat chart="0" format="6">
      <pivotArea type="data" outline="0" fieldPosition="0">
        <references count="2">
          <reference field="4294967294" count="1" selected="0">
            <x v="0"/>
          </reference>
          <reference field="12" count="1" selected="0">
            <x v="1"/>
          </reference>
        </references>
      </pivotArea>
    </chartFormat>
    <chartFormat chart="0" format="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477F50-8D14-48B1-B78D-6E002384B52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1">
  <location ref="A8:B9" firstHeaderRow="1" firstDataRow="1" firstDataCol="1" rowPageCount="6" colPageCount="1"/>
  <pivotFields count="16">
    <pivotField axis="axisPage" multipleItemSelectionAllowed="1" showAll="0">
      <items count="3">
        <item x="0"/>
        <item m="1" x="1"/>
        <item t="default"/>
      </items>
    </pivotField>
    <pivotField axis="axisPage" multipleItemSelectionAllowed="1" showAll="0">
      <items count="6">
        <item x="0"/>
        <item x="1"/>
        <item m="1" x="3"/>
        <item x="2"/>
        <item m="1" x="4"/>
        <item t="default"/>
      </items>
    </pivotField>
    <pivotField showAll="0"/>
    <pivotField axis="axisPage" multipleItemSelectionAllowed="1" showAll="0">
      <items count="42">
        <item h="1" m="1" x="31"/>
        <item m="1" x="32"/>
        <item h="1" m="1" x="29"/>
        <item h="1" m="1" x="33"/>
        <item m="1" x="21"/>
        <item m="1" x="38"/>
        <item m="1" x="37"/>
        <item m="1" x="35"/>
        <item m="1" x="34"/>
        <item m="1" x="23"/>
        <item h="1" m="1" x="36"/>
        <item h="1" m="1" x="24"/>
        <item h="1" m="1" x="26"/>
        <item h="1" m="1" x="40"/>
        <item h="1" m="1" x="22"/>
        <item h="1" m="1" x="39"/>
        <item h="1" m="1" x="25"/>
        <item h="1" m="1" x="27"/>
        <item h="1" m="1" x="28"/>
        <item m="1" x="20"/>
        <item h="1" m="1" x="30"/>
        <item h="1" x="0"/>
        <item h="1" x="1"/>
        <item h="1" x="2"/>
        <item h="1" x="3"/>
        <item h="1" x="4"/>
        <item h="1" x="5"/>
        <item h="1" x="6"/>
        <item h="1" x="7"/>
        <item h="1" x="8"/>
        <item h="1" x="9"/>
        <item h="1" x="10"/>
        <item h="1" x="11"/>
        <item h="1" x="12"/>
        <item h="1" x="13"/>
        <item h="1" x="14"/>
        <item h="1" x="15"/>
        <item h="1" x="16"/>
        <item h="1" x="17"/>
        <item h="1" x="18"/>
        <item h="1" x="19"/>
        <item t="default"/>
      </items>
    </pivotField>
    <pivotField showAll="0"/>
    <pivotField showAll="0"/>
    <pivotField axis="axisPage" multipleItemSelectionAllowed="1" showAll="0">
      <items count="4">
        <item x="0"/>
        <item h="1" x="1"/>
        <item h="1" m="1" x="2"/>
        <item t="default"/>
      </items>
    </pivotField>
    <pivotField showAll="0"/>
    <pivotField axis="axisPage" multipleItemSelectionAllowed="1" showAll="0">
      <items count="9">
        <item x="0"/>
        <item x="3"/>
        <item x="2"/>
        <item x="4"/>
        <item x="1"/>
        <item h="1" m="1" x="7"/>
        <item x="5"/>
        <item x="6"/>
        <item t="default"/>
      </items>
    </pivotField>
    <pivotField showAll="0"/>
    <pivotField showAll="0"/>
    <pivotField showAll="0"/>
    <pivotField axis="axisPage" multipleItemSelectionAllowed="1" showAll="0">
      <items count="4">
        <item x="0"/>
        <item h="1" sd="0" x="1"/>
        <item h="1" m="1" x="2"/>
        <item t="default"/>
      </items>
    </pivotField>
    <pivotField axis="axisRow" showAll="0" sortType="descending">
      <items count="32">
        <item x="27"/>
        <item x="20"/>
        <item x="21"/>
        <item x="14"/>
        <item x="9"/>
        <item x="22"/>
        <item x="2"/>
        <item x="13"/>
        <item x="8"/>
        <item x="11"/>
        <item x="15"/>
        <item x="12"/>
        <item x="3"/>
        <item x="6"/>
        <item x="0"/>
        <item x="16"/>
        <item x="7"/>
        <item x="23"/>
        <item x="10"/>
        <item x="24"/>
        <item x="28"/>
        <item x="29"/>
        <item x="4"/>
        <item x="5"/>
        <item x="17"/>
        <item x="25"/>
        <item x="18"/>
        <item x="19"/>
        <item x="26"/>
        <item x="1"/>
        <item x="30"/>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13"/>
  </rowFields>
  <rowItems count="1">
    <i t="grand">
      <x/>
    </i>
  </rowItems>
  <colItems count="1">
    <i/>
  </colItems>
  <pageFields count="6">
    <pageField fld="0" hier="-1"/>
    <pageField fld="1" hier="-1"/>
    <pageField fld="6" hier="-1"/>
    <pageField fld="8" hier="-1"/>
    <pageField fld="12" hier="-1"/>
    <pageField fld="3" hier="-1"/>
  </pageFields>
  <dataFields count="1">
    <dataField name="Sum of Duration" fld="14" baseField="0" baseItem="0"/>
  </dataFields>
  <chartFormats count="3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4" series="1">
      <pivotArea type="data" outline="0" fieldPosition="0">
        <references count="2">
          <reference field="4294967294" count="1" selected="0">
            <x v="0"/>
          </reference>
          <reference field="12" count="1" selected="0">
            <x v="1"/>
          </reference>
        </references>
      </pivotArea>
    </chartFormat>
    <chartFormat chart="1" format="18">
      <pivotArea type="data" outline="0" fieldPosition="0">
        <references count="2">
          <reference field="4294967294" count="1" selected="0">
            <x v="0"/>
          </reference>
          <reference field="13" count="1" selected="0">
            <x v="3"/>
          </reference>
        </references>
      </pivotArea>
    </chartFormat>
    <chartFormat chart="1" format="19">
      <pivotArea type="data" outline="0" fieldPosition="0">
        <references count="2">
          <reference field="4294967294" count="1" selected="0">
            <x v="0"/>
          </reference>
          <reference field="13" count="1" selected="0">
            <x v="4"/>
          </reference>
        </references>
      </pivotArea>
    </chartFormat>
    <chartFormat chart="1" format="20">
      <pivotArea type="data" outline="0" fieldPosition="0">
        <references count="2">
          <reference field="4294967294" count="1" selected="0">
            <x v="0"/>
          </reference>
          <reference field="13" count="1" selected="0">
            <x v="14"/>
          </reference>
        </references>
      </pivotArea>
    </chartFormat>
    <chartFormat chart="1" format="21">
      <pivotArea type="data" outline="0" fieldPosition="0">
        <references count="2">
          <reference field="4294967294" count="1" selected="0">
            <x v="0"/>
          </reference>
          <reference field="13" count="1" selected="0">
            <x v="16"/>
          </reference>
        </references>
      </pivotArea>
    </chartFormat>
    <chartFormat chart="1" format="22">
      <pivotArea type="data" outline="0" fieldPosition="0">
        <references count="2">
          <reference field="4294967294" count="1" selected="0">
            <x v="0"/>
          </reference>
          <reference field="13" count="1" selected="0">
            <x v="18"/>
          </reference>
        </references>
      </pivotArea>
    </chartFormat>
    <chartFormat chart="1" format="23">
      <pivotArea type="data" outline="0" fieldPosition="0">
        <references count="2">
          <reference field="4294967294" count="1" selected="0">
            <x v="0"/>
          </reference>
          <reference field="13" count="1" selected="0">
            <x v="20"/>
          </reference>
        </references>
      </pivotArea>
    </chartFormat>
    <chartFormat chart="1" format="24">
      <pivotArea type="data" outline="0" fieldPosition="0">
        <references count="2">
          <reference field="4294967294" count="1" selected="0">
            <x v="0"/>
          </reference>
          <reference field="13" count="1" selected="0">
            <x v="6"/>
          </reference>
        </references>
      </pivotArea>
    </chartFormat>
    <chartFormat chart="1" format="25">
      <pivotArea type="data" outline="0" fieldPosition="0">
        <references count="2">
          <reference field="4294967294" count="1" selected="0">
            <x v="0"/>
          </reference>
          <reference field="13" count="1" selected="0">
            <x v="7"/>
          </reference>
        </references>
      </pivotArea>
    </chartFormat>
    <chartFormat chart="1" format="26">
      <pivotArea type="data" outline="0" fieldPosition="0">
        <references count="2">
          <reference field="4294967294" count="1" selected="0">
            <x v="0"/>
          </reference>
          <reference field="13" count="1" selected="0">
            <x v="8"/>
          </reference>
        </references>
      </pivotArea>
    </chartFormat>
    <chartFormat chart="1" format="27">
      <pivotArea type="data" outline="0" fieldPosition="0">
        <references count="2">
          <reference field="4294967294" count="1" selected="0">
            <x v="0"/>
          </reference>
          <reference field="13" count="1" selected="0">
            <x v="9"/>
          </reference>
        </references>
      </pivotArea>
    </chartFormat>
    <chartFormat chart="1" format="28">
      <pivotArea type="data" outline="0" fieldPosition="0">
        <references count="2">
          <reference field="4294967294" count="1" selected="0">
            <x v="0"/>
          </reference>
          <reference field="13" count="1" selected="0">
            <x v="11"/>
          </reference>
        </references>
      </pivotArea>
    </chartFormat>
    <chartFormat chart="1" format="29">
      <pivotArea type="data" outline="0" fieldPosition="0">
        <references count="2">
          <reference field="4294967294" count="1" selected="0">
            <x v="0"/>
          </reference>
          <reference field="13" count="1" selected="0">
            <x v="12"/>
          </reference>
        </references>
      </pivotArea>
    </chartFormat>
    <chartFormat chart="1" format="30">
      <pivotArea type="data" outline="0" fieldPosition="0">
        <references count="2">
          <reference field="4294967294" count="1" selected="0">
            <x v="0"/>
          </reference>
          <reference field="13" count="1" selected="0">
            <x v="13"/>
          </reference>
        </references>
      </pivotArea>
    </chartFormat>
    <chartFormat chart="1" format="33">
      <pivotArea type="data" outline="0" fieldPosition="0">
        <references count="2">
          <reference field="4294967294" count="1" selected="0">
            <x v="0"/>
          </reference>
          <reference field="13" count="1" selected="0">
            <x v="10"/>
          </reference>
        </references>
      </pivotArea>
    </chartFormat>
    <chartFormat chart="1" format="34">
      <pivotArea type="data" outline="0" fieldPosition="0">
        <references count="2">
          <reference field="4294967294" count="1" selected="0">
            <x v="0"/>
          </reference>
          <reference field="13" count="1" selected="0">
            <x v="24"/>
          </reference>
        </references>
      </pivotArea>
    </chartFormat>
    <chartFormat chart="1" format="35">
      <pivotArea type="data" outline="0" fieldPosition="0">
        <references count="2">
          <reference field="4294967294" count="1" selected="0">
            <x v="0"/>
          </reference>
          <reference field="13" count="1" selected="0">
            <x v="22"/>
          </reference>
        </references>
      </pivotArea>
    </chartFormat>
    <chartFormat chart="1" format="36">
      <pivotArea type="data" outline="0" fieldPosition="0">
        <references count="2">
          <reference field="4294967294" count="1" selected="0">
            <x v="0"/>
          </reference>
          <reference field="13" count="1" selected="0">
            <x v="23"/>
          </reference>
        </references>
      </pivotArea>
    </chartFormat>
    <chartFormat chart="1" format="37">
      <pivotArea type="data" outline="0" fieldPosition="0">
        <references count="2">
          <reference field="4294967294" count="1" selected="0">
            <x v="0"/>
          </reference>
          <reference field="13" count="1" selected="0">
            <x v="26"/>
          </reference>
        </references>
      </pivotArea>
    </chartFormat>
    <chartFormat chart="1" format="38">
      <pivotArea type="data" outline="0" fieldPosition="0">
        <references count="2">
          <reference field="4294967294" count="1" selected="0">
            <x v="0"/>
          </reference>
          <reference field="13" count="1" selected="0">
            <x v="25"/>
          </reference>
        </references>
      </pivotArea>
    </chartFormat>
    <chartFormat chart="1" format="39">
      <pivotArea type="data" outline="0" fieldPosition="0">
        <references count="2">
          <reference field="4294967294" count="1" selected="0">
            <x v="0"/>
          </reference>
          <reference field="13" count="1" selected="0">
            <x v="27"/>
          </reference>
        </references>
      </pivotArea>
    </chartFormat>
    <chartFormat chart="1" format="40">
      <pivotArea type="data" outline="0" fieldPosition="0">
        <references count="2">
          <reference field="4294967294" count="1" selected="0">
            <x v="0"/>
          </reference>
          <reference field="13" count="1" selected="0">
            <x v="15"/>
          </reference>
        </references>
      </pivotArea>
    </chartFormat>
    <chartFormat chart="1" format="41">
      <pivotArea type="data" outline="0" fieldPosition="0">
        <references count="2">
          <reference field="4294967294" count="1" selected="0">
            <x v="0"/>
          </reference>
          <reference field="13" count="1" selected="0">
            <x v="2"/>
          </reference>
        </references>
      </pivotArea>
    </chartFormat>
    <chartFormat chart="1" format="42">
      <pivotArea type="data" outline="0" fieldPosition="0">
        <references count="2">
          <reference field="4294967294" count="1" selected="0">
            <x v="0"/>
          </reference>
          <reference field="13" count="1" selected="0">
            <x v="1"/>
          </reference>
        </references>
      </pivotArea>
    </chartFormat>
    <chartFormat chart="1" format="43">
      <pivotArea type="data" outline="0" fieldPosition="0">
        <references count="2">
          <reference field="4294967294" count="1" selected="0">
            <x v="0"/>
          </reference>
          <reference field="13" count="1" selected="0">
            <x v="21"/>
          </reference>
        </references>
      </pivotArea>
    </chartFormat>
    <chartFormat chart="1" format="44">
      <pivotArea type="data" outline="0" fieldPosition="0">
        <references count="2">
          <reference field="4294967294" count="1" selected="0">
            <x v="0"/>
          </reference>
          <reference field="13" count="1" selected="0">
            <x v="0"/>
          </reference>
        </references>
      </pivotArea>
    </chartFormat>
    <chartFormat chart="1" format="45">
      <pivotArea type="data" outline="0" fieldPosition="0">
        <references count="2">
          <reference field="4294967294" count="1" selected="0">
            <x v="0"/>
          </reference>
          <reference field="13" count="1" selected="0">
            <x v="5"/>
          </reference>
        </references>
      </pivotArea>
    </chartFormat>
    <chartFormat chart="1" format="46">
      <pivotArea type="data" outline="0" fieldPosition="0">
        <references count="2">
          <reference field="4294967294" count="1" selected="0">
            <x v="0"/>
          </reference>
          <reference field="13" count="1" selected="0">
            <x v="19"/>
          </reference>
        </references>
      </pivotArea>
    </chartFormat>
    <chartFormat chart="1" format="47">
      <pivotArea type="data" outline="0" fieldPosition="0">
        <references count="2">
          <reference field="4294967294" count="1" selected="0">
            <x v="0"/>
          </reference>
          <reference field="13" count="1" selected="0">
            <x v="28"/>
          </reference>
        </references>
      </pivotArea>
    </chartFormat>
    <chartFormat chart="1" format="48">
      <pivotArea type="data" outline="0" fieldPosition="0">
        <references count="2">
          <reference field="4294967294" count="1" selected="0">
            <x v="0"/>
          </reference>
          <reference field="13" count="1" selected="0">
            <x v="17"/>
          </reference>
        </references>
      </pivotArea>
    </chartFormat>
    <chartFormat chart="1" format="50">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FE3D6A-BF30-48A1-AA7B-F7D746C0253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7:B9" firstHeaderRow="1" firstDataRow="2" firstDataCol="1" rowPageCount="5" colPageCount="1"/>
  <pivotFields count="16">
    <pivotField axis="axisPage" multipleItemSelectionAllowed="1" showAll="0">
      <items count="3">
        <item x="0"/>
        <item m="1" x="1"/>
        <item t="default"/>
      </items>
    </pivotField>
    <pivotField axis="axisPage" multipleItemSelectionAllowed="1" showAll="0">
      <items count="6">
        <item x="0"/>
        <item x="1"/>
        <item m="1" x="3"/>
        <item x="2"/>
        <item m="1" x="4"/>
        <item t="default"/>
      </items>
    </pivotField>
    <pivotField showAll="0"/>
    <pivotField axis="axisRow" showAll="0">
      <items count="42">
        <item h="1" m="1" x="29"/>
        <item m="1" x="21"/>
        <item m="1" x="38"/>
        <item m="1" x="37"/>
        <item m="1" x="35"/>
        <item h="1" m="1" x="36"/>
        <item h="1" m="1" x="24"/>
        <item h="1" m="1" x="26"/>
        <item h="1" m="1" x="40"/>
        <item h="1" m="1" x="22"/>
        <item h="1" m="1" x="25"/>
        <item h="1" m="1" x="27"/>
        <item m="1" x="32"/>
        <item m="1" x="34"/>
        <item h="1" m="1" x="20"/>
        <item h="1" m="1" x="33"/>
        <item h="1" m="1" x="31"/>
        <item h="1" m="1" x="28"/>
        <item m="1" x="23"/>
        <item h="1" m="1" x="39"/>
        <item h="1" m="1" x="30"/>
        <item h="1" x="0"/>
        <item h="1" x="1"/>
        <item h="1" x="2"/>
        <item h="1" x="3"/>
        <item h="1" x="4"/>
        <item h="1" x="5"/>
        <item h="1" x="6"/>
        <item h="1" x="7"/>
        <item h="1" x="8"/>
        <item h="1" x="9"/>
        <item h="1" x="10"/>
        <item h="1" x="11"/>
        <item h="1" x="12"/>
        <item h="1" x="13"/>
        <item h="1" x="14"/>
        <item h="1" x="15"/>
        <item h="1" x="16"/>
        <item h="1" x="17"/>
        <item h="1" x="18"/>
        <item h="1" x="19"/>
        <item t="default"/>
      </items>
    </pivotField>
    <pivotField showAll="0"/>
    <pivotField showAll="0"/>
    <pivotField axis="axisPage" multipleItemSelectionAllowed="1" showAll="0">
      <items count="4">
        <item x="0"/>
        <item h="1" x="1"/>
        <item h="1" m="1" x="2"/>
        <item t="default"/>
      </items>
    </pivotField>
    <pivotField showAll="0"/>
    <pivotField axis="axisPage" multipleItemSelectionAllowed="1" showAll="0">
      <items count="9">
        <item x="0"/>
        <item x="3"/>
        <item x="2"/>
        <item x="4"/>
        <item x="1"/>
        <item m="1" x="7"/>
        <item x="5"/>
        <item x="6"/>
        <item t="default"/>
      </items>
    </pivotField>
    <pivotField showAll="0"/>
    <pivotField showAll="0"/>
    <pivotField showAll="0"/>
    <pivotField axis="axisPage" multipleItemSelectionAllowed="1" showAll="0">
      <items count="4">
        <item x="0"/>
        <item h="1" sd="0" x="1"/>
        <item h="1" m="1" x="2"/>
        <item t="default"/>
      </items>
    </pivotField>
    <pivotField axis="axisCol" showAll="0">
      <items count="32">
        <item x="25"/>
        <item x="18"/>
        <item x="19"/>
        <item x="26"/>
        <item x="2"/>
        <item x="13"/>
        <item x="8"/>
        <item x="11"/>
        <item x="15"/>
        <item x="12"/>
        <item x="27"/>
        <item x="20"/>
        <item x="21"/>
        <item x="14"/>
        <item x="9"/>
        <item x="22"/>
        <item x="0"/>
        <item x="16"/>
        <item x="7"/>
        <item x="23"/>
        <item x="10"/>
        <item x="24"/>
        <item x="28"/>
        <item x="29"/>
        <item x="4"/>
        <item x="5"/>
        <item x="17"/>
        <item x="3"/>
        <item x="6"/>
        <item x="1"/>
        <item x="30"/>
        <item t="default"/>
      </items>
    </pivotField>
    <pivotField dataField="1" showAll="0"/>
    <pivotField showAll="0"/>
  </pivotFields>
  <rowFields count="1">
    <field x="3"/>
  </rowFields>
  <rowItems count="1">
    <i t="grand">
      <x/>
    </i>
  </rowItems>
  <colFields count="1">
    <field x="13"/>
  </colFields>
  <colItems count="1">
    <i t="grand">
      <x/>
    </i>
  </colItems>
  <pageFields count="5">
    <pageField fld="0" hier="-1"/>
    <pageField fld="1" hier="-1"/>
    <pageField fld="6" hier="-1"/>
    <pageField fld="8" hier="-1"/>
    <pageField fld="12" hier="-1"/>
  </pageFields>
  <dataFields count="1">
    <dataField name="Sum of Duration" fld="14" baseField="0" baseItem="0"/>
  </dataFields>
  <chartFormats count="6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3" count="1" selected="0">
            <x v="13"/>
          </reference>
        </references>
      </pivotArea>
    </chartFormat>
    <chartFormat chart="2" format="7">
      <pivotArea type="data" outline="0" fieldPosition="0">
        <references count="2">
          <reference field="4294967294" count="1" selected="0">
            <x v="0"/>
          </reference>
          <reference field="13" count="1" selected="0">
            <x v="14"/>
          </reference>
        </references>
      </pivotArea>
    </chartFormat>
    <chartFormat chart="2" format="8">
      <pivotArea type="data" outline="0" fieldPosition="0">
        <references count="2">
          <reference field="4294967294" count="1" selected="0">
            <x v="0"/>
          </reference>
          <reference field="13" count="1" selected="0">
            <x v="16"/>
          </reference>
        </references>
      </pivotArea>
    </chartFormat>
    <chartFormat chart="2" format="9">
      <pivotArea type="data" outline="0" fieldPosition="0">
        <references count="2">
          <reference field="4294967294" count="1" selected="0">
            <x v="0"/>
          </reference>
          <reference field="13" count="1" selected="0">
            <x v="18"/>
          </reference>
        </references>
      </pivotArea>
    </chartFormat>
    <chartFormat chart="2" format="10">
      <pivotArea type="data" outline="0" fieldPosition="0">
        <references count="2">
          <reference field="4294967294" count="1" selected="0">
            <x v="0"/>
          </reference>
          <reference field="13" count="1" selected="0">
            <x v="20"/>
          </reference>
        </references>
      </pivotArea>
    </chartFormat>
    <chartFormat chart="2" format="11">
      <pivotArea type="data" outline="0" fieldPosition="0">
        <references count="2">
          <reference field="4294967294" count="1" selected="0">
            <x v="0"/>
          </reference>
          <reference field="13" count="1" selected="0">
            <x v="22"/>
          </reference>
        </references>
      </pivotArea>
    </chartFormat>
    <chartFormat chart="2" format="12">
      <pivotArea type="data" outline="0" fieldPosition="0">
        <references count="2">
          <reference field="4294967294" count="1" selected="0">
            <x v="0"/>
          </reference>
          <reference field="13" count="1" selected="0">
            <x v="4"/>
          </reference>
        </references>
      </pivotArea>
    </chartFormat>
    <chartFormat chart="2" format="13">
      <pivotArea type="data" outline="0" fieldPosition="0">
        <references count="2">
          <reference field="4294967294" count="1" selected="0">
            <x v="0"/>
          </reference>
          <reference field="13" count="1" selected="0">
            <x v="5"/>
          </reference>
        </references>
      </pivotArea>
    </chartFormat>
    <chartFormat chart="2" format="14">
      <pivotArea type="data" outline="0" fieldPosition="0">
        <references count="2">
          <reference field="4294967294" count="1" selected="0">
            <x v="0"/>
          </reference>
          <reference field="13" count="1" selected="0">
            <x v="6"/>
          </reference>
        </references>
      </pivotArea>
    </chartFormat>
    <chartFormat chart="2" format="15">
      <pivotArea type="data" outline="0" fieldPosition="0">
        <references count="2">
          <reference field="4294967294" count="1" selected="0">
            <x v="0"/>
          </reference>
          <reference field="13" count="1" selected="0">
            <x v="7"/>
          </reference>
        </references>
      </pivotArea>
    </chartFormat>
    <chartFormat chart="2" format="16">
      <pivotArea type="data" outline="0" fieldPosition="0">
        <references count="2">
          <reference field="4294967294" count="1" selected="0">
            <x v="0"/>
          </reference>
          <reference field="13" count="1" selected="0">
            <x v="9"/>
          </reference>
        </references>
      </pivotArea>
    </chartFormat>
    <chartFormat chart="2" format="17">
      <pivotArea type="data" outline="0" fieldPosition="0">
        <references count="2">
          <reference field="4294967294" count="1" selected="0">
            <x v="0"/>
          </reference>
          <reference field="13" count="1" selected="0">
            <x v="27"/>
          </reference>
        </references>
      </pivotArea>
    </chartFormat>
    <chartFormat chart="2" format="18">
      <pivotArea type="data" outline="0" fieldPosition="0">
        <references count="2">
          <reference field="4294967294" count="1" selected="0">
            <x v="0"/>
          </reference>
          <reference field="13" count="1" selected="0">
            <x v="28"/>
          </reference>
        </references>
      </pivotArea>
    </chartFormat>
    <chartFormat chart="2" format="19" series="1">
      <pivotArea type="data" outline="0" fieldPosition="0">
        <references count="2">
          <reference field="4294967294" count="1" selected="0">
            <x v="0"/>
          </reference>
          <reference field="13" count="1" selected="0">
            <x v="14"/>
          </reference>
        </references>
      </pivotArea>
    </chartFormat>
    <chartFormat chart="2" format="20" series="1">
      <pivotArea type="data" outline="0" fieldPosition="0">
        <references count="2">
          <reference field="4294967294" count="1" selected="0">
            <x v="0"/>
          </reference>
          <reference field="13" count="1" selected="0">
            <x v="16"/>
          </reference>
        </references>
      </pivotArea>
    </chartFormat>
    <chartFormat chart="2" format="21" series="1">
      <pivotArea type="data" outline="0" fieldPosition="0">
        <references count="2">
          <reference field="4294967294" count="1" selected="0">
            <x v="0"/>
          </reference>
          <reference field="13" count="1" selected="0">
            <x v="18"/>
          </reference>
        </references>
      </pivotArea>
    </chartFormat>
    <chartFormat chart="2" format="22" series="1">
      <pivotArea type="data" outline="0" fieldPosition="0">
        <references count="2">
          <reference field="4294967294" count="1" selected="0">
            <x v="0"/>
          </reference>
          <reference field="13" count="1" selected="0">
            <x v="20"/>
          </reference>
        </references>
      </pivotArea>
    </chartFormat>
    <chartFormat chart="2" format="23" series="1">
      <pivotArea type="data" outline="0" fieldPosition="0">
        <references count="2">
          <reference field="4294967294" count="1" selected="0">
            <x v="0"/>
          </reference>
          <reference field="13" count="1" selected="0">
            <x v="22"/>
          </reference>
        </references>
      </pivotArea>
    </chartFormat>
    <chartFormat chart="2" format="24" series="1">
      <pivotArea type="data" outline="0" fieldPosition="0">
        <references count="2">
          <reference field="4294967294" count="1" selected="0">
            <x v="0"/>
          </reference>
          <reference field="13" count="1" selected="0">
            <x v="4"/>
          </reference>
        </references>
      </pivotArea>
    </chartFormat>
    <chartFormat chart="2" format="25" series="1">
      <pivotArea type="data" outline="0" fieldPosition="0">
        <references count="2">
          <reference field="4294967294" count="1" selected="0">
            <x v="0"/>
          </reference>
          <reference field="13" count="1" selected="0">
            <x v="5"/>
          </reference>
        </references>
      </pivotArea>
    </chartFormat>
    <chartFormat chart="2" format="26" series="1">
      <pivotArea type="data" outline="0" fieldPosition="0">
        <references count="2">
          <reference field="4294967294" count="1" selected="0">
            <x v="0"/>
          </reference>
          <reference field="13" count="1" selected="0">
            <x v="6"/>
          </reference>
        </references>
      </pivotArea>
    </chartFormat>
    <chartFormat chart="2" format="27" series="1">
      <pivotArea type="data" outline="0" fieldPosition="0">
        <references count="2">
          <reference field="4294967294" count="1" selected="0">
            <x v="0"/>
          </reference>
          <reference field="13" count="1" selected="0">
            <x v="7"/>
          </reference>
        </references>
      </pivotArea>
    </chartFormat>
    <chartFormat chart="2" format="28" series="1">
      <pivotArea type="data" outline="0" fieldPosition="0">
        <references count="2">
          <reference field="4294967294" count="1" selected="0">
            <x v="0"/>
          </reference>
          <reference field="13" count="1" selected="0">
            <x v="9"/>
          </reference>
        </references>
      </pivotArea>
    </chartFormat>
    <chartFormat chart="2" format="29" series="1">
      <pivotArea type="data" outline="0" fieldPosition="0">
        <references count="2">
          <reference field="4294967294" count="1" selected="0">
            <x v="0"/>
          </reference>
          <reference field="13" count="1" selected="0">
            <x v="27"/>
          </reference>
        </references>
      </pivotArea>
    </chartFormat>
    <chartFormat chart="2" format="30" series="1">
      <pivotArea type="data" outline="0" fieldPosition="0">
        <references count="2">
          <reference field="4294967294" count="1" selected="0">
            <x v="0"/>
          </reference>
          <reference field="13" count="1" selected="0">
            <x v="28"/>
          </reference>
        </references>
      </pivotArea>
    </chartFormat>
    <chartFormat chart="3" format="0" series="1">
      <pivotArea type="data" outline="0" fieldPosition="0">
        <references count="2">
          <reference field="4294967294" count="1" selected="0">
            <x v="0"/>
          </reference>
          <reference field="13" count="1" selected="0">
            <x v="13"/>
          </reference>
        </references>
      </pivotArea>
    </chartFormat>
    <chartFormat chart="3" format="1" series="1">
      <pivotArea type="data" outline="0" fieldPosition="0">
        <references count="2">
          <reference field="4294967294" count="1" selected="0">
            <x v="0"/>
          </reference>
          <reference field="13" count="1" selected="0">
            <x v="14"/>
          </reference>
        </references>
      </pivotArea>
    </chartFormat>
    <chartFormat chart="3" format="2" series="1">
      <pivotArea type="data" outline="0" fieldPosition="0">
        <references count="2">
          <reference field="4294967294" count="1" selected="0">
            <x v="0"/>
          </reference>
          <reference field="13" count="1" selected="0">
            <x v="16"/>
          </reference>
        </references>
      </pivotArea>
    </chartFormat>
    <chartFormat chart="3" format="3" series="1">
      <pivotArea type="data" outline="0" fieldPosition="0">
        <references count="2">
          <reference field="4294967294" count="1" selected="0">
            <x v="0"/>
          </reference>
          <reference field="13" count="1" selected="0">
            <x v="18"/>
          </reference>
        </references>
      </pivotArea>
    </chartFormat>
    <chartFormat chart="3" format="4" series="1">
      <pivotArea type="data" outline="0" fieldPosition="0">
        <references count="2">
          <reference field="4294967294" count="1" selected="0">
            <x v="0"/>
          </reference>
          <reference field="13" count="1" selected="0">
            <x v="20"/>
          </reference>
        </references>
      </pivotArea>
    </chartFormat>
    <chartFormat chart="3" format="5" series="1">
      <pivotArea type="data" outline="0" fieldPosition="0">
        <references count="2">
          <reference field="4294967294" count="1" selected="0">
            <x v="0"/>
          </reference>
          <reference field="13" count="1" selected="0">
            <x v="22"/>
          </reference>
        </references>
      </pivotArea>
    </chartFormat>
    <chartFormat chart="3" format="6" series="1">
      <pivotArea type="data" outline="0" fieldPosition="0">
        <references count="2">
          <reference field="4294967294" count="1" selected="0">
            <x v="0"/>
          </reference>
          <reference field="13" count="1" selected="0">
            <x v="4"/>
          </reference>
        </references>
      </pivotArea>
    </chartFormat>
    <chartFormat chart="3" format="7" series="1">
      <pivotArea type="data" outline="0" fieldPosition="0">
        <references count="2">
          <reference field="4294967294" count="1" selected="0">
            <x v="0"/>
          </reference>
          <reference field="13" count="1" selected="0">
            <x v="5"/>
          </reference>
        </references>
      </pivotArea>
    </chartFormat>
    <chartFormat chart="3" format="8" series="1">
      <pivotArea type="data" outline="0" fieldPosition="0">
        <references count="2">
          <reference field="4294967294" count="1" selected="0">
            <x v="0"/>
          </reference>
          <reference field="13" count="1" selected="0">
            <x v="6"/>
          </reference>
        </references>
      </pivotArea>
    </chartFormat>
    <chartFormat chart="3" format="9" series="1">
      <pivotArea type="data" outline="0" fieldPosition="0">
        <references count="2">
          <reference field="4294967294" count="1" selected="0">
            <x v="0"/>
          </reference>
          <reference field="13" count="1" selected="0">
            <x v="7"/>
          </reference>
        </references>
      </pivotArea>
    </chartFormat>
    <chartFormat chart="3" format="10" series="1">
      <pivotArea type="data" outline="0" fieldPosition="0">
        <references count="2">
          <reference field="4294967294" count="1" selected="0">
            <x v="0"/>
          </reference>
          <reference field="13" count="1" selected="0">
            <x v="9"/>
          </reference>
        </references>
      </pivotArea>
    </chartFormat>
    <chartFormat chart="3" format="11" series="1">
      <pivotArea type="data" outline="0" fieldPosition="0">
        <references count="2">
          <reference field="4294967294" count="1" selected="0">
            <x v="0"/>
          </reference>
          <reference field="13" count="1" selected="0">
            <x v="27"/>
          </reference>
        </references>
      </pivotArea>
    </chartFormat>
    <chartFormat chart="3" format="12" series="1">
      <pivotArea type="data" outline="0" fieldPosition="0">
        <references count="2">
          <reference field="4294967294" count="1" selected="0">
            <x v="0"/>
          </reference>
          <reference field="13" count="1" selected="0">
            <x v="28"/>
          </reference>
        </references>
      </pivotArea>
    </chartFormat>
    <chartFormat chart="3" format="13" series="1">
      <pivotArea type="data" outline="0" fieldPosition="0">
        <references count="2">
          <reference field="4294967294" count="1" selected="0">
            <x v="0"/>
          </reference>
          <reference field="13" count="1" selected="0">
            <x v="8"/>
          </reference>
        </references>
      </pivotArea>
    </chartFormat>
    <chartFormat chart="3" format="14" series="1">
      <pivotArea type="data" outline="0" fieldPosition="0">
        <references count="2">
          <reference field="4294967294" count="1" selected="0">
            <x v="0"/>
          </reference>
          <reference field="13" count="1" selected="0">
            <x v="26"/>
          </reference>
        </references>
      </pivotArea>
    </chartFormat>
    <chartFormat chart="3" format="15" series="1">
      <pivotArea type="data" outline="0" fieldPosition="0">
        <references count="2">
          <reference field="4294967294" count="1" selected="0">
            <x v="0"/>
          </reference>
          <reference field="13" count="1" selected="0">
            <x v="17"/>
          </reference>
        </references>
      </pivotArea>
    </chartFormat>
    <chartFormat chart="3" format="16" series="1">
      <pivotArea type="data" outline="0" fieldPosition="0">
        <references count="2">
          <reference field="4294967294" count="1" selected="0">
            <x v="0"/>
          </reference>
          <reference field="13" count="1" selected="0">
            <x v="29"/>
          </reference>
        </references>
      </pivotArea>
    </chartFormat>
    <chartFormat chart="3" format="17" series="1">
      <pivotArea type="data" outline="0" fieldPosition="0">
        <references count="2">
          <reference field="4294967294" count="1" selected="0">
            <x v="0"/>
          </reference>
          <reference field="13" count="1" selected="0">
            <x v="1"/>
          </reference>
        </references>
      </pivotArea>
    </chartFormat>
    <chartFormat chart="3" format="18" series="1">
      <pivotArea type="data" outline="0" fieldPosition="0">
        <references count="2">
          <reference field="4294967294" count="1" selected="0">
            <x v="0"/>
          </reference>
          <reference field="13" count="1" selected="0">
            <x v="2"/>
          </reference>
        </references>
      </pivotArea>
    </chartFormat>
    <chartFormat chart="3" format="19" series="1">
      <pivotArea type="data" outline="0" fieldPosition="0">
        <references count="2">
          <reference field="4294967294" count="1" selected="0">
            <x v="0"/>
          </reference>
          <reference field="13" count="1" selected="0">
            <x v="11"/>
          </reference>
        </references>
      </pivotArea>
    </chartFormat>
    <chartFormat chart="3" format="20" series="1">
      <pivotArea type="data" outline="0" fieldPosition="0">
        <references count="2">
          <reference field="4294967294" count="1" selected="0">
            <x v="0"/>
          </reference>
          <reference field="13" count="1" selected="0">
            <x v="12"/>
          </reference>
        </references>
      </pivotArea>
    </chartFormat>
    <chartFormat chart="3" format="21" series="1">
      <pivotArea type="data" outline="0" fieldPosition="0">
        <references count="2">
          <reference field="4294967294" count="1" selected="0">
            <x v="0"/>
          </reference>
          <reference field="13" count="1" selected="0">
            <x v="15"/>
          </reference>
        </references>
      </pivotArea>
    </chartFormat>
    <chartFormat chart="3" format="22" series="1">
      <pivotArea type="data" outline="0" fieldPosition="0">
        <references count="2">
          <reference field="4294967294" count="1" selected="0">
            <x v="0"/>
          </reference>
          <reference field="13" count="1" selected="0">
            <x v="19"/>
          </reference>
        </references>
      </pivotArea>
    </chartFormat>
    <chartFormat chart="3" format="23" series="1">
      <pivotArea type="data" outline="0" fieldPosition="0">
        <references count="2">
          <reference field="4294967294" count="1" selected="0">
            <x v="0"/>
          </reference>
          <reference field="13" count="1" selected="0">
            <x v="21"/>
          </reference>
        </references>
      </pivotArea>
    </chartFormat>
    <chartFormat chart="3" format="24" series="1">
      <pivotArea type="data" outline="0" fieldPosition="0">
        <references count="2">
          <reference field="4294967294" count="1" selected="0">
            <x v="0"/>
          </reference>
          <reference field="13" count="1" selected="0">
            <x v="24"/>
          </reference>
        </references>
      </pivotArea>
    </chartFormat>
    <chartFormat chart="3" format="25" series="1">
      <pivotArea type="data" outline="0" fieldPosition="0">
        <references count="2">
          <reference field="4294967294" count="1" selected="0">
            <x v="0"/>
          </reference>
          <reference field="13" count="1" selected="0">
            <x v="0"/>
          </reference>
        </references>
      </pivotArea>
    </chartFormat>
    <chartFormat chart="3" format="26" series="1">
      <pivotArea type="data" outline="0" fieldPosition="0">
        <references count="2">
          <reference field="4294967294" count="1" selected="0">
            <x v="0"/>
          </reference>
          <reference field="13" count="1" selected="0">
            <x v="3"/>
          </reference>
        </references>
      </pivotArea>
    </chartFormat>
    <chartFormat chart="3" format="27" series="1">
      <pivotArea type="data" outline="0" fieldPosition="0">
        <references count="2">
          <reference field="4294967294" count="1" selected="0">
            <x v="0"/>
          </reference>
          <reference field="13" count="1" selected="0">
            <x v="10"/>
          </reference>
        </references>
      </pivotArea>
    </chartFormat>
    <chartFormat chart="3" format="28" series="1">
      <pivotArea type="data" outline="0" fieldPosition="0">
        <references count="2">
          <reference field="4294967294" count="1" selected="0">
            <x v="0"/>
          </reference>
          <reference field="13" count="1" selected="0">
            <x v="23"/>
          </reference>
        </references>
      </pivotArea>
    </chartFormat>
    <chartFormat chart="3" format="29">
      <pivotArea type="data" outline="0" fieldPosition="0">
        <references count="3">
          <reference field="4294967294" count="1" selected="0">
            <x v="0"/>
          </reference>
          <reference field="3" count="1" selected="0">
            <x v="19"/>
          </reference>
          <reference field="13" count="1" selected="0">
            <x v="17"/>
          </reference>
        </references>
      </pivotArea>
    </chartFormat>
    <chartFormat chart="3" format="30">
      <pivotArea type="data" outline="0" fieldPosition="0">
        <references count="3">
          <reference field="4294967294" count="1" selected="0">
            <x v="0"/>
          </reference>
          <reference field="3" count="1" selected="0">
            <x v="16"/>
          </reference>
          <reference field="13" count="1" selected="0">
            <x v="16"/>
          </reference>
        </references>
      </pivotArea>
    </chartFormat>
    <chartFormat chart="3" format="31">
      <pivotArea type="data" outline="0" fieldPosition="0">
        <references count="3">
          <reference field="4294967294" count="1" selected="0">
            <x v="0"/>
          </reference>
          <reference field="3" count="1" selected="0">
            <x v="16"/>
          </reference>
          <reference field="13" count="1" selected="0">
            <x v="5"/>
          </reference>
        </references>
      </pivotArea>
    </chartFormat>
    <chartFormat chart="3" format="32" series="1">
      <pivotArea type="data" outline="0" fieldPosition="0">
        <references count="2">
          <reference field="4294967294" count="1" selected="0">
            <x v="0"/>
          </reference>
          <reference field="13" count="1" selected="0">
            <x v="25"/>
          </reference>
        </references>
      </pivotArea>
    </chartFormat>
    <chartFormat chart="3"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F23ED1E-E8FF-4358-A0C7-110B00D965F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location ref="A7:B9" firstHeaderRow="1" firstDataRow="2" firstDataCol="1" rowPageCount="5" colPageCount="1"/>
  <pivotFields count="16">
    <pivotField axis="axisPage" multipleItemSelectionAllowed="1" showAll="0">
      <items count="3">
        <item x="0"/>
        <item m="1" x="1"/>
        <item t="default"/>
      </items>
    </pivotField>
    <pivotField axis="axisPage" multipleItemSelectionAllowed="1" showAll="0">
      <items count="6">
        <item x="0"/>
        <item x="1"/>
        <item m="1" x="3"/>
        <item x="2"/>
        <item m="1" x="4"/>
        <item t="default"/>
      </items>
    </pivotField>
    <pivotField showAll="0"/>
    <pivotField axis="axisRow" showAll="0">
      <items count="42">
        <item h="1" m="1" x="29"/>
        <item h="1" m="1" x="21"/>
        <item h="1" m="1" x="38"/>
        <item h="1" m="1" x="37"/>
        <item h="1" m="1" x="35"/>
        <item h="1" m="1" x="36"/>
        <item h="1" m="1" x="24"/>
        <item h="1" m="1" x="26"/>
        <item h="1" m="1" x="40"/>
        <item h="1" m="1" x="22"/>
        <item h="1" m="1" x="25"/>
        <item h="1" m="1" x="27"/>
        <item h="1" m="1" x="32"/>
        <item h="1" m="1" x="34"/>
        <item h="1" m="1" x="20"/>
        <item h="1" m="1" x="33"/>
        <item h="1" m="1" x="31"/>
        <item h="1" m="1" x="28"/>
        <item h="1" m="1" x="23"/>
        <item h="1" m="1" x="39"/>
        <item m="1" x="30"/>
        <item h="1" x="0"/>
        <item h="1" x="1"/>
        <item h="1" x="2"/>
        <item h="1" x="3"/>
        <item h="1" x="4"/>
        <item h="1" x="5"/>
        <item h="1" x="6"/>
        <item h="1" x="7"/>
        <item h="1" x="8"/>
        <item h="1" x="9"/>
        <item h="1" x="10"/>
        <item h="1" x="11"/>
        <item h="1" x="12"/>
        <item h="1" x="13"/>
        <item h="1" x="14"/>
        <item h="1" x="15"/>
        <item h="1" x="16"/>
        <item h="1" x="17"/>
        <item h="1" x="18"/>
        <item h="1" x="19"/>
        <item t="default"/>
      </items>
    </pivotField>
    <pivotField showAll="0"/>
    <pivotField showAll="0"/>
    <pivotField axis="axisPage" multipleItemSelectionAllowed="1" showAll="0">
      <items count="4">
        <item x="0"/>
        <item h="1" x="1"/>
        <item h="1" m="1" x="2"/>
        <item t="default"/>
      </items>
    </pivotField>
    <pivotField showAll="0"/>
    <pivotField axis="axisPage" multipleItemSelectionAllowed="1" showAll="0">
      <items count="9">
        <item x="0"/>
        <item x="3"/>
        <item x="2"/>
        <item x="4"/>
        <item x="1"/>
        <item m="1" x="7"/>
        <item x="5"/>
        <item x="6"/>
        <item t="default"/>
      </items>
    </pivotField>
    <pivotField showAll="0"/>
    <pivotField showAll="0"/>
    <pivotField showAll="0"/>
    <pivotField axis="axisPage" multipleItemSelectionAllowed="1" showAll="0">
      <items count="4">
        <item x="0"/>
        <item h="1" sd="0" x="1"/>
        <item h="1" m="1" x="2"/>
        <item t="default"/>
      </items>
    </pivotField>
    <pivotField axis="axisCol" showAll="0">
      <items count="32">
        <item x="27"/>
        <item x="20"/>
        <item x="8"/>
        <item x="21"/>
        <item x="14"/>
        <item x="9"/>
        <item x="30"/>
        <item x="22"/>
        <item x="0"/>
        <item x="16"/>
        <item x="7"/>
        <item x="23"/>
        <item x="10"/>
        <item x="24"/>
        <item x="28"/>
        <item x="29"/>
        <item x="4"/>
        <item x="5"/>
        <item x="17"/>
        <item x="25"/>
        <item x="18"/>
        <item x="19"/>
        <item x="26"/>
        <item x="2"/>
        <item x="13"/>
        <item x="11"/>
        <item x="15"/>
        <item x="12"/>
        <item x="3"/>
        <item x="6"/>
        <item x="1"/>
        <item t="default"/>
      </items>
    </pivotField>
    <pivotField dataField="1" showAll="0"/>
    <pivotField showAll="0"/>
  </pivotFields>
  <rowFields count="1">
    <field x="3"/>
  </rowFields>
  <rowItems count="1">
    <i t="grand">
      <x/>
    </i>
  </rowItems>
  <colFields count="1">
    <field x="13"/>
  </colFields>
  <colItems count="1">
    <i t="grand">
      <x/>
    </i>
  </colItems>
  <pageFields count="5">
    <pageField fld="0" hier="-1"/>
    <pageField fld="1" hier="-1"/>
    <pageField fld="6" hier="-1"/>
    <pageField fld="8" hier="-1"/>
    <pageField fld="12" hier="-1"/>
  </pageFields>
  <dataFields count="1">
    <dataField name="Sum of Duration" fld="14" baseField="0" baseItem="0"/>
  </dataFields>
  <chartFormats count="8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3" count="1" selected="0">
            <x v="4"/>
          </reference>
        </references>
      </pivotArea>
    </chartFormat>
    <chartFormat chart="2" format="7">
      <pivotArea type="data" outline="0" fieldPosition="0">
        <references count="2">
          <reference field="4294967294" count="1" selected="0">
            <x v="0"/>
          </reference>
          <reference field="13" count="1" selected="0">
            <x v="5"/>
          </reference>
        </references>
      </pivotArea>
    </chartFormat>
    <chartFormat chart="2" format="8">
      <pivotArea type="data" outline="0" fieldPosition="0">
        <references count="2">
          <reference field="4294967294" count="1" selected="0">
            <x v="0"/>
          </reference>
          <reference field="13" count="1" selected="0">
            <x v="8"/>
          </reference>
        </references>
      </pivotArea>
    </chartFormat>
    <chartFormat chart="2" format="9">
      <pivotArea type="data" outline="0" fieldPosition="0">
        <references count="2">
          <reference field="4294967294" count="1" selected="0">
            <x v="0"/>
          </reference>
          <reference field="13" count="1" selected="0">
            <x v="10"/>
          </reference>
        </references>
      </pivotArea>
    </chartFormat>
    <chartFormat chart="2" format="10">
      <pivotArea type="data" outline="0" fieldPosition="0">
        <references count="2">
          <reference field="4294967294" count="1" selected="0">
            <x v="0"/>
          </reference>
          <reference field="13" count="1" selected="0">
            <x v="12"/>
          </reference>
        </references>
      </pivotArea>
    </chartFormat>
    <chartFormat chart="2" format="11">
      <pivotArea type="data" outline="0" fieldPosition="0">
        <references count="2">
          <reference field="4294967294" count="1" selected="0">
            <x v="0"/>
          </reference>
          <reference field="13" count="1" selected="0">
            <x v="14"/>
          </reference>
        </references>
      </pivotArea>
    </chartFormat>
    <chartFormat chart="2" format="12">
      <pivotArea type="data" outline="0" fieldPosition="0">
        <references count="2">
          <reference field="4294967294" count="1" selected="0">
            <x v="0"/>
          </reference>
          <reference field="13" count="1" selected="0">
            <x v="23"/>
          </reference>
        </references>
      </pivotArea>
    </chartFormat>
    <chartFormat chart="2" format="13">
      <pivotArea type="data" outline="0" fieldPosition="0">
        <references count="2">
          <reference field="4294967294" count="1" selected="0">
            <x v="0"/>
          </reference>
          <reference field="13" count="1" selected="0">
            <x v="24"/>
          </reference>
        </references>
      </pivotArea>
    </chartFormat>
    <chartFormat chart="2" format="14">
      <pivotArea type="data" outline="0" fieldPosition="0">
        <references count="2">
          <reference field="4294967294" count="1" selected="0">
            <x v="0"/>
          </reference>
          <reference field="13" count="1" selected="0">
            <x v="2"/>
          </reference>
        </references>
      </pivotArea>
    </chartFormat>
    <chartFormat chart="2" format="15">
      <pivotArea type="data" outline="0" fieldPosition="0">
        <references count="2">
          <reference field="4294967294" count="1" selected="0">
            <x v="0"/>
          </reference>
          <reference field="13" count="1" selected="0">
            <x v="25"/>
          </reference>
        </references>
      </pivotArea>
    </chartFormat>
    <chartFormat chart="2" format="16">
      <pivotArea type="data" outline="0" fieldPosition="0">
        <references count="2">
          <reference field="4294967294" count="1" selected="0">
            <x v="0"/>
          </reference>
          <reference field="13" count="1" selected="0">
            <x v="27"/>
          </reference>
        </references>
      </pivotArea>
    </chartFormat>
    <chartFormat chart="2" format="17">
      <pivotArea type="data" outline="0" fieldPosition="0">
        <references count="2">
          <reference field="4294967294" count="1" selected="0">
            <x v="0"/>
          </reference>
          <reference field="13" count="1" selected="0">
            <x v="28"/>
          </reference>
        </references>
      </pivotArea>
    </chartFormat>
    <chartFormat chart="2" format="18">
      <pivotArea type="data" outline="0" fieldPosition="0">
        <references count="2">
          <reference field="4294967294" count="1" selected="0">
            <x v="0"/>
          </reference>
          <reference field="13" count="1" selected="0">
            <x v="29"/>
          </reference>
        </references>
      </pivotArea>
    </chartFormat>
    <chartFormat chart="2" format="19" series="1">
      <pivotArea type="data" outline="0" fieldPosition="0">
        <references count="2">
          <reference field="4294967294" count="1" selected="0">
            <x v="0"/>
          </reference>
          <reference field="13" count="1" selected="0">
            <x v="5"/>
          </reference>
        </references>
      </pivotArea>
    </chartFormat>
    <chartFormat chart="2" format="20" series="1">
      <pivotArea type="data" outline="0" fieldPosition="0">
        <references count="2">
          <reference field="4294967294" count="1" selected="0">
            <x v="0"/>
          </reference>
          <reference field="13" count="1" selected="0">
            <x v="8"/>
          </reference>
        </references>
      </pivotArea>
    </chartFormat>
    <chartFormat chart="2" format="21" series="1">
      <pivotArea type="data" outline="0" fieldPosition="0">
        <references count="2">
          <reference field="4294967294" count="1" selected="0">
            <x v="0"/>
          </reference>
          <reference field="13" count="1" selected="0">
            <x v="10"/>
          </reference>
        </references>
      </pivotArea>
    </chartFormat>
    <chartFormat chart="2" format="22" series="1">
      <pivotArea type="data" outline="0" fieldPosition="0">
        <references count="2">
          <reference field="4294967294" count="1" selected="0">
            <x v="0"/>
          </reference>
          <reference field="13" count="1" selected="0">
            <x v="12"/>
          </reference>
        </references>
      </pivotArea>
    </chartFormat>
    <chartFormat chart="2" format="23" series="1">
      <pivotArea type="data" outline="0" fieldPosition="0">
        <references count="2">
          <reference field="4294967294" count="1" selected="0">
            <x v="0"/>
          </reference>
          <reference field="13" count="1" selected="0">
            <x v="14"/>
          </reference>
        </references>
      </pivotArea>
    </chartFormat>
    <chartFormat chart="2" format="24" series="1">
      <pivotArea type="data" outline="0" fieldPosition="0">
        <references count="2">
          <reference field="4294967294" count="1" selected="0">
            <x v="0"/>
          </reference>
          <reference field="13" count="1" selected="0">
            <x v="23"/>
          </reference>
        </references>
      </pivotArea>
    </chartFormat>
    <chartFormat chart="2" format="25" series="1">
      <pivotArea type="data" outline="0" fieldPosition="0">
        <references count="2">
          <reference field="4294967294" count="1" selected="0">
            <x v="0"/>
          </reference>
          <reference field="13" count="1" selected="0">
            <x v="24"/>
          </reference>
        </references>
      </pivotArea>
    </chartFormat>
    <chartFormat chart="2" format="26" series="1">
      <pivotArea type="data" outline="0" fieldPosition="0">
        <references count="2">
          <reference field="4294967294" count="1" selected="0">
            <x v="0"/>
          </reference>
          <reference field="13" count="1" selected="0">
            <x v="2"/>
          </reference>
        </references>
      </pivotArea>
    </chartFormat>
    <chartFormat chart="2" format="27" series="1">
      <pivotArea type="data" outline="0" fieldPosition="0">
        <references count="2">
          <reference field="4294967294" count="1" selected="0">
            <x v="0"/>
          </reference>
          <reference field="13" count="1" selected="0">
            <x v="25"/>
          </reference>
        </references>
      </pivotArea>
    </chartFormat>
    <chartFormat chart="2" format="28" series="1">
      <pivotArea type="data" outline="0" fieldPosition="0">
        <references count="2">
          <reference field="4294967294" count="1" selected="0">
            <x v="0"/>
          </reference>
          <reference field="13" count="1" selected="0">
            <x v="27"/>
          </reference>
        </references>
      </pivotArea>
    </chartFormat>
    <chartFormat chart="2" format="29" series="1">
      <pivotArea type="data" outline="0" fieldPosition="0">
        <references count="2">
          <reference field="4294967294" count="1" selected="0">
            <x v="0"/>
          </reference>
          <reference field="13" count="1" selected="0">
            <x v="28"/>
          </reference>
        </references>
      </pivotArea>
    </chartFormat>
    <chartFormat chart="2" format="30" series="1">
      <pivotArea type="data" outline="0" fieldPosition="0">
        <references count="2">
          <reference field="4294967294" count="1" selected="0">
            <x v="0"/>
          </reference>
          <reference field="13" count="1" selected="0">
            <x v="29"/>
          </reference>
        </references>
      </pivotArea>
    </chartFormat>
    <chartFormat chart="3" format="0" series="1">
      <pivotArea type="data" outline="0" fieldPosition="0">
        <references count="2">
          <reference field="4294967294" count="1" selected="0">
            <x v="0"/>
          </reference>
          <reference field="13" count="1" selected="0">
            <x v="4"/>
          </reference>
        </references>
      </pivotArea>
    </chartFormat>
    <chartFormat chart="3" format="1" series="1">
      <pivotArea type="data" outline="0" fieldPosition="0">
        <references count="2">
          <reference field="4294967294" count="1" selected="0">
            <x v="0"/>
          </reference>
          <reference field="13" count="1" selected="0">
            <x v="5"/>
          </reference>
        </references>
      </pivotArea>
    </chartFormat>
    <chartFormat chart="3" format="2" series="1">
      <pivotArea type="data" outline="0" fieldPosition="0">
        <references count="2">
          <reference field="4294967294" count="1" selected="0">
            <x v="0"/>
          </reference>
          <reference field="13" count="1" selected="0">
            <x v="8"/>
          </reference>
        </references>
      </pivotArea>
    </chartFormat>
    <chartFormat chart="3" format="3" series="1">
      <pivotArea type="data" outline="0" fieldPosition="0">
        <references count="2">
          <reference field="4294967294" count="1" selected="0">
            <x v="0"/>
          </reference>
          <reference field="13" count="1" selected="0">
            <x v="10"/>
          </reference>
        </references>
      </pivotArea>
    </chartFormat>
    <chartFormat chart="3" format="4" series="1">
      <pivotArea type="data" outline="0" fieldPosition="0">
        <references count="2">
          <reference field="4294967294" count="1" selected="0">
            <x v="0"/>
          </reference>
          <reference field="13" count="1" selected="0">
            <x v="12"/>
          </reference>
        </references>
      </pivotArea>
    </chartFormat>
    <chartFormat chart="3" format="5" series="1">
      <pivotArea type="data" outline="0" fieldPosition="0">
        <references count="2">
          <reference field="4294967294" count="1" selected="0">
            <x v="0"/>
          </reference>
          <reference field="13" count="1" selected="0">
            <x v="14"/>
          </reference>
        </references>
      </pivotArea>
    </chartFormat>
    <chartFormat chart="3" format="6" series="1">
      <pivotArea type="data" outline="0" fieldPosition="0">
        <references count="2">
          <reference field="4294967294" count="1" selected="0">
            <x v="0"/>
          </reference>
          <reference field="13" count="1" selected="0">
            <x v="23"/>
          </reference>
        </references>
      </pivotArea>
    </chartFormat>
    <chartFormat chart="3" format="7" series="1">
      <pivotArea type="data" outline="0" fieldPosition="0">
        <references count="2">
          <reference field="4294967294" count="1" selected="0">
            <x v="0"/>
          </reference>
          <reference field="13" count="1" selected="0">
            <x v="24"/>
          </reference>
        </references>
      </pivotArea>
    </chartFormat>
    <chartFormat chart="3" format="8" series="1">
      <pivotArea type="data" outline="0" fieldPosition="0">
        <references count="2">
          <reference field="4294967294" count="1" selected="0">
            <x v="0"/>
          </reference>
          <reference field="13" count="1" selected="0">
            <x v="2"/>
          </reference>
        </references>
      </pivotArea>
    </chartFormat>
    <chartFormat chart="3" format="9" series="1">
      <pivotArea type="data" outline="0" fieldPosition="0">
        <references count="2">
          <reference field="4294967294" count="1" selected="0">
            <x v="0"/>
          </reference>
          <reference field="13" count="1" selected="0">
            <x v="25"/>
          </reference>
        </references>
      </pivotArea>
    </chartFormat>
    <chartFormat chart="3" format="10" series="1">
      <pivotArea type="data" outline="0" fieldPosition="0">
        <references count="2">
          <reference field="4294967294" count="1" selected="0">
            <x v="0"/>
          </reference>
          <reference field="13" count="1" selected="0">
            <x v="27"/>
          </reference>
        </references>
      </pivotArea>
    </chartFormat>
    <chartFormat chart="3" format="11" series="1">
      <pivotArea type="data" outline="0" fieldPosition="0">
        <references count="2">
          <reference field="4294967294" count="1" selected="0">
            <x v="0"/>
          </reference>
          <reference field="13" count="1" selected="0">
            <x v="28"/>
          </reference>
        </references>
      </pivotArea>
    </chartFormat>
    <chartFormat chart="3" format="12" series="1">
      <pivotArea type="data" outline="0" fieldPosition="0">
        <references count="2">
          <reference field="4294967294" count="1" selected="0">
            <x v="0"/>
          </reference>
          <reference field="13" count="1" selected="0">
            <x v="29"/>
          </reference>
        </references>
      </pivotArea>
    </chartFormat>
    <chartFormat chart="3" format="13" series="1">
      <pivotArea type="data" outline="0" fieldPosition="0">
        <references count="2">
          <reference field="4294967294" count="1" selected="0">
            <x v="0"/>
          </reference>
          <reference field="13" count="1" selected="0">
            <x v="26"/>
          </reference>
        </references>
      </pivotArea>
    </chartFormat>
    <chartFormat chart="3" format="14" series="1">
      <pivotArea type="data" outline="0" fieldPosition="0">
        <references count="2">
          <reference field="4294967294" count="1" selected="0">
            <x v="0"/>
          </reference>
          <reference field="13" count="1" selected="0">
            <x v="18"/>
          </reference>
        </references>
      </pivotArea>
    </chartFormat>
    <chartFormat chart="3" format="15" series="1">
      <pivotArea type="data" outline="0" fieldPosition="0">
        <references count="2">
          <reference field="4294967294" count="1" selected="0">
            <x v="0"/>
          </reference>
          <reference field="13" count="1" selected="0">
            <x v="9"/>
          </reference>
        </references>
      </pivotArea>
    </chartFormat>
    <chartFormat chart="3" format="16" series="1">
      <pivotArea type="data" outline="0" fieldPosition="0">
        <references count="2">
          <reference field="4294967294" count="1" selected="0">
            <x v="0"/>
          </reference>
          <reference field="13" count="1" selected="0">
            <x v="30"/>
          </reference>
        </references>
      </pivotArea>
    </chartFormat>
    <chartFormat chart="3" format="17" series="1">
      <pivotArea type="data" outline="0" fieldPosition="0">
        <references count="2">
          <reference field="4294967294" count="1" selected="0">
            <x v="0"/>
          </reference>
          <reference field="13" count="1" selected="0">
            <x v="20"/>
          </reference>
        </references>
      </pivotArea>
    </chartFormat>
    <chartFormat chart="3" format="18" series="1">
      <pivotArea type="data" outline="0" fieldPosition="0">
        <references count="2">
          <reference field="4294967294" count="1" selected="0">
            <x v="0"/>
          </reference>
          <reference field="13" count="1" selected="0">
            <x v="21"/>
          </reference>
        </references>
      </pivotArea>
    </chartFormat>
    <chartFormat chart="3" format="19" series="1">
      <pivotArea type="data" outline="0" fieldPosition="0">
        <references count="2">
          <reference field="4294967294" count="1" selected="0">
            <x v="0"/>
          </reference>
          <reference field="13" count="1" selected="0">
            <x v="1"/>
          </reference>
        </references>
      </pivotArea>
    </chartFormat>
    <chartFormat chart="3" format="20" series="1">
      <pivotArea type="data" outline="0" fieldPosition="0">
        <references count="2">
          <reference field="4294967294" count="1" selected="0">
            <x v="0"/>
          </reference>
          <reference field="13" count="1" selected="0">
            <x v="3"/>
          </reference>
        </references>
      </pivotArea>
    </chartFormat>
    <chartFormat chart="3" format="21" series="1">
      <pivotArea type="data" outline="0" fieldPosition="0">
        <references count="2">
          <reference field="4294967294" count="1" selected="0">
            <x v="0"/>
          </reference>
          <reference field="13" count="1" selected="0">
            <x v="7"/>
          </reference>
        </references>
      </pivotArea>
    </chartFormat>
    <chartFormat chart="3" format="22" series="1">
      <pivotArea type="data" outline="0" fieldPosition="0">
        <references count="2">
          <reference field="4294967294" count="1" selected="0">
            <x v="0"/>
          </reference>
          <reference field="13" count="1" selected="0">
            <x v="11"/>
          </reference>
        </references>
      </pivotArea>
    </chartFormat>
    <chartFormat chart="3" format="23" series="1">
      <pivotArea type="data" outline="0" fieldPosition="0">
        <references count="2">
          <reference field="4294967294" count="1" selected="0">
            <x v="0"/>
          </reference>
          <reference field="13" count="1" selected="0">
            <x v="13"/>
          </reference>
        </references>
      </pivotArea>
    </chartFormat>
    <chartFormat chart="3" format="24" series="1">
      <pivotArea type="data" outline="0" fieldPosition="0">
        <references count="2">
          <reference field="4294967294" count="1" selected="0">
            <x v="0"/>
          </reference>
          <reference field="13" count="1" selected="0">
            <x v="16"/>
          </reference>
        </references>
      </pivotArea>
    </chartFormat>
    <chartFormat chart="12" format="25" series="1">
      <pivotArea type="data" outline="0" fieldPosition="0">
        <references count="2">
          <reference field="4294967294" count="1" selected="0">
            <x v="0"/>
          </reference>
          <reference field="13" count="1" selected="0">
            <x v="4"/>
          </reference>
        </references>
      </pivotArea>
    </chartFormat>
    <chartFormat chart="12" format="26" series="1">
      <pivotArea type="data" outline="0" fieldPosition="0">
        <references count="2">
          <reference field="4294967294" count="1" selected="0">
            <x v="0"/>
          </reference>
          <reference field="13" count="1" selected="0">
            <x v="5"/>
          </reference>
        </references>
      </pivotArea>
    </chartFormat>
    <chartFormat chart="12" format="27" series="1">
      <pivotArea type="data" outline="0" fieldPosition="0">
        <references count="2">
          <reference field="4294967294" count="1" selected="0">
            <x v="0"/>
          </reference>
          <reference field="13" count="1" selected="0">
            <x v="8"/>
          </reference>
        </references>
      </pivotArea>
    </chartFormat>
    <chartFormat chart="12" format="28" series="1">
      <pivotArea type="data" outline="0" fieldPosition="0">
        <references count="2">
          <reference field="4294967294" count="1" selected="0">
            <x v="0"/>
          </reference>
          <reference field="13" count="1" selected="0">
            <x v="9"/>
          </reference>
        </references>
      </pivotArea>
    </chartFormat>
    <chartFormat chart="12" format="29" series="1">
      <pivotArea type="data" outline="0" fieldPosition="0">
        <references count="2">
          <reference field="4294967294" count="1" selected="0">
            <x v="0"/>
          </reference>
          <reference field="13" count="1" selected="0">
            <x v="10"/>
          </reference>
        </references>
      </pivotArea>
    </chartFormat>
    <chartFormat chart="12" format="30" series="1">
      <pivotArea type="data" outline="0" fieldPosition="0">
        <references count="2">
          <reference field="4294967294" count="1" selected="0">
            <x v="0"/>
          </reference>
          <reference field="13" count="1" selected="0">
            <x v="12"/>
          </reference>
        </references>
      </pivotArea>
    </chartFormat>
    <chartFormat chart="12" format="31" series="1">
      <pivotArea type="data" outline="0" fieldPosition="0">
        <references count="2">
          <reference field="4294967294" count="1" selected="0">
            <x v="0"/>
          </reference>
          <reference field="13" count="1" selected="0">
            <x v="23"/>
          </reference>
        </references>
      </pivotArea>
    </chartFormat>
    <chartFormat chart="12" format="32" series="1">
      <pivotArea type="data" outline="0" fieldPosition="0">
        <references count="2">
          <reference field="4294967294" count="1" selected="0">
            <x v="0"/>
          </reference>
          <reference field="13" count="1" selected="0">
            <x v="24"/>
          </reference>
        </references>
      </pivotArea>
    </chartFormat>
    <chartFormat chart="12" format="33" series="1">
      <pivotArea type="data" outline="0" fieldPosition="0">
        <references count="2">
          <reference field="4294967294" count="1" selected="0">
            <x v="0"/>
          </reference>
          <reference field="13" count="1" selected="0">
            <x v="25"/>
          </reference>
        </references>
      </pivotArea>
    </chartFormat>
    <chartFormat chart="12" format="34" series="1">
      <pivotArea type="data" outline="0" fieldPosition="0">
        <references count="2">
          <reference field="4294967294" count="1" selected="0">
            <x v="0"/>
          </reference>
          <reference field="13" count="1" selected="0">
            <x v="27"/>
          </reference>
        </references>
      </pivotArea>
    </chartFormat>
    <chartFormat chart="12" format="35" series="1">
      <pivotArea type="data" outline="0" fieldPosition="0">
        <references count="2">
          <reference field="4294967294" count="1" selected="0">
            <x v="0"/>
          </reference>
          <reference field="13" count="1" selected="0">
            <x v="26"/>
          </reference>
        </references>
      </pivotArea>
    </chartFormat>
    <chartFormat chart="12" format="36" series="1">
      <pivotArea type="data" outline="0" fieldPosition="0">
        <references count="2">
          <reference field="4294967294" count="1" selected="0">
            <x v="0"/>
          </reference>
          <reference field="13" count="1" selected="0">
            <x v="20"/>
          </reference>
        </references>
      </pivotArea>
    </chartFormat>
    <chartFormat chart="12" format="37" series="1">
      <pivotArea type="data" outline="0" fieldPosition="0">
        <references count="2">
          <reference field="4294967294" count="1" selected="0">
            <x v="0"/>
          </reference>
          <reference field="13" count="1" selected="0">
            <x v="21"/>
          </reference>
        </references>
      </pivotArea>
    </chartFormat>
    <chartFormat chart="12" format="38" series="1">
      <pivotArea type="data" outline="0" fieldPosition="0">
        <references count="2">
          <reference field="4294967294" count="1" selected="0">
            <x v="0"/>
          </reference>
          <reference field="13" count="1" selected="0">
            <x v="1"/>
          </reference>
        </references>
      </pivotArea>
    </chartFormat>
    <chartFormat chart="12" format="39" series="1">
      <pivotArea type="data" outline="0" fieldPosition="0">
        <references count="2">
          <reference field="4294967294" count="1" selected="0">
            <x v="0"/>
          </reference>
          <reference field="13" count="1" selected="0">
            <x v="3"/>
          </reference>
        </references>
      </pivotArea>
    </chartFormat>
    <chartFormat chart="12" format="40" series="1">
      <pivotArea type="data" outline="0" fieldPosition="0">
        <references count="2">
          <reference field="4294967294" count="1" selected="0">
            <x v="0"/>
          </reference>
          <reference field="13" count="1" selected="0">
            <x v="7"/>
          </reference>
        </references>
      </pivotArea>
    </chartFormat>
    <chartFormat chart="12" format="41" series="1">
      <pivotArea type="data" outline="0" fieldPosition="0">
        <references count="2">
          <reference field="4294967294" count="1" selected="0">
            <x v="0"/>
          </reference>
          <reference field="13" count="1" selected="0">
            <x v="11"/>
          </reference>
        </references>
      </pivotArea>
    </chartFormat>
    <chartFormat chart="12" format="42" series="1">
      <pivotArea type="data" outline="0" fieldPosition="0">
        <references count="2">
          <reference field="4294967294" count="1" selected="0">
            <x v="0"/>
          </reference>
          <reference field="13" count="1" selected="0">
            <x v="13"/>
          </reference>
        </references>
      </pivotArea>
    </chartFormat>
    <chartFormat chart="12" format="43" series="1">
      <pivotArea type="data" outline="0" fieldPosition="0">
        <references count="2">
          <reference field="4294967294" count="1" selected="0">
            <x v="0"/>
          </reference>
          <reference field="13" count="1" selected="0">
            <x v="16"/>
          </reference>
        </references>
      </pivotArea>
    </chartFormat>
    <chartFormat chart="12" format="44" series="1">
      <pivotArea type="data" outline="0" fieldPosition="0">
        <references count="2">
          <reference field="4294967294" count="1" selected="0">
            <x v="0"/>
          </reference>
          <reference field="13" count="1" selected="0">
            <x v="14"/>
          </reference>
        </references>
      </pivotArea>
    </chartFormat>
    <chartFormat chart="12" format="45" series="1">
      <pivotArea type="data" outline="0" fieldPosition="0">
        <references count="2">
          <reference field="4294967294" count="1" selected="0">
            <x v="0"/>
          </reference>
          <reference field="13" count="1" selected="0">
            <x v="2"/>
          </reference>
        </references>
      </pivotArea>
    </chartFormat>
    <chartFormat chart="12" format="46" series="1">
      <pivotArea type="data" outline="0" fieldPosition="0">
        <references count="2">
          <reference field="4294967294" count="1" selected="0">
            <x v="0"/>
          </reference>
          <reference field="13" count="1" selected="0">
            <x v="28"/>
          </reference>
        </references>
      </pivotArea>
    </chartFormat>
    <chartFormat chart="12" format="47" series="1">
      <pivotArea type="data" outline="0" fieldPosition="0">
        <references count="2">
          <reference field="4294967294" count="1" selected="0">
            <x v="0"/>
          </reference>
          <reference field="13" count="1" selected="0">
            <x v="29"/>
          </reference>
        </references>
      </pivotArea>
    </chartFormat>
    <chartFormat chart="12" format="48" series="1">
      <pivotArea type="data" outline="0" fieldPosition="0">
        <references count="2">
          <reference field="4294967294" count="1" selected="0">
            <x v="0"/>
          </reference>
          <reference field="13" count="1" selected="0">
            <x v="18"/>
          </reference>
        </references>
      </pivotArea>
    </chartFormat>
    <chartFormat chart="12" format="49" series="1">
      <pivotArea type="data" outline="0" fieldPosition="0">
        <references count="2">
          <reference field="4294967294" count="1" selected="0">
            <x v="0"/>
          </reference>
          <reference field="13" count="1" selected="0">
            <x v="17"/>
          </reference>
        </references>
      </pivotArea>
    </chartFormat>
    <chartFormat chart="12" format="50" series="1">
      <pivotArea type="data" outline="0" fieldPosition="0">
        <references count="1">
          <reference field="4294967294" count="1" selected="0">
            <x v="0"/>
          </reference>
        </references>
      </pivotArea>
    </chartFormat>
    <chartFormat chart="12" format="51" series="1">
      <pivotArea type="data" outline="0" fieldPosition="0">
        <references count="2">
          <reference field="4294967294" count="1" selected="0">
            <x v="0"/>
          </reference>
          <reference field="13" count="1" selected="0">
            <x v="19"/>
          </reference>
        </references>
      </pivotArea>
    </chartFormat>
    <chartFormat chart="12" format="52" series="1">
      <pivotArea type="data" outline="0" fieldPosition="0">
        <references count="2">
          <reference field="4294967294" count="1" selected="0">
            <x v="0"/>
          </reference>
          <reference field="13" count="1" selected="0">
            <x v="22"/>
          </reference>
        </references>
      </pivotArea>
    </chartFormat>
    <chartFormat chart="12" format="53" series="1">
      <pivotArea type="data" outline="0" fieldPosition="0">
        <references count="2">
          <reference field="4294967294" count="1" selected="0">
            <x v="0"/>
          </reference>
          <reference field="13" count="1" selected="0">
            <x v="0"/>
          </reference>
        </references>
      </pivotArea>
    </chartFormat>
    <chartFormat chart="12" format="54" series="1">
      <pivotArea type="data" outline="0" fieldPosition="0">
        <references count="2">
          <reference field="4294967294" count="1" selected="0">
            <x v="0"/>
          </reference>
          <reference field="13" count="1" selected="0">
            <x v="15"/>
          </reference>
        </references>
      </pivotArea>
    </chartFormat>
    <chartFormat chart="12" format="55" series="1">
      <pivotArea type="data" outline="0" fieldPosition="0">
        <references count="2">
          <reference field="4294967294" count="1" selected="0">
            <x v="0"/>
          </reference>
          <reference field="1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8978B6-7863-404B-A747-2A9565F9A647}" name="MainData" displayName="MainData" ref="A2:AO32" totalsRowShown="0" headerRowDxfId="212" dataDxfId="211">
  <autoFilter ref="A2:AO32" xr:uid="{F58978B6-7863-404B-A747-2A9565F9A647}"/>
  <tableColumns count="41">
    <tableColumn id="1" xr3:uid="{D284832E-7D8E-4240-897C-84A0E323DFAA}" name="No." dataDxfId="210"/>
    <tableColumn id="2" xr3:uid="{B51FE4A5-427C-4241-A57F-4BEB90FDE938}" name="KKKS" dataDxfId="209"/>
    <tableColumn id="3" xr3:uid="{601C426C-803F-4BF5-B018-97297B160310}" name="Wilayah Kerja" dataDxfId="208"/>
    <tableColumn id="4" xr3:uid="{84620703-E8F6-485A-9D51-477FE43C052A}" name="Asset" dataDxfId="207"/>
    <tableColumn id="5" xr3:uid="{AF930CAA-2FFA-4DD4-BE25-74356F544A30}" name="Field" dataDxfId="206"/>
    <tableColumn id="6" xr3:uid="{30EDE968-B0BF-4143-906C-9EAEB54602FE}" name="Nama Sumur" dataDxfId="205"/>
    <tableColumn id="7" xr3:uid="{C896BCB9-0CB4-41CA-8B21-0C12C22B7CD0}" name="C/F, C/O, New" dataDxfId="204"/>
    <tableColumn id="8" xr3:uid="{8B783086-806D-4E5C-AA7D-15CDC7FD28B3}" name="Jenis Pekerjaan" dataDxfId="203"/>
    <tableColumn id="9" xr3:uid="{DE78107F-9FF5-4671-AE60-E407A336E3F3}" name="Kategori Sumur" dataDxfId="202"/>
    <tableColumn id="10" xr3:uid="{90973412-FF67-41BE-8FF0-732A66AE771A}" name="Tipe Sumur" dataDxfId="201"/>
    <tableColumn id="43" xr3:uid="{9E8E596C-29F2-452D-B22E-F47D53029767}" name="Status Sumur" dataDxfId="200"/>
    <tableColumn id="11" xr3:uid="{4995B8B6-1036-4160-A6CE-4DEA29304DF2}" name="Nama Rig" dataDxfId="199"/>
    <tableColumn id="12" xr3:uid="{877014CE-C236-447F-9F16-0E4BFABAE9F2}" name="Tipe Rig" dataDxfId="198"/>
    <tableColumn id="13" xr3:uid="{FB3CD3F3-9B99-4450-8901-9E5D5ACBC30B}" name="HP Rig" dataDxfId="197"/>
    <tableColumn id="14" xr3:uid="{1889E7D1-0DA8-4D3C-9040-7E568EFDA0FC}" name="WP&amp;B 2022" dataDxfId="196"/>
    <tableColumn id="15" xr3:uid="{20841D5A-A18B-4398-B60D-C8B2606AD574}" name="Plan - Durasi Operasi (days)" dataDxfId="195"/>
    <tableColumn id="16" xr3:uid="{0B0C4098-9A1F-43BA-AEE9-ED985075A308}" name="Plan - Depth (mMD)" dataDxfId="194"/>
    <tableColumn id="17" xr3:uid="{E496DAA2-8B00-45E6-B495-F8ED1241E498}" name="AFE Budget" dataDxfId="193"/>
    <tableColumn id="29" xr3:uid="{50443D57-5B0A-4641-BCDB-D192E3782CD5}" name="Longitude" dataDxfId="192"/>
    <tableColumn id="30" xr3:uid="{7E47577B-036D-4A77-B379-A727B4192243}" name="Latitude" dataDxfId="191"/>
    <tableColumn id="18" xr3:uid="{52A99660-099E-4D3B-A7D7-2F86026912A8}" name="Actual - Start Move Date" dataDxfId="190"/>
    <tableColumn id="19" xr3:uid="{6E36A3A1-18D6-49F0-A9C1-345AB879CB7A}" name="Actual - Finish Move Date" dataDxfId="189"/>
    <tableColumn id="21" xr3:uid="{0BEC4440-C4DD-4B72-B28C-4B9C2C0A5645}" name="Actual - Move (days)" dataDxfId="188">
      <calculatedColumnFormula>MainData[[#This Row],[Actual - Finish Move Date]]-MainData[[#This Row],[Actual - Start Move Date]]</calculatedColumnFormula>
    </tableColumn>
    <tableColumn id="22" xr3:uid="{421730D6-F059-45A1-A376-19B545D37976}" name="Actual - Start R/U Endurance Date" dataDxfId="187"/>
    <tableColumn id="23" xr3:uid="{A4F297D8-119A-46CE-AF2B-285374418404}" name="Actual - Finish R/U Endurance Date" dataDxfId="186"/>
    <tableColumn id="24" xr3:uid="{4A6E51CF-75AC-46A3-AF2C-FFC2C841E9BB}" name="Actual - R/U Endurance (days)" dataDxfId="185">
      <calculatedColumnFormula>MainData[[#This Row],[Actual - Finish R/U Endurance Date]]-MainData[[#This Row],[Actual - Start R/U Endurance Date]]</calculatedColumnFormula>
    </tableColumn>
    <tableColumn id="25" xr3:uid="{B171CC5A-9AA7-4F92-82B5-BDB7A7C135CB}" name="Actual - Start Drilling Date" dataDxfId="184"/>
    <tableColumn id="26" xr3:uid="{789F5D08-3535-4CC1-AC16-82E1FDF02470}" name="Actual - Finish Drilling Date" dataDxfId="183"/>
    <tableColumn id="27" xr3:uid="{8FBDD121-FAFB-49CF-A47E-B09530C831D1}" name="Actual - Drilling (days)" dataDxfId="182">
      <calculatedColumnFormula>MainData[[#This Row],[Actual - Finish Drilling Date]]-MainData[[#This Row],[Actual - Start Drilling Date]]</calculatedColumnFormula>
    </tableColumn>
    <tableColumn id="28" xr3:uid="{D7E6BF69-4C25-4C58-9D4D-50CD40286A1F}" name="Actual - Start Completion Date" dataDxfId="181">
      <calculatedColumnFormula>MainData[[#This Row],[Actual - Finish Drilling Date]]</calculatedColumnFormula>
    </tableColumn>
    <tableColumn id="31" xr3:uid="{54FB3B58-FCAA-4134-A959-1CD8F70C0BD3}" name="Actual - Finish Completion Date" dataDxfId="180"/>
    <tableColumn id="32" xr3:uid="{2EE18E3B-DE27-4694-8021-B19E3EB7A2B3}" name="Actual - Completion (days)" dataDxfId="179">
      <calculatedColumnFormula>MainData[[#This Row],[Actual - Finish Completion Date]]-MainData[[#This Row],[Actual - Start Completion Date]]</calculatedColumnFormula>
    </tableColumn>
    <tableColumn id="33" xr3:uid="{5C9A35A0-3650-48B9-81BD-4A759D1CB1B0}" name="Actual - Operation (days)" dataDxfId="178">
      <calculatedColumnFormula>MainData[[#This Row],[Actual - Drilling (days)]]+MainData[[#This Row],[Actual - Completion (days)]]</calculatedColumnFormula>
    </tableColumn>
    <tableColumn id="34" xr3:uid="{C4543292-0221-44CA-991D-7A06B793FB88}" name="Actual - Start R/D Date" dataDxfId="177"/>
    <tableColumn id="35" xr3:uid="{8201077B-1587-43DC-AAF6-1A442434EC3E}" name="Actual - Finish R/D Date" dataDxfId="176"/>
    <tableColumn id="36" xr3:uid="{C8BF32F2-D001-4AE0-A6DC-7D94EF093CD2}" name="Actual - R/D (days)" dataDxfId="175">
      <calculatedColumnFormula>MainData[[#This Row],[Actual - Finish R/D Date]]-MainData[[#This Row],[Actual - Start R/D Date]]</calculatedColumnFormula>
    </tableColumn>
    <tableColumn id="20" xr3:uid="{2D366CC9-5D6E-4315-85DB-DE314E56DBE0}" name="Actual - Total" dataDxfId="174">
      <calculatedColumnFormula>MainData[[#This Row],[Actual - Move (days)]]+MainData[[#This Row],[Actual - R/U Endurance (days)]]+MainData[[#This Row],[Actual - Drilling (days)]]+MainData[[#This Row],[Actual - Completion (days)]]+AJ3</calculatedColumnFormula>
    </tableColumn>
    <tableColumn id="37" xr3:uid="{8A4AD356-4A22-4D38-B07D-CCF09204576C}" name="Actual - Depth (mMD)" dataDxfId="173"/>
    <tableColumn id="38" xr3:uid="{77C33CD0-BCF0-44C2-99B7-5AD1BF9E7AA1}" name="Actual - DHB Cost" dataDxfId="172"/>
    <tableColumn id="39" xr3:uid="{57CB2C6F-D8D3-482F-94E3-F94554CA97E6}" name="Actual - CHB Cost" dataDxfId="171"/>
    <tableColumn id="40" xr3:uid="{32A18A6D-0087-406E-986D-BA3FCBE18F45}" name="Actual - Total Cost" dataDxfId="170">
      <calculatedColumnFormula>MainData[[#This Row],[Actual - DHB Cost]]+MainData[[#This Row],[Actual - CHB Cost]]</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664771-B5D3-4BED-A657-ED33FDD17B29}" name="NPTData" displayName="NPTData" ref="A2:BP32" totalsRowShown="0" headerRowDxfId="167" dataDxfId="166">
  <autoFilter ref="A2:BP32" xr:uid="{F58978B6-7863-404B-A747-2A9565F9A647}"/>
  <tableColumns count="68">
    <tableColumn id="1" xr3:uid="{BA514CCB-BC95-488B-A2C5-2407E6130D49}" name="No." dataDxfId="165">
      <calculatedColumnFormula>MainData[[#This Row],[No.]]</calculatedColumnFormula>
    </tableColumn>
    <tableColumn id="2" xr3:uid="{736285DA-85C5-4CB5-98EB-255C7E848BEE}" name="KKKS" dataDxfId="164"/>
    <tableColumn id="3" xr3:uid="{CF37E65C-0A44-4B7C-92A7-7B90A2EF18E8}" name="Wilayah Kerja" dataDxfId="163"/>
    <tableColumn id="4" xr3:uid="{3A7276A5-0534-49C4-8436-783C055FB9FD}" name="Asset" dataDxfId="162"/>
    <tableColumn id="5" xr3:uid="{9DA487DB-B647-4830-B277-B0CC6C614185}" name="Field" dataDxfId="161"/>
    <tableColumn id="6" xr3:uid="{BEC0B291-14E8-4860-A33F-19144B00CE0E}" name="Nama Lokasi" dataDxfId="160"/>
    <tableColumn id="7" xr3:uid="{134B4519-3886-4732-ADB4-0EA39529A8B5}" name="C/F, C/O, New" dataDxfId="159"/>
    <tableColumn id="8" xr3:uid="{4351E00F-591B-4305-B652-F2FA2429B153}" name="Jenis Pekerjaan" dataDxfId="158"/>
    <tableColumn id="9" xr3:uid="{71B86ADE-25B5-4203-97D2-83C5871346AD}" name="Kategori Sumur" dataDxfId="157"/>
    <tableColumn id="10" xr3:uid="{5911D233-B527-40C8-9DCB-1817DB0F20DF}" name="Tipe Sumur" dataDxfId="156"/>
    <tableColumn id="11" xr3:uid="{7885C12C-3EF2-4D1D-93BA-3178CFD196A1}" name="Nama Rig" dataDxfId="155"/>
    <tableColumn id="12" xr3:uid="{75173AE1-CE29-48D2-80BF-F9D96DB0B208}" name="Tipe Rig" dataDxfId="154"/>
    <tableColumn id="13" xr3:uid="{31A6CC98-3FCF-4A28-9C79-E5CDAE40E2B1}" name="HP Rig" dataDxfId="153"/>
    <tableColumn id="14" xr3:uid="{970E432D-9786-4047-A427-028C6DA3EEB6}" name="Plan and Budget" dataDxfId="152"/>
    <tableColumn id="27" xr3:uid="{7067DD3F-DE8E-4047-8430-7158774F6A5B}" name="2g - Well Control Operations / Situation" dataDxfId="151"/>
    <tableColumn id="43" xr3:uid="{D5613C42-5991-4680-A91B-524347B80E4C}" name="2h - Lossing Circulation / Pumping LCM / Monitor Unplanned" dataDxfId="150"/>
    <tableColumn id="44" xr3:uid="{4366CE2E-4647-4C9E-89A0-99325ABB8BD0}" name="2j - Stuck Pipe Include Handling Operations" dataDxfId="149"/>
    <tableColumn id="28" xr3:uid="{BE916035-949D-4B6E-B4D9-3944EEB9FCC4}" name="3b - Washing / Reaming / Backreaming Unplanned" dataDxfId="148"/>
    <tableColumn id="30" xr3:uid="{6251E439-651F-495B-9A1C-05A32C633A67}" name="5c - Circulate / Condition Mud Unplanned" dataDxfId="147"/>
    <tableColumn id="31" xr3:uid="{76E5A2D6-8A3D-47FD-9595-E96E19033119}" name="8a - Repair Power System" dataDxfId="146"/>
    <tableColumn id="32" xr3:uid="{A60B2832-6C59-4205-86AD-208806F47AAD}" name="8b - Repair Hoisting System" dataDxfId="145"/>
    <tableColumn id="33" xr3:uid="{33DA9537-61D3-410E-87DA-E238A51E9650}" name="8c - Repair Circulating System" dataDxfId="144"/>
    <tableColumn id="34" xr3:uid="{F073DCA1-3306-4E8F-9336-8B4431B7A2A9}" name="8d - Repair Rotating System" dataDxfId="143"/>
    <tableColumn id="35" xr3:uid="{9F2F3EBF-44D5-4247-AD5D-8ACD2F8E284C}" name="8e - Repair Blow Out Preventer System" dataDxfId="142"/>
    <tableColumn id="36" xr3:uid="{3EF86ABD-9D71-4C30-876D-5389C82C3069}" name="8f - Tubular Problem" dataDxfId="141"/>
    <tableColumn id="37" xr3:uid="{A41F01E6-9975-48E8-B332-5673E179867F}" name="8g - Personal Problem" dataDxfId="140"/>
    <tableColumn id="26" xr3:uid="{B63965D4-BF5C-4B29-B643-6304F4DA6748}" name="8n - Repair Safety System" dataDxfId="139"/>
    <tableColumn id="17" xr3:uid="{218958CB-2C49-4B0D-9964-10A540C7DA9E}" name="8s - Repair Others" dataDxfId="138"/>
    <tableColumn id="45" xr3:uid="{052D73BE-D86F-4F36-B133-1101EB2C4CDC}" name="11d - Wireline / Slick Line Job Unplanned" dataDxfId="137"/>
    <tableColumn id="15" xr3:uid="{2A770280-6BD5-471E-BBD6-CADE0D970B0B}" name="12f - Run Casing / Liner Problem" dataDxfId="136"/>
    <tableColumn id="58" xr3:uid="{F8BD7918-0CA6-4131-8BC7-226A620AC25E}" name="18b - Squeeze Unplanned" dataDxfId="135"/>
    <tableColumn id="48" xr3:uid="{F6CDFEFA-7246-4804-B68C-B1E389FE9973}" name="19a - Fishing Operations" dataDxfId="134"/>
    <tableColumn id="60" xr3:uid="{3B5CBD2C-826C-46A0-AE18-FBF6786DFC1B}" name="21a - Directional Services" dataDxfId="133"/>
    <tableColumn id="61" xr3:uid="{D9C28072-6CB3-45FF-B987-3C351475F832}" name="21b - Mud Services" dataDxfId="132"/>
    <tableColumn id="62" xr3:uid="{B4CAFD2C-2CB0-401A-B3E5-AC105DD10805}" name="21c - MLU Services" dataDxfId="131"/>
    <tableColumn id="63" xr3:uid="{F2F6B826-1D66-4182-9E44-7ECE715D3D7A}" name="21d - UBD, MPD, Aerated Services" dataDxfId="130"/>
    <tableColumn id="64" xr3:uid="{FCB58F57-DD6F-4E42-910A-C1C1B39A3F18}" name="21e - Casing Drilling Services" dataDxfId="129"/>
    <tableColumn id="65" xr3:uid="{6B3FF00E-F404-4539-ACFA-A7A5C9EEB7B4}" name="21f - Cementing Services" dataDxfId="128"/>
    <tableColumn id="66" xr3:uid="{D7325DDC-715C-4837-A581-B12D5E2139F1}" name="21g - Down Hole &amp; Surface Services" dataDxfId="127"/>
    <tableColumn id="67" xr3:uid="{A0E1003F-F185-4BD5-BDFA-0052613FF312}" name="21h - Coiled Tubing Services" dataDxfId="126"/>
    <tableColumn id="68" xr3:uid="{23B635CA-9E0B-4D55-A29C-0853A77E97F0}" name="21i - Wireline Services" dataDxfId="125"/>
    <tableColumn id="69" xr3:uid="{7DF6BA70-0F9D-4D1A-A5EB-9EF591712D93}" name="21j - Slick Line Services" dataDxfId="124"/>
    <tableColumn id="70" xr3:uid="{DBEE5F74-DF68-4193-A059-A978D52EA157}" name="21k - RTO Services" dataDxfId="123"/>
    <tableColumn id="71" xr3:uid="{3D8A6F00-DD18-43B2-ADB9-449CA7C5E0EC}" name="21l - Tubular Services" dataDxfId="122"/>
    <tableColumn id="72" xr3:uid="{D41E548D-F26E-4E42-A955-5AEA54163182}" name="21m - Well Head &amp; X-Mastree Services" dataDxfId="121"/>
    <tableColumn id="73" xr3:uid="{4A1B5DFF-2BE7-40AB-B278-A314639A9A74}" name="21n - Solid Control Services" dataDxfId="120"/>
    <tableColumn id="50" xr3:uid="{FC62A2F5-D170-462F-B02A-CF9DE24C59C4}" name="21o - Waste Management Services" dataDxfId="119"/>
    <tableColumn id="51" xr3:uid="{78E9B5D6-ADA7-465F-B0AD-69EAAD3501E9}" name="21p - H2S Services" dataDxfId="118"/>
    <tableColumn id="52" xr3:uid="{F4E2106A-F73E-455C-9259-D62D2E58E984}" name="21q - Stimulation Services" dataDxfId="117"/>
    <tableColumn id="53" xr3:uid="{432D35E2-5EC4-4FBE-82B1-DB5FB16BFE7C}" name="21r - Marine Support Services" dataDxfId="116"/>
    <tableColumn id="54" xr3:uid="{EC4C5092-5149-4E5E-A6B1-69225A4C88A3}" name="21s - Transportation Services" dataDxfId="115"/>
    <tableColumn id="55" xr3:uid="{E9DE5AC5-F977-495E-8C3F-1A394EA98FFA}" name="21t - Others Services" dataDxfId="114"/>
    <tableColumn id="80" xr3:uid="{2B03334A-7624-4513-9E7C-1BB13A239B94}" name="22a - Material Problems" dataDxfId="113"/>
    <tableColumn id="82" xr3:uid="{20E68796-FCB4-4BD5-B3C7-E689C59226F5}" name="22b - Social Issue" dataDxfId="112"/>
    <tableColumn id="81" xr3:uid="{7B4C65F5-F335-4DAC-9E77-5454D0192C25}" name="22c - Environment Issue" dataDxfId="111"/>
    <tableColumn id="78" xr3:uid="{21319065-667B-4EAB-832A-CD6C668CDF54}" name="22d - Location Problems" dataDxfId="110"/>
    <tableColumn id="79" xr3:uid="{1B9FFD4A-F511-4BB9-8783-1462BCCF3328}" name="22e - Logistics Problems" dataDxfId="109"/>
    <tableColumn id="77" xr3:uid="{32A55887-34FB-4BF9-AC0E-54C44FE90611}" name="22f - Regulatory Problems" dataDxfId="108"/>
    <tableColumn id="49" xr3:uid="{1075C5AE-529F-4CA3-A051-2478B071D77E}" name="22g - Other Problem Time" dataDxfId="107"/>
    <tableColumn id="83" xr3:uid="{2447C4F5-AEDA-42A4-9608-AEE365D1BC6F}" name="23a - Waiting on Weather" dataDxfId="106"/>
    <tableColumn id="56" xr3:uid="{3EF54A6B-5188-494A-B4F6-A196618E5262}" name="26d - Trip Problem Time" dataDxfId="105"/>
    <tableColumn id="57" xr3:uid="{A7469AF0-0E80-4015-B68C-16B79C7C7FB5}" name="28b - Swabbing Problem Time" dataDxfId="104"/>
    <tableColumn id="46" xr3:uid="{334CD2DA-CD22-4DA8-9EE9-12063886834D}" name="30c - Tree Problem Time" dataDxfId="103"/>
    <tableColumn id="47" xr3:uid="{A148BA0F-0FA9-4029-9EC6-99AEB8CD771D}" name="31b - Other Completions Problem Time" dataDxfId="102"/>
    <tableColumn id="74" xr3:uid="{A54C9893-1EAE-4DF3-9AEC-88D36723F2F5}" name="Total NPT (hours)" dataDxfId="101">
      <calculatedColumnFormula>SUM(NPTData[[#This Row],[2g - Well Control Operations / Situation]:[31b - Other Completions Problem Time]])</calculatedColumnFormula>
    </tableColumn>
    <tableColumn id="75" xr3:uid="{8189825B-0E65-4659-A0C4-710D02E85660}" name="PT Total (hours)" dataDxfId="100">
      <calculatedColumnFormula>NPTData[[#This Row],[Total Time (hours)]]-NPTData[[#This Row],[Total NPT (hours)]]</calculatedColumnFormula>
    </tableColumn>
    <tableColumn id="76" xr3:uid="{3E2385DC-6AE3-49B0-B8D8-2AF958D5594C}" name="Total Time (hours)" dataDxfId="99"/>
    <tableColumn id="42" xr3:uid="{54D0DC32-69DB-4278-850B-75776BB262B4}" name="Remark" dataDxfId="98"/>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AA595A-4605-4D66-BBB4-C49774EB07E3}" name="NPTDataEdit" displayName="NPTDataEdit" ref="A1:H95" totalsRowShown="0" headerRowDxfId="97" dataDxfId="96">
  <autoFilter ref="A1:H95" xr:uid="{F58978B6-7863-404B-A747-2A9565F9A647}"/>
  <tableColumns count="8">
    <tableColumn id="6" xr3:uid="{72A2EF4B-B020-4EC4-8492-5478F7167AC6}" name="Nama Sumur" dataDxfId="95"/>
    <tableColumn id="11" xr3:uid="{81A78899-471B-4EC2-B96C-004229098CF4}" name="Nama Rig" dataDxfId="94"/>
    <tableColumn id="74" xr3:uid="{75E2778C-B694-4E29-A74C-ABAEE581E850}" name="Category" dataDxfId="93"/>
    <tableColumn id="75" xr3:uid="{804E281C-B227-45F3-99D4-A48E0C5CFB06}" name="Code" dataDxfId="92"/>
    <tableColumn id="76" xr3:uid="{EF7CC855-60E3-46B5-A8FB-E8A30AD13CD3}" name="Duration" dataDxfId="91"/>
    <tableColumn id="1" xr3:uid="{A1A7BF7A-110A-4413-A9AA-14E28F43C32B}" name="Consorsium" dataDxfId="90"/>
    <tableColumn id="2" xr3:uid="{56466A72-2B1E-477A-9E32-D541910238FC}" name="Specification" dataDxfId="89"/>
    <tableColumn id="42" xr3:uid="{F0ABCD5F-D31A-497E-B6DF-1538883B7A48}" name="Remark" dataDxfId="88"/>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0298BC-5D47-479A-9025-D9E388656056}" name="Table4" displayName="Table4" ref="H1:T8" totalsRowShown="0" headerRowDxfId="53" dataDxfId="52">
  <autoFilter ref="H1:T8" xr:uid="{F30298BC-5D47-479A-9025-D9E388656056}"/>
  <tableColumns count="13">
    <tableColumn id="1" xr3:uid="{619D4288-52C7-4C80-9DAF-517D379D541B}" name="Rig Name" dataDxfId="51">
      <calculatedColumnFormula>A2</calculatedColumnFormula>
    </tableColumn>
    <tableColumn id="2" xr3:uid="{ABC533B2-E736-4C34-A89C-519A39EF5E5B}" name="Actual - Move (days)" dataDxfId="50">
      <calculatedColumnFormula>GETPIVOTDATA("Sum of Actual - Move (days)",$A$1,"Nama Rig","NREM #01")</calculatedColumnFormula>
    </tableColumn>
    <tableColumn id="3" xr3:uid="{FE2EE16C-48BA-4EEF-B7FA-F02964A99D55}" name="Actual - R/U Endurance (days)" dataDxfId="49">
      <calculatedColumnFormula>C2</calculatedColumnFormula>
    </tableColumn>
    <tableColumn id="4" xr3:uid="{9EBEA4C8-B71F-4A73-994B-F38B617C02C4}" name="Actual - Operation w/ NPT (days)" dataDxfId="48">
      <calculatedColumnFormula>D2</calculatedColumnFormula>
    </tableColumn>
    <tableColumn id="5" xr3:uid="{74E0EE53-4E10-4E61-8705-102AAA95B5C7}" name="Actual - R/D (days)" dataDxfId="47">
      <calculatedColumnFormula>E2</calculatedColumnFormula>
    </tableColumn>
    <tableColumn id="6" xr3:uid="{5F073451-5181-48D2-AE22-20956D6CA853}" name="Standby (days)" dataDxfId="46"/>
    <tableColumn id="7" xr3:uid="{D59E9DB7-BF41-4C4A-9DB4-6A039054FD24}" name="NPT (days)" dataDxfId="45"/>
    <tableColumn id="10" xr3:uid="{FF9A03AB-16D5-473C-BD3A-09BF7EDFB7FC}" name="Total Gross (days)" dataDxfId="44">
      <calculatedColumnFormula>SUM(Table4[[#This Row],[Actual - Move (days)]:[Standby (days)]])</calculatedColumnFormula>
    </tableColumn>
    <tableColumn id="8" xr3:uid="{21F7EA74-2723-44DD-99B1-CAAEB3555CEE}" name="Rig Availability (days)" dataDxfId="43">
      <calculatedColumnFormula>(Table4[[#This Row],[Actual - Move (days)]]+Table4[[#This Row],[Actual - R/U Endurance (days)]]+Table4[[#This Row],[Actual - Operation w/ NPT (days)]]-Table4[[#This Row],[NPT (days)]]+Table4[[#This Row],[Actual - R/D (days)]]+Table4[[#This Row],[Standby (days)]])</calculatedColumnFormula>
    </tableColumn>
    <tableColumn id="9" xr3:uid="{138FA067-6366-4187-8F2D-D0B9DD11A144}" name="Rig Utility (days)" dataDxfId="42">
      <calculatedColumnFormula>(Table4[[#This Row],[Actual - Move (days)]]+Table4[[#This Row],[Actual - R/U Endurance (days)]]+Table4[[#This Row],[Actual - Operation w/ NPT (days)]]-Table4[[#This Row],[NPT (days)]]+Table4[[#This Row],[Actual - R/D (days)]])</calculatedColumnFormula>
    </tableColumn>
    <tableColumn id="11" xr3:uid="{A95B1D85-3CFB-4286-9789-03C52A8B1179}" name="Average Rig Availability" dataDxfId="41">
      <calculatedColumnFormula>SUM(Table4[Rig Availability (days)])/SUM(Table4[Total Gross (days)])</calculatedColumnFormula>
    </tableColumn>
    <tableColumn id="12" xr3:uid="{3F307C84-3E27-46A7-8FBC-9510071BDEC4}" name="Average Rig Utility" dataDxfId="40">
      <calculatedColumnFormula>SUM(Table4[Rig Utility (days)])/SUM(Table4[Total Gross (days)])</calculatedColumnFormula>
    </tableColumn>
    <tableColumn id="13" xr3:uid="{415F4F1D-0722-47DE-8386-93A0C6FA2569}" name="Actual - Operation (days)" dataDxfId="39">
      <calculatedColumnFormula>Table4[[#This Row],[Actual - Operation w/ NPT (days)]]-Table4[[#This Row],[NPT (days)]]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27F5F2-C43A-4F93-A4DE-C902AAC632C3}" name="CostDetail" displayName="CostDetail" ref="A1:H97" totalsRowShown="0" headerRowDxfId="38" dataDxfId="37">
  <autoFilter ref="A1:H97" xr:uid="{F58978B6-7863-404B-A747-2A9565F9A647}"/>
  <tableColumns count="8">
    <tableColumn id="6" xr3:uid="{01CF6CE5-BC42-4342-83E2-EC3B6ED3BF28}" name="Nama Sumur" dataDxfId="36"/>
    <tableColumn id="7" xr3:uid="{827DCAB1-4074-4908-AAEA-70F89A480015}" name="C/F, C/O, New" dataDxfId="35"/>
    <tableColumn id="11" xr3:uid="{5124A679-2204-43F1-B8C1-8BA6C72D7616}" name="Nama Rig" dataDxfId="34"/>
    <tableColumn id="12" xr3:uid="{9D11D4A1-CF3B-400B-A255-DB5618511760}" name="Tipe Rig" dataDxfId="33"/>
    <tableColumn id="13" xr3:uid="{E276D11F-EF6D-4D84-86B0-50AEDBBA2A57}" name="HP Rig" dataDxfId="32"/>
    <tableColumn id="14" xr3:uid="{68A4A5A8-FC79-4B87-BFB4-EBB4306AF809}" name="WP&amp;B 2022" dataDxfId="31"/>
    <tableColumn id="1" xr3:uid="{8F33E924-276B-4BCF-B6B9-D43987742BE8}" name="Cost Category" dataDxfId="30"/>
    <tableColumn id="17" xr3:uid="{ECCA67DC-F691-49CC-9AFF-4931A19CCB62}" name="Value" dataDxfId="29"/>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FDB24F9-82A4-4DF4-898A-2AF995BFCC70}" name="CostDetail7" displayName="CostDetail7" ref="A1:M81" totalsRowShown="0" headerRowDxfId="28" dataDxfId="27">
  <autoFilter ref="A1:M81" xr:uid="{F58978B6-7863-404B-A747-2A9565F9A647}"/>
  <tableColumns count="13">
    <tableColumn id="6" xr3:uid="{88615B3D-1AFB-4D90-961D-C5CF837FB554}" name="Nama Sumur" dataDxfId="26"/>
    <tableColumn id="7" xr3:uid="{264B48E1-C91F-4B0F-8B91-6AF8EF754B68}" name="C/F, C/O, New" dataDxfId="25"/>
    <tableColumn id="8" xr3:uid="{FEA52D8C-7983-4F0D-AA74-031D8DDA8A3F}" name="Jenis Pekerjaan" dataDxfId="24"/>
    <tableColumn id="9" xr3:uid="{E96E67D2-DD15-48A4-BD0D-C8EC4136C5DA}" name="Kategori Sumur" dataDxfId="23"/>
    <tableColumn id="10" xr3:uid="{E242DC44-425E-4686-BBE8-184A7DF51079}" name="Tipe Sumur" dataDxfId="22"/>
    <tableColumn id="43" xr3:uid="{417E9642-358A-4DAA-B9BA-6E1FB32F127D}" name="Status Sumur" dataDxfId="21"/>
    <tableColumn id="11" xr3:uid="{56962836-C101-4499-9712-FE105001A464}" name="Nama Rig" dataDxfId="20"/>
    <tableColumn id="12" xr3:uid="{0676720E-5737-48E2-A1B2-1BEC51FF906B}" name="Tipe Rig" dataDxfId="19"/>
    <tableColumn id="13" xr3:uid="{FFF7F35F-1EB3-47B6-82C3-833882728F60}" name="HP Rig" dataDxfId="18"/>
    <tableColumn id="14" xr3:uid="{AA9A1B56-B128-4F8B-9F05-101664BE576D}" name="WP&amp;B 2022" dataDxfId="17"/>
    <tableColumn id="1" xr3:uid="{26B14982-CF75-435B-9BE9-0D6648A169FD}" name="Category" dataDxfId="16"/>
    <tableColumn id="2" xr3:uid="{58CA3A12-B96B-4E97-8C9A-0384E9DE73A1}" name="Properties" dataDxfId="15"/>
    <tableColumn id="17" xr3:uid="{95379C30-56EA-42C9-A6B5-4B3F592F1110}" name="Value" dataDxfId="14"/>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BB8DD2-834A-478F-AE97-B9948EB32DE8}" name="CostDetail78" displayName="CostDetail78" ref="A1:L28" totalsRowShown="0" headerRowDxfId="13" dataDxfId="12">
  <autoFilter ref="A1:L28" xr:uid="{F58978B6-7863-404B-A747-2A9565F9A647}"/>
  <tableColumns count="12">
    <tableColumn id="6" xr3:uid="{BF220666-571C-4BAF-9BFA-83CB61C5BC08}" name="Nama Lokasi" dataDxfId="11"/>
    <tableColumn id="7" xr3:uid="{DA0EE9FD-C795-487C-82BD-157D459BC75F}" name="C/F, C/O, New" dataDxfId="10"/>
    <tableColumn id="8" xr3:uid="{03BC94B7-216E-4433-8629-D21CF6C0434B}" name="Jenis Pekerjaan" dataDxfId="9"/>
    <tableColumn id="9" xr3:uid="{2F44A8B0-C615-47CE-9AD5-EA764194B3B0}" name="Kategori Sumur" dataDxfId="8"/>
    <tableColumn id="10" xr3:uid="{06E877A7-11EB-4D53-B50A-7865073190BA}" name="Tipe Sumur" dataDxfId="7"/>
    <tableColumn id="43" xr3:uid="{F1CA4D6C-93D4-4FED-B8B9-423A1FB53779}" name="Status Sumur" dataDxfId="6"/>
    <tableColumn id="11" xr3:uid="{742564AF-1622-4A29-8D1F-9D00AFD9A604}" name="Nama Rig" dataDxfId="5"/>
    <tableColumn id="12" xr3:uid="{06EE037C-8842-4B65-A6F6-FE39DD323E8C}" name="Tipe Rig" dataDxfId="4"/>
    <tableColumn id="13" xr3:uid="{B111ED54-89F5-4585-8F9B-FB23FE608250}" name="HP Rig" dataDxfId="3"/>
    <tableColumn id="14" xr3:uid="{79347A7C-75C8-4BC8-B896-C659526F5A4C}" name="WP&amp;B 2022" dataDxfId="2"/>
    <tableColumn id="1" xr3:uid="{E1813317-953D-4B2A-9437-DF06177D9DDB}" name="Category" dataDxfId="1"/>
    <tableColumn id="17" xr3:uid="{603128E4-A7E8-4C9F-BAF6-23CBD477BD6A}" name="Valu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7" Type="http://schemas.openxmlformats.org/officeDocument/2006/relationships/table" Target="../tables/table4.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50F2-2348-4D4C-9420-AA7C99739EC0}">
  <dimension ref="A1:AQ46"/>
  <sheetViews>
    <sheetView zoomScale="85" zoomScaleNormal="85" workbookViewId="0">
      <pane xSplit="6" topLeftCell="AO1" activePane="topRight" state="frozen"/>
      <selection pane="topRight" activeCell="AZ8" sqref="AZ8"/>
    </sheetView>
  </sheetViews>
  <sheetFormatPr defaultColWidth="10.7109375" defaultRowHeight="15" customHeight="1" x14ac:dyDescent="0.25"/>
  <cols>
    <col min="1" max="1" width="9.28515625" style="1" customWidth="1"/>
    <col min="2" max="2" width="12.140625" style="1" bestFit="1" customWidth="1"/>
    <col min="3" max="3" width="18.5703125" style="1" bestFit="1" customWidth="1"/>
    <col min="4" max="4" width="10.7109375" style="1"/>
    <col min="5" max="5" width="13.28515625" style="1" bestFit="1" customWidth="1"/>
    <col min="6" max="6" width="17.28515625" style="1" bestFit="1" customWidth="1"/>
    <col min="7" max="7" width="18.5703125" style="1" bestFit="1" customWidth="1"/>
    <col min="8" max="8" width="19.85546875" style="1" bestFit="1" customWidth="1"/>
    <col min="9" max="9" width="20.28515625" style="1" bestFit="1" customWidth="1"/>
    <col min="10" max="10" width="16.28515625" style="1" bestFit="1" customWidth="1"/>
    <col min="11" max="11" width="16.28515625" style="1" customWidth="1"/>
    <col min="12" max="12" width="21.5703125" style="1" bestFit="1" customWidth="1"/>
    <col min="13" max="13" width="13.28515625" style="1" bestFit="1" customWidth="1"/>
    <col min="14" max="14" width="11.85546875" style="1" bestFit="1" customWidth="1"/>
    <col min="15" max="15" width="15.7109375" style="1" customWidth="1"/>
    <col min="16" max="16" width="15.7109375" style="4" customWidth="1"/>
    <col min="17" max="17" width="15.7109375" style="2" customWidth="1"/>
    <col min="18" max="18" width="20.7109375" style="5" customWidth="1"/>
    <col min="19" max="19" width="15.140625" style="1" bestFit="1" customWidth="1"/>
    <col min="20" max="20" width="13.5703125" style="1" bestFit="1" customWidth="1"/>
    <col min="21" max="22" width="20.7109375" style="1" customWidth="1"/>
    <col min="23" max="23" width="20.7109375" style="7" customWidth="1"/>
    <col min="24" max="25" width="20.7109375" style="1" customWidth="1"/>
    <col min="26" max="26" width="20.7109375" style="7" customWidth="1"/>
    <col min="27" max="28" width="20.7109375" style="1" customWidth="1"/>
    <col min="29" max="29" width="20.7109375" style="7" customWidth="1"/>
    <col min="30" max="36" width="20.7109375" style="1" customWidth="1"/>
    <col min="37" max="37" width="15.7109375" style="7" customWidth="1"/>
    <col min="38" max="38" width="15.7109375" style="2" customWidth="1"/>
    <col min="39" max="40" width="15.7109375" style="5" customWidth="1"/>
    <col min="41" max="41" width="15.7109375" style="1" customWidth="1"/>
    <col min="42" max="16384" width="10.7109375" style="1"/>
  </cols>
  <sheetData>
    <row r="1" spans="1:43" ht="15" customHeight="1" x14ac:dyDescent="0.25">
      <c r="W1" s="27" t="s">
        <v>133</v>
      </c>
      <c r="Z1" s="27" t="s">
        <v>133</v>
      </c>
      <c r="AC1" s="27" t="s">
        <v>133</v>
      </c>
      <c r="AD1" s="15" t="s">
        <v>133</v>
      </c>
      <c r="AF1" s="15" t="s">
        <v>133</v>
      </c>
      <c r="AG1" s="15" t="s">
        <v>133</v>
      </c>
      <c r="AJ1" s="15" t="s">
        <v>133</v>
      </c>
      <c r="AK1" s="27" t="s">
        <v>133</v>
      </c>
      <c r="AO1" s="15" t="s">
        <v>133</v>
      </c>
    </row>
    <row r="2" spans="1:43" s="11" customFormat="1" ht="30" x14ac:dyDescent="0.25">
      <c r="A2" s="11" t="s">
        <v>0</v>
      </c>
      <c r="B2" s="11" t="s">
        <v>1</v>
      </c>
      <c r="C2" s="11" t="s">
        <v>2</v>
      </c>
      <c r="D2" s="11" t="s">
        <v>3</v>
      </c>
      <c r="E2" s="11" t="s">
        <v>6</v>
      </c>
      <c r="F2" s="11" t="s">
        <v>20</v>
      </c>
      <c r="G2" s="11" t="s">
        <v>7</v>
      </c>
      <c r="H2" s="11" t="s">
        <v>8</v>
      </c>
      <c r="I2" s="11" t="s">
        <v>13</v>
      </c>
      <c r="J2" s="11" t="s">
        <v>9</v>
      </c>
      <c r="K2" s="11" t="s">
        <v>160</v>
      </c>
      <c r="L2" s="11" t="s">
        <v>10</v>
      </c>
      <c r="M2" s="11" t="s">
        <v>11</v>
      </c>
      <c r="N2" s="11" t="s">
        <v>12</v>
      </c>
      <c r="O2" s="11" t="s">
        <v>14</v>
      </c>
      <c r="P2" s="12" t="s">
        <v>16</v>
      </c>
      <c r="Q2" s="13" t="s">
        <v>117</v>
      </c>
      <c r="R2" s="14" t="s">
        <v>15</v>
      </c>
      <c r="S2" s="11" t="s">
        <v>156</v>
      </c>
      <c r="T2" s="11" t="s">
        <v>157</v>
      </c>
      <c r="U2" s="11" t="s">
        <v>40</v>
      </c>
      <c r="V2" s="11" t="s">
        <v>41</v>
      </c>
      <c r="W2" s="19" t="s">
        <v>42</v>
      </c>
      <c r="X2" s="11" t="s">
        <v>43</v>
      </c>
      <c r="Y2" s="11" t="s">
        <v>44</v>
      </c>
      <c r="Z2" s="19" t="s">
        <v>54</v>
      </c>
      <c r="AA2" s="11" t="s">
        <v>45</v>
      </c>
      <c r="AB2" s="11" t="s">
        <v>46</v>
      </c>
      <c r="AC2" s="19" t="s">
        <v>55</v>
      </c>
      <c r="AD2" s="11" t="s">
        <v>47</v>
      </c>
      <c r="AE2" s="11" t="s">
        <v>48</v>
      </c>
      <c r="AF2" s="11" t="s">
        <v>56</v>
      </c>
      <c r="AG2" s="11" t="s">
        <v>57</v>
      </c>
      <c r="AH2" s="11" t="s">
        <v>49</v>
      </c>
      <c r="AI2" s="11" t="s">
        <v>50</v>
      </c>
      <c r="AJ2" s="11" t="s">
        <v>58</v>
      </c>
      <c r="AK2" s="19" t="s">
        <v>59</v>
      </c>
      <c r="AL2" s="13" t="s">
        <v>116</v>
      </c>
      <c r="AM2" s="14" t="s">
        <v>51</v>
      </c>
      <c r="AN2" s="14" t="s">
        <v>52</v>
      </c>
      <c r="AO2" s="11" t="s">
        <v>53</v>
      </c>
    </row>
    <row r="3" spans="1:43" ht="15" customHeight="1" x14ac:dyDescent="0.25">
      <c r="A3" s="1">
        <v>1</v>
      </c>
      <c r="B3" s="1" t="s">
        <v>271</v>
      </c>
      <c r="C3" s="1" t="s">
        <v>4</v>
      </c>
      <c r="D3" s="1" t="s">
        <v>310</v>
      </c>
      <c r="E3" s="1" t="s">
        <v>269</v>
      </c>
      <c r="F3" s="1" t="s">
        <v>274</v>
      </c>
      <c r="G3" s="1" t="s">
        <v>17</v>
      </c>
      <c r="H3" s="1" t="s">
        <v>158</v>
      </c>
      <c r="I3" s="1" t="s">
        <v>28</v>
      </c>
      <c r="J3" s="1" t="s">
        <v>118</v>
      </c>
      <c r="L3" s="1" t="s">
        <v>305</v>
      </c>
      <c r="M3" s="1" t="s">
        <v>30</v>
      </c>
      <c r="N3" s="1">
        <v>1000</v>
      </c>
      <c r="O3" s="6">
        <v>44734</v>
      </c>
      <c r="P3" s="4">
        <v>39</v>
      </c>
      <c r="Q3" s="2">
        <v>1997</v>
      </c>
      <c r="R3" s="5">
        <v>3640285</v>
      </c>
      <c r="U3" s="10"/>
      <c r="V3" s="10"/>
      <c r="W3" s="7">
        <f>MainData[[#This Row],[Actual - Finish Move Date]]-MainData[[#This Row],[Actual - Start Move Date]]</f>
        <v>0</v>
      </c>
      <c r="X3" s="10"/>
      <c r="Y3" s="10"/>
      <c r="Z3" s="7">
        <f>MainData[[#This Row],[Actual - Finish R/U Endurance Date]]-MainData[[#This Row],[Actual - Start R/U Endurance Date]]</f>
        <v>0</v>
      </c>
      <c r="AA3" s="10"/>
      <c r="AB3" s="10"/>
      <c r="AC3" s="7">
        <f>MainData[[#This Row],[Actual - Finish Drilling Date]]-MainData[[#This Row],[Actual - Start Drilling Date]]</f>
        <v>0</v>
      </c>
      <c r="AD3" s="10"/>
      <c r="AE3" s="10"/>
      <c r="AF3" s="7">
        <f>MainData[[#This Row],[Actual - Finish Completion Date]]-MainData[[#This Row],[Actual - Start Completion Date]]</f>
        <v>0</v>
      </c>
      <c r="AG3" s="7">
        <f>MainData[[#This Row],[Actual - Drilling (days)]]+MainData[[#This Row],[Actual - Completion (days)]]</f>
        <v>0</v>
      </c>
      <c r="AH3" s="10"/>
      <c r="AI3" s="10"/>
      <c r="AJ3" s="1">
        <f>MainData[[#This Row],[Actual - Finish R/D Date]]-MainData[[#This Row],[Actual - Start R/D Date]]</f>
        <v>0</v>
      </c>
      <c r="AK3" s="7">
        <f>MainData[[#This Row],[Actual - Move (days)]]+MainData[[#This Row],[Actual - R/U Endurance (days)]]+MainData[[#This Row],[Actual - Drilling (days)]]+MainData[[#This Row],[Actual - Completion (days)]]+AJ3</f>
        <v>0</v>
      </c>
      <c r="AO3" s="5">
        <f>MainData[[#This Row],[Actual - DHB Cost]]+MainData[[#This Row],[Actual - CHB Cost]]</f>
        <v>0</v>
      </c>
    </row>
    <row r="4" spans="1:43" ht="15" customHeight="1" x14ac:dyDescent="0.25">
      <c r="A4" s="1">
        <v>2</v>
      </c>
      <c r="B4" s="1" t="s">
        <v>271</v>
      </c>
      <c r="C4" s="1" t="s">
        <v>4</v>
      </c>
      <c r="D4" s="1" t="s">
        <v>310</v>
      </c>
      <c r="E4" s="1" t="s">
        <v>269</v>
      </c>
      <c r="F4" s="1" t="s">
        <v>275</v>
      </c>
      <c r="G4" s="1" t="s">
        <v>17</v>
      </c>
      <c r="H4" s="1" t="s">
        <v>158</v>
      </c>
      <c r="I4" s="1" t="s">
        <v>28</v>
      </c>
      <c r="J4" s="1" t="s">
        <v>119</v>
      </c>
      <c r="K4" s="1" t="s">
        <v>159</v>
      </c>
      <c r="L4" s="1" t="s">
        <v>304</v>
      </c>
      <c r="M4" s="1" t="s">
        <v>30</v>
      </c>
      <c r="N4" s="1">
        <v>550</v>
      </c>
      <c r="O4" s="6">
        <v>44607</v>
      </c>
      <c r="P4" s="4">
        <v>20.2</v>
      </c>
      <c r="Q4" s="2">
        <v>1572</v>
      </c>
      <c r="R4" s="5">
        <v>2868237</v>
      </c>
      <c r="U4" s="10">
        <v>44594</v>
      </c>
      <c r="V4" s="10">
        <v>44597.375</v>
      </c>
      <c r="W4" s="7">
        <f>MainData[[#This Row],[Actual - Finish Move Date]]-MainData[[#This Row],[Actual - Start Move Date]]</f>
        <v>3.375</v>
      </c>
      <c r="X4" s="10">
        <v>44597.375</v>
      </c>
      <c r="Y4" s="10">
        <v>44613.833333333336</v>
      </c>
      <c r="Z4" s="7">
        <f>MainData[[#This Row],[Actual - Finish R/U Endurance Date]]-MainData[[#This Row],[Actual - Start R/U Endurance Date]]</f>
        <v>16.458333333335759</v>
      </c>
      <c r="AA4" s="10">
        <v>44613.833333333336</v>
      </c>
      <c r="AB4" s="10">
        <v>44624.833333333336</v>
      </c>
      <c r="AC4" s="7">
        <f>MainData[[#This Row],[Actual - Finish Drilling Date]]-MainData[[#This Row],[Actual - Start Drilling Date]]</f>
        <v>11</v>
      </c>
      <c r="AD4" s="10">
        <f>MainData[[#This Row],[Actual - Finish Drilling Date]]</f>
        <v>44624.833333333336</v>
      </c>
      <c r="AE4" s="10">
        <v>44640</v>
      </c>
      <c r="AF4" s="7">
        <f>MainData[[#This Row],[Actual - Finish Completion Date]]-MainData[[#This Row],[Actual - Start Completion Date]]</f>
        <v>15.166666666664241</v>
      </c>
      <c r="AG4" s="7">
        <f>MainData[[#This Row],[Actual - Drilling (days)]]+MainData[[#This Row],[Actual - Completion (days)]]</f>
        <v>26.166666666664241</v>
      </c>
      <c r="AH4" s="10">
        <v>44640</v>
      </c>
      <c r="AI4" s="10">
        <v>44642.5</v>
      </c>
      <c r="AJ4" s="1">
        <f>MainData[[#This Row],[Actual - Finish R/D Date]]-MainData[[#This Row],[Actual - Start R/D Date]]</f>
        <v>2.5</v>
      </c>
      <c r="AK4" s="7">
        <f>MainData[[#This Row],[Actual - Move (days)]]+MainData[[#This Row],[Actual - R/U Endurance (days)]]+MainData[[#This Row],[Actual - Drilling (days)]]+MainData[[#This Row],[Actual - Completion (days)]]+AJ4</f>
        <v>48.5</v>
      </c>
      <c r="AL4" s="2">
        <v>1569</v>
      </c>
      <c r="AM4" s="5">
        <v>1485151.9540594812</v>
      </c>
      <c r="AN4" s="5">
        <v>915173.2597307791</v>
      </c>
      <c r="AO4" s="5">
        <f>MainData[[#This Row],[Actual - DHB Cost]]+MainData[[#This Row],[Actual - CHB Cost]]</f>
        <v>2400325.2137902603</v>
      </c>
    </row>
    <row r="5" spans="1:43" ht="15" customHeight="1" x14ac:dyDescent="0.25">
      <c r="A5" s="1">
        <v>3</v>
      </c>
      <c r="B5" s="1" t="s">
        <v>271</v>
      </c>
      <c r="C5" s="1" t="s">
        <v>4</v>
      </c>
      <c r="D5" s="1" t="s">
        <v>310</v>
      </c>
      <c r="E5" s="1" t="s">
        <v>269</v>
      </c>
      <c r="F5" s="1" t="s">
        <v>276</v>
      </c>
      <c r="G5" s="1" t="s">
        <v>17</v>
      </c>
      <c r="H5" s="1" t="s">
        <v>158</v>
      </c>
      <c r="I5" s="1" t="s">
        <v>28</v>
      </c>
      <c r="J5" s="1" t="s">
        <v>118</v>
      </c>
      <c r="L5" s="1" t="s">
        <v>309</v>
      </c>
      <c r="M5" s="1" t="s">
        <v>30</v>
      </c>
      <c r="N5" s="1">
        <v>550</v>
      </c>
      <c r="O5" s="6">
        <v>44806</v>
      </c>
      <c r="P5" s="4">
        <v>33.4</v>
      </c>
      <c r="Q5" s="2">
        <v>1484</v>
      </c>
      <c r="R5" s="5">
        <v>3072122</v>
      </c>
      <c r="U5" s="10"/>
      <c r="V5" s="10"/>
      <c r="W5" s="7">
        <f>MainData[[#This Row],[Actual - Finish Move Date]]-MainData[[#This Row],[Actual - Start Move Date]]</f>
        <v>0</v>
      </c>
      <c r="X5" s="10"/>
      <c r="Y5" s="10"/>
      <c r="Z5" s="7">
        <f>MainData[[#This Row],[Actual - Finish R/U Endurance Date]]-MainData[[#This Row],[Actual - Start R/U Endurance Date]]</f>
        <v>0</v>
      </c>
      <c r="AA5" s="10"/>
      <c r="AB5" s="10"/>
      <c r="AC5" s="7">
        <f>MainData[[#This Row],[Actual - Finish Drilling Date]]-MainData[[#This Row],[Actual - Start Drilling Date]]</f>
        <v>0</v>
      </c>
      <c r="AD5" s="10"/>
      <c r="AE5" s="10"/>
      <c r="AF5" s="7">
        <f>MainData[[#This Row],[Actual - Finish Completion Date]]-MainData[[#This Row],[Actual - Start Completion Date]]</f>
        <v>0</v>
      </c>
      <c r="AG5" s="7">
        <f>MainData[[#This Row],[Actual - Drilling (days)]]+MainData[[#This Row],[Actual - Completion (days)]]</f>
        <v>0</v>
      </c>
      <c r="AH5" s="10"/>
      <c r="AI5" s="10"/>
      <c r="AJ5" s="1">
        <f>MainData[[#This Row],[Actual - Finish R/D Date]]-MainData[[#This Row],[Actual - Start R/D Date]]</f>
        <v>0</v>
      </c>
      <c r="AK5" s="7">
        <f>MainData[[#This Row],[Actual - Move (days)]]+MainData[[#This Row],[Actual - R/U Endurance (days)]]+MainData[[#This Row],[Actual - Drilling (days)]]+MainData[[#This Row],[Actual - Completion (days)]]+AJ5</f>
        <v>0</v>
      </c>
      <c r="AO5" s="5">
        <f>MainData[[#This Row],[Actual - DHB Cost]]+MainData[[#This Row],[Actual - CHB Cost]]</f>
        <v>0</v>
      </c>
    </row>
    <row r="6" spans="1:43" ht="15" customHeight="1" x14ac:dyDescent="0.25">
      <c r="A6" s="1">
        <v>4</v>
      </c>
      <c r="B6" s="1" t="s">
        <v>271</v>
      </c>
      <c r="C6" s="1" t="s">
        <v>4</v>
      </c>
      <c r="D6" s="1" t="s">
        <v>310</v>
      </c>
      <c r="E6" s="1" t="s">
        <v>269</v>
      </c>
      <c r="F6" s="1" t="s">
        <v>277</v>
      </c>
      <c r="G6" s="1" t="s">
        <v>18</v>
      </c>
      <c r="H6" s="1" t="s">
        <v>158</v>
      </c>
      <c r="I6" s="1" t="s">
        <v>28</v>
      </c>
      <c r="J6" s="1" t="s">
        <v>119</v>
      </c>
      <c r="K6" s="1" t="s">
        <v>159</v>
      </c>
      <c r="L6" s="1" t="s">
        <v>304</v>
      </c>
      <c r="M6" s="1" t="s">
        <v>30</v>
      </c>
      <c r="N6" s="1">
        <v>550</v>
      </c>
      <c r="O6" s="6">
        <v>44757</v>
      </c>
      <c r="P6" s="4">
        <v>19.7</v>
      </c>
      <c r="Q6" s="2">
        <v>1157.7</v>
      </c>
      <c r="R6" s="5">
        <v>2692554</v>
      </c>
      <c r="U6" s="10">
        <v>44748.333333333336</v>
      </c>
      <c r="V6" s="10">
        <v>44754.333333333336</v>
      </c>
      <c r="W6" s="7">
        <f>MainData[[#This Row],[Actual - Finish Move Date]]-MainData[[#This Row],[Actual - Start Move Date]]</f>
        <v>6</v>
      </c>
      <c r="X6" s="10">
        <v>44754.333333333336</v>
      </c>
      <c r="Y6" s="10">
        <v>44778.25</v>
      </c>
      <c r="Z6" s="7">
        <f>MainData[[#This Row],[Actual - Finish R/U Endurance Date]]-MainData[[#This Row],[Actual - Start R/U Endurance Date]]</f>
        <v>23.916666666664241</v>
      </c>
      <c r="AA6" s="10">
        <v>44778.25</v>
      </c>
      <c r="AB6" s="10">
        <v>44787.354166666664</v>
      </c>
      <c r="AC6" s="7">
        <f>MainData[[#This Row],[Actual - Finish Drilling Date]]-MainData[[#This Row],[Actual - Start Drilling Date]]</f>
        <v>9.1041666666642413</v>
      </c>
      <c r="AD6" s="10">
        <f>MainData[[#This Row],[Actual - Finish Drilling Date]]</f>
        <v>44787.354166666664</v>
      </c>
      <c r="AE6" s="10">
        <v>44797.666666666664</v>
      </c>
      <c r="AF6" s="7">
        <f>MainData[[#This Row],[Actual - Finish Completion Date]]-MainData[[#This Row],[Actual - Start Completion Date]]</f>
        <v>10.3125</v>
      </c>
      <c r="AG6" s="7">
        <f>MainData[[#This Row],[Actual - Drilling (days)]]+MainData[[#This Row],[Actual - Completion (days)]]</f>
        <v>19.416666666664241</v>
      </c>
      <c r="AH6" s="10">
        <v>44797.666666666664</v>
      </c>
      <c r="AI6" s="10">
        <v>44800</v>
      </c>
      <c r="AJ6" s="16">
        <f>MainData[[#This Row],[Actual - Finish R/D Date]]-MainData[[#This Row],[Actual - Start R/D Date]]</f>
        <v>2.3333333333357587</v>
      </c>
      <c r="AK6" s="7">
        <f>MainData[[#This Row],[Actual - Move (days)]]+MainData[[#This Row],[Actual - R/U Endurance (days)]]+MainData[[#This Row],[Actual - Drilling (days)]]+MainData[[#This Row],[Actual - Completion (days)]]+AJ6</f>
        <v>51.666666666664241</v>
      </c>
      <c r="AL6" s="2">
        <v>1157.7</v>
      </c>
      <c r="AM6" s="5">
        <v>1281085.9423937472</v>
      </c>
      <c r="AN6" s="5">
        <v>783380.91215532948</v>
      </c>
      <c r="AO6" s="5">
        <f>MainData[[#This Row],[Actual - DHB Cost]]+MainData[[#This Row],[Actual - CHB Cost]]</f>
        <v>2064466.8545490766</v>
      </c>
    </row>
    <row r="7" spans="1:43" ht="15" customHeight="1" x14ac:dyDescent="0.25">
      <c r="A7" s="1">
        <v>5</v>
      </c>
      <c r="B7" s="1" t="s">
        <v>271</v>
      </c>
      <c r="C7" s="1" t="s">
        <v>4</v>
      </c>
      <c r="D7" s="1" t="s">
        <v>310</v>
      </c>
      <c r="E7" s="1" t="s">
        <v>270</v>
      </c>
      <c r="F7" s="1" t="s">
        <v>278</v>
      </c>
      <c r="G7" s="1" t="s">
        <v>18</v>
      </c>
      <c r="H7" s="1" t="s">
        <v>158</v>
      </c>
      <c r="I7" s="1" t="s">
        <v>28</v>
      </c>
      <c r="J7" s="1" t="s">
        <v>118</v>
      </c>
      <c r="L7" s="1" t="s">
        <v>306</v>
      </c>
      <c r="M7" s="1" t="s">
        <v>30</v>
      </c>
      <c r="N7" s="1">
        <v>550</v>
      </c>
      <c r="O7" s="6">
        <v>44696</v>
      </c>
      <c r="P7" s="4">
        <v>38.5</v>
      </c>
      <c r="Q7" s="2">
        <v>1350</v>
      </c>
      <c r="R7" s="5">
        <v>2983792</v>
      </c>
      <c r="U7" s="10"/>
      <c r="V7" s="10"/>
      <c r="W7" s="7">
        <f>MainData[[#This Row],[Actual - Finish Move Date]]-MainData[[#This Row],[Actual - Start Move Date]]</f>
        <v>0</v>
      </c>
      <c r="X7" s="10"/>
      <c r="Y7" s="10"/>
      <c r="Z7" s="7">
        <f>MainData[[#This Row],[Actual - Finish R/U Endurance Date]]-MainData[[#This Row],[Actual - Start R/U Endurance Date]]</f>
        <v>0</v>
      </c>
      <c r="AA7" s="10"/>
      <c r="AB7" s="10"/>
      <c r="AC7" s="7">
        <f>MainData[[#This Row],[Actual - Finish Drilling Date]]-MainData[[#This Row],[Actual - Start Drilling Date]]</f>
        <v>0</v>
      </c>
      <c r="AD7" s="10"/>
      <c r="AE7" s="10"/>
      <c r="AF7" s="7">
        <f>MainData[[#This Row],[Actual - Finish Completion Date]]-MainData[[#This Row],[Actual - Start Completion Date]]</f>
        <v>0</v>
      </c>
      <c r="AG7" s="7">
        <f>MainData[[#This Row],[Actual - Drilling (days)]]+MainData[[#This Row],[Actual - Completion (days)]]</f>
        <v>0</v>
      </c>
      <c r="AH7" s="10"/>
      <c r="AI7" s="10"/>
      <c r="AJ7" s="1">
        <f>MainData[[#This Row],[Actual - Finish R/D Date]]-MainData[[#This Row],[Actual - Start R/D Date]]</f>
        <v>0</v>
      </c>
      <c r="AK7" s="7">
        <f>MainData[[#This Row],[Actual - Move (days)]]+MainData[[#This Row],[Actual - R/U Endurance (days)]]+MainData[[#This Row],[Actual - Drilling (days)]]+MainData[[#This Row],[Actual - Completion (days)]]+AJ7</f>
        <v>0</v>
      </c>
      <c r="AO7" s="5">
        <f>MainData[[#This Row],[Actual - DHB Cost]]+MainData[[#This Row],[Actual - CHB Cost]]</f>
        <v>0</v>
      </c>
    </row>
    <row r="8" spans="1:43" ht="15" customHeight="1" x14ac:dyDescent="0.25">
      <c r="A8" s="1">
        <v>6</v>
      </c>
      <c r="B8" s="1" t="s">
        <v>271</v>
      </c>
      <c r="C8" s="1" t="s">
        <v>4</v>
      </c>
      <c r="D8" s="1" t="s">
        <v>310</v>
      </c>
      <c r="E8" s="1" t="s">
        <v>270</v>
      </c>
      <c r="F8" s="1" t="s">
        <v>279</v>
      </c>
      <c r="G8" s="1" t="s">
        <v>18</v>
      </c>
      <c r="H8" s="1" t="s">
        <v>158</v>
      </c>
      <c r="I8" s="1" t="s">
        <v>28</v>
      </c>
      <c r="J8" s="1" t="s">
        <v>118</v>
      </c>
      <c r="K8" s="1" t="s">
        <v>159</v>
      </c>
      <c r="L8" s="1" t="s">
        <v>306</v>
      </c>
      <c r="M8" s="1" t="s">
        <v>30</v>
      </c>
      <c r="N8" s="1">
        <v>550</v>
      </c>
      <c r="O8" s="6">
        <v>44653</v>
      </c>
      <c r="P8" s="4">
        <v>21.1</v>
      </c>
      <c r="Q8" s="2">
        <v>1300</v>
      </c>
      <c r="R8" s="5">
        <v>2851130</v>
      </c>
      <c r="S8" s="1">
        <v>98.052231591840595</v>
      </c>
      <c r="T8" s="1">
        <v>4.2895986781536202</v>
      </c>
      <c r="U8" s="10">
        <v>44711.25</v>
      </c>
      <c r="V8" s="10">
        <v>44714.625</v>
      </c>
      <c r="W8" s="7">
        <f>MainData[[#This Row],[Actual - Finish Move Date]]-MainData[[#This Row],[Actual - Start Move Date]]</f>
        <v>3.375</v>
      </c>
      <c r="X8" s="10">
        <v>44714.625</v>
      </c>
      <c r="Y8" s="10">
        <v>44726.75</v>
      </c>
      <c r="Z8" s="7">
        <f>MainData[[#This Row],[Actual - Finish R/U Endurance Date]]-MainData[[#This Row],[Actual - Start R/U Endurance Date]]</f>
        <v>12.125</v>
      </c>
      <c r="AA8" s="10">
        <v>44726.75</v>
      </c>
      <c r="AB8" s="10">
        <v>44748.541666666664</v>
      </c>
      <c r="AC8" s="7">
        <f>MainData[[#This Row],[Actual - Finish Drilling Date]]-MainData[[#This Row],[Actual - Start Drilling Date]]</f>
        <v>21.791666666664241</v>
      </c>
      <c r="AD8" s="10">
        <f>MainData[[#This Row],[Actual - Finish Drilling Date]]</f>
        <v>44748.541666666664</v>
      </c>
      <c r="AE8" s="10">
        <v>44761</v>
      </c>
      <c r="AF8" s="7">
        <f>MainData[[#This Row],[Actual - Finish Completion Date]]-MainData[[#This Row],[Actual - Start Completion Date]]</f>
        <v>12.458333333335759</v>
      </c>
      <c r="AG8" s="7">
        <f>MainData[[#This Row],[Actual - Drilling (days)]]+MainData[[#This Row],[Actual - Completion (days)]]</f>
        <v>34.25</v>
      </c>
      <c r="AH8" s="10">
        <v>44761</v>
      </c>
      <c r="AI8" s="10">
        <v>44764</v>
      </c>
      <c r="AJ8" s="1">
        <f>MainData[[#This Row],[Actual - Finish R/D Date]]-MainData[[#This Row],[Actual - Start R/D Date]]</f>
        <v>3</v>
      </c>
      <c r="AK8" s="7">
        <f>MainData[[#This Row],[Actual - Move (days)]]+MainData[[#This Row],[Actual - R/U Endurance (days)]]+MainData[[#This Row],[Actual - Drilling (days)]]+MainData[[#This Row],[Actual - Completion (days)]]+AJ8</f>
        <v>52.75</v>
      </c>
      <c r="AL8" s="2">
        <v>1370</v>
      </c>
      <c r="AM8" s="5">
        <v>2084781.7294244175</v>
      </c>
      <c r="AN8" s="5">
        <v>1075906.8523192499</v>
      </c>
      <c r="AO8" s="5">
        <f>MainData[[#This Row],[Actual - DHB Cost]]+MainData[[#This Row],[Actual - CHB Cost]]</f>
        <v>3160688.5817436674</v>
      </c>
      <c r="AQ8" s="26"/>
    </row>
    <row r="9" spans="1:43" ht="15" customHeight="1" x14ac:dyDescent="0.25">
      <c r="A9" s="1">
        <v>7</v>
      </c>
      <c r="B9" s="1" t="s">
        <v>271</v>
      </c>
      <c r="C9" s="1" t="s">
        <v>4</v>
      </c>
      <c r="D9" s="1" t="s">
        <v>310</v>
      </c>
      <c r="E9" s="1" t="s">
        <v>270</v>
      </c>
      <c r="F9" s="1" t="s">
        <v>280</v>
      </c>
      <c r="G9" s="1" t="s">
        <v>18</v>
      </c>
      <c r="H9" s="1" t="s">
        <v>158</v>
      </c>
      <c r="I9" s="1" t="s">
        <v>28</v>
      </c>
      <c r="J9" s="1" t="s">
        <v>119</v>
      </c>
      <c r="K9" s="1" t="s">
        <v>159</v>
      </c>
      <c r="L9" s="1" t="s">
        <v>306</v>
      </c>
      <c r="M9" s="1" t="s">
        <v>30</v>
      </c>
      <c r="N9" s="1">
        <v>550</v>
      </c>
      <c r="O9" s="6">
        <v>44744</v>
      </c>
      <c r="P9" s="4">
        <v>18.920000000000002</v>
      </c>
      <c r="Q9" s="2">
        <v>820</v>
      </c>
      <c r="R9" s="5">
        <v>2766044.56</v>
      </c>
      <c r="S9" s="1">
        <v>98.106168891631</v>
      </c>
      <c r="T9" s="1">
        <v>4.3339829342811198</v>
      </c>
      <c r="U9" s="10">
        <v>44621</v>
      </c>
      <c r="V9" s="10">
        <v>44676.291666666664</v>
      </c>
      <c r="W9" s="7">
        <f>MainData[[#This Row],[Actual - Finish Move Date]]-MainData[[#This Row],[Actual - Start Move Date]]</f>
        <v>55.291666666664241</v>
      </c>
      <c r="X9" s="10"/>
      <c r="Y9" s="10"/>
      <c r="Z9" s="7">
        <f>MainData[[#This Row],[Actual - Finish R/U Endurance Date]]-MainData[[#This Row],[Actual - Start R/U Endurance Date]]</f>
        <v>0</v>
      </c>
      <c r="AA9" s="10">
        <v>44676.291666666664</v>
      </c>
      <c r="AB9" s="10">
        <v>44684</v>
      </c>
      <c r="AC9" s="7">
        <f>MainData[[#This Row],[Actual - Finish Drilling Date]]-MainData[[#This Row],[Actual - Start Drilling Date]]</f>
        <v>7.7083333333357587</v>
      </c>
      <c r="AD9" s="10">
        <f>MainData[[#This Row],[Actual - Finish Drilling Date]]</f>
        <v>44684</v>
      </c>
      <c r="AE9" s="10">
        <v>44699</v>
      </c>
      <c r="AF9" s="7">
        <f>MainData[[#This Row],[Actual - Finish Completion Date]]-MainData[[#This Row],[Actual - Start Completion Date]]</f>
        <v>15</v>
      </c>
      <c r="AG9" s="7">
        <f>MainData[[#This Row],[Actual - Drilling (days)]]+MainData[[#This Row],[Actual - Completion (days)]]</f>
        <v>22.708333333335759</v>
      </c>
      <c r="AH9" s="10">
        <v>44699</v>
      </c>
      <c r="AI9" s="10">
        <v>44702</v>
      </c>
      <c r="AJ9" s="1">
        <f>MainData[[#This Row],[Actual - Finish R/D Date]]-MainData[[#This Row],[Actual - Start R/D Date]]</f>
        <v>3</v>
      </c>
      <c r="AK9" s="7">
        <f>MainData[[#This Row],[Actual - Move (days)]]+MainData[[#This Row],[Actual - R/U Endurance (days)]]+MainData[[#This Row],[Actual - Drilling (days)]]+MainData[[#This Row],[Actual - Completion (days)]]+AJ9</f>
        <v>81</v>
      </c>
      <c r="AL9" s="2">
        <v>820</v>
      </c>
      <c r="AM9" s="5">
        <v>1630790.9984825787</v>
      </c>
      <c r="AN9" s="5">
        <v>735832.83722125436</v>
      </c>
      <c r="AO9" s="5">
        <f>MainData[[#This Row],[Actual - DHB Cost]]+MainData[[#This Row],[Actual - CHB Cost]]</f>
        <v>2366623.835703833</v>
      </c>
    </row>
    <row r="10" spans="1:43" ht="15" customHeight="1" x14ac:dyDescent="0.25">
      <c r="A10" s="1">
        <v>8</v>
      </c>
      <c r="B10" s="1" t="s">
        <v>271</v>
      </c>
      <c r="C10" s="1" t="s">
        <v>4</v>
      </c>
      <c r="D10" s="1" t="s">
        <v>310</v>
      </c>
      <c r="E10" s="1" t="s">
        <v>270</v>
      </c>
      <c r="F10" s="1" t="s">
        <v>281</v>
      </c>
      <c r="G10" s="1" t="s">
        <v>18</v>
      </c>
      <c r="H10" s="1" t="s">
        <v>158</v>
      </c>
      <c r="I10" s="1" t="s">
        <v>28</v>
      </c>
      <c r="J10" s="1" t="s">
        <v>119</v>
      </c>
      <c r="L10" s="1" t="s">
        <v>306</v>
      </c>
      <c r="M10" s="1" t="s">
        <v>30</v>
      </c>
      <c r="N10" s="1">
        <v>550</v>
      </c>
      <c r="O10" s="6">
        <v>44836</v>
      </c>
      <c r="P10" s="4">
        <v>19.100000000000001</v>
      </c>
      <c r="Q10" s="2">
        <v>850</v>
      </c>
      <c r="R10" s="5">
        <v>2227744</v>
      </c>
      <c r="S10" s="1">
        <v>98.099246046717298</v>
      </c>
      <c r="T10" s="1">
        <v>4.33516885412807</v>
      </c>
      <c r="U10" s="10"/>
      <c r="V10" s="10"/>
      <c r="W10" s="7">
        <f>MainData[[#This Row],[Actual - Finish Move Date]]-MainData[[#This Row],[Actual - Start Move Date]]</f>
        <v>0</v>
      </c>
      <c r="X10" s="10"/>
      <c r="Y10" s="10"/>
      <c r="Z10" s="7">
        <f>MainData[[#This Row],[Actual - Finish R/U Endurance Date]]-MainData[[#This Row],[Actual - Start R/U Endurance Date]]</f>
        <v>0</v>
      </c>
      <c r="AA10" s="10"/>
      <c r="AB10" s="10"/>
      <c r="AC10" s="7">
        <f>MainData[[#This Row],[Actual - Finish Drilling Date]]-MainData[[#This Row],[Actual - Start Drilling Date]]</f>
        <v>0</v>
      </c>
      <c r="AD10" s="10"/>
      <c r="AE10" s="10"/>
      <c r="AF10" s="7">
        <f>MainData[[#This Row],[Actual - Finish Completion Date]]-MainData[[#This Row],[Actual - Start Completion Date]]</f>
        <v>0</v>
      </c>
      <c r="AG10" s="7">
        <f>MainData[[#This Row],[Actual - Drilling (days)]]+MainData[[#This Row],[Actual - Completion (days)]]</f>
        <v>0</v>
      </c>
      <c r="AH10" s="10"/>
      <c r="AI10" s="10"/>
      <c r="AJ10" s="1">
        <f>MainData[[#This Row],[Actual - Finish R/D Date]]-MainData[[#This Row],[Actual - Start R/D Date]]</f>
        <v>0</v>
      </c>
      <c r="AK10" s="7">
        <f>MainData[[#This Row],[Actual - Move (days)]]+MainData[[#This Row],[Actual - R/U Endurance (days)]]+MainData[[#This Row],[Actual - Drilling (days)]]+MainData[[#This Row],[Actual - Completion (days)]]+AJ10</f>
        <v>0</v>
      </c>
      <c r="AO10" s="5">
        <f>MainData[[#This Row],[Actual - DHB Cost]]+MainData[[#This Row],[Actual - CHB Cost]]</f>
        <v>0</v>
      </c>
    </row>
    <row r="11" spans="1:43" ht="15" customHeight="1" x14ac:dyDescent="0.25">
      <c r="A11" s="1">
        <v>9</v>
      </c>
      <c r="B11" s="1" t="s">
        <v>271</v>
      </c>
      <c r="C11" s="1" t="s">
        <v>4</v>
      </c>
      <c r="D11" s="1" t="s">
        <v>310</v>
      </c>
      <c r="E11" s="1" t="s">
        <v>270</v>
      </c>
      <c r="F11" s="1" t="s">
        <v>282</v>
      </c>
      <c r="G11" s="1" t="s">
        <v>18</v>
      </c>
      <c r="H11" s="1" t="s">
        <v>158</v>
      </c>
      <c r="I11" s="1" t="s">
        <v>28</v>
      </c>
      <c r="J11" s="1" t="s">
        <v>119</v>
      </c>
      <c r="K11" s="1" t="s">
        <v>159</v>
      </c>
      <c r="L11" s="1" t="s">
        <v>307</v>
      </c>
      <c r="M11" s="1" t="s">
        <v>30</v>
      </c>
      <c r="N11" s="1">
        <v>400</v>
      </c>
      <c r="O11" s="6">
        <v>44775</v>
      </c>
      <c r="P11" s="4">
        <v>22.5</v>
      </c>
      <c r="Q11" s="2">
        <v>790</v>
      </c>
      <c r="R11" s="5">
        <v>2489280</v>
      </c>
      <c r="S11" s="1">
        <v>98.099558606421596</v>
      </c>
      <c r="T11" s="1">
        <v>4.3375937027245799</v>
      </c>
      <c r="U11" s="10">
        <v>44740</v>
      </c>
      <c r="V11" s="10">
        <v>44742.666666666664</v>
      </c>
      <c r="W11" s="7">
        <f>MainData[[#This Row],[Actual - Finish Move Date]]-MainData[[#This Row],[Actual - Start Move Date]]</f>
        <v>2.6666666666642413</v>
      </c>
      <c r="X11" s="10">
        <v>44743</v>
      </c>
      <c r="Y11" s="10">
        <v>44752.458333333336</v>
      </c>
      <c r="Z11" s="7">
        <f>MainData[[#This Row],[Actual - Finish R/U Endurance Date]]-MainData[[#This Row],[Actual - Start R/U Endurance Date]]</f>
        <v>9.4583333333357587</v>
      </c>
      <c r="AA11" s="10">
        <v>44752.458333333336</v>
      </c>
      <c r="AB11" s="10">
        <v>44760</v>
      </c>
      <c r="AC11" s="7">
        <f>MainData[[#This Row],[Actual - Finish Drilling Date]]-MainData[[#This Row],[Actual - Start Drilling Date]]</f>
        <v>7.5416666666642413</v>
      </c>
      <c r="AD11" s="10">
        <f>MainData[[#This Row],[Actual - Finish Drilling Date]]</f>
        <v>44760</v>
      </c>
      <c r="AE11" s="10">
        <v>44773.666666666664</v>
      </c>
      <c r="AF11" s="7">
        <f>MainData[[#This Row],[Actual - Finish Completion Date]]-MainData[[#This Row],[Actual - Start Completion Date]]</f>
        <v>13.666666666664241</v>
      </c>
      <c r="AG11" s="7">
        <f>MainData[[#This Row],[Actual - Drilling (days)]]+MainData[[#This Row],[Actual - Completion (days)]]</f>
        <v>21.208333333328483</v>
      </c>
      <c r="AH11" s="10">
        <v>44773.666666666664</v>
      </c>
      <c r="AI11" s="10">
        <v>44775.666666666664</v>
      </c>
      <c r="AJ11" s="1">
        <f>MainData[[#This Row],[Actual - Finish R/D Date]]-MainData[[#This Row],[Actual - Start R/D Date]]</f>
        <v>2</v>
      </c>
      <c r="AK11" s="7">
        <f>MainData[[#This Row],[Actual - Move (days)]]+MainData[[#This Row],[Actual - R/U Endurance (days)]]+MainData[[#This Row],[Actual - Drilling (days)]]+MainData[[#This Row],[Actual - Completion (days)]]+AJ11</f>
        <v>35.333333333328483</v>
      </c>
      <c r="AL11" s="2">
        <v>790</v>
      </c>
      <c r="AM11" s="5">
        <v>1166626.3931849203</v>
      </c>
      <c r="AN11" s="5">
        <v>969960.39347038325</v>
      </c>
      <c r="AO11" s="5">
        <f>MainData[[#This Row],[Actual - DHB Cost]]+MainData[[#This Row],[Actual - CHB Cost]]</f>
        <v>2136586.7866553036</v>
      </c>
    </row>
    <row r="12" spans="1:43" ht="15" customHeight="1" x14ac:dyDescent="0.25">
      <c r="A12" s="1">
        <v>10</v>
      </c>
      <c r="B12" s="1" t="s">
        <v>271</v>
      </c>
      <c r="C12" s="1" t="s">
        <v>4</v>
      </c>
      <c r="D12" s="1" t="s">
        <v>310</v>
      </c>
      <c r="E12" s="1" t="s">
        <v>270</v>
      </c>
      <c r="F12" s="1" t="s">
        <v>283</v>
      </c>
      <c r="G12" s="1" t="s">
        <v>18</v>
      </c>
      <c r="H12" s="1" t="s">
        <v>158</v>
      </c>
      <c r="I12" s="1" t="s">
        <v>28</v>
      </c>
      <c r="J12" s="1" t="s">
        <v>119</v>
      </c>
      <c r="L12" s="1" t="s">
        <v>307</v>
      </c>
      <c r="M12" s="1" t="s">
        <v>30</v>
      </c>
      <c r="N12" s="1">
        <v>400</v>
      </c>
      <c r="O12" s="6">
        <v>44880</v>
      </c>
      <c r="P12" s="4">
        <v>21.6</v>
      </c>
      <c r="Q12" s="2">
        <v>750</v>
      </c>
      <c r="R12" s="5">
        <v>3183371</v>
      </c>
      <c r="S12" s="1">
        <v>98.103569579553806</v>
      </c>
      <c r="T12" s="1">
        <v>4.3371823362975697</v>
      </c>
      <c r="U12" s="10"/>
      <c r="V12" s="10"/>
      <c r="W12" s="7">
        <f>MainData[[#This Row],[Actual - Finish Move Date]]-MainData[[#This Row],[Actual - Start Move Date]]</f>
        <v>0</v>
      </c>
      <c r="X12" s="10"/>
      <c r="Y12" s="10"/>
      <c r="Z12" s="7">
        <f>MainData[[#This Row],[Actual - Finish R/U Endurance Date]]-MainData[[#This Row],[Actual - Start R/U Endurance Date]]</f>
        <v>0</v>
      </c>
      <c r="AA12" s="10"/>
      <c r="AB12" s="10"/>
      <c r="AC12" s="7">
        <f>MainData[[#This Row],[Actual - Finish Drilling Date]]-MainData[[#This Row],[Actual - Start Drilling Date]]</f>
        <v>0</v>
      </c>
      <c r="AD12" s="10"/>
      <c r="AE12" s="10"/>
      <c r="AF12" s="7">
        <f>MainData[[#This Row],[Actual - Finish Completion Date]]-MainData[[#This Row],[Actual - Start Completion Date]]</f>
        <v>0</v>
      </c>
      <c r="AG12" s="7">
        <f>MainData[[#This Row],[Actual - Drilling (days)]]+MainData[[#This Row],[Actual - Completion (days)]]</f>
        <v>0</v>
      </c>
      <c r="AH12" s="10"/>
      <c r="AI12" s="10"/>
      <c r="AJ12" s="1">
        <f>MainData[[#This Row],[Actual - Finish R/D Date]]-MainData[[#This Row],[Actual - Start R/D Date]]</f>
        <v>0</v>
      </c>
      <c r="AK12" s="7">
        <f>MainData[[#This Row],[Actual - Move (days)]]+MainData[[#This Row],[Actual - R/U Endurance (days)]]+MainData[[#This Row],[Actual - Drilling (days)]]+MainData[[#This Row],[Actual - Completion (days)]]+AJ12</f>
        <v>0</v>
      </c>
      <c r="AO12" s="5">
        <f>MainData[[#This Row],[Actual - DHB Cost]]+MainData[[#This Row],[Actual - CHB Cost]]</f>
        <v>0</v>
      </c>
    </row>
    <row r="13" spans="1:43" ht="15" customHeight="1" x14ac:dyDescent="0.25">
      <c r="A13" s="1">
        <v>11</v>
      </c>
      <c r="B13" s="1" t="s">
        <v>271</v>
      </c>
      <c r="C13" s="1" t="s">
        <v>4</v>
      </c>
      <c r="D13" s="1" t="s">
        <v>310</v>
      </c>
      <c r="E13" s="1" t="s">
        <v>270</v>
      </c>
      <c r="F13" s="1" t="s">
        <v>284</v>
      </c>
      <c r="G13" s="1" t="s">
        <v>18</v>
      </c>
      <c r="H13" s="1" t="s">
        <v>158</v>
      </c>
      <c r="I13" s="1" t="s">
        <v>28</v>
      </c>
      <c r="J13" s="1" t="s">
        <v>119</v>
      </c>
      <c r="L13" s="1" t="s">
        <v>307</v>
      </c>
      <c r="M13" s="1" t="s">
        <v>30</v>
      </c>
      <c r="N13" s="1">
        <v>400</v>
      </c>
      <c r="O13" s="6">
        <v>44819</v>
      </c>
      <c r="P13" s="4">
        <v>21.5</v>
      </c>
      <c r="Q13" s="2">
        <v>720</v>
      </c>
      <c r="R13" s="5">
        <v>2400606</v>
      </c>
      <c r="S13" s="1">
        <v>98.111287635034302</v>
      </c>
      <c r="T13" s="1">
        <v>4.3419047323109501</v>
      </c>
      <c r="U13" s="10"/>
      <c r="V13" s="10"/>
      <c r="W13" s="7">
        <f>MainData[[#This Row],[Actual - Finish Move Date]]-MainData[[#This Row],[Actual - Start Move Date]]</f>
        <v>0</v>
      </c>
      <c r="X13" s="10"/>
      <c r="Y13" s="10"/>
      <c r="Z13" s="7">
        <f>MainData[[#This Row],[Actual - Finish R/U Endurance Date]]-MainData[[#This Row],[Actual - Start R/U Endurance Date]]</f>
        <v>0</v>
      </c>
      <c r="AA13" s="10"/>
      <c r="AB13" s="10"/>
      <c r="AC13" s="7">
        <f>MainData[[#This Row],[Actual - Finish Drilling Date]]-MainData[[#This Row],[Actual - Start Drilling Date]]</f>
        <v>0</v>
      </c>
      <c r="AD13" s="10"/>
      <c r="AE13" s="10"/>
      <c r="AF13" s="7">
        <f>MainData[[#This Row],[Actual - Finish Completion Date]]-MainData[[#This Row],[Actual - Start Completion Date]]</f>
        <v>0</v>
      </c>
      <c r="AG13" s="7">
        <f>MainData[[#This Row],[Actual - Drilling (days)]]+MainData[[#This Row],[Actual - Completion (days)]]</f>
        <v>0</v>
      </c>
      <c r="AH13" s="10"/>
      <c r="AI13" s="10"/>
      <c r="AJ13" s="1">
        <f>MainData[[#This Row],[Actual - Finish R/D Date]]-MainData[[#This Row],[Actual - Start R/D Date]]</f>
        <v>0</v>
      </c>
      <c r="AK13" s="7">
        <f>MainData[[#This Row],[Actual - Move (days)]]+MainData[[#This Row],[Actual - R/U Endurance (days)]]+MainData[[#This Row],[Actual - Drilling (days)]]+MainData[[#This Row],[Actual - Completion (days)]]+AJ13</f>
        <v>0</v>
      </c>
      <c r="AO13" s="5">
        <f>MainData[[#This Row],[Actual - DHB Cost]]+MainData[[#This Row],[Actual - CHB Cost]]</f>
        <v>0</v>
      </c>
    </row>
    <row r="14" spans="1:43" ht="15" customHeight="1" x14ac:dyDescent="0.25">
      <c r="A14" s="1">
        <v>12</v>
      </c>
      <c r="B14" s="1" t="s">
        <v>271</v>
      </c>
      <c r="C14" s="1" t="s">
        <v>4</v>
      </c>
      <c r="D14" s="1" t="s">
        <v>310</v>
      </c>
      <c r="E14" s="1" t="s">
        <v>270</v>
      </c>
      <c r="F14" s="1" t="s">
        <v>285</v>
      </c>
      <c r="G14" s="1" t="s">
        <v>17</v>
      </c>
      <c r="H14" s="1" t="s">
        <v>158</v>
      </c>
      <c r="I14" s="1" t="s">
        <v>28</v>
      </c>
      <c r="J14" s="1" t="s">
        <v>119</v>
      </c>
      <c r="K14" s="1" t="s">
        <v>159</v>
      </c>
      <c r="L14" s="1" t="s">
        <v>307</v>
      </c>
      <c r="M14" s="1" t="s">
        <v>30</v>
      </c>
      <c r="N14" s="1">
        <v>400</v>
      </c>
      <c r="O14" s="6">
        <v>44563</v>
      </c>
      <c r="P14" s="4">
        <v>21.77</v>
      </c>
      <c r="Q14" s="2">
        <v>800</v>
      </c>
      <c r="R14" s="5">
        <v>2318089</v>
      </c>
      <c r="S14" s="1">
        <v>98.1059045370707</v>
      </c>
      <c r="T14" s="1">
        <v>4.33653375335048</v>
      </c>
      <c r="U14" s="10">
        <v>44550</v>
      </c>
      <c r="V14" s="10">
        <v>44554</v>
      </c>
      <c r="W14" s="7">
        <f>MainData[[#This Row],[Actual - Finish Move Date]]-MainData[[#This Row],[Actual - Start Move Date]]</f>
        <v>4</v>
      </c>
      <c r="X14" s="10">
        <v>44554</v>
      </c>
      <c r="Y14" s="10">
        <v>44562</v>
      </c>
      <c r="Z14" s="7">
        <f>MainData[[#This Row],[Actual - Finish R/U Endurance Date]]-MainData[[#This Row],[Actual - Start R/U Endurance Date]]</f>
        <v>8</v>
      </c>
      <c r="AA14" s="10">
        <v>44562</v>
      </c>
      <c r="AB14" s="10">
        <v>44570.916666666664</v>
      </c>
      <c r="AC14" s="7">
        <f>MainData[[#This Row],[Actual - Finish Drilling Date]]-MainData[[#This Row],[Actual - Start Drilling Date]]</f>
        <v>8.9166666666642413</v>
      </c>
      <c r="AD14" s="10">
        <f>MainData[[#This Row],[Actual - Finish Drilling Date]]</f>
        <v>44570.916666666664</v>
      </c>
      <c r="AE14" s="10">
        <v>44584.583333333336</v>
      </c>
      <c r="AF14" s="7">
        <f>MainData[[#This Row],[Actual - Finish Completion Date]]-MainData[[#This Row],[Actual - Start Completion Date]]</f>
        <v>13.666666666671517</v>
      </c>
      <c r="AG14" s="7">
        <f>MainData[[#This Row],[Actual - Drilling (days)]]+MainData[[#This Row],[Actual - Completion (days)]]</f>
        <v>22.583333333335759</v>
      </c>
      <c r="AH14" s="10">
        <v>44584.583333333336</v>
      </c>
      <c r="AI14" s="10">
        <v>44586.583333333336</v>
      </c>
      <c r="AJ14" s="1">
        <f>MainData[[#This Row],[Actual - Finish R/D Date]]-MainData[[#This Row],[Actual - Start R/D Date]]</f>
        <v>2</v>
      </c>
      <c r="AK14" s="7">
        <f>MainData[[#This Row],[Actual - Move (days)]]+MainData[[#This Row],[Actual - R/U Endurance (days)]]+MainData[[#This Row],[Actual - Drilling (days)]]+MainData[[#This Row],[Actual - Completion (days)]]+AJ14</f>
        <v>36.583333333335759</v>
      </c>
      <c r="AL14" s="2">
        <v>802</v>
      </c>
      <c r="AM14" s="5">
        <v>1225106.9856455021</v>
      </c>
      <c r="AN14" s="5">
        <v>654625.20717592631</v>
      </c>
      <c r="AO14" s="5">
        <f>MainData[[#This Row],[Actual - DHB Cost]]+MainData[[#This Row],[Actual - CHB Cost]]</f>
        <v>1879732.1928214284</v>
      </c>
    </row>
    <row r="15" spans="1:43" ht="15" customHeight="1" x14ac:dyDescent="0.25">
      <c r="A15" s="1">
        <v>13</v>
      </c>
      <c r="B15" s="1" t="s">
        <v>271</v>
      </c>
      <c r="C15" s="1" t="s">
        <v>4</v>
      </c>
      <c r="D15" s="1" t="s">
        <v>310</v>
      </c>
      <c r="E15" s="1" t="s">
        <v>270</v>
      </c>
      <c r="F15" s="1" t="s">
        <v>286</v>
      </c>
      <c r="G15" s="1" t="s">
        <v>18</v>
      </c>
      <c r="H15" s="1" t="s">
        <v>158</v>
      </c>
      <c r="I15" s="1" t="s">
        <v>28</v>
      </c>
      <c r="J15" s="1" t="s">
        <v>119</v>
      </c>
      <c r="L15" s="1" t="s">
        <v>307</v>
      </c>
      <c r="M15" s="1" t="s">
        <v>30</v>
      </c>
      <c r="N15" s="1">
        <v>400</v>
      </c>
      <c r="O15" s="6">
        <v>44788</v>
      </c>
      <c r="P15" s="4">
        <v>36.9</v>
      </c>
      <c r="Q15" s="2">
        <v>804</v>
      </c>
      <c r="R15" s="5">
        <v>2442750</v>
      </c>
      <c r="U15" s="10"/>
      <c r="V15" s="10"/>
      <c r="W15" s="7">
        <f>MainData[[#This Row],[Actual - Finish Move Date]]-MainData[[#This Row],[Actual - Start Move Date]]</f>
        <v>0</v>
      </c>
      <c r="X15" s="10"/>
      <c r="Y15" s="10"/>
      <c r="Z15" s="7">
        <f>MainData[[#This Row],[Actual - Finish R/U Endurance Date]]-MainData[[#This Row],[Actual - Start R/U Endurance Date]]</f>
        <v>0</v>
      </c>
      <c r="AA15" s="10"/>
      <c r="AB15" s="10"/>
      <c r="AC15" s="7">
        <f>MainData[[#This Row],[Actual - Finish Drilling Date]]-MainData[[#This Row],[Actual - Start Drilling Date]]</f>
        <v>0</v>
      </c>
      <c r="AD15" s="10"/>
      <c r="AE15" s="10"/>
      <c r="AF15" s="7">
        <f>MainData[[#This Row],[Actual - Finish Completion Date]]-MainData[[#This Row],[Actual - Start Completion Date]]</f>
        <v>0</v>
      </c>
      <c r="AG15" s="7">
        <f>MainData[[#This Row],[Actual - Drilling (days)]]+MainData[[#This Row],[Actual - Completion (days)]]</f>
        <v>0</v>
      </c>
      <c r="AH15" s="10"/>
      <c r="AI15" s="10"/>
      <c r="AJ15" s="1">
        <f>MainData[[#This Row],[Actual - Finish R/D Date]]-MainData[[#This Row],[Actual - Start R/D Date]]</f>
        <v>0</v>
      </c>
      <c r="AK15" s="7">
        <f>MainData[[#This Row],[Actual - Move (days)]]+MainData[[#This Row],[Actual - R/U Endurance (days)]]+MainData[[#This Row],[Actual - Drilling (days)]]+MainData[[#This Row],[Actual - Completion (days)]]+AJ15</f>
        <v>0</v>
      </c>
      <c r="AO15" s="5">
        <f>MainData[[#This Row],[Actual - DHB Cost]]+MainData[[#This Row],[Actual - CHB Cost]]</f>
        <v>0</v>
      </c>
    </row>
    <row r="16" spans="1:43" ht="15" customHeight="1" x14ac:dyDescent="0.25">
      <c r="A16" s="1">
        <v>14</v>
      </c>
      <c r="B16" s="1" t="s">
        <v>271</v>
      </c>
      <c r="C16" s="1" t="s">
        <v>4</v>
      </c>
      <c r="D16" s="1" t="s">
        <v>310</v>
      </c>
      <c r="E16" s="1" t="s">
        <v>270</v>
      </c>
      <c r="F16" s="1" t="s">
        <v>287</v>
      </c>
      <c r="G16" s="1" t="s">
        <v>18</v>
      </c>
      <c r="H16" s="1" t="s">
        <v>158</v>
      </c>
      <c r="I16" s="1" t="s">
        <v>28</v>
      </c>
      <c r="J16" s="1" t="s">
        <v>119</v>
      </c>
      <c r="K16" s="1" t="s">
        <v>159</v>
      </c>
      <c r="L16" s="1" t="s">
        <v>306</v>
      </c>
      <c r="M16" s="1" t="s">
        <v>30</v>
      </c>
      <c r="N16" s="1">
        <v>550</v>
      </c>
      <c r="O16" s="6">
        <v>44867</v>
      </c>
      <c r="P16" s="4">
        <v>22.5</v>
      </c>
      <c r="Q16" s="2">
        <v>780</v>
      </c>
      <c r="R16" s="5">
        <v>2505645</v>
      </c>
      <c r="S16" s="1">
        <v>98.114475778147707</v>
      </c>
      <c r="T16" s="1">
        <v>4.3361005748450898</v>
      </c>
      <c r="U16" s="10"/>
      <c r="V16" s="10"/>
      <c r="W16" s="7">
        <f>MainData[[#This Row],[Actual - Finish Move Date]]-MainData[[#This Row],[Actual - Start Move Date]]</f>
        <v>0</v>
      </c>
      <c r="X16" s="10"/>
      <c r="Y16" s="10"/>
      <c r="Z16" s="7">
        <f>MainData[[#This Row],[Actual - Finish R/U Endurance Date]]-MainData[[#This Row],[Actual - Start R/U Endurance Date]]</f>
        <v>0</v>
      </c>
      <c r="AA16" s="10">
        <v>44790.25</v>
      </c>
      <c r="AB16" s="10">
        <v>44804.416666666664</v>
      </c>
      <c r="AC16" s="7">
        <f>MainData[[#This Row],[Actual - Finish Drilling Date]]-MainData[[#This Row],[Actual - Start Drilling Date]]</f>
        <v>14.166666666664241</v>
      </c>
      <c r="AD16" s="10">
        <f>MainData[[#This Row],[Actual - Finish Drilling Date]]</f>
        <v>44804.416666666664</v>
      </c>
      <c r="AE16" s="10">
        <v>44832</v>
      </c>
      <c r="AF16" s="7">
        <f>MainData[[#This Row],[Actual - Finish Completion Date]]-MainData[[#This Row],[Actual - Start Completion Date]]</f>
        <v>27.583333333335759</v>
      </c>
      <c r="AG16" s="7">
        <f>MainData[[#This Row],[Actual - Drilling (days)]]+MainData[[#This Row],[Actual - Completion (days)]]</f>
        <v>41.75</v>
      </c>
      <c r="AH16" s="10"/>
      <c r="AI16" s="10"/>
      <c r="AJ16" s="1">
        <f>MainData[[#This Row],[Actual - Finish R/D Date]]-MainData[[#This Row],[Actual - Start R/D Date]]</f>
        <v>0</v>
      </c>
      <c r="AK16" s="7">
        <f>MainData[[#This Row],[Actual - Move (days)]]+MainData[[#This Row],[Actual - R/U Endurance (days)]]+MainData[[#This Row],[Actual - Drilling (days)]]+MainData[[#This Row],[Actual - Completion (days)]]+AJ16</f>
        <v>41.75</v>
      </c>
      <c r="AL16" s="2">
        <v>780</v>
      </c>
      <c r="AM16" s="5">
        <v>1568197.6731391596</v>
      </c>
      <c r="AN16" s="5">
        <v>1325500.2863495932</v>
      </c>
      <c r="AO16" s="5">
        <f>MainData[[#This Row],[Actual - DHB Cost]]+MainData[[#This Row],[Actual - CHB Cost]]</f>
        <v>2893697.9594887528</v>
      </c>
    </row>
    <row r="17" spans="1:41" ht="15" customHeight="1" x14ac:dyDescent="0.25">
      <c r="A17" s="1">
        <v>15</v>
      </c>
      <c r="B17" s="1" t="s">
        <v>271</v>
      </c>
      <c r="C17" s="1" t="s">
        <v>4</v>
      </c>
      <c r="D17" s="1" t="s">
        <v>310</v>
      </c>
      <c r="E17" s="1" t="s">
        <v>270</v>
      </c>
      <c r="F17" s="1" t="s">
        <v>288</v>
      </c>
      <c r="G17" s="1" t="s">
        <v>18</v>
      </c>
      <c r="H17" s="1" t="s">
        <v>158</v>
      </c>
      <c r="I17" s="1" t="s">
        <v>28</v>
      </c>
      <c r="J17" s="1" t="s">
        <v>119</v>
      </c>
      <c r="K17" s="1" t="s">
        <v>159</v>
      </c>
      <c r="L17" s="1" t="s">
        <v>307</v>
      </c>
      <c r="M17" s="1" t="s">
        <v>30</v>
      </c>
      <c r="N17" s="1">
        <v>400</v>
      </c>
      <c r="O17" s="6">
        <v>44635</v>
      </c>
      <c r="P17" s="4">
        <v>17.100000000000001</v>
      </c>
      <c r="Q17" s="2">
        <v>715</v>
      </c>
      <c r="R17" s="5">
        <v>2557831.42</v>
      </c>
      <c r="S17" s="1">
        <v>98.110172992180495</v>
      </c>
      <c r="T17" s="1">
        <v>4.34712329160135</v>
      </c>
      <c r="U17" s="10">
        <v>44659.583333333336</v>
      </c>
      <c r="V17" s="10">
        <v>44662.583333333336</v>
      </c>
      <c r="W17" s="7">
        <f>MainData[[#This Row],[Actual - Finish Move Date]]-MainData[[#This Row],[Actual - Start Move Date]]</f>
        <v>3</v>
      </c>
      <c r="X17" s="10">
        <v>44662.583333333336</v>
      </c>
      <c r="Y17" s="10">
        <v>44674.208333333336</v>
      </c>
      <c r="Z17" s="7">
        <f>MainData[[#This Row],[Actual - Finish R/U Endurance Date]]-MainData[[#This Row],[Actual - Start R/U Endurance Date]]</f>
        <v>11.625</v>
      </c>
      <c r="AA17" s="10">
        <v>44674.208333333336</v>
      </c>
      <c r="AB17" s="10">
        <v>44681.208333333336</v>
      </c>
      <c r="AC17" s="7">
        <f>MainData[[#This Row],[Actual - Finish Drilling Date]]-MainData[[#This Row],[Actual - Start Drilling Date]]</f>
        <v>7</v>
      </c>
      <c r="AD17" s="10">
        <f>MainData[[#This Row],[Actual - Finish Drilling Date]]</f>
        <v>44681.208333333336</v>
      </c>
      <c r="AE17" s="10">
        <v>44691.25</v>
      </c>
      <c r="AF17" s="7">
        <f>MainData[[#This Row],[Actual - Finish Completion Date]]-MainData[[#This Row],[Actual - Start Completion Date]]</f>
        <v>10.041666666664241</v>
      </c>
      <c r="AG17" s="7">
        <f>MainData[[#This Row],[Actual - Drilling (days)]]+MainData[[#This Row],[Actual - Completion (days)]]</f>
        <v>17.041666666664241</v>
      </c>
      <c r="AH17" s="10">
        <v>44691.25</v>
      </c>
      <c r="AI17" s="10">
        <v>44693.25</v>
      </c>
      <c r="AJ17" s="1">
        <f>MainData[[#This Row],[Actual - Finish R/D Date]]-MainData[[#This Row],[Actual - Start R/D Date]]</f>
        <v>2</v>
      </c>
      <c r="AK17" s="7">
        <f>MainData[[#This Row],[Actual - Move (days)]]+MainData[[#This Row],[Actual - R/U Endurance (days)]]+MainData[[#This Row],[Actual - Drilling (days)]]+MainData[[#This Row],[Actual - Completion (days)]]+AJ17</f>
        <v>33.666666666664241</v>
      </c>
      <c r="AL17" s="2">
        <v>715</v>
      </c>
      <c r="AM17" s="5">
        <v>1631787.4110684954</v>
      </c>
      <c r="AN17" s="5">
        <v>693384.36421879614</v>
      </c>
      <c r="AO17" s="5">
        <f>MainData[[#This Row],[Actual - DHB Cost]]+MainData[[#This Row],[Actual - CHB Cost]]</f>
        <v>2325171.7752872915</v>
      </c>
    </row>
    <row r="18" spans="1:41" ht="15" customHeight="1" x14ac:dyDescent="0.25">
      <c r="A18" s="1">
        <v>16</v>
      </c>
      <c r="B18" s="1" t="s">
        <v>271</v>
      </c>
      <c r="C18" s="1" t="s">
        <v>4</v>
      </c>
      <c r="D18" s="1" t="s">
        <v>310</v>
      </c>
      <c r="E18" s="1" t="s">
        <v>270</v>
      </c>
      <c r="F18" s="1" t="s">
        <v>289</v>
      </c>
      <c r="G18" s="1" t="s">
        <v>18</v>
      </c>
      <c r="H18" s="1" t="s">
        <v>158</v>
      </c>
      <c r="I18" s="1" t="s">
        <v>28</v>
      </c>
      <c r="J18" s="1" t="s">
        <v>119</v>
      </c>
      <c r="K18" s="1" t="s">
        <v>159</v>
      </c>
      <c r="L18" s="1" t="s">
        <v>307</v>
      </c>
      <c r="M18" s="1" t="s">
        <v>30</v>
      </c>
      <c r="N18" s="1">
        <v>400</v>
      </c>
      <c r="O18" s="6">
        <v>44683</v>
      </c>
      <c r="P18" s="4">
        <v>17.100000000000001</v>
      </c>
      <c r="Q18" s="2">
        <v>715</v>
      </c>
      <c r="R18" s="5">
        <v>2213895</v>
      </c>
      <c r="S18" s="1">
        <v>98.107378206242998</v>
      </c>
      <c r="T18" s="1">
        <v>4.3479070351280198</v>
      </c>
      <c r="U18" s="10">
        <v>44693.625</v>
      </c>
      <c r="V18" s="10">
        <v>44695.625</v>
      </c>
      <c r="W18" s="7">
        <f>MainData[[#This Row],[Actual - Finish Move Date]]-MainData[[#This Row],[Actual - Start Move Date]]</f>
        <v>2</v>
      </c>
      <c r="X18" s="10">
        <v>44695.625</v>
      </c>
      <c r="Y18" s="10">
        <v>44705.333333333336</v>
      </c>
      <c r="Z18" s="7">
        <f>MainData[[#This Row],[Actual - Finish R/U Endurance Date]]-MainData[[#This Row],[Actual - Start R/U Endurance Date]]</f>
        <v>9.7083333333357587</v>
      </c>
      <c r="AA18" s="10">
        <v>44705.333333333336</v>
      </c>
      <c r="AB18" s="10">
        <v>44712.770833333336</v>
      </c>
      <c r="AC18" s="7">
        <f>MainData[[#This Row],[Actual - Finish Drilling Date]]-MainData[[#This Row],[Actual - Start Drilling Date]]</f>
        <v>7.4375</v>
      </c>
      <c r="AD18" s="10">
        <f>MainData[[#This Row],[Actual - Finish Drilling Date]]</f>
        <v>44712.770833333336</v>
      </c>
      <c r="AE18" s="10">
        <v>44725.583333333336</v>
      </c>
      <c r="AF18" s="7">
        <f>MainData[[#This Row],[Actual - Finish Completion Date]]-MainData[[#This Row],[Actual - Start Completion Date]]</f>
        <v>12.8125</v>
      </c>
      <c r="AG18" s="7">
        <f>MainData[[#This Row],[Actual - Drilling (days)]]+MainData[[#This Row],[Actual - Completion (days)]]</f>
        <v>20.25</v>
      </c>
      <c r="AH18" s="10">
        <v>44725.583333333336</v>
      </c>
      <c r="AI18" s="10">
        <v>44727.583333333336</v>
      </c>
      <c r="AJ18" s="1">
        <f>MainData[[#This Row],[Actual - Finish R/D Date]]-MainData[[#This Row],[Actual - Start R/D Date]]</f>
        <v>2</v>
      </c>
      <c r="AK18" s="7">
        <f>MainData[[#This Row],[Actual - Move (days)]]+MainData[[#This Row],[Actual - R/U Endurance (days)]]+MainData[[#This Row],[Actual - Drilling (days)]]+MainData[[#This Row],[Actual - Completion (days)]]+AJ18</f>
        <v>33.958333333335759</v>
      </c>
      <c r="AL18" s="2">
        <v>715.15</v>
      </c>
      <c r="AM18" s="5">
        <v>1652687.4109692222</v>
      </c>
      <c r="AN18" s="5">
        <v>820461.73495644587</v>
      </c>
      <c r="AO18" s="5">
        <f>MainData[[#This Row],[Actual - DHB Cost]]+MainData[[#This Row],[Actual - CHB Cost]]</f>
        <v>2473149.1459256681</v>
      </c>
    </row>
    <row r="19" spans="1:41" ht="15" customHeight="1" x14ac:dyDescent="0.25">
      <c r="A19" s="1">
        <v>17</v>
      </c>
      <c r="B19" s="1" t="s">
        <v>271</v>
      </c>
      <c r="C19" s="1" t="s">
        <v>4</v>
      </c>
      <c r="D19" s="1" t="s">
        <v>310</v>
      </c>
      <c r="E19" s="1" t="s">
        <v>270</v>
      </c>
      <c r="F19" s="1" t="s">
        <v>290</v>
      </c>
      <c r="G19" s="1" t="s">
        <v>18</v>
      </c>
      <c r="H19" s="1" t="s">
        <v>158</v>
      </c>
      <c r="I19" s="1" t="s">
        <v>28</v>
      </c>
      <c r="J19" s="1" t="s">
        <v>119</v>
      </c>
      <c r="K19" s="1" t="s">
        <v>159</v>
      </c>
      <c r="L19" s="1" t="s">
        <v>307</v>
      </c>
      <c r="M19" s="1" t="s">
        <v>30</v>
      </c>
      <c r="N19" s="1">
        <v>400</v>
      </c>
      <c r="O19" s="6">
        <v>44727</v>
      </c>
      <c r="P19" s="4">
        <v>17.100000000000001</v>
      </c>
      <c r="Q19" s="2">
        <v>715</v>
      </c>
      <c r="R19" s="5">
        <v>2254026</v>
      </c>
      <c r="S19" s="1">
        <v>98.102318505106396</v>
      </c>
      <c r="T19" s="1">
        <v>4.3510401736709996</v>
      </c>
      <c r="U19" s="10">
        <v>44783.375</v>
      </c>
      <c r="V19" s="10">
        <v>44785.375</v>
      </c>
      <c r="W19" s="7">
        <f>MainData[[#This Row],[Actual - Finish Move Date]]-MainData[[#This Row],[Actual - Start Move Date]]</f>
        <v>2</v>
      </c>
      <c r="X19" s="10">
        <v>44785.375</v>
      </c>
      <c r="Y19" s="10">
        <v>44794.416666666664</v>
      </c>
      <c r="Z19" s="7">
        <f>MainData[[#This Row],[Actual - Finish R/U Endurance Date]]-MainData[[#This Row],[Actual - Start R/U Endurance Date]]</f>
        <v>9.0416666666642413</v>
      </c>
      <c r="AA19" s="10">
        <v>44794.416666666664</v>
      </c>
      <c r="AB19" s="10">
        <v>44801.645833333336</v>
      </c>
      <c r="AC19" s="7">
        <f>MainData[[#This Row],[Actual - Finish Drilling Date]]-MainData[[#This Row],[Actual - Start Drilling Date]]</f>
        <v>7.2291666666715173</v>
      </c>
      <c r="AD19" s="10">
        <f>MainData[[#This Row],[Actual - Finish Drilling Date]]</f>
        <v>44801.645833333336</v>
      </c>
      <c r="AE19" s="10">
        <v>44810.875</v>
      </c>
      <c r="AF19" s="7">
        <f>MainData[[#This Row],[Actual - Finish Completion Date]]-MainData[[#This Row],[Actual - Start Completion Date]]</f>
        <v>9.2291666666642413</v>
      </c>
      <c r="AG19" s="7">
        <f>MainData[[#This Row],[Actual - Drilling (days)]]+MainData[[#This Row],[Actual - Completion (days)]]</f>
        <v>16.458333333335759</v>
      </c>
      <c r="AH19" s="10">
        <v>44810.875</v>
      </c>
      <c r="AI19" s="10">
        <v>44812.875</v>
      </c>
      <c r="AJ19" s="1">
        <f>MainData[[#This Row],[Actual - Finish R/D Date]]-MainData[[#This Row],[Actual - Start R/D Date]]</f>
        <v>2</v>
      </c>
      <c r="AK19" s="7">
        <f>MainData[[#This Row],[Actual - Move (days)]]+MainData[[#This Row],[Actual - R/U Endurance (days)]]+MainData[[#This Row],[Actual - Drilling (days)]]+MainData[[#This Row],[Actual - Completion (days)]]+AJ19</f>
        <v>29.5</v>
      </c>
      <c r="AL19" s="2">
        <v>715.1</v>
      </c>
      <c r="AM19" s="5">
        <v>1607042.102158827</v>
      </c>
      <c r="AN19" s="5">
        <v>660540.5219526717</v>
      </c>
      <c r="AO19" s="5">
        <f>MainData[[#This Row],[Actual - DHB Cost]]+MainData[[#This Row],[Actual - CHB Cost]]</f>
        <v>2267582.6241114987</v>
      </c>
    </row>
    <row r="20" spans="1:41" ht="15" customHeight="1" x14ac:dyDescent="0.25">
      <c r="A20" s="1">
        <v>18</v>
      </c>
      <c r="B20" s="1" t="s">
        <v>271</v>
      </c>
      <c r="C20" s="1" t="s">
        <v>4</v>
      </c>
      <c r="D20" s="1" t="s">
        <v>310</v>
      </c>
      <c r="E20" s="1" t="s">
        <v>272</v>
      </c>
      <c r="F20" s="1" t="s">
        <v>291</v>
      </c>
      <c r="G20" s="1" t="s">
        <v>17</v>
      </c>
      <c r="H20" s="1" t="s">
        <v>158</v>
      </c>
      <c r="I20" s="1" t="s">
        <v>28</v>
      </c>
      <c r="J20" s="1" t="s">
        <v>118</v>
      </c>
      <c r="L20" s="1" t="s">
        <v>308</v>
      </c>
      <c r="M20" s="1" t="s">
        <v>30</v>
      </c>
      <c r="N20" s="1">
        <v>1000</v>
      </c>
      <c r="O20" s="6">
        <v>44880</v>
      </c>
      <c r="P20" s="4">
        <v>64.099999999999994</v>
      </c>
      <c r="Q20" s="2">
        <v>1920</v>
      </c>
      <c r="R20" s="5">
        <v>6397170</v>
      </c>
      <c r="U20" s="10"/>
      <c r="V20" s="10"/>
      <c r="W20" s="7">
        <f>MainData[[#This Row],[Actual - Finish Move Date]]-MainData[[#This Row],[Actual - Start Move Date]]</f>
        <v>0</v>
      </c>
      <c r="X20" s="10"/>
      <c r="Y20" s="10"/>
      <c r="Z20" s="7">
        <f>MainData[[#This Row],[Actual - Finish R/U Endurance Date]]-MainData[[#This Row],[Actual - Start R/U Endurance Date]]</f>
        <v>0</v>
      </c>
      <c r="AA20" s="10"/>
      <c r="AB20" s="10"/>
      <c r="AC20" s="7">
        <f>MainData[[#This Row],[Actual - Finish Drilling Date]]-MainData[[#This Row],[Actual - Start Drilling Date]]</f>
        <v>0</v>
      </c>
      <c r="AD20" s="10"/>
      <c r="AE20" s="10"/>
      <c r="AF20" s="7">
        <f>MainData[[#This Row],[Actual - Finish Completion Date]]-MainData[[#This Row],[Actual - Start Completion Date]]</f>
        <v>0</v>
      </c>
      <c r="AG20" s="7">
        <f>MainData[[#This Row],[Actual - Drilling (days)]]+MainData[[#This Row],[Actual - Completion (days)]]</f>
        <v>0</v>
      </c>
      <c r="AH20" s="10"/>
      <c r="AI20" s="10"/>
      <c r="AJ20" s="1">
        <f>MainData[[#This Row],[Actual - Finish R/D Date]]-MainData[[#This Row],[Actual - Start R/D Date]]</f>
        <v>0</v>
      </c>
      <c r="AK20" s="7">
        <f>MainData[[#This Row],[Actual - Move (days)]]+MainData[[#This Row],[Actual - R/U Endurance (days)]]+MainData[[#This Row],[Actual - Drilling (days)]]+MainData[[#This Row],[Actual - Completion (days)]]+AJ20</f>
        <v>0</v>
      </c>
      <c r="AO20" s="5">
        <f>MainData[[#This Row],[Actual - DHB Cost]]+MainData[[#This Row],[Actual - CHB Cost]]</f>
        <v>0</v>
      </c>
    </row>
    <row r="21" spans="1:41" ht="15" customHeight="1" x14ac:dyDescent="0.25">
      <c r="A21" s="1">
        <v>19</v>
      </c>
      <c r="B21" s="1" t="s">
        <v>271</v>
      </c>
      <c r="C21" s="1" t="s">
        <v>4</v>
      </c>
      <c r="D21" s="1" t="s">
        <v>310</v>
      </c>
      <c r="E21" s="1" t="s">
        <v>269</v>
      </c>
      <c r="F21" s="1" t="s">
        <v>292</v>
      </c>
      <c r="G21" s="1" t="s">
        <v>18</v>
      </c>
      <c r="H21" s="1" t="s">
        <v>158</v>
      </c>
      <c r="I21" s="1" t="s">
        <v>28</v>
      </c>
      <c r="J21" s="1" t="s">
        <v>118</v>
      </c>
      <c r="K21" s="1" t="s">
        <v>159</v>
      </c>
      <c r="L21" s="1" t="s">
        <v>309</v>
      </c>
      <c r="M21" s="1" t="s">
        <v>30</v>
      </c>
      <c r="N21" s="1">
        <v>550</v>
      </c>
      <c r="O21" s="6">
        <v>44600</v>
      </c>
      <c r="P21" s="4">
        <v>31.6</v>
      </c>
      <c r="Q21" s="2">
        <v>1804</v>
      </c>
      <c r="R21" s="5">
        <v>3226593.01</v>
      </c>
      <c r="U21" s="10">
        <v>44588</v>
      </c>
      <c r="V21" s="10">
        <v>44592</v>
      </c>
      <c r="W21" s="7">
        <f>MainData[[#This Row],[Actual - Finish Move Date]]-MainData[[#This Row],[Actual - Start Move Date]]</f>
        <v>4</v>
      </c>
      <c r="X21" s="10">
        <v>44592</v>
      </c>
      <c r="Y21" s="10">
        <v>44601.75</v>
      </c>
      <c r="Z21" s="7">
        <f>MainData[[#This Row],[Actual - Finish R/U Endurance Date]]-MainData[[#This Row],[Actual - Start R/U Endurance Date]]</f>
        <v>9.75</v>
      </c>
      <c r="AA21" s="10">
        <v>44601.75</v>
      </c>
      <c r="AB21" s="10">
        <v>44613.041666666664</v>
      </c>
      <c r="AC21" s="7">
        <f>MainData[[#This Row],[Actual - Finish Drilling Date]]-MainData[[#This Row],[Actual - Start Drilling Date]]</f>
        <v>11.291666666664241</v>
      </c>
      <c r="AD21" s="10">
        <f>MainData[[#This Row],[Actual - Finish Drilling Date]]</f>
        <v>44613.041666666664</v>
      </c>
      <c r="AE21" s="10">
        <v>44624</v>
      </c>
      <c r="AF21" s="7">
        <f>MainData[[#This Row],[Actual - Finish Completion Date]]-MainData[[#This Row],[Actual - Start Completion Date]]</f>
        <v>10.958333333335759</v>
      </c>
      <c r="AG21" s="7">
        <f>MainData[[#This Row],[Actual - Drilling (days)]]+MainData[[#This Row],[Actual - Completion (days)]]</f>
        <v>22.25</v>
      </c>
      <c r="AH21" s="10">
        <v>44624</v>
      </c>
      <c r="AI21" s="10">
        <v>44627</v>
      </c>
      <c r="AJ21" s="1">
        <f>MainData[[#This Row],[Actual - Finish R/D Date]]-MainData[[#This Row],[Actual - Start R/D Date]]</f>
        <v>3</v>
      </c>
      <c r="AK21" s="7">
        <f>MainData[[#This Row],[Actual - Move (days)]]+MainData[[#This Row],[Actual - R/U Endurance (days)]]+MainData[[#This Row],[Actual - Drilling (days)]]+MainData[[#This Row],[Actual - Completion (days)]]+AJ21</f>
        <v>39</v>
      </c>
      <c r="AL21" s="2">
        <v>1844</v>
      </c>
      <c r="AM21" s="5">
        <v>1622813.3721959998</v>
      </c>
      <c r="AN21" s="5">
        <v>917600.61883330229</v>
      </c>
      <c r="AO21" s="5">
        <f>MainData[[#This Row],[Actual - DHB Cost]]+MainData[[#This Row],[Actual - CHB Cost]]</f>
        <v>2540413.9910293021</v>
      </c>
    </row>
    <row r="22" spans="1:41" ht="15" customHeight="1" x14ac:dyDescent="0.25">
      <c r="A22" s="1">
        <v>20</v>
      </c>
      <c r="B22" s="1" t="s">
        <v>271</v>
      </c>
      <c r="C22" s="1" t="s">
        <v>4</v>
      </c>
      <c r="D22" s="1" t="s">
        <v>310</v>
      </c>
      <c r="E22" s="1" t="s">
        <v>269</v>
      </c>
      <c r="F22" s="1" t="s">
        <v>293</v>
      </c>
      <c r="G22" s="1" t="s">
        <v>21</v>
      </c>
      <c r="H22" s="1" t="s">
        <v>158</v>
      </c>
      <c r="I22" s="1" t="s">
        <v>28</v>
      </c>
      <c r="J22" s="1" t="s">
        <v>118</v>
      </c>
      <c r="L22" s="1" t="s">
        <v>305</v>
      </c>
      <c r="M22" s="1" t="s">
        <v>30</v>
      </c>
      <c r="N22" s="1">
        <v>1500</v>
      </c>
      <c r="O22" s="6">
        <v>44683</v>
      </c>
      <c r="P22" s="4">
        <v>43</v>
      </c>
      <c r="Q22" s="2">
        <v>2800</v>
      </c>
      <c r="R22" s="5">
        <v>7626889.1899999995</v>
      </c>
      <c r="U22" s="10"/>
      <c r="V22" s="10"/>
      <c r="W22" s="7">
        <f>MainData[[#This Row],[Actual - Finish Move Date]]-MainData[[#This Row],[Actual - Start Move Date]]</f>
        <v>0</v>
      </c>
      <c r="X22" s="10"/>
      <c r="Y22" s="10"/>
      <c r="Z22" s="7">
        <f>MainData[[#This Row],[Actual - Finish R/U Endurance Date]]-MainData[[#This Row],[Actual - Start R/U Endurance Date]]</f>
        <v>0</v>
      </c>
      <c r="AA22" s="10"/>
      <c r="AB22" s="10"/>
      <c r="AC22" s="7">
        <f>MainData[[#This Row],[Actual - Finish Drilling Date]]-MainData[[#This Row],[Actual - Start Drilling Date]]</f>
        <v>0</v>
      </c>
      <c r="AD22" s="10"/>
      <c r="AE22" s="10"/>
      <c r="AF22" s="7">
        <f>MainData[[#This Row],[Actual - Finish Completion Date]]-MainData[[#This Row],[Actual - Start Completion Date]]</f>
        <v>0</v>
      </c>
      <c r="AG22" s="7">
        <f>MainData[[#This Row],[Actual - Drilling (days)]]+MainData[[#This Row],[Actual - Completion (days)]]</f>
        <v>0</v>
      </c>
      <c r="AH22" s="10"/>
      <c r="AI22" s="10"/>
      <c r="AJ22" s="1">
        <f>MainData[[#This Row],[Actual - Finish R/D Date]]-MainData[[#This Row],[Actual - Start R/D Date]]</f>
        <v>0</v>
      </c>
      <c r="AK22" s="7">
        <f>MainData[[#This Row],[Actual - Move (days)]]+MainData[[#This Row],[Actual - R/U Endurance (days)]]+MainData[[#This Row],[Actual - Drilling (days)]]+MainData[[#This Row],[Actual - Completion (days)]]+AJ22</f>
        <v>0</v>
      </c>
      <c r="AO22" s="5">
        <f>MainData[[#This Row],[Actual - DHB Cost]]+MainData[[#This Row],[Actual - CHB Cost]]</f>
        <v>0</v>
      </c>
    </row>
    <row r="23" spans="1:41" ht="15" customHeight="1" x14ac:dyDescent="0.25">
      <c r="A23" s="1">
        <v>21</v>
      </c>
      <c r="B23" s="1" t="s">
        <v>271</v>
      </c>
      <c r="C23" s="1" t="s">
        <v>4</v>
      </c>
      <c r="D23" s="1" t="s">
        <v>310</v>
      </c>
      <c r="E23" s="1" t="s">
        <v>269</v>
      </c>
      <c r="F23" s="1" t="s">
        <v>294</v>
      </c>
      <c r="G23" s="1" t="s">
        <v>18</v>
      </c>
      <c r="H23" s="1" t="s">
        <v>158</v>
      </c>
      <c r="I23" s="1" t="s">
        <v>28</v>
      </c>
      <c r="J23" s="1" t="s">
        <v>118</v>
      </c>
      <c r="K23" s="1" t="s">
        <v>159</v>
      </c>
      <c r="L23" s="1" t="s">
        <v>309</v>
      </c>
      <c r="M23" s="1" t="s">
        <v>30</v>
      </c>
      <c r="N23" s="1">
        <v>550</v>
      </c>
      <c r="O23" s="6">
        <v>44642</v>
      </c>
      <c r="P23" s="4">
        <v>29.2</v>
      </c>
      <c r="Q23" s="2">
        <v>1251</v>
      </c>
      <c r="R23" s="5">
        <v>2508579</v>
      </c>
      <c r="U23" s="10">
        <v>44627.25</v>
      </c>
      <c r="V23" s="10">
        <v>44632.25</v>
      </c>
      <c r="W23" s="7">
        <f>MainData[[#This Row],[Actual - Finish Move Date]]-MainData[[#This Row],[Actual - Start Move Date]]</f>
        <v>5</v>
      </c>
      <c r="X23" s="10">
        <v>44632.25</v>
      </c>
      <c r="Y23" s="10">
        <v>44641.625</v>
      </c>
      <c r="Z23" s="7">
        <f>MainData[[#This Row],[Actual - Finish R/U Endurance Date]]-MainData[[#This Row],[Actual - Start R/U Endurance Date]]</f>
        <v>9.375</v>
      </c>
      <c r="AA23" s="10">
        <v>44641.625</v>
      </c>
      <c r="AB23" s="10">
        <v>44653</v>
      </c>
      <c r="AC23" s="7">
        <f>MainData[[#This Row],[Actual - Finish Drilling Date]]-MainData[[#This Row],[Actual - Start Drilling Date]]</f>
        <v>11.375</v>
      </c>
      <c r="AD23" s="10">
        <f>MainData[[#This Row],[Actual - Finish Drilling Date]]</f>
        <v>44653</v>
      </c>
      <c r="AE23" s="10">
        <v>44674</v>
      </c>
      <c r="AF23" s="7">
        <f>MainData[[#This Row],[Actual - Finish Completion Date]]-MainData[[#This Row],[Actual - Start Completion Date]]</f>
        <v>21</v>
      </c>
      <c r="AG23" s="7">
        <f>MainData[[#This Row],[Actual - Drilling (days)]]+MainData[[#This Row],[Actual - Completion (days)]]</f>
        <v>32.375</v>
      </c>
      <c r="AH23" s="10">
        <v>44674</v>
      </c>
      <c r="AI23" s="10">
        <v>44677</v>
      </c>
      <c r="AJ23" s="1">
        <f>MainData[[#This Row],[Actual - Finish R/D Date]]-MainData[[#This Row],[Actual - Start R/D Date]]</f>
        <v>3</v>
      </c>
      <c r="AK23" s="7">
        <f>MainData[[#This Row],[Actual - Move (days)]]+MainData[[#This Row],[Actual - R/U Endurance (days)]]+MainData[[#This Row],[Actual - Drilling (days)]]+MainData[[#This Row],[Actual - Completion (days)]]+AJ23</f>
        <v>49.75</v>
      </c>
      <c r="AL23" s="2">
        <v>1251</v>
      </c>
      <c r="AM23" s="5">
        <v>1090648.2784494774</v>
      </c>
      <c r="AN23" s="5">
        <v>1165827.5916138317</v>
      </c>
      <c r="AO23" s="5">
        <f>MainData[[#This Row],[Actual - DHB Cost]]+MainData[[#This Row],[Actual - CHB Cost]]</f>
        <v>2256475.8700633091</v>
      </c>
    </row>
    <row r="24" spans="1:41" ht="15" customHeight="1" x14ac:dyDescent="0.25">
      <c r="A24" s="1">
        <v>22</v>
      </c>
      <c r="B24" s="1" t="s">
        <v>271</v>
      </c>
      <c r="C24" s="1" t="s">
        <v>4</v>
      </c>
      <c r="D24" s="1" t="s">
        <v>310</v>
      </c>
      <c r="E24" s="1" t="s">
        <v>269</v>
      </c>
      <c r="F24" s="1" t="s">
        <v>295</v>
      </c>
      <c r="G24" s="1" t="s">
        <v>18</v>
      </c>
      <c r="H24" s="1" t="s">
        <v>158</v>
      </c>
      <c r="I24" s="1" t="s">
        <v>28</v>
      </c>
      <c r="J24" s="1" t="s">
        <v>118</v>
      </c>
      <c r="K24" s="1" t="s">
        <v>159</v>
      </c>
      <c r="L24" s="1" t="s">
        <v>309</v>
      </c>
      <c r="M24" s="1" t="s">
        <v>30</v>
      </c>
      <c r="N24" s="1">
        <v>550</v>
      </c>
      <c r="O24" s="6">
        <v>44720</v>
      </c>
      <c r="P24" s="4">
        <v>27.8</v>
      </c>
      <c r="Q24" s="2">
        <v>1291</v>
      </c>
      <c r="R24" s="5">
        <v>2362404</v>
      </c>
      <c r="U24" s="10">
        <v>44695.25</v>
      </c>
      <c r="V24" s="10">
        <v>44696.25</v>
      </c>
      <c r="W24" s="7">
        <f>MainData[[#This Row],[Actual - Finish Move Date]]-MainData[[#This Row],[Actual - Start Move Date]]</f>
        <v>1</v>
      </c>
      <c r="X24" s="10">
        <v>44696.25</v>
      </c>
      <c r="Y24" s="10">
        <v>44702.916666666664</v>
      </c>
      <c r="Z24" s="7">
        <f>MainData[[#This Row],[Actual - Finish R/U Endurance Date]]-MainData[[#This Row],[Actual - Start R/U Endurance Date]]</f>
        <v>6.6666666666642413</v>
      </c>
      <c r="AA24" s="10">
        <v>44702.916666666664</v>
      </c>
      <c r="AB24" s="10">
        <v>44711.458333333336</v>
      </c>
      <c r="AC24" s="7">
        <f>MainData[[#This Row],[Actual - Finish Drilling Date]]-MainData[[#This Row],[Actual - Start Drilling Date]]</f>
        <v>8.5416666666715173</v>
      </c>
      <c r="AD24" s="10">
        <f>MainData[[#This Row],[Actual - Finish Drilling Date]]</f>
        <v>44711.458333333336</v>
      </c>
      <c r="AE24" s="10">
        <v>44724.708333333336</v>
      </c>
      <c r="AF24" s="7">
        <f>MainData[[#This Row],[Actual - Finish Completion Date]]-MainData[[#This Row],[Actual - Start Completion Date]]</f>
        <v>13.25</v>
      </c>
      <c r="AG24" s="7">
        <f>MainData[[#This Row],[Actual - Drilling (days)]]+MainData[[#This Row],[Actual - Completion (days)]]</f>
        <v>21.791666666671517</v>
      </c>
      <c r="AH24" s="10">
        <v>44724.708333333336</v>
      </c>
      <c r="AI24" s="10">
        <v>44727.708333333336</v>
      </c>
      <c r="AJ24" s="1">
        <f>MainData[[#This Row],[Actual - Finish R/D Date]]-MainData[[#This Row],[Actual - Start R/D Date]]</f>
        <v>3</v>
      </c>
      <c r="AK24" s="7">
        <f>MainData[[#This Row],[Actual - Move (days)]]+MainData[[#This Row],[Actual - R/U Endurance (days)]]+MainData[[#This Row],[Actual - Drilling (days)]]+MainData[[#This Row],[Actual - Completion (days)]]+AJ24</f>
        <v>32.458333333335759</v>
      </c>
      <c r="AL24" s="2">
        <v>1286</v>
      </c>
      <c r="AM24" s="5">
        <v>848047.64753048774</v>
      </c>
      <c r="AN24" s="5">
        <v>1226303.9124346692</v>
      </c>
      <c r="AO24" s="5">
        <f>MainData[[#This Row],[Actual - DHB Cost]]+MainData[[#This Row],[Actual - CHB Cost]]</f>
        <v>2074351.559965157</v>
      </c>
    </row>
    <row r="25" spans="1:41" ht="15" customHeight="1" x14ac:dyDescent="0.25">
      <c r="A25" s="1">
        <v>23</v>
      </c>
      <c r="B25" s="1" t="s">
        <v>271</v>
      </c>
      <c r="C25" s="1" t="s">
        <v>4</v>
      </c>
      <c r="D25" s="1" t="s">
        <v>310</v>
      </c>
      <c r="E25" s="1" t="s">
        <v>269</v>
      </c>
      <c r="F25" s="1" t="s">
        <v>296</v>
      </c>
      <c r="G25" s="1" t="s">
        <v>18</v>
      </c>
      <c r="H25" s="1" t="s">
        <v>158</v>
      </c>
      <c r="I25" s="1" t="s">
        <v>28</v>
      </c>
      <c r="J25" s="1" t="s">
        <v>118</v>
      </c>
      <c r="K25" s="1" t="s">
        <v>159</v>
      </c>
      <c r="L25" s="1" t="s">
        <v>309</v>
      </c>
      <c r="M25" s="1" t="s">
        <v>30</v>
      </c>
      <c r="N25" s="1">
        <v>550</v>
      </c>
      <c r="O25" s="6">
        <v>44764</v>
      </c>
      <c r="P25" s="4">
        <v>27.833333333333339</v>
      </c>
      <c r="Q25" s="2">
        <v>1270.81</v>
      </c>
      <c r="R25" s="5">
        <v>2433487</v>
      </c>
      <c r="U25" s="10">
        <v>44759.25</v>
      </c>
      <c r="V25" s="10">
        <v>44762.25</v>
      </c>
      <c r="W25" s="7">
        <f>MainData[[#This Row],[Actual - Finish Move Date]]-MainData[[#This Row],[Actual - Start Move Date]]</f>
        <v>3</v>
      </c>
      <c r="X25" s="10">
        <v>44762.25</v>
      </c>
      <c r="Y25" s="10">
        <v>44771.541666666664</v>
      </c>
      <c r="Z25" s="7">
        <f>MainData[[#This Row],[Actual - Finish R/U Endurance Date]]-MainData[[#This Row],[Actual - Start R/U Endurance Date]]</f>
        <v>9.2916666666642413</v>
      </c>
      <c r="AA25" s="10">
        <v>44771.541666666664</v>
      </c>
      <c r="AB25" s="10">
        <v>44780.583333333336</v>
      </c>
      <c r="AC25" s="7">
        <f>MainData[[#This Row],[Actual - Finish Drilling Date]]-MainData[[#This Row],[Actual - Start Drilling Date]]</f>
        <v>9.0416666666715173</v>
      </c>
      <c r="AD25" s="10">
        <f>MainData[[#This Row],[Actual - Finish Drilling Date]]</f>
        <v>44780.583333333336</v>
      </c>
      <c r="AE25" s="10">
        <v>44802.583333333336</v>
      </c>
      <c r="AF25" s="7">
        <f>MainData[[#This Row],[Actual - Finish Completion Date]]-MainData[[#This Row],[Actual - Start Completion Date]]</f>
        <v>22</v>
      </c>
      <c r="AG25" s="7">
        <f>MainData[[#This Row],[Actual - Drilling (days)]]+MainData[[#This Row],[Actual - Completion (days)]]</f>
        <v>31.041666666671517</v>
      </c>
      <c r="AH25" s="10">
        <v>44802.583333333336</v>
      </c>
      <c r="AI25" s="10">
        <v>44805.583333333336</v>
      </c>
      <c r="AJ25" s="1">
        <f>MainData[[#This Row],[Actual - Finish R/D Date]]-MainData[[#This Row],[Actual - Start R/D Date]]</f>
        <v>3</v>
      </c>
      <c r="AK25" s="7">
        <f>MainData[[#This Row],[Actual - Move (days)]]+MainData[[#This Row],[Actual - R/U Endurance (days)]]+MainData[[#This Row],[Actual - Drilling (days)]]+MainData[[#This Row],[Actual - Completion (days)]]+AJ25</f>
        <v>46.333333333335759</v>
      </c>
      <c r="AL25" s="2">
        <v>1275</v>
      </c>
      <c r="AM25" s="5">
        <v>1092510.741951494</v>
      </c>
      <c r="AN25" s="5">
        <v>1393160.410692377</v>
      </c>
      <c r="AO25" s="5">
        <f>MainData[[#This Row],[Actual - DHB Cost]]+MainData[[#This Row],[Actual - CHB Cost]]</f>
        <v>2485671.152643871</v>
      </c>
    </row>
    <row r="26" spans="1:41" ht="15" customHeight="1" x14ac:dyDescent="0.25">
      <c r="A26" s="1">
        <v>24</v>
      </c>
      <c r="B26" s="1" t="s">
        <v>271</v>
      </c>
      <c r="C26" s="1" t="s">
        <v>4</v>
      </c>
      <c r="D26" s="1" t="s">
        <v>310</v>
      </c>
      <c r="E26" s="1" t="s">
        <v>269</v>
      </c>
      <c r="F26" s="1" t="s">
        <v>297</v>
      </c>
      <c r="G26" s="1" t="s">
        <v>18</v>
      </c>
      <c r="H26" s="1" t="s">
        <v>158</v>
      </c>
      <c r="I26" s="1" t="s">
        <v>28</v>
      </c>
      <c r="J26" s="1" t="s">
        <v>118</v>
      </c>
      <c r="K26" s="1" t="s">
        <v>161</v>
      </c>
      <c r="L26" s="1" t="s">
        <v>309</v>
      </c>
      <c r="M26" s="1" t="s">
        <v>30</v>
      </c>
      <c r="N26" s="1">
        <v>550</v>
      </c>
      <c r="O26" s="6">
        <v>44812</v>
      </c>
      <c r="P26" s="4">
        <v>27.9</v>
      </c>
      <c r="Q26" s="2">
        <v>1307</v>
      </c>
      <c r="R26" s="5">
        <v>2434078</v>
      </c>
      <c r="U26" s="10"/>
      <c r="V26" s="10"/>
      <c r="W26" s="7">
        <f>MainData[[#This Row],[Actual - Finish Move Date]]-MainData[[#This Row],[Actual - Start Move Date]]</f>
        <v>0</v>
      </c>
      <c r="X26" s="10"/>
      <c r="Y26" s="10"/>
      <c r="Z26" s="7">
        <f>MainData[[#This Row],[Actual - Finish R/U Endurance Date]]-MainData[[#This Row],[Actual - Start R/U Endurance Date]]</f>
        <v>0</v>
      </c>
      <c r="AA26" s="10"/>
      <c r="AB26" s="10"/>
      <c r="AC26" s="7">
        <f>MainData[[#This Row],[Actual - Finish Drilling Date]]-MainData[[#This Row],[Actual - Start Drilling Date]]</f>
        <v>0</v>
      </c>
      <c r="AD26" s="10"/>
      <c r="AE26" s="10"/>
      <c r="AF26" s="7">
        <f>MainData[[#This Row],[Actual - Finish Completion Date]]-MainData[[#This Row],[Actual - Start Completion Date]]</f>
        <v>0</v>
      </c>
      <c r="AG26" s="7">
        <f>MainData[[#This Row],[Actual - Drilling (days)]]+MainData[[#This Row],[Actual - Completion (days)]]</f>
        <v>0</v>
      </c>
      <c r="AH26" s="10"/>
      <c r="AI26" s="10"/>
      <c r="AJ26" s="1">
        <f>MainData[[#This Row],[Actual - Finish R/D Date]]-MainData[[#This Row],[Actual - Start R/D Date]]</f>
        <v>0</v>
      </c>
      <c r="AK26" s="7">
        <f>MainData[[#This Row],[Actual - Move (days)]]+MainData[[#This Row],[Actual - R/U Endurance (days)]]+MainData[[#This Row],[Actual - Drilling (days)]]+MainData[[#This Row],[Actual - Completion (days)]]+AJ26</f>
        <v>0</v>
      </c>
      <c r="AO26" s="5">
        <f>MainData[[#This Row],[Actual - DHB Cost]]+MainData[[#This Row],[Actual - CHB Cost]]</f>
        <v>0</v>
      </c>
    </row>
    <row r="27" spans="1:41" ht="15" customHeight="1" x14ac:dyDescent="0.25">
      <c r="A27" s="1">
        <v>25</v>
      </c>
      <c r="B27" s="1" t="s">
        <v>271</v>
      </c>
      <c r="C27" s="1" t="s">
        <v>4</v>
      </c>
      <c r="D27" s="1" t="s">
        <v>310</v>
      </c>
      <c r="E27" s="1" t="s">
        <v>269</v>
      </c>
      <c r="F27" s="1" t="s">
        <v>298</v>
      </c>
      <c r="G27" s="1" t="s">
        <v>21</v>
      </c>
      <c r="H27" s="1" t="s">
        <v>158</v>
      </c>
      <c r="I27" s="1" t="s">
        <v>28</v>
      </c>
      <c r="J27" s="1" t="s">
        <v>119</v>
      </c>
      <c r="K27" s="1" t="s">
        <v>159</v>
      </c>
      <c r="L27" s="1" t="s">
        <v>304</v>
      </c>
      <c r="M27" s="1" t="s">
        <v>30</v>
      </c>
      <c r="N27" s="1">
        <v>550</v>
      </c>
      <c r="O27" s="6">
        <v>44552</v>
      </c>
      <c r="P27" s="4">
        <v>24.7</v>
      </c>
      <c r="Q27" s="2">
        <v>1650</v>
      </c>
      <c r="R27" s="5">
        <v>2623025.7528246213</v>
      </c>
      <c r="U27" s="10">
        <v>44537</v>
      </c>
      <c r="V27" s="10">
        <v>44541.375</v>
      </c>
      <c r="W27" s="7">
        <f>MainData[[#This Row],[Actual - Finish Move Date]]-MainData[[#This Row],[Actual - Start Move Date]]</f>
        <v>4.375</v>
      </c>
      <c r="X27" s="10">
        <v>44541.375</v>
      </c>
      <c r="Y27" s="10">
        <v>44555</v>
      </c>
      <c r="Z27" s="7">
        <f>MainData[[#This Row],[Actual - Finish R/U Endurance Date]]-MainData[[#This Row],[Actual - Start R/U Endurance Date]]</f>
        <v>13.625</v>
      </c>
      <c r="AA27" s="10">
        <v>44555</v>
      </c>
      <c r="AB27" s="10">
        <v>44570.645833333336</v>
      </c>
      <c r="AC27" s="7">
        <f>MainData[[#This Row],[Actual - Finish Drilling Date]]-MainData[[#This Row],[Actual - Start Drilling Date]]</f>
        <v>15.645833333335759</v>
      </c>
      <c r="AD27" s="10">
        <f>MainData[[#This Row],[Actual - Finish Drilling Date]]</f>
        <v>44570.645833333336</v>
      </c>
      <c r="AE27" s="10">
        <v>44587.75</v>
      </c>
      <c r="AF27" s="7">
        <f>MainData[[#This Row],[Actual - Finish Completion Date]]-MainData[[#This Row],[Actual - Start Completion Date]]</f>
        <v>17.104166666664241</v>
      </c>
      <c r="AG27" s="7">
        <f>MainData[[#This Row],[Actual - Drilling (days)]]+MainData[[#This Row],[Actual - Completion (days)]]</f>
        <v>32.75</v>
      </c>
      <c r="AH27" s="10">
        <v>44587.75</v>
      </c>
      <c r="AI27" s="10">
        <v>44589.75</v>
      </c>
      <c r="AJ27" s="1">
        <f>MainData[[#This Row],[Actual - Finish R/D Date]]-MainData[[#This Row],[Actual - Start R/D Date]]</f>
        <v>2</v>
      </c>
      <c r="AK27" s="7">
        <f>MainData[[#This Row],[Actual - Move (days)]]+MainData[[#This Row],[Actual - R/U Endurance (days)]]+MainData[[#This Row],[Actual - Drilling (days)]]+MainData[[#This Row],[Actual - Completion (days)]]+AJ27</f>
        <v>52.75</v>
      </c>
      <c r="AL27" s="2">
        <v>1650</v>
      </c>
      <c r="AM27" s="5">
        <v>1540219.1054954408</v>
      </c>
      <c r="AN27" s="5">
        <v>887574.16343053197</v>
      </c>
      <c r="AO27" s="5">
        <f>MainData[[#This Row],[Actual - DHB Cost]]+MainData[[#This Row],[Actual - CHB Cost]]</f>
        <v>2427793.2689259727</v>
      </c>
    </row>
    <row r="28" spans="1:41" ht="15" customHeight="1" x14ac:dyDescent="0.25">
      <c r="A28" s="1">
        <v>26</v>
      </c>
      <c r="B28" s="1" t="s">
        <v>271</v>
      </c>
      <c r="C28" s="1" t="s">
        <v>4</v>
      </c>
      <c r="D28" s="1" t="s">
        <v>310</v>
      </c>
      <c r="E28" s="1" t="s">
        <v>269</v>
      </c>
      <c r="F28" s="1" t="s">
        <v>299</v>
      </c>
      <c r="G28" s="1" t="s">
        <v>21</v>
      </c>
      <c r="H28" s="1" t="s">
        <v>158</v>
      </c>
      <c r="I28" s="1" t="s">
        <v>28</v>
      </c>
      <c r="J28" s="1" t="s">
        <v>118</v>
      </c>
      <c r="K28" s="1" t="s">
        <v>159</v>
      </c>
      <c r="L28" s="1" t="s">
        <v>309</v>
      </c>
      <c r="M28" s="1" t="s">
        <v>30</v>
      </c>
      <c r="N28" s="1">
        <v>550</v>
      </c>
      <c r="O28" s="6">
        <v>44531</v>
      </c>
      <c r="P28" s="4">
        <v>24.7</v>
      </c>
      <c r="Q28" s="2">
        <v>1211</v>
      </c>
      <c r="R28" s="5">
        <v>2529742</v>
      </c>
      <c r="U28" s="10">
        <v>44535</v>
      </c>
      <c r="V28" s="10">
        <v>44547</v>
      </c>
      <c r="W28" s="7">
        <f>MainData[[#This Row],[Actual - Finish Move Date]]-MainData[[#This Row],[Actual - Start Move Date]]</f>
        <v>12</v>
      </c>
      <c r="X28" s="10">
        <v>44547</v>
      </c>
      <c r="Y28" s="10">
        <v>44553.875</v>
      </c>
      <c r="Z28" s="7">
        <f>MainData[[#This Row],[Actual - Finish R/U Endurance Date]]-MainData[[#This Row],[Actual - Start R/U Endurance Date]]</f>
        <v>6.875</v>
      </c>
      <c r="AA28" s="10">
        <v>44557.583333333336</v>
      </c>
      <c r="AB28" s="10">
        <v>44564.8125</v>
      </c>
      <c r="AC28" s="7">
        <f>MainData[[#This Row],[Actual - Finish Drilling Date]]-MainData[[#This Row],[Actual - Start Drilling Date]]</f>
        <v>7.2291666666642413</v>
      </c>
      <c r="AD28" s="10">
        <f>MainData[[#This Row],[Actual - Finish Drilling Date]]</f>
        <v>44564.8125</v>
      </c>
      <c r="AE28" s="10">
        <v>44576.708333333336</v>
      </c>
      <c r="AF28" s="7">
        <f>MainData[[#This Row],[Actual - Finish Completion Date]]-MainData[[#This Row],[Actual - Start Completion Date]]</f>
        <v>11.895833333335759</v>
      </c>
      <c r="AG28" s="7">
        <f>MainData[[#This Row],[Actual - Drilling (days)]]+MainData[[#This Row],[Actual - Completion (days)]]</f>
        <v>19.125</v>
      </c>
      <c r="AH28" s="10">
        <v>44576.708333333336</v>
      </c>
      <c r="AI28" s="10">
        <v>44579.708333333336</v>
      </c>
      <c r="AJ28" s="1">
        <f>MainData[[#This Row],[Actual - Finish R/D Date]]-MainData[[#This Row],[Actual - Start R/D Date]]</f>
        <v>3</v>
      </c>
      <c r="AK28" s="7">
        <f>MainData[[#This Row],[Actual - Move (days)]]+MainData[[#This Row],[Actual - R/U Endurance (days)]]+MainData[[#This Row],[Actual - Drilling (days)]]+MainData[[#This Row],[Actual - Completion (days)]]+AJ28</f>
        <v>41</v>
      </c>
      <c r="AL28" s="2">
        <v>1208</v>
      </c>
      <c r="AM28" s="5">
        <v>1262404.0251826181</v>
      </c>
      <c r="AN28" s="5">
        <v>814917.57195490645</v>
      </c>
      <c r="AO28" s="5">
        <f>MainData[[#This Row],[Actual - DHB Cost]]+MainData[[#This Row],[Actual - CHB Cost]]</f>
        <v>2077321.5971375245</v>
      </c>
    </row>
    <row r="29" spans="1:41" ht="15" customHeight="1" x14ac:dyDescent="0.25">
      <c r="A29" s="1">
        <v>27</v>
      </c>
      <c r="B29" s="1" t="s">
        <v>271</v>
      </c>
      <c r="C29" s="1" t="s">
        <v>4</v>
      </c>
      <c r="D29" s="1" t="s">
        <v>310</v>
      </c>
      <c r="E29" s="1" t="s">
        <v>269</v>
      </c>
      <c r="F29" s="1" t="s">
        <v>300</v>
      </c>
      <c r="G29" s="1" t="s">
        <v>18</v>
      </c>
      <c r="H29" s="1" t="s">
        <v>158</v>
      </c>
      <c r="I29" s="1" t="s">
        <v>28</v>
      </c>
      <c r="J29" s="1" t="s">
        <v>118</v>
      </c>
      <c r="K29" s="1" t="s">
        <v>159</v>
      </c>
      <c r="L29" s="1" t="s">
        <v>304</v>
      </c>
      <c r="M29" s="1" t="s">
        <v>30</v>
      </c>
      <c r="N29" s="1">
        <v>550</v>
      </c>
      <c r="O29" s="6"/>
      <c r="P29" s="4">
        <v>31.6</v>
      </c>
      <c r="Q29" s="2">
        <v>1719.12</v>
      </c>
      <c r="R29" s="5">
        <v>2466748</v>
      </c>
      <c r="U29" s="10">
        <v>44687.333333333336</v>
      </c>
      <c r="V29" s="10">
        <v>44691.333333333336</v>
      </c>
      <c r="W29" s="7">
        <f>MainData[[#This Row],[Actual - Finish Move Date]]-MainData[[#This Row],[Actual - Start Move Date]]</f>
        <v>4</v>
      </c>
      <c r="X29" s="10">
        <v>44691.333333333336</v>
      </c>
      <c r="Y29" s="10">
        <v>44708.125</v>
      </c>
      <c r="Z29" s="7">
        <f>MainData[[#This Row],[Actual - Finish R/U Endurance Date]]-MainData[[#This Row],[Actual - Start R/U Endurance Date]]</f>
        <v>16.791666666664241</v>
      </c>
      <c r="AA29" s="10">
        <v>44708.125</v>
      </c>
      <c r="AB29" s="10">
        <v>44721.541666666664</v>
      </c>
      <c r="AC29" s="7">
        <f>MainData[[#This Row],[Actual - Finish Drilling Date]]-MainData[[#This Row],[Actual - Start Drilling Date]]</f>
        <v>13.416666666664241</v>
      </c>
      <c r="AD29" s="10">
        <f>MainData[[#This Row],[Actual - Finish Drilling Date]]</f>
        <v>44721.541666666664</v>
      </c>
      <c r="AE29" s="10">
        <v>44741.625</v>
      </c>
      <c r="AF29" s="7">
        <f>MainData[[#This Row],[Actual - Finish Completion Date]]-MainData[[#This Row],[Actual - Start Completion Date]]</f>
        <v>20.083333333335759</v>
      </c>
      <c r="AG29" s="7">
        <f>MainData[[#This Row],[Actual - Drilling (days)]]+MainData[[#This Row],[Actual - Completion (days)]]</f>
        <v>33.5</v>
      </c>
      <c r="AH29" s="10">
        <v>44741.625</v>
      </c>
      <c r="AI29" s="10">
        <v>44743.625</v>
      </c>
      <c r="AJ29" s="1">
        <f>MainData[[#This Row],[Actual - Finish R/D Date]]-MainData[[#This Row],[Actual - Start R/D Date]]</f>
        <v>2</v>
      </c>
      <c r="AK29" s="7">
        <f>MainData[[#This Row],[Actual - Move (days)]]+MainData[[#This Row],[Actual - R/U Endurance (days)]]+MainData[[#This Row],[Actual - Drilling (days)]]+MainData[[#This Row],[Actual - Completion (days)]]+AJ29</f>
        <v>56.291666666664241</v>
      </c>
      <c r="AL29" s="2">
        <v>1743</v>
      </c>
      <c r="AM29" s="5">
        <v>973032.71080390271</v>
      </c>
      <c r="AN29" s="5">
        <v>1012638.2867474677</v>
      </c>
      <c r="AO29" s="5">
        <f>MainData[[#This Row],[Actual - DHB Cost]]+MainData[[#This Row],[Actual - CHB Cost]]</f>
        <v>1985670.9975513704</v>
      </c>
    </row>
    <row r="30" spans="1:41" ht="15" customHeight="1" x14ac:dyDescent="0.25">
      <c r="A30" s="1">
        <v>28</v>
      </c>
      <c r="B30" s="1" t="s">
        <v>271</v>
      </c>
      <c r="C30" s="1" t="s">
        <v>4</v>
      </c>
      <c r="D30" s="1" t="s">
        <v>310</v>
      </c>
      <c r="E30" s="1" t="s">
        <v>269</v>
      </c>
      <c r="F30" s="1" t="s">
        <v>301</v>
      </c>
      <c r="G30" s="1" t="s">
        <v>21</v>
      </c>
      <c r="H30" s="1" t="s">
        <v>158</v>
      </c>
      <c r="I30" s="1" t="s">
        <v>113</v>
      </c>
      <c r="J30" s="1" t="s">
        <v>118</v>
      </c>
      <c r="K30" s="1" t="s">
        <v>159</v>
      </c>
      <c r="L30" s="1" t="s">
        <v>312</v>
      </c>
      <c r="M30" s="1" t="s">
        <v>30</v>
      </c>
      <c r="N30" s="1">
        <v>700</v>
      </c>
      <c r="O30" s="6">
        <v>44515</v>
      </c>
      <c r="P30" s="4">
        <v>86.6</v>
      </c>
      <c r="Q30" s="2">
        <v>1919.39</v>
      </c>
      <c r="R30" s="5">
        <v>10193828</v>
      </c>
      <c r="U30" s="10">
        <v>44488.75</v>
      </c>
      <c r="V30" s="10">
        <v>44505.75</v>
      </c>
      <c r="W30" s="7">
        <f>MainData[[#This Row],[Actual - Finish Move Date]]-MainData[[#This Row],[Actual - Start Move Date]]</f>
        <v>17</v>
      </c>
      <c r="X30" s="10"/>
      <c r="Y30" s="10"/>
      <c r="Z30" s="7">
        <f>MainData[[#This Row],[Actual - Finish R/U Endurance Date]]-MainData[[#This Row],[Actual - Start R/U Endurance Date]]</f>
        <v>0</v>
      </c>
      <c r="AA30" s="10">
        <v>44532</v>
      </c>
      <c r="AB30" s="10">
        <v>44554.166666666664</v>
      </c>
      <c r="AC30" s="7">
        <f>MainData[[#This Row],[Actual - Finish Drilling Date]]-MainData[[#This Row],[Actual - Start Drilling Date]]</f>
        <v>22.166666666664241</v>
      </c>
      <c r="AD30" s="10">
        <f>MainData[[#This Row],[Actual - Finish Drilling Date]]</f>
        <v>44554.166666666664</v>
      </c>
      <c r="AE30" s="10">
        <v>44592.666666666664</v>
      </c>
      <c r="AF30" s="7">
        <f>MainData[[#This Row],[Actual - Finish Completion Date]]-MainData[[#This Row],[Actual - Start Completion Date]]</f>
        <v>38.5</v>
      </c>
      <c r="AG30" s="7">
        <f>MainData[[#This Row],[Actual - Drilling (days)]]+MainData[[#This Row],[Actual - Completion (days)]]</f>
        <v>60.666666666664241</v>
      </c>
      <c r="AH30" s="10">
        <v>44592.666666666664</v>
      </c>
      <c r="AI30" s="10">
        <v>44595.708333333336</v>
      </c>
      <c r="AJ30" s="3">
        <f>MainData[[#This Row],[Actual - Finish R/D Date]]-MainData[[#This Row],[Actual - Start R/D Date]]</f>
        <v>3.0416666666715173</v>
      </c>
      <c r="AK30" s="7">
        <f>MainData[[#This Row],[Actual - Move (days)]]+MainData[[#This Row],[Actual - R/U Endurance (days)]]+MainData[[#This Row],[Actual - Drilling (days)]]+MainData[[#This Row],[Actual - Completion (days)]]+AJ30</f>
        <v>80.708333333335759</v>
      </c>
      <c r="AL30" s="2">
        <v>1922</v>
      </c>
      <c r="AM30" s="5">
        <v>4059872.0076282974</v>
      </c>
      <c r="AN30" s="5">
        <v>3121542.1250211373</v>
      </c>
      <c r="AO30" s="5">
        <f>MainData[[#This Row],[Actual - DHB Cost]]+MainData[[#This Row],[Actual - CHB Cost]]</f>
        <v>7181414.1326494347</v>
      </c>
    </row>
    <row r="31" spans="1:41" ht="15" customHeight="1" x14ac:dyDescent="0.25">
      <c r="A31" s="1">
        <v>29</v>
      </c>
      <c r="B31" s="1" t="s">
        <v>271</v>
      </c>
      <c r="C31" s="1" t="s">
        <v>4</v>
      </c>
      <c r="D31" s="1" t="s">
        <v>310</v>
      </c>
      <c r="E31" s="1" t="s">
        <v>273</v>
      </c>
      <c r="F31" s="1" t="s">
        <v>302</v>
      </c>
      <c r="G31" s="1" t="s">
        <v>21</v>
      </c>
      <c r="H31" s="1" t="s">
        <v>158</v>
      </c>
      <c r="I31" s="1" t="s">
        <v>113</v>
      </c>
      <c r="J31" s="1" t="s">
        <v>119</v>
      </c>
      <c r="K31" s="1" t="s">
        <v>159</v>
      </c>
      <c r="L31" s="1" t="s">
        <v>308</v>
      </c>
      <c r="M31" s="1" t="s">
        <v>30</v>
      </c>
      <c r="N31" s="1">
        <v>1500</v>
      </c>
      <c r="O31" s="6">
        <v>44288</v>
      </c>
      <c r="P31" s="4">
        <v>213.83</v>
      </c>
      <c r="Q31" s="2">
        <v>4032.8</v>
      </c>
      <c r="R31" s="5">
        <v>26620003</v>
      </c>
      <c r="S31" s="1">
        <v>98.186653732393907</v>
      </c>
      <c r="T31" s="1">
        <v>3.9918034864350802</v>
      </c>
      <c r="U31" s="10">
        <v>44258</v>
      </c>
      <c r="V31" s="10">
        <v>44287</v>
      </c>
      <c r="W31" s="7">
        <f>MainData[[#This Row],[Actual - Finish Move Date]]-MainData[[#This Row],[Actual - Start Move Date]]</f>
        <v>29</v>
      </c>
      <c r="X31" s="10">
        <v>44288.416666666664</v>
      </c>
      <c r="Y31" s="10">
        <v>44298.416666666664</v>
      </c>
      <c r="Z31" s="7">
        <f>MainData[[#This Row],[Actual - Finish R/U Endurance Date]]-MainData[[#This Row],[Actual - Start R/U Endurance Date]]</f>
        <v>10</v>
      </c>
      <c r="AA31" s="10">
        <v>44298.416666666664</v>
      </c>
      <c r="AB31" s="10">
        <v>44634.791666666664</v>
      </c>
      <c r="AC31" s="7">
        <f>MainData[[#This Row],[Actual - Finish Drilling Date]]-MainData[[#This Row],[Actual - Start Drilling Date]]</f>
        <v>336.375</v>
      </c>
      <c r="AD31" s="10">
        <f>MainData[[#This Row],[Actual - Finish Drilling Date]]</f>
        <v>44634.791666666664</v>
      </c>
      <c r="AE31" s="10">
        <v>44728.25</v>
      </c>
      <c r="AF31" s="7">
        <f>MainData[[#This Row],[Actual - Finish Completion Date]]-MainData[[#This Row],[Actual - Start Completion Date]]</f>
        <v>93.458333333335759</v>
      </c>
      <c r="AG31" s="7">
        <f>MainData[[#This Row],[Actual - Drilling (days)]]+MainData[[#This Row],[Actual - Completion (days)]]</f>
        <v>429.83333333333576</v>
      </c>
      <c r="AH31" s="10">
        <v>44728.25</v>
      </c>
      <c r="AI31" s="10">
        <v>44731.25</v>
      </c>
      <c r="AJ31" s="1">
        <f>MainData[[#This Row],[Actual - Finish R/D Date]]-MainData[[#This Row],[Actual - Start R/D Date]]</f>
        <v>3</v>
      </c>
      <c r="AK31" s="7">
        <f>MainData[[#This Row],[Actual - Move (days)]]+MainData[[#This Row],[Actual - R/U Endurance (days)]]+MainData[[#This Row],[Actual - Drilling (days)]]+MainData[[#This Row],[Actual - Completion (days)]]+AJ31</f>
        <v>471.83333333333576</v>
      </c>
      <c r="AL31" s="2">
        <v>3255</v>
      </c>
      <c r="AM31" s="5">
        <v>47485213.662025839</v>
      </c>
      <c r="AN31" s="5">
        <v>6400800.542026639</v>
      </c>
      <c r="AO31" s="5">
        <f>MainData[[#This Row],[Actual - DHB Cost]]+MainData[[#This Row],[Actual - CHB Cost]]</f>
        <v>53886014.204052478</v>
      </c>
    </row>
    <row r="32" spans="1:41" ht="15" customHeight="1" x14ac:dyDescent="0.25">
      <c r="A32" s="1">
        <v>30</v>
      </c>
      <c r="B32" s="1" t="s">
        <v>271</v>
      </c>
      <c r="C32" s="1" t="s">
        <v>4</v>
      </c>
      <c r="D32" s="1" t="s">
        <v>310</v>
      </c>
      <c r="E32" s="1" t="s">
        <v>269</v>
      </c>
      <c r="F32" s="1" t="s">
        <v>303</v>
      </c>
      <c r="G32" s="1" t="s">
        <v>17</v>
      </c>
      <c r="H32" s="1" t="s">
        <v>158</v>
      </c>
      <c r="I32" s="1" t="s">
        <v>113</v>
      </c>
      <c r="J32" s="1" t="s">
        <v>118</v>
      </c>
      <c r="K32" s="1" t="s">
        <v>159</v>
      </c>
      <c r="L32" s="1" t="s">
        <v>305</v>
      </c>
      <c r="M32" s="1" t="s">
        <v>30</v>
      </c>
      <c r="N32" s="1">
        <v>1500</v>
      </c>
      <c r="O32" s="6">
        <v>44594</v>
      </c>
      <c r="P32" s="4">
        <v>62</v>
      </c>
      <c r="Q32" s="2">
        <v>2542.6415999999999</v>
      </c>
      <c r="R32" s="5">
        <v>11423390.2687712</v>
      </c>
      <c r="U32" s="10"/>
      <c r="V32" s="10"/>
      <c r="W32" s="7">
        <f>MainData[[#This Row],[Actual - Finish Move Date]]-MainData[[#This Row],[Actual - Start Move Date]]</f>
        <v>0</v>
      </c>
      <c r="X32" s="10"/>
      <c r="Y32" s="10"/>
      <c r="Z32" s="7">
        <f>MainData[[#This Row],[Actual - Finish R/U Endurance Date]]-MainData[[#This Row],[Actual - Start R/U Endurance Date]]</f>
        <v>0</v>
      </c>
      <c r="AA32" s="10">
        <v>44627.75</v>
      </c>
      <c r="AB32" s="10">
        <v>44716.604166666664</v>
      </c>
      <c r="AC32" s="7">
        <f>MainData[[#This Row],[Actual - Finish Drilling Date]]-MainData[[#This Row],[Actual - Start Drilling Date]]</f>
        <v>88.854166666664241</v>
      </c>
      <c r="AD32" s="10">
        <f>MainData[[#This Row],[Actual - Finish Drilling Date]]</f>
        <v>44716.604166666664</v>
      </c>
      <c r="AE32" s="10">
        <v>44812</v>
      </c>
      <c r="AF32" s="7">
        <f>MainData[[#This Row],[Actual - Finish Completion Date]]-MainData[[#This Row],[Actual - Start Completion Date]]</f>
        <v>95.395833333335759</v>
      </c>
      <c r="AG32" s="7">
        <f>MainData[[#This Row],[Actual - Drilling (days)]]+MainData[[#This Row],[Actual - Completion (days)]]</f>
        <v>184.25</v>
      </c>
      <c r="AH32" s="10"/>
      <c r="AI32" s="10"/>
      <c r="AJ32" s="1">
        <f>MainData[[#This Row],[Actual - Finish R/D Date]]-MainData[[#This Row],[Actual - Start R/D Date]]</f>
        <v>0</v>
      </c>
      <c r="AK32" s="7">
        <f>MainData[[#This Row],[Actual - Move (days)]]+MainData[[#This Row],[Actual - R/U Endurance (days)]]+MainData[[#This Row],[Actual - Drilling (days)]]+MainData[[#This Row],[Actual - Completion (days)]]+AJ32</f>
        <v>184.25</v>
      </c>
      <c r="AL32" s="2">
        <v>2190.1404000000002</v>
      </c>
      <c r="AM32" s="5">
        <v>8477924.5155498628</v>
      </c>
      <c r="AN32" s="5">
        <v>13292152.394450137</v>
      </c>
      <c r="AO32" s="5">
        <f>MainData[[#This Row],[Actual - DHB Cost]]+MainData[[#This Row],[Actual - CHB Cost]]</f>
        <v>21770076.91</v>
      </c>
    </row>
    <row r="35" spans="29:41" ht="15" customHeight="1" x14ac:dyDescent="0.25">
      <c r="AC35" s="1"/>
      <c r="AE35" s="7"/>
      <c r="AF35" s="2"/>
      <c r="AG35" s="5"/>
      <c r="AH35" s="5"/>
      <c r="AK35" s="1"/>
      <c r="AL35" s="1"/>
      <c r="AM35" s="1"/>
      <c r="AN35" s="1"/>
    </row>
    <row r="36" spans="29:41" ht="15" customHeight="1" x14ac:dyDescent="0.25">
      <c r="AC36" s="1"/>
      <c r="AE36" s="7"/>
      <c r="AF36" s="2"/>
      <c r="AG36" s="5"/>
      <c r="AH36" s="5"/>
      <c r="AK36" s="1"/>
      <c r="AL36" s="1"/>
      <c r="AM36" s="1"/>
      <c r="AN36" s="1"/>
    </row>
    <row r="37" spans="29:41" ht="15" customHeight="1" x14ac:dyDescent="0.25">
      <c r="AC37" s="1"/>
      <c r="AE37" s="7"/>
      <c r="AF37" s="2"/>
      <c r="AG37" s="5"/>
      <c r="AH37" s="5"/>
      <c r="AI37" s="5"/>
      <c r="AK37" s="1"/>
      <c r="AL37" s="1"/>
      <c r="AM37" s="1"/>
      <c r="AN37" s="1"/>
    </row>
    <row r="38" spans="29:41" ht="15" customHeight="1" x14ac:dyDescent="0.25">
      <c r="AC38" s="1"/>
      <c r="AE38" s="7"/>
      <c r="AF38" s="2"/>
      <c r="AG38" s="5"/>
      <c r="AH38" s="5"/>
      <c r="AK38" s="1"/>
      <c r="AL38" s="1"/>
      <c r="AM38" s="1"/>
      <c r="AN38" s="1"/>
    </row>
    <row r="41" spans="29:41" ht="15" customHeight="1" x14ac:dyDescent="0.25">
      <c r="AO41" s="5"/>
    </row>
    <row r="46" spans="29:41" ht="15" customHeight="1" x14ac:dyDescent="0.25">
      <c r="AO46" s="5"/>
    </row>
  </sheetData>
  <phoneticPr fontId="1" type="noConversion"/>
  <pageMargins left="0.7" right="0.7" top="0.75" bottom="0.75" header="0.3" footer="0.3"/>
  <pageSetup orientation="portrait" r:id="rId1"/>
  <ignoredErrors>
    <ignoredError sqref="AC3 AF3"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07751-68E6-45C9-97B8-B64C45C7C5A9}">
  <dimension ref="A2:E31"/>
  <sheetViews>
    <sheetView zoomScale="85" zoomScaleNormal="85" workbookViewId="0">
      <selection activeCell="B10" activeCellId="1" sqref="B8:E8 B10:E15"/>
    </sheetView>
  </sheetViews>
  <sheetFormatPr defaultRowHeight="15" x14ac:dyDescent="0.25"/>
  <cols>
    <col min="1" max="1" width="13.85546875" bestFit="1" customWidth="1"/>
    <col min="2" max="2" width="20.7109375" bestFit="1" customWidth="1"/>
    <col min="3" max="3" width="22.5703125" bestFit="1" customWidth="1"/>
    <col min="4" max="4" width="15.7109375" bestFit="1" customWidth="1"/>
    <col min="5" max="5" width="16.28515625" bestFit="1" customWidth="1"/>
    <col min="6" max="7" width="20" bestFit="1" customWidth="1"/>
    <col min="8" max="8" width="12" bestFit="1" customWidth="1"/>
    <col min="9" max="9" width="7" bestFit="1" customWidth="1"/>
    <col min="10" max="10" width="29.28515625" bestFit="1" customWidth="1"/>
    <col min="11" max="11" width="12" bestFit="1" customWidth="1"/>
    <col min="12" max="13" width="2" bestFit="1" customWidth="1"/>
    <col min="14" max="14" width="5" bestFit="1" customWidth="1"/>
    <col min="15" max="15" width="7" bestFit="1" customWidth="1"/>
    <col min="16" max="16" width="12" bestFit="1" customWidth="1"/>
    <col min="17" max="17" width="7" bestFit="1" customWidth="1"/>
    <col min="18" max="18" width="34.28515625" bestFit="1" customWidth="1"/>
    <col min="19" max="20" width="12" bestFit="1" customWidth="1"/>
    <col min="21" max="21" width="3" bestFit="1" customWidth="1"/>
    <col min="22" max="24" width="12" bestFit="1" customWidth="1"/>
    <col min="25" max="25" width="7" bestFit="1" customWidth="1"/>
    <col min="26" max="26" width="26.7109375" bestFit="1" customWidth="1"/>
    <col min="27" max="27" width="12" bestFit="1" customWidth="1"/>
    <col min="28" max="29" width="2" bestFit="1" customWidth="1"/>
    <col min="30" max="30" width="5" bestFit="1" customWidth="1"/>
    <col min="31" max="31" width="7" bestFit="1" customWidth="1"/>
    <col min="32" max="32" width="12" bestFit="1" customWidth="1"/>
    <col min="33" max="33" width="7" bestFit="1" customWidth="1"/>
    <col min="34" max="34" width="35" bestFit="1" customWidth="1"/>
    <col min="35" max="35" width="34.140625" bestFit="1" customWidth="1"/>
    <col min="36" max="36" width="39.140625" bestFit="1" customWidth="1"/>
    <col min="37" max="37" width="31.42578125" bestFit="1" customWidth="1"/>
    <col min="38" max="38" width="14" bestFit="1" customWidth="1"/>
    <col min="39" max="39" width="21.5703125" bestFit="1" customWidth="1"/>
    <col min="40" max="40" width="12" bestFit="1" customWidth="1"/>
    <col min="41" max="41" width="7.7109375" bestFit="1" customWidth="1"/>
    <col min="42" max="42" width="14" bestFit="1" customWidth="1"/>
    <col min="43" max="43" width="21.5703125" bestFit="1" customWidth="1"/>
    <col min="44" max="44" width="9" bestFit="1" customWidth="1"/>
    <col min="45" max="45" width="11.28515625" bestFit="1" customWidth="1"/>
    <col min="46" max="46" width="14" bestFit="1" customWidth="1"/>
    <col min="47" max="47" width="21.5703125" bestFit="1" customWidth="1"/>
    <col min="48" max="48" width="9" bestFit="1" customWidth="1"/>
    <col min="49" max="49" width="11.7109375" bestFit="1" customWidth="1"/>
    <col min="50" max="50" width="34.140625" bestFit="1" customWidth="1"/>
    <col min="51" max="51" width="39.140625" bestFit="1" customWidth="1"/>
    <col min="52" max="52" width="31.42578125" bestFit="1" customWidth="1"/>
  </cols>
  <sheetData>
    <row r="2" spans="1:5" x14ac:dyDescent="0.25">
      <c r="A2" s="8" t="s">
        <v>6</v>
      </c>
      <c r="B2" t="s">
        <v>39</v>
      </c>
    </row>
    <row r="3" spans="1:5" x14ac:dyDescent="0.25">
      <c r="A3" s="8" t="s">
        <v>13</v>
      </c>
      <c r="B3" t="s">
        <v>28</v>
      </c>
    </row>
    <row r="4" spans="1:5" x14ac:dyDescent="0.25">
      <c r="A4" s="8" t="s">
        <v>10</v>
      </c>
      <c r="B4" t="s">
        <v>39</v>
      </c>
    </row>
    <row r="6" spans="1:5" x14ac:dyDescent="0.25">
      <c r="A6" s="8" t="s">
        <v>37</v>
      </c>
      <c r="B6" t="s">
        <v>163</v>
      </c>
      <c r="C6" t="s">
        <v>162</v>
      </c>
      <c r="D6" t="s">
        <v>164</v>
      </c>
      <c r="E6" t="s">
        <v>165</v>
      </c>
    </row>
    <row r="7" spans="1:5" x14ac:dyDescent="0.25">
      <c r="A7" s="9" t="s">
        <v>38</v>
      </c>
      <c r="B7" s="28"/>
      <c r="C7" s="28"/>
      <c r="D7" s="28"/>
      <c r="E7" s="28"/>
    </row>
    <row r="25" spans="3:5" x14ac:dyDescent="0.25">
      <c r="C25">
        <v>2851130</v>
      </c>
      <c r="D25">
        <v>3160688.5817436674</v>
      </c>
      <c r="E25">
        <f>C25-D25</f>
        <v>-309558.58174366737</v>
      </c>
    </row>
    <row r="26" spans="3:5" x14ac:dyDescent="0.25">
      <c r="C26">
        <v>2318089</v>
      </c>
      <c r="D26">
        <v>1879732.1928214284</v>
      </c>
      <c r="E26">
        <f t="shared" ref="E26:E31" si="0">C26-D26</f>
        <v>438356.80717857159</v>
      </c>
    </row>
    <row r="27" spans="3:5" x14ac:dyDescent="0.25">
      <c r="C27">
        <v>2557831.42</v>
      </c>
      <c r="D27">
        <v>2325171.7752872915</v>
      </c>
      <c r="E27">
        <f t="shared" si="0"/>
        <v>232659.64471270842</v>
      </c>
    </row>
    <row r="28" spans="3:5" x14ac:dyDescent="0.25">
      <c r="C28">
        <v>2766044.56</v>
      </c>
      <c r="D28">
        <v>2366623.835703833</v>
      </c>
      <c r="E28">
        <f t="shared" si="0"/>
        <v>399420.72429616703</v>
      </c>
    </row>
    <row r="29" spans="3:5" x14ac:dyDescent="0.25">
      <c r="C29">
        <v>2213895</v>
      </c>
      <c r="D29">
        <v>2473149.1459256681</v>
      </c>
      <c r="E29">
        <f t="shared" si="0"/>
        <v>-259254.14592566807</v>
      </c>
    </row>
    <row r="30" spans="3:5" x14ac:dyDescent="0.25">
      <c r="C30">
        <v>2489280</v>
      </c>
      <c r="D30">
        <v>2136586.7866553036</v>
      </c>
      <c r="E30">
        <f t="shared" si="0"/>
        <v>352693.21334469644</v>
      </c>
    </row>
    <row r="31" spans="3:5" x14ac:dyDescent="0.25">
      <c r="C31">
        <v>2254026</v>
      </c>
      <c r="D31">
        <v>2267582.6241114987</v>
      </c>
      <c r="E31">
        <f t="shared" si="0"/>
        <v>-13556.624111498706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7A0FB-C0E3-4B6A-8FA8-BF3FF86B34B1}">
  <dimension ref="A1:N50"/>
  <sheetViews>
    <sheetView zoomScale="85" zoomScaleNormal="85" workbookViewId="0">
      <selection activeCell="R46" sqref="R46"/>
    </sheetView>
  </sheetViews>
  <sheetFormatPr defaultRowHeight="15" x14ac:dyDescent="0.25"/>
  <cols>
    <col min="1" max="1" width="13.85546875" bestFit="1" customWidth="1"/>
    <col min="2" max="2" width="16.28515625" bestFit="1" customWidth="1"/>
    <col min="3" max="3" width="16.140625" bestFit="1" customWidth="1"/>
    <col min="4" max="4" width="16.28515625" bestFit="1" customWidth="1"/>
    <col min="5" max="5" width="16.140625" bestFit="1" customWidth="1"/>
    <col min="6" max="6" width="16.28515625" bestFit="1" customWidth="1"/>
    <col min="7" max="7" width="16.140625" bestFit="1" customWidth="1"/>
    <col min="8" max="8" width="21.5703125" bestFit="1" customWidth="1"/>
    <col min="9" max="9" width="21.28515625" bestFit="1" customWidth="1"/>
    <col min="10" max="10" width="29.28515625" bestFit="1" customWidth="1"/>
    <col min="11" max="11" width="12" bestFit="1" customWidth="1"/>
    <col min="12" max="14" width="12.42578125" bestFit="1" customWidth="1"/>
    <col min="15" max="15" width="7" bestFit="1" customWidth="1"/>
    <col min="16" max="16" width="12" bestFit="1" customWidth="1"/>
    <col min="17" max="17" width="7" bestFit="1" customWidth="1"/>
    <col min="18" max="18" width="34.28515625" bestFit="1" customWidth="1"/>
    <col min="19" max="20" width="12" bestFit="1" customWidth="1"/>
    <col min="21" max="21" width="3" bestFit="1" customWidth="1"/>
    <col min="22" max="24" width="12" bestFit="1" customWidth="1"/>
    <col min="25" max="25" width="7" bestFit="1" customWidth="1"/>
    <col min="26" max="26" width="26.7109375" bestFit="1" customWidth="1"/>
    <col min="27" max="27" width="12" bestFit="1" customWidth="1"/>
    <col min="28" max="29" width="2" bestFit="1" customWidth="1"/>
    <col min="30" max="30" width="5" bestFit="1" customWidth="1"/>
    <col min="31" max="31" width="7" bestFit="1" customWidth="1"/>
    <col min="32" max="32" width="12" bestFit="1" customWidth="1"/>
    <col min="33" max="33" width="7" bestFit="1" customWidth="1"/>
    <col min="34" max="34" width="35" bestFit="1" customWidth="1"/>
    <col min="35" max="35" width="34.140625" bestFit="1" customWidth="1"/>
    <col min="36" max="36" width="39.140625" bestFit="1" customWidth="1"/>
    <col min="37" max="37" width="31.42578125" bestFit="1" customWidth="1"/>
    <col min="38" max="38" width="14" bestFit="1" customWidth="1"/>
    <col min="39" max="39" width="21.5703125" bestFit="1" customWidth="1"/>
    <col min="40" max="40" width="12" bestFit="1" customWidth="1"/>
    <col min="41" max="41" width="7.7109375" bestFit="1" customWidth="1"/>
    <col min="42" max="42" width="14" bestFit="1" customWidth="1"/>
    <col min="43" max="43" width="21.5703125" bestFit="1" customWidth="1"/>
    <col min="44" max="44" width="9" bestFit="1" customWidth="1"/>
    <col min="45" max="45" width="11.28515625" bestFit="1" customWidth="1"/>
    <col min="46" max="46" width="14" bestFit="1" customWidth="1"/>
    <col min="47" max="47" width="21.5703125" bestFit="1" customWidth="1"/>
    <col min="48" max="48" width="9" bestFit="1" customWidth="1"/>
    <col min="49" max="49" width="11.7109375" bestFit="1" customWidth="1"/>
    <col min="50" max="50" width="34.140625" bestFit="1" customWidth="1"/>
    <col min="51" max="51" width="39.140625" bestFit="1" customWidth="1"/>
    <col min="52" max="52" width="31.42578125" bestFit="1" customWidth="1"/>
  </cols>
  <sheetData>
    <row r="1" spans="1:14" x14ac:dyDescent="0.25">
      <c r="A1" s="8" t="s">
        <v>6</v>
      </c>
      <c r="B1" t="s">
        <v>39</v>
      </c>
    </row>
    <row r="2" spans="1:14" x14ac:dyDescent="0.25">
      <c r="A2" s="8" t="s">
        <v>13</v>
      </c>
      <c r="B2" t="s">
        <v>28</v>
      </c>
    </row>
    <row r="3" spans="1:14" x14ac:dyDescent="0.25">
      <c r="A3" s="8" t="s">
        <v>10</v>
      </c>
      <c r="B3" t="s">
        <v>39</v>
      </c>
    </row>
    <row r="5" spans="1:14" x14ac:dyDescent="0.25">
      <c r="A5" s="8" t="s">
        <v>37</v>
      </c>
      <c r="B5" t="s">
        <v>166</v>
      </c>
      <c r="C5" t="s">
        <v>167</v>
      </c>
      <c r="F5" t="s">
        <v>37</v>
      </c>
      <c r="G5" t="s">
        <v>166</v>
      </c>
      <c r="H5" t="s">
        <v>167</v>
      </c>
      <c r="I5" t="s">
        <v>163</v>
      </c>
      <c r="J5" t="s">
        <v>162</v>
      </c>
      <c r="K5" t="s">
        <v>164</v>
      </c>
      <c r="L5" t="s">
        <v>165</v>
      </c>
      <c r="M5" t="s">
        <v>168</v>
      </c>
      <c r="N5" t="s">
        <v>169</v>
      </c>
    </row>
    <row r="6" spans="1:14" x14ac:dyDescent="0.25">
      <c r="A6" s="9" t="s">
        <v>38</v>
      </c>
      <c r="B6" s="28">
        <v>0</v>
      </c>
      <c r="C6" s="28">
        <v>0</v>
      </c>
      <c r="F6" t="s">
        <v>115</v>
      </c>
      <c r="G6">
        <v>25.933333333335753</v>
      </c>
      <c r="H6">
        <v>3012413.8673505653</v>
      </c>
      <c r="I6">
        <v>86.6</v>
      </c>
      <c r="J6" s="29">
        <v>60.666666666664241</v>
      </c>
      <c r="K6">
        <v>10193828</v>
      </c>
      <c r="L6">
        <v>7181414.1326494347</v>
      </c>
      <c r="M6">
        <f>J6/I6</f>
        <v>0.70053887605847853</v>
      </c>
      <c r="N6">
        <f>L6/K6</f>
        <v>0.70448649247853057</v>
      </c>
    </row>
    <row r="7" spans="1:14" x14ac:dyDescent="0.25">
      <c r="F7" t="s">
        <v>137</v>
      </c>
      <c r="G7">
        <v>-244.24333333333576</v>
      </c>
      <c r="H7">
        <v>-27266011.204052478</v>
      </c>
      <c r="I7">
        <v>185.59</v>
      </c>
      <c r="J7">
        <v>429.83333333333576</v>
      </c>
      <c r="K7">
        <v>26620003</v>
      </c>
      <c r="L7">
        <v>53886014.204052478</v>
      </c>
      <c r="M7">
        <f>J7/I7</f>
        <v>2.3160371428058393</v>
      </c>
      <c r="N7">
        <f t="shared" ref="N7" si="0">L7/K7</f>
        <v>2.024267773525513</v>
      </c>
    </row>
    <row r="8" spans="1:14" x14ac:dyDescent="0.25">
      <c r="F8" t="s">
        <v>138</v>
      </c>
      <c r="G8">
        <v>-122.25</v>
      </c>
      <c r="H8">
        <v>-10346686.641228801</v>
      </c>
      <c r="I8">
        <v>62</v>
      </c>
      <c r="J8">
        <v>184.25</v>
      </c>
      <c r="K8">
        <v>11423390.2687712</v>
      </c>
      <c r="L8">
        <v>21770076.91</v>
      </c>
      <c r="M8">
        <f>J8/I8</f>
        <v>2.971774193548387</v>
      </c>
      <c r="N8">
        <f>L8/K8</f>
        <v>1.9057457022644277</v>
      </c>
    </row>
    <row r="9" spans="1:14" x14ac:dyDescent="0.25">
      <c r="F9" t="s">
        <v>170</v>
      </c>
      <c r="M9">
        <v>0</v>
      </c>
      <c r="N9">
        <v>0</v>
      </c>
    </row>
    <row r="10" spans="1:14" x14ac:dyDescent="0.25">
      <c r="M10">
        <v>100</v>
      </c>
      <c r="N10">
        <v>100</v>
      </c>
    </row>
    <row r="41" spans="6:14" x14ac:dyDescent="0.25">
      <c r="F41" t="s">
        <v>37</v>
      </c>
      <c r="G41" t="s">
        <v>166</v>
      </c>
      <c r="H41" t="s">
        <v>167</v>
      </c>
      <c r="I41" t="s">
        <v>163</v>
      </c>
      <c r="J41" t="s">
        <v>162</v>
      </c>
      <c r="K41" t="s">
        <v>164</v>
      </c>
      <c r="L41" t="s">
        <v>165</v>
      </c>
      <c r="M41" t="s">
        <v>168</v>
      </c>
      <c r="N41" t="s">
        <v>169</v>
      </c>
    </row>
    <row r="42" spans="6:14" x14ac:dyDescent="0.25">
      <c r="F42" t="s">
        <v>22</v>
      </c>
      <c r="G42">
        <v>-13.149999999999999</v>
      </c>
      <c r="H42">
        <v>-309558.58174366737</v>
      </c>
      <c r="I42">
        <v>21.1</v>
      </c>
      <c r="J42" s="29">
        <v>34.25</v>
      </c>
      <c r="K42">
        <v>2851130</v>
      </c>
      <c r="L42">
        <v>3160688.5817436674</v>
      </c>
      <c r="M42">
        <f>J42/I42</f>
        <v>1.6232227488151658</v>
      </c>
      <c r="N42">
        <f>L42/K42</f>
        <v>1.1085739975882081</v>
      </c>
    </row>
    <row r="43" spans="6:14" x14ac:dyDescent="0.25">
      <c r="F43" t="s">
        <v>25</v>
      </c>
      <c r="G43">
        <v>-0.81333333333575908</v>
      </c>
      <c r="H43">
        <v>438356.80717857159</v>
      </c>
      <c r="I43">
        <v>21.77</v>
      </c>
      <c r="J43">
        <v>22.583333333335759</v>
      </c>
      <c r="K43">
        <v>2318089</v>
      </c>
      <c r="L43">
        <v>1879732.1928214284</v>
      </c>
      <c r="M43">
        <f t="shared" ref="M43:M48" si="1">J43/I43</f>
        <v>1.0373602817333836</v>
      </c>
      <c r="N43">
        <f t="shared" ref="N43:N48" si="2">L43/K43</f>
        <v>0.81089733518489948</v>
      </c>
    </row>
    <row r="44" spans="6:14" x14ac:dyDescent="0.25">
      <c r="F44" t="s">
        <v>26</v>
      </c>
      <c r="G44">
        <v>5.8333333335760074E-2</v>
      </c>
      <c r="H44">
        <v>232659.64471270842</v>
      </c>
      <c r="I44">
        <v>17.100000000000001</v>
      </c>
      <c r="J44">
        <v>17.041666666664241</v>
      </c>
      <c r="K44">
        <v>2557831.42</v>
      </c>
      <c r="L44">
        <v>2325171.7752872915</v>
      </c>
      <c r="M44">
        <f t="shared" si="1"/>
        <v>0.99658869395697314</v>
      </c>
      <c r="N44">
        <f t="shared" si="2"/>
        <v>0.90904027415821309</v>
      </c>
    </row>
    <row r="45" spans="6:14" x14ac:dyDescent="0.25">
      <c r="F45" t="s">
        <v>23</v>
      </c>
      <c r="G45">
        <v>-3.7883333333357569</v>
      </c>
      <c r="H45">
        <v>399420.72429616703</v>
      </c>
      <c r="I45">
        <v>18.920000000000002</v>
      </c>
      <c r="J45">
        <v>22.708333333335759</v>
      </c>
      <c r="K45">
        <v>2766044.56</v>
      </c>
      <c r="L45">
        <v>2366623.835703833</v>
      </c>
      <c r="M45">
        <f t="shared" si="1"/>
        <v>1.2002290345314881</v>
      </c>
      <c r="N45">
        <f t="shared" si="2"/>
        <v>0.85559859372035318</v>
      </c>
    </row>
    <row r="46" spans="6:14" x14ac:dyDescent="0.25">
      <c r="F46" t="s">
        <v>27</v>
      </c>
      <c r="G46">
        <v>-3.1499999999999986</v>
      </c>
      <c r="H46">
        <v>-259254.14592566807</v>
      </c>
      <c r="I46">
        <v>17.100000000000001</v>
      </c>
      <c r="J46">
        <v>20.25</v>
      </c>
      <c r="K46">
        <v>2213895</v>
      </c>
      <c r="L46">
        <v>2473149.1459256681</v>
      </c>
      <c r="M46">
        <f t="shared" si="1"/>
        <v>1.1842105263157894</v>
      </c>
      <c r="N46">
        <f t="shared" si="2"/>
        <v>1.1171031805599037</v>
      </c>
    </row>
    <row r="47" spans="6:14" x14ac:dyDescent="0.25">
      <c r="F47" t="s">
        <v>24</v>
      </c>
      <c r="G47">
        <v>1.2916666666715173</v>
      </c>
      <c r="H47">
        <v>352693.21334469644</v>
      </c>
      <c r="I47">
        <v>22.5</v>
      </c>
      <c r="J47">
        <v>21.208333333328483</v>
      </c>
      <c r="K47">
        <v>2489280</v>
      </c>
      <c r="L47">
        <v>2136586.7866553036</v>
      </c>
      <c r="M47">
        <f t="shared" si="1"/>
        <v>0.94259259259237704</v>
      </c>
      <c r="N47">
        <f t="shared" si="2"/>
        <v>0.85831517011155978</v>
      </c>
    </row>
    <row r="48" spans="6:14" x14ac:dyDescent="0.25">
      <c r="F48" t="s">
        <v>132</v>
      </c>
      <c r="G48">
        <v>0.64166666666424277</v>
      </c>
      <c r="H48">
        <v>-13556.624111498706</v>
      </c>
      <c r="I48">
        <v>17.100000000000001</v>
      </c>
      <c r="J48">
        <v>16.458333333335759</v>
      </c>
      <c r="K48">
        <v>2254026</v>
      </c>
      <c r="L48">
        <v>2267582.6241114987</v>
      </c>
      <c r="M48">
        <f t="shared" si="1"/>
        <v>0.96247563352840682</v>
      </c>
      <c r="N48">
        <f t="shared" si="2"/>
        <v>1.00601440449733</v>
      </c>
    </row>
    <row r="49" spans="6:14" x14ac:dyDescent="0.25">
      <c r="F49" t="s">
        <v>170</v>
      </c>
      <c r="M49">
        <v>0</v>
      </c>
      <c r="N49">
        <v>0</v>
      </c>
    </row>
    <row r="50" spans="6:14" x14ac:dyDescent="0.25">
      <c r="M50">
        <v>100</v>
      </c>
      <c r="N50">
        <v>100</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2B7F-01AA-40C0-9B62-6F3AD0037E0F}">
  <dimension ref="A1:CL32"/>
  <sheetViews>
    <sheetView zoomScale="85" zoomScaleNormal="85" workbookViewId="0">
      <pane xSplit="6" topLeftCell="BG1" activePane="topRight" state="frozen"/>
      <selection pane="topRight" activeCell="BG5" sqref="BG5"/>
    </sheetView>
  </sheetViews>
  <sheetFormatPr defaultColWidth="10.7109375" defaultRowHeight="15" customHeight="1" x14ac:dyDescent="0.25"/>
  <cols>
    <col min="1" max="1" width="9.28515625" style="1" customWidth="1"/>
    <col min="2" max="2" width="12.140625" style="1" bestFit="1" customWidth="1"/>
    <col min="3" max="3" width="18.5703125" style="1" bestFit="1" customWidth="1"/>
    <col min="4" max="4" width="10.7109375" style="1"/>
    <col min="5" max="5" width="13.28515625" style="1" bestFit="1" customWidth="1"/>
    <col min="6" max="6" width="17.28515625" style="1" bestFit="1" customWidth="1"/>
    <col min="7" max="7" width="18.5703125" style="1" bestFit="1" customWidth="1"/>
    <col min="8" max="8" width="19.85546875" style="1" bestFit="1" customWidth="1"/>
    <col min="9" max="9" width="20.28515625" style="1" bestFit="1" customWidth="1"/>
    <col min="10" max="10" width="16.28515625" style="1" bestFit="1" customWidth="1"/>
    <col min="11" max="11" width="21.5703125" style="1" bestFit="1" customWidth="1"/>
    <col min="12" max="12" width="13.28515625" style="1" bestFit="1" customWidth="1"/>
    <col min="13" max="13" width="11.85546875" style="1" bestFit="1" customWidth="1"/>
    <col min="14" max="14" width="16.5703125" style="1" bestFit="1" customWidth="1"/>
    <col min="15" max="64" width="5.7109375" style="1" customWidth="1"/>
    <col min="65" max="65" width="14.85546875" style="1" bestFit="1" customWidth="1"/>
    <col min="66" max="66" width="13.42578125" style="1" bestFit="1" customWidth="1"/>
    <col min="67" max="67" width="15.5703125" style="1" bestFit="1" customWidth="1"/>
    <col min="68" max="68" width="31" style="4" bestFit="1" customWidth="1"/>
    <col min="69" max="69" width="20.85546875" style="2" bestFit="1" customWidth="1"/>
    <col min="70" max="70" width="16.28515625" style="5" bestFit="1" customWidth="1"/>
    <col min="71" max="71" width="26.7109375" style="1" bestFit="1" customWidth="1"/>
    <col min="72" max="72" width="27.42578125" style="1" bestFit="1" customWidth="1"/>
    <col min="73" max="73" width="29.140625" style="1" bestFit="1" customWidth="1"/>
    <col min="74" max="74" width="30" style="1" bestFit="1" customWidth="1"/>
    <col min="75" max="75" width="30.7109375" style="1" bestFit="1" customWidth="1"/>
    <col min="76" max="76" width="32.5703125" style="3" bestFit="1" customWidth="1"/>
    <col min="77" max="77" width="28.140625" style="1" bestFit="1" customWidth="1"/>
    <col min="78" max="78" width="28.7109375" style="1" bestFit="1" customWidth="1"/>
    <col min="79" max="79" width="30.42578125" style="1" bestFit="1" customWidth="1"/>
    <col min="80" max="80" width="32.140625" style="1" bestFit="1" customWidth="1"/>
    <col min="81" max="81" width="32.7109375" style="1" bestFit="1" customWidth="1"/>
    <col min="82" max="82" width="34.42578125" style="1" bestFit="1" customWidth="1"/>
    <col min="83" max="83" width="30.7109375" style="1" bestFit="1" customWidth="1"/>
    <col min="84" max="84" width="24" style="1" bestFit="1" customWidth="1"/>
    <col min="85" max="85" width="24.7109375" style="1" bestFit="1" customWidth="1"/>
    <col min="86" max="86" width="26.28515625" style="1" bestFit="1" customWidth="1"/>
    <col min="87" max="87" width="26.28515625" style="1" customWidth="1"/>
    <col min="88" max="88" width="20.7109375" style="2" bestFit="1" customWidth="1"/>
    <col min="89" max="89" width="19.85546875" style="5" bestFit="1" customWidth="1"/>
    <col min="90" max="90" width="19.5703125" style="5" bestFit="1" customWidth="1"/>
    <col min="91" max="91" width="20.7109375" style="1" bestFit="1" customWidth="1"/>
    <col min="92" max="92" width="12.85546875" style="1" bestFit="1" customWidth="1"/>
    <col min="93" max="16384" width="10.7109375" style="1"/>
  </cols>
  <sheetData>
    <row r="1" spans="1:90" ht="15" customHeight="1" x14ac:dyDescent="0.25">
      <c r="A1" s="15" t="s">
        <v>133</v>
      </c>
      <c r="B1" s="15" t="s">
        <v>133</v>
      </c>
      <c r="C1" s="15" t="s">
        <v>133</v>
      </c>
      <c r="D1" s="15" t="s">
        <v>133</v>
      </c>
      <c r="E1" s="15" t="s">
        <v>133</v>
      </c>
      <c r="F1" s="15" t="s">
        <v>133</v>
      </c>
      <c r="G1" s="15" t="s">
        <v>133</v>
      </c>
      <c r="H1" s="15" t="s">
        <v>133</v>
      </c>
      <c r="I1" s="15" t="s">
        <v>133</v>
      </c>
      <c r="J1" s="15" t="s">
        <v>133</v>
      </c>
      <c r="K1" s="15" t="s">
        <v>133</v>
      </c>
      <c r="L1" s="15" t="s">
        <v>133</v>
      </c>
      <c r="M1" s="15" t="s">
        <v>133</v>
      </c>
      <c r="N1" s="15" t="s">
        <v>133</v>
      </c>
    </row>
    <row r="2" spans="1:90" x14ac:dyDescent="0.25">
      <c r="A2" s="1" t="s">
        <v>0</v>
      </c>
      <c r="B2" s="1" t="s">
        <v>1</v>
      </c>
      <c r="C2" s="1" t="s">
        <v>2</v>
      </c>
      <c r="D2" s="1" t="s">
        <v>3</v>
      </c>
      <c r="E2" s="1" t="s">
        <v>6</v>
      </c>
      <c r="F2" s="1" t="s">
        <v>19</v>
      </c>
      <c r="G2" s="1" t="s">
        <v>7</v>
      </c>
      <c r="H2" s="1" t="s">
        <v>8</v>
      </c>
      <c r="I2" s="1" t="s">
        <v>13</v>
      </c>
      <c r="J2" s="1" t="s">
        <v>9</v>
      </c>
      <c r="K2" s="1" t="s">
        <v>10</v>
      </c>
      <c r="L2" s="1" t="s">
        <v>11</v>
      </c>
      <c r="M2" s="1" t="s">
        <v>12</v>
      </c>
      <c r="N2" s="1" t="s">
        <v>311</v>
      </c>
      <c r="O2" s="1" t="s">
        <v>67</v>
      </c>
      <c r="P2" s="1" t="s">
        <v>68</v>
      </c>
      <c r="Q2" s="1" t="s">
        <v>69</v>
      </c>
      <c r="R2" s="1" t="s">
        <v>84</v>
      </c>
      <c r="S2" s="1" t="s">
        <v>85</v>
      </c>
      <c r="T2" s="1" t="s">
        <v>86</v>
      </c>
      <c r="U2" s="1" t="s">
        <v>87</v>
      </c>
      <c r="V2" s="1" t="s">
        <v>88</v>
      </c>
      <c r="W2" s="1" t="s">
        <v>89</v>
      </c>
      <c r="X2" s="1" t="s">
        <v>90</v>
      </c>
      <c r="Y2" s="1" t="s">
        <v>91</v>
      </c>
      <c r="Z2" s="1" t="s">
        <v>92</v>
      </c>
      <c r="AA2" s="1" t="s">
        <v>63</v>
      </c>
      <c r="AB2" s="1" t="s">
        <v>64</v>
      </c>
      <c r="AC2" s="1" t="s">
        <v>70</v>
      </c>
      <c r="AD2" s="1" t="s">
        <v>65</v>
      </c>
      <c r="AE2" s="1" t="s">
        <v>66</v>
      </c>
      <c r="AF2" s="1" t="s">
        <v>71</v>
      </c>
      <c r="AG2" s="1" t="s">
        <v>93</v>
      </c>
      <c r="AH2" s="1" t="s">
        <v>94</v>
      </c>
      <c r="AI2" s="1" t="s">
        <v>95</v>
      </c>
      <c r="AJ2" s="1" t="s">
        <v>96</v>
      </c>
      <c r="AK2" s="1" t="s">
        <v>97</v>
      </c>
      <c r="AL2" s="1" t="s">
        <v>98</v>
      </c>
      <c r="AM2" s="1" t="s">
        <v>99</v>
      </c>
      <c r="AN2" s="1" t="s">
        <v>100</v>
      </c>
      <c r="AO2" s="1" t="s">
        <v>101</v>
      </c>
      <c r="AP2" s="1" t="s">
        <v>102</v>
      </c>
      <c r="AQ2" s="1" t="s">
        <v>103</v>
      </c>
      <c r="AR2" s="1" t="s">
        <v>104</v>
      </c>
      <c r="AS2" s="1" t="s">
        <v>105</v>
      </c>
      <c r="AT2" s="1" t="s">
        <v>106</v>
      </c>
      <c r="AU2" s="1" t="s">
        <v>107</v>
      </c>
      <c r="AV2" s="1" t="s">
        <v>108</v>
      </c>
      <c r="AW2" s="1" t="s">
        <v>109</v>
      </c>
      <c r="AX2" s="1" t="s">
        <v>110</v>
      </c>
      <c r="AY2" s="1" t="s">
        <v>111</v>
      </c>
      <c r="AZ2" s="1" t="s">
        <v>112</v>
      </c>
      <c r="BA2" s="1" t="s">
        <v>72</v>
      </c>
      <c r="BB2" s="1" t="s">
        <v>73</v>
      </c>
      <c r="BC2" s="1" t="s">
        <v>74</v>
      </c>
      <c r="BD2" s="1" t="s">
        <v>75</v>
      </c>
      <c r="BE2" s="1" t="s">
        <v>76</v>
      </c>
      <c r="BF2" s="1" t="s">
        <v>77</v>
      </c>
      <c r="BG2" s="1" t="s">
        <v>78</v>
      </c>
      <c r="BH2" s="1" t="s">
        <v>83</v>
      </c>
      <c r="BI2" s="1" t="s">
        <v>79</v>
      </c>
      <c r="BJ2" s="1" t="s">
        <v>80</v>
      </c>
      <c r="BK2" s="1" t="s">
        <v>81</v>
      </c>
      <c r="BL2" s="1" t="s">
        <v>82</v>
      </c>
      <c r="BM2" s="1" t="s">
        <v>121</v>
      </c>
      <c r="BN2" s="1" t="s">
        <v>122</v>
      </c>
      <c r="BO2" s="1" t="s">
        <v>123</v>
      </c>
      <c r="BP2" s="1" t="s">
        <v>36</v>
      </c>
      <c r="BQ2" s="1"/>
      <c r="BR2" s="1"/>
      <c r="BX2" s="1"/>
      <c r="CJ2" s="1"/>
      <c r="CK2" s="1"/>
      <c r="CL2" s="1"/>
    </row>
    <row r="3" spans="1:90" ht="15" customHeight="1" x14ac:dyDescent="0.25">
      <c r="A3" s="1">
        <f>MainData[[#This Row],[No.]]</f>
        <v>1</v>
      </c>
      <c r="B3" s="1" t="str">
        <f>MainData[[#This Row],[KKKS]]</f>
        <v>P</v>
      </c>
      <c r="C3" s="1" t="str">
        <f>MainData[[#This Row],[Wilayah Kerja]]</f>
        <v>Indonesia</v>
      </c>
      <c r="D3" s="1" t="str">
        <f>MainData[[#This Row],[Asset]]</f>
        <v>Zone F</v>
      </c>
      <c r="E3" s="1" t="str">
        <f>MainData[[#This Row],[Field]]</f>
        <v>J</v>
      </c>
      <c r="F3" s="1" t="str">
        <f>MainData[[#This Row],[Nama Sumur]]</f>
        <v>J1</v>
      </c>
      <c r="G3" s="1" t="str">
        <f>MainData[[#This Row],[C/F, C/O, New]]</f>
        <v>C/F</v>
      </c>
      <c r="H3" s="1" t="str">
        <f>MainData[[#This Row],[Jenis Pekerjaan]]</f>
        <v>New Well</v>
      </c>
      <c r="I3" s="1" t="str">
        <f>MainData[[#This Row],[Kategori Sumur]]</f>
        <v>Development</v>
      </c>
      <c r="J3" s="1" t="str">
        <f>MainData[[#This Row],[Tipe Sumur]]</f>
        <v>Directional</v>
      </c>
      <c r="K3" s="1" t="str">
        <f>MainData[[#This Row],[Nama Rig]]</f>
        <v>P#42.3</v>
      </c>
      <c r="L3" s="1" t="str">
        <f>MainData[[#This Row],[Tipe Rig]]</f>
        <v>Rig Darat</v>
      </c>
      <c r="M3" s="1">
        <f>MainData[[#This Row],[HP Rig]]</f>
        <v>1000</v>
      </c>
      <c r="N3" s="6">
        <f>MainData[[#This Row],[WP&amp;B 2022]]</f>
        <v>44734</v>
      </c>
      <c r="BM3" s="1">
        <f>SUM(NPTData[[#This Row],[2g - Well Control Operations / Situation]:[31b - Other Completions Problem Time]])</f>
        <v>0</v>
      </c>
      <c r="BN3" s="1">
        <f>NPTData[[#This Row],[Total Time (hours)]]-NPTData[[#This Row],[Total NPT (hours)]]</f>
        <v>0</v>
      </c>
      <c r="BP3" s="1"/>
      <c r="BQ3" s="1"/>
      <c r="BR3" s="1"/>
      <c r="BX3" s="1"/>
      <c r="CJ3" s="1"/>
      <c r="CK3" s="1"/>
      <c r="CL3" s="1"/>
    </row>
    <row r="4" spans="1:90" ht="15" customHeight="1" x14ac:dyDescent="0.25">
      <c r="A4" s="1">
        <f>MainData[[#This Row],[No.]]</f>
        <v>2</v>
      </c>
      <c r="B4" s="1" t="str">
        <f>MainData[[#This Row],[KKKS]]</f>
        <v>P</v>
      </c>
      <c r="C4" s="1" t="str">
        <f>MainData[[#This Row],[Wilayah Kerja]]</f>
        <v>Indonesia</v>
      </c>
      <c r="D4" s="1" t="str">
        <f>MainData[[#This Row],[Asset]]</f>
        <v>Zone F</v>
      </c>
      <c r="E4" s="1" t="str">
        <f>MainData[[#This Row],[Field]]</f>
        <v>J</v>
      </c>
      <c r="F4" s="1" t="str">
        <f>MainData[[#This Row],[Nama Sumur]]</f>
        <v>J2</v>
      </c>
      <c r="G4" s="1" t="str">
        <f>MainData[[#This Row],[C/F, C/O, New]]</f>
        <v>C/F</v>
      </c>
      <c r="H4" s="1" t="str">
        <f>MainData[[#This Row],[Jenis Pekerjaan]]</f>
        <v>New Well</v>
      </c>
      <c r="I4" s="1" t="str">
        <f>MainData[[#This Row],[Kategori Sumur]]</f>
        <v>Development</v>
      </c>
      <c r="J4" s="1" t="str">
        <f>MainData[[#This Row],[Tipe Sumur]]</f>
        <v>Vertical</v>
      </c>
      <c r="K4" s="1" t="str">
        <f>MainData[[#This Row],[Nama Rig]]</f>
        <v>N#1</v>
      </c>
      <c r="L4" s="1" t="str">
        <f>MainData[[#This Row],[Tipe Rig]]</f>
        <v>Rig Darat</v>
      </c>
      <c r="M4" s="1">
        <f>MainData[[#This Row],[HP Rig]]</f>
        <v>550</v>
      </c>
      <c r="N4" s="6">
        <f>MainData[[#This Row],[WP&amp;B 2022]]</f>
        <v>44607</v>
      </c>
      <c r="AL4" s="1">
        <v>8</v>
      </c>
      <c r="BM4" s="1">
        <f>SUM(NPTData[[#This Row],[2g - Well Control Operations / Situation]:[31b - Other Completions Problem Time]])</f>
        <v>8</v>
      </c>
      <c r="BN4" s="1">
        <f>NPTData[[#This Row],[Total Time (hours)]]-NPTData[[#This Row],[Total NPT (hours)]]</f>
        <v>620</v>
      </c>
      <c r="BO4" s="1">
        <v>628</v>
      </c>
      <c r="BP4" s="1"/>
      <c r="BQ4" s="1"/>
      <c r="BR4" s="1"/>
      <c r="BX4" s="1"/>
      <c r="CJ4" s="1"/>
      <c r="CK4" s="1"/>
      <c r="CL4" s="1"/>
    </row>
    <row r="5" spans="1:90" ht="15" customHeight="1" x14ac:dyDescent="0.25">
      <c r="A5" s="1">
        <f>MainData[[#This Row],[No.]]</f>
        <v>3</v>
      </c>
      <c r="B5" s="1" t="str">
        <f>MainData[[#This Row],[KKKS]]</f>
        <v>P</v>
      </c>
      <c r="C5" s="1" t="str">
        <f>MainData[[#This Row],[Wilayah Kerja]]</f>
        <v>Indonesia</v>
      </c>
      <c r="D5" s="1" t="str">
        <f>MainData[[#This Row],[Asset]]</f>
        <v>Zone F</v>
      </c>
      <c r="E5" s="1" t="str">
        <f>MainData[[#This Row],[Field]]</f>
        <v>J</v>
      </c>
      <c r="F5" s="1" t="str">
        <f>MainData[[#This Row],[Nama Sumur]]</f>
        <v>J3</v>
      </c>
      <c r="G5" s="1" t="str">
        <f>MainData[[#This Row],[C/F, C/O, New]]</f>
        <v>C/F</v>
      </c>
      <c r="H5" s="1" t="str">
        <f>MainData[[#This Row],[Jenis Pekerjaan]]</f>
        <v>New Well</v>
      </c>
      <c r="I5" s="1" t="str">
        <f>MainData[[#This Row],[Kategori Sumur]]</f>
        <v>Development</v>
      </c>
      <c r="J5" s="1" t="str">
        <f>MainData[[#This Row],[Tipe Sumur]]</f>
        <v>Directional</v>
      </c>
      <c r="K5" s="1" t="str">
        <f>MainData[[#This Row],[Nama Rig]]</f>
        <v>P#17</v>
      </c>
      <c r="L5" s="1" t="str">
        <f>MainData[[#This Row],[Tipe Rig]]</f>
        <v>Rig Darat</v>
      </c>
      <c r="M5" s="1">
        <f>MainData[[#This Row],[HP Rig]]</f>
        <v>550</v>
      </c>
      <c r="N5" s="6">
        <f>MainData[[#This Row],[WP&amp;B 2022]]</f>
        <v>44806</v>
      </c>
      <c r="BM5" s="1">
        <f>SUM(NPTData[[#This Row],[2g - Well Control Operations / Situation]:[31b - Other Completions Problem Time]])</f>
        <v>0</v>
      </c>
      <c r="BN5" s="1">
        <f>NPTData[[#This Row],[Total Time (hours)]]-NPTData[[#This Row],[Total NPT (hours)]]</f>
        <v>0</v>
      </c>
      <c r="BP5" s="1"/>
      <c r="BQ5" s="1"/>
      <c r="BR5" s="1"/>
      <c r="BX5" s="1"/>
      <c r="CJ5" s="1"/>
      <c r="CK5" s="1"/>
      <c r="CL5" s="1"/>
    </row>
    <row r="6" spans="1:90" ht="15" customHeight="1" x14ac:dyDescent="0.25">
      <c r="A6" s="1">
        <f>MainData[[#This Row],[No.]]</f>
        <v>4</v>
      </c>
      <c r="B6" s="1" t="str">
        <f>MainData[[#This Row],[KKKS]]</f>
        <v>P</v>
      </c>
      <c r="C6" s="1" t="str">
        <f>MainData[[#This Row],[Wilayah Kerja]]</f>
        <v>Indonesia</v>
      </c>
      <c r="D6" s="1" t="str">
        <f>MainData[[#This Row],[Asset]]</f>
        <v>Zone F</v>
      </c>
      <c r="E6" s="1" t="str">
        <f>MainData[[#This Row],[Field]]</f>
        <v>J</v>
      </c>
      <c r="F6" s="1" t="str">
        <f>MainData[[#This Row],[Nama Sumur]]</f>
        <v>J4</v>
      </c>
      <c r="G6" s="1" t="str">
        <f>MainData[[#This Row],[C/F, C/O, New]]</f>
        <v>New</v>
      </c>
      <c r="H6" s="1" t="str">
        <f>MainData[[#This Row],[Jenis Pekerjaan]]</f>
        <v>New Well</v>
      </c>
      <c r="I6" s="1" t="str">
        <f>MainData[[#This Row],[Kategori Sumur]]</f>
        <v>Development</v>
      </c>
      <c r="J6" s="1" t="str">
        <f>MainData[[#This Row],[Tipe Sumur]]</f>
        <v>Vertical</v>
      </c>
      <c r="K6" s="1" t="str">
        <f>MainData[[#This Row],[Nama Rig]]</f>
        <v>N#1</v>
      </c>
      <c r="L6" s="1" t="str">
        <f>MainData[[#This Row],[Tipe Rig]]</f>
        <v>Rig Darat</v>
      </c>
      <c r="M6" s="1">
        <f>MainData[[#This Row],[HP Rig]]</f>
        <v>550</v>
      </c>
      <c r="N6" s="6">
        <f>MainData[[#This Row],[WP&amp;B 2022]]</f>
        <v>44757</v>
      </c>
      <c r="BM6" s="1">
        <f>SUM(NPTData[[#This Row],[2g - Well Control Operations / Situation]:[31b - Other Completions Problem Time]])</f>
        <v>0</v>
      </c>
      <c r="BN6" s="1">
        <f>NPTData[[#This Row],[Total Time (hours)]]-NPTData[[#This Row],[Total NPT (hours)]]</f>
        <v>466</v>
      </c>
      <c r="BO6" s="1">
        <v>466</v>
      </c>
      <c r="BP6" s="1"/>
      <c r="BQ6" s="1"/>
      <c r="BR6" s="1"/>
      <c r="BX6" s="1"/>
      <c r="CJ6" s="1"/>
      <c r="CK6" s="1"/>
      <c r="CL6" s="1"/>
    </row>
    <row r="7" spans="1:90" ht="15" customHeight="1" x14ac:dyDescent="0.25">
      <c r="A7" s="1">
        <f>MainData[[#This Row],[No.]]</f>
        <v>5</v>
      </c>
      <c r="B7" s="1" t="str">
        <f>MainData[[#This Row],[KKKS]]</f>
        <v>P</v>
      </c>
      <c r="C7" s="1" t="str">
        <f>MainData[[#This Row],[Wilayah Kerja]]</f>
        <v>Indonesia</v>
      </c>
      <c r="D7" s="1" t="str">
        <f>MainData[[#This Row],[Asset]]</f>
        <v>Zone F</v>
      </c>
      <c r="E7" s="1" t="str">
        <f>MainData[[#This Row],[Field]]</f>
        <v>R</v>
      </c>
      <c r="F7" s="1" t="str">
        <f>MainData[[#This Row],[Nama Sumur]]</f>
        <v>R1</v>
      </c>
      <c r="G7" s="1" t="str">
        <f>MainData[[#This Row],[C/F, C/O, New]]</f>
        <v>New</v>
      </c>
      <c r="H7" s="1" t="str">
        <f>MainData[[#This Row],[Jenis Pekerjaan]]</f>
        <v>New Well</v>
      </c>
      <c r="I7" s="1" t="str">
        <f>MainData[[#This Row],[Kategori Sumur]]</f>
        <v>Development</v>
      </c>
      <c r="J7" s="1" t="str">
        <f>MainData[[#This Row],[Tipe Sumur]]</f>
        <v>Directional</v>
      </c>
      <c r="K7" s="1" t="str">
        <f>MainData[[#This Row],[Nama Rig]]</f>
        <v>T#12</v>
      </c>
      <c r="L7" s="1" t="str">
        <f>MainData[[#This Row],[Tipe Rig]]</f>
        <v>Rig Darat</v>
      </c>
      <c r="M7" s="1">
        <f>MainData[[#This Row],[HP Rig]]</f>
        <v>550</v>
      </c>
      <c r="N7" s="6">
        <f>MainData[[#This Row],[WP&amp;B 2022]]</f>
        <v>44696</v>
      </c>
      <c r="BM7" s="1">
        <f>SUM(NPTData[[#This Row],[2g - Well Control Operations / Situation]:[31b - Other Completions Problem Time]])</f>
        <v>0</v>
      </c>
      <c r="BN7" s="1">
        <f>NPTData[[#This Row],[Total Time (hours)]]-NPTData[[#This Row],[Total NPT (hours)]]</f>
        <v>0</v>
      </c>
      <c r="BP7" s="1"/>
      <c r="BQ7" s="1"/>
      <c r="BR7" s="1"/>
      <c r="BX7" s="1"/>
      <c r="CJ7" s="1"/>
      <c r="CK7" s="1"/>
      <c r="CL7" s="1"/>
    </row>
    <row r="8" spans="1:90" ht="15" customHeight="1" x14ac:dyDescent="0.25">
      <c r="A8" s="1">
        <f>MainData[[#This Row],[No.]]</f>
        <v>6</v>
      </c>
      <c r="B8" s="1" t="str">
        <f>MainData[[#This Row],[KKKS]]</f>
        <v>P</v>
      </c>
      <c r="C8" s="1" t="str">
        <f>MainData[[#This Row],[Wilayah Kerja]]</f>
        <v>Indonesia</v>
      </c>
      <c r="D8" s="1" t="str">
        <f>MainData[[#This Row],[Asset]]</f>
        <v>Zone F</v>
      </c>
      <c r="E8" s="1" t="str">
        <f>MainData[[#This Row],[Field]]</f>
        <v>R</v>
      </c>
      <c r="F8" s="1" t="str">
        <f>MainData[[#This Row],[Nama Sumur]]</f>
        <v>R2</v>
      </c>
      <c r="G8" s="1" t="str">
        <f>MainData[[#This Row],[C/F, C/O, New]]</f>
        <v>New</v>
      </c>
      <c r="H8" s="1" t="str">
        <f>MainData[[#This Row],[Jenis Pekerjaan]]</f>
        <v>New Well</v>
      </c>
      <c r="I8" s="1" t="str">
        <f>MainData[[#This Row],[Kategori Sumur]]</f>
        <v>Development</v>
      </c>
      <c r="J8" s="1" t="str">
        <f>MainData[[#This Row],[Tipe Sumur]]</f>
        <v>Directional</v>
      </c>
      <c r="K8" s="1" t="str">
        <f>MainData[[#This Row],[Nama Rig]]</f>
        <v>T#12</v>
      </c>
      <c r="L8" s="1" t="str">
        <f>MainData[[#This Row],[Tipe Rig]]</f>
        <v>Rig Darat</v>
      </c>
      <c r="M8" s="1">
        <f>MainData[[#This Row],[HP Rig]]</f>
        <v>550</v>
      </c>
      <c r="N8" s="6">
        <f>MainData[[#This Row],[WP&amp;B 2022]]</f>
        <v>44653</v>
      </c>
      <c r="T8" s="1">
        <v>2</v>
      </c>
      <c r="V8" s="1">
        <v>66.5</v>
      </c>
      <c r="W8" s="1">
        <v>14.5</v>
      </c>
      <c r="X8" s="1">
        <v>13</v>
      </c>
      <c r="BM8" s="1">
        <f>SUM(NPTData[[#This Row],[2g - Well Control Operations / Situation]:[31b - Other Completions Problem Time]])</f>
        <v>96</v>
      </c>
      <c r="BN8" s="1">
        <f>NPTData[[#This Row],[Total Time (hours)]]-NPTData[[#This Row],[Total NPT (hours)]]</f>
        <v>726</v>
      </c>
      <c r="BO8" s="1">
        <v>822</v>
      </c>
      <c r="BP8" s="1"/>
      <c r="BQ8" s="1"/>
      <c r="BR8" s="26"/>
      <c r="BS8" s="26"/>
      <c r="BX8" s="1"/>
      <c r="CJ8" s="1"/>
      <c r="CK8" s="1"/>
      <c r="CL8" s="1"/>
    </row>
    <row r="9" spans="1:90" ht="15" customHeight="1" x14ac:dyDescent="0.25">
      <c r="A9" s="1">
        <f>MainData[[#This Row],[No.]]</f>
        <v>7</v>
      </c>
      <c r="B9" s="1" t="str">
        <f>MainData[[#This Row],[KKKS]]</f>
        <v>P</v>
      </c>
      <c r="C9" s="1" t="str">
        <f>MainData[[#This Row],[Wilayah Kerja]]</f>
        <v>Indonesia</v>
      </c>
      <c r="D9" s="1" t="str">
        <f>MainData[[#This Row],[Asset]]</f>
        <v>Zone F</v>
      </c>
      <c r="E9" s="1" t="str">
        <f>MainData[[#This Row],[Field]]</f>
        <v>R</v>
      </c>
      <c r="F9" s="1" t="str">
        <f>MainData[[#This Row],[Nama Sumur]]</f>
        <v>R3</v>
      </c>
      <c r="G9" s="1" t="str">
        <f>MainData[[#This Row],[C/F, C/O, New]]</f>
        <v>New</v>
      </c>
      <c r="H9" s="1" t="str">
        <f>MainData[[#This Row],[Jenis Pekerjaan]]</f>
        <v>New Well</v>
      </c>
      <c r="I9" s="1" t="str">
        <f>MainData[[#This Row],[Kategori Sumur]]</f>
        <v>Development</v>
      </c>
      <c r="J9" s="1" t="str">
        <f>MainData[[#This Row],[Tipe Sumur]]</f>
        <v>Vertical</v>
      </c>
      <c r="K9" s="1" t="str">
        <f>MainData[[#This Row],[Nama Rig]]</f>
        <v>T#12</v>
      </c>
      <c r="L9" s="1" t="str">
        <f>MainData[[#This Row],[Tipe Rig]]</f>
        <v>Rig Darat</v>
      </c>
      <c r="M9" s="1">
        <f>MainData[[#This Row],[HP Rig]]</f>
        <v>550</v>
      </c>
      <c r="N9" s="6">
        <f>MainData[[#This Row],[WP&amp;B 2022]]</f>
        <v>44744</v>
      </c>
      <c r="T9" s="1">
        <v>23</v>
      </c>
      <c r="AA9" s="1">
        <v>3</v>
      </c>
      <c r="BG9" s="1">
        <v>1</v>
      </c>
      <c r="BH9" s="1">
        <v>1</v>
      </c>
      <c r="BM9" s="1">
        <f>SUM(NPTData[[#This Row],[2g - Well Control Operations / Situation]:[31b - Other Completions Problem Time]])</f>
        <v>28</v>
      </c>
      <c r="BN9" s="1">
        <f>NPTData[[#This Row],[Total Time (hours)]]-NPTData[[#This Row],[Total NPT (hours)]]</f>
        <v>517</v>
      </c>
      <c r="BO9" s="1">
        <v>545</v>
      </c>
      <c r="BP9" s="1"/>
      <c r="BQ9" s="1"/>
      <c r="BR9" s="26"/>
      <c r="BS9" s="26"/>
      <c r="BX9" s="1"/>
      <c r="CJ9" s="1"/>
      <c r="CK9" s="1"/>
      <c r="CL9" s="1"/>
    </row>
    <row r="10" spans="1:90" ht="15" customHeight="1" x14ac:dyDescent="0.25">
      <c r="A10" s="1">
        <f>MainData[[#This Row],[No.]]</f>
        <v>8</v>
      </c>
      <c r="B10" s="1" t="str">
        <f>MainData[[#This Row],[KKKS]]</f>
        <v>P</v>
      </c>
      <c r="C10" s="1" t="str">
        <f>MainData[[#This Row],[Wilayah Kerja]]</f>
        <v>Indonesia</v>
      </c>
      <c r="D10" s="1" t="str">
        <f>MainData[[#This Row],[Asset]]</f>
        <v>Zone F</v>
      </c>
      <c r="E10" s="1" t="str">
        <f>MainData[[#This Row],[Field]]</f>
        <v>R</v>
      </c>
      <c r="F10" s="1" t="str">
        <f>MainData[[#This Row],[Nama Sumur]]</f>
        <v>R4</v>
      </c>
      <c r="G10" s="1" t="str">
        <f>MainData[[#This Row],[C/F, C/O, New]]</f>
        <v>New</v>
      </c>
      <c r="H10" s="1" t="str">
        <f>MainData[[#This Row],[Jenis Pekerjaan]]</f>
        <v>New Well</v>
      </c>
      <c r="I10" s="1" t="str">
        <f>MainData[[#This Row],[Kategori Sumur]]</f>
        <v>Development</v>
      </c>
      <c r="J10" s="1" t="str">
        <f>MainData[[#This Row],[Tipe Sumur]]</f>
        <v>Vertical</v>
      </c>
      <c r="K10" s="1" t="str">
        <f>MainData[[#This Row],[Nama Rig]]</f>
        <v>T#12</v>
      </c>
      <c r="L10" s="1" t="str">
        <f>MainData[[#This Row],[Tipe Rig]]</f>
        <v>Rig Darat</v>
      </c>
      <c r="M10" s="1">
        <f>MainData[[#This Row],[HP Rig]]</f>
        <v>550</v>
      </c>
      <c r="N10" s="6">
        <f>MainData[[#This Row],[WP&amp;B 2022]]</f>
        <v>44836</v>
      </c>
      <c r="BM10" s="1">
        <f>SUM(NPTData[[#This Row],[2g - Well Control Operations / Situation]:[31b - Other Completions Problem Time]])</f>
        <v>0</v>
      </c>
      <c r="BN10" s="1">
        <f>NPTData[[#This Row],[Total Time (hours)]]-NPTData[[#This Row],[Total NPT (hours)]]</f>
        <v>0</v>
      </c>
      <c r="BP10" s="1"/>
      <c r="BQ10" s="1"/>
      <c r="BR10" s="1"/>
      <c r="BX10" s="1"/>
      <c r="CJ10" s="1"/>
      <c r="CK10" s="1"/>
      <c r="CL10" s="1"/>
    </row>
    <row r="11" spans="1:90" ht="15" customHeight="1" x14ac:dyDescent="0.25">
      <c r="A11" s="1">
        <f>MainData[[#This Row],[No.]]</f>
        <v>9</v>
      </c>
      <c r="B11" s="1" t="str">
        <f>MainData[[#This Row],[KKKS]]</f>
        <v>P</v>
      </c>
      <c r="C11" s="1" t="str">
        <f>MainData[[#This Row],[Wilayah Kerja]]</f>
        <v>Indonesia</v>
      </c>
      <c r="D11" s="1" t="str">
        <f>MainData[[#This Row],[Asset]]</f>
        <v>Zone F</v>
      </c>
      <c r="E11" s="1" t="str">
        <f>MainData[[#This Row],[Field]]</f>
        <v>R</v>
      </c>
      <c r="F11" s="1" t="str">
        <f>MainData[[#This Row],[Nama Sumur]]</f>
        <v>R5</v>
      </c>
      <c r="G11" s="1" t="str">
        <f>MainData[[#This Row],[C/F, C/O, New]]</f>
        <v>New</v>
      </c>
      <c r="H11" s="1" t="str">
        <f>MainData[[#This Row],[Jenis Pekerjaan]]</f>
        <v>New Well</v>
      </c>
      <c r="I11" s="1" t="str">
        <f>MainData[[#This Row],[Kategori Sumur]]</f>
        <v>Development</v>
      </c>
      <c r="J11" s="1" t="str">
        <f>MainData[[#This Row],[Tipe Sumur]]</f>
        <v>Vertical</v>
      </c>
      <c r="K11" s="1" t="str">
        <f>MainData[[#This Row],[Nama Rig]]</f>
        <v>P#23.1</v>
      </c>
      <c r="L11" s="1" t="str">
        <f>MainData[[#This Row],[Tipe Rig]]</f>
        <v>Rig Darat</v>
      </c>
      <c r="M11" s="1">
        <f>MainData[[#This Row],[HP Rig]]</f>
        <v>400</v>
      </c>
      <c r="N11" s="6">
        <f>MainData[[#This Row],[WP&amp;B 2022]]</f>
        <v>44775</v>
      </c>
      <c r="AL11" s="1">
        <v>3</v>
      </c>
      <c r="BJ11" s="1">
        <v>20.5</v>
      </c>
      <c r="BM11" s="1">
        <f>SUM(NPTData[[#This Row],[2g - Well Control Operations / Situation]:[31b - Other Completions Problem Time]])</f>
        <v>23.5</v>
      </c>
      <c r="BN11" s="1">
        <f>NPTData[[#This Row],[Total Time (hours)]]-NPTData[[#This Row],[Total NPT (hours)]]</f>
        <v>485.5</v>
      </c>
      <c r="BO11" s="1">
        <v>509</v>
      </c>
      <c r="BP11" s="1"/>
      <c r="BQ11" s="1"/>
      <c r="BR11" s="26"/>
      <c r="BS11" s="26"/>
      <c r="BX11" s="1"/>
      <c r="CJ11" s="1"/>
      <c r="CK11" s="1"/>
      <c r="CL11" s="1"/>
    </row>
    <row r="12" spans="1:90" ht="15" customHeight="1" x14ac:dyDescent="0.25">
      <c r="A12" s="1">
        <f>MainData[[#This Row],[No.]]</f>
        <v>10</v>
      </c>
      <c r="B12" s="1" t="str">
        <f>MainData[[#This Row],[KKKS]]</f>
        <v>P</v>
      </c>
      <c r="C12" s="1" t="str">
        <f>MainData[[#This Row],[Wilayah Kerja]]</f>
        <v>Indonesia</v>
      </c>
      <c r="D12" s="1" t="str">
        <f>MainData[[#This Row],[Asset]]</f>
        <v>Zone F</v>
      </c>
      <c r="E12" s="1" t="str">
        <f>MainData[[#This Row],[Field]]</f>
        <v>R</v>
      </c>
      <c r="F12" s="1" t="str">
        <f>MainData[[#This Row],[Nama Sumur]]</f>
        <v>R6</v>
      </c>
      <c r="G12" s="1" t="str">
        <f>MainData[[#This Row],[C/F, C/O, New]]</f>
        <v>New</v>
      </c>
      <c r="H12" s="1" t="str">
        <f>MainData[[#This Row],[Jenis Pekerjaan]]</f>
        <v>New Well</v>
      </c>
      <c r="I12" s="1" t="str">
        <f>MainData[[#This Row],[Kategori Sumur]]</f>
        <v>Development</v>
      </c>
      <c r="J12" s="1" t="str">
        <f>MainData[[#This Row],[Tipe Sumur]]</f>
        <v>Vertical</v>
      </c>
      <c r="K12" s="1" t="str">
        <f>MainData[[#This Row],[Nama Rig]]</f>
        <v>P#23.1</v>
      </c>
      <c r="L12" s="1" t="str">
        <f>MainData[[#This Row],[Tipe Rig]]</f>
        <v>Rig Darat</v>
      </c>
      <c r="M12" s="1">
        <f>MainData[[#This Row],[HP Rig]]</f>
        <v>400</v>
      </c>
      <c r="N12" s="6">
        <f>MainData[[#This Row],[WP&amp;B 2022]]</f>
        <v>44880</v>
      </c>
      <c r="BM12" s="1">
        <f>SUM(NPTData[[#This Row],[2g - Well Control Operations / Situation]:[31b - Other Completions Problem Time]])</f>
        <v>0</v>
      </c>
      <c r="BN12" s="1">
        <f>NPTData[[#This Row],[Total Time (hours)]]-NPTData[[#This Row],[Total NPT (hours)]]</f>
        <v>0</v>
      </c>
      <c r="BP12" s="1"/>
      <c r="BQ12" s="1"/>
      <c r="BR12" s="1"/>
      <c r="BX12" s="1"/>
      <c r="CJ12" s="1"/>
      <c r="CK12" s="1"/>
      <c r="CL12" s="1"/>
    </row>
    <row r="13" spans="1:90" ht="15" customHeight="1" x14ac:dyDescent="0.25">
      <c r="A13" s="1">
        <f>MainData[[#This Row],[No.]]</f>
        <v>11</v>
      </c>
      <c r="B13" s="1" t="str">
        <f>MainData[[#This Row],[KKKS]]</f>
        <v>P</v>
      </c>
      <c r="C13" s="1" t="str">
        <f>MainData[[#This Row],[Wilayah Kerja]]</f>
        <v>Indonesia</v>
      </c>
      <c r="D13" s="1" t="str">
        <f>MainData[[#This Row],[Asset]]</f>
        <v>Zone F</v>
      </c>
      <c r="E13" s="1" t="str">
        <f>MainData[[#This Row],[Field]]</f>
        <v>R</v>
      </c>
      <c r="F13" s="1" t="str">
        <f>MainData[[#This Row],[Nama Sumur]]</f>
        <v>R7</v>
      </c>
      <c r="G13" s="1" t="str">
        <f>MainData[[#This Row],[C/F, C/O, New]]</f>
        <v>New</v>
      </c>
      <c r="H13" s="1" t="str">
        <f>MainData[[#This Row],[Jenis Pekerjaan]]</f>
        <v>New Well</v>
      </c>
      <c r="I13" s="1" t="str">
        <f>MainData[[#This Row],[Kategori Sumur]]</f>
        <v>Development</v>
      </c>
      <c r="J13" s="1" t="str">
        <f>MainData[[#This Row],[Tipe Sumur]]</f>
        <v>Vertical</v>
      </c>
      <c r="K13" s="1" t="str">
        <f>MainData[[#This Row],[Nama Rig]]</f>
        <v>P#23.1</v>
      </c>
      <c r="L13" s="1" t="str">
        <f>MainData[[#This Row],[Tipe Rig]]</f>
        <v>Rig Darat</v>
      </c>
      <c r="M13" s="1">
        <f>MainData[[#This Row],[HP Rig]]</f>
        <v>400</v>
      </c>
      <c r="N13" s="6">
        <f>MainData[[#This Row],[WP&amp;B 2022]]</f>
        <v>44819</v>
      </c>
      <c r="BM13" s="1">
        <f>SUM(NPTData[[#This Row],[2g - Well Control Operations / Situation]:[31b - Other Completions Problem Time]])</f>
        <v>0</v>
      </c>
      <c r="BN13" s="1">
        <f>NPTData[[#This Row],[Total Time (hours)]]-NPTData[[#This Row],[Total NPT (hours)]]</f>
        <v>0</v>
      </c>
      <c r="BP13" s="1"/>
      <c r="BQ13" s="1"/>
      <c r="BR13" s="1"/>
      <c r="BX13" s="1"/>
      <c r="CJ13" s="1"/>
      <c r="CK13" s="1"/>
      <c r="CL13" s="1"/>
    </row>
    <row r="14" spans="1:90" ht="15" customHeight="1" x14ac:dyDescent="0.25">
      <c r="A14" s="1">
        <f>MainData[[#This Row],[No.]]</f>
        <v>12</v>
      </c>
      <c r="B14" s="1" t="str">
        <f>MainData[[#This Row],[KKKS]]</f>
        <v>P</v>
      </c>
      <c r="C14" s="1" t="str">
        <f>MainData[[#This Row],[Wilayah Kerja]]</f>
        <v>Indonesia</v>
      </c>
      <c r="D14" s="1" t="str">
        <f>MainData[[#This Row],[Asset]]</f>
        <v>Zone F</v>
      </c>
      <c r="E14" s="1" t="str">
        <f>MainData[[#This Row],[Field]]</f>
        <v>R</v>
      </c>
      <c r="F14" s="1" t="str">
        <f>MainData[[#This Row],[Nama Sumur]]</f>
        <v>R8</v>
      </c>
      <c r="G14" s="1" t="str">
        <f>MainData[[#This Row],[C/F, C/O, New]]</f>
        <v>C/F</v>
      </c>
      <c r="H14" s="1" t="str">
        <f>MainData[[#This Row],[Jenis Pekerjaan]]</f>
        <v>New Well</v>
      </c>
      <c r="I14" s="1" t="str">
        <f>MainData[[#This Row],[Kategori Sumur]]</f>
        <v>Development</v>
      </c>
      <c r="J14" s="1" t="str">
        <f>MainData[[#This Row],[Tipe Sumur]]</f>
        <v>Vertical</v>
      </c>
      <c r="K14" s="1" t="str">
        <f>MainData[[#This Row],[Nama Rig]]</f>
        <v>P#23.1</v>
      </c>
      <c r="L14" s="1" t="str">
        <f>MainData[[#This Row],[Tipe Rig]]</f>
        <v>Rig Darat</v>
      </c>
      <c r="M14" s="1">
        <f>MainData[[#This Row],[HP Rig]]</f>
        <v>400</v>
      </c>
      <c r="N14" s="6">
        <f>MainData[[#This Row],[WP&amp;B 2022]]</f>
        <v>44563</v>
      </c>
      <c r="T14" s="1">
        <v>36.5</v>
      </c>
      <c r="AB14" s="1">
        <v>11</v>
      </c>
      <c r="BM14" s="1">
        <f>SUM(NPTData[[#This Row],[2g - Well Control Operations / Situation]:[31b - Other Completions Problem Time]])</f>
        <v>47.5</v>
      </c>
      <c r="BN14" s="1">
        <f>NPTData[[#This Row],[Total Time (hours)]]-NPTData[[#This Row],[Total NPT (hours)]]</f>
        <v>492.5</v>
      </c>
      <c r="BO14" s="1">
        <v>540</v>
      </c>
      <c r="BP14" s="1"/>
      <c r="BQ14" s="1"/>
      <c r="BR14" s="26"/>
      <c r="BS14" s="26"/>
      <c r="BX14" s="1"/>
      <c r="CJ14" s="1"/>
      <c r="CK14" s="1"/>
      <c r="CL14" s="1"/>
    </row>
    <row r="15" spans="1:90" ht="15" customHeight="1" x14ac:dyDescent="0.25">
      <c r="A15" s="1">
        <f>MainData[[#This Row],[No.]]</f>
        <v>13</v>
      </c>
      <c r="B15" s="1" t="str">
        <f>MainData[[#This Row],[KKKS]]</f>
        <v>P</v>
      </c>
      <c r="C15" s="1" t="str">
        <f>MainData[[#This Row],[Wilayah Kerja]]</f>
        <v>Indonesia</v>
      </c>
      <c r="D15" s="1" t="str">
        <f>MainData[[#This Row],[Asset]]</f>
        <v>Zone F</v>
      </c>
      <c r="E15" s="1" t="str">
        <f>MainData[[#This Row],[Field]]</f>
        <v>R</v>
      </c>
      <c r="F15" s="1" t="str">
        <f>MainData[[#This Row],[Nama Sumur]]</f>
        <v>R9</v>
      </c>
      <c r="G15" s="1" t="str">
        <f>MainData[[#This Row],[C/F, C/O, New]]</f>
        <v>New</v>
      </c>
      <c r="H15" s="1" t="str">
        <f>MainData[[#This Row],[Jenis Pekerjaan]]</f>
        <v>New Well</v>
      </c>
      <c r="I15" s="1" t="str">
        <f>MainData[[#This Row],[Kategori Sumur]]</f>
        <v>Development</v>
      </c>
      <c r="J15" s="1" t="str">
        <f>MainData[[#This Row],[Tipe Sumur]]</f>
        <v>Vertical</v>
      </c>
      <c r="K15" s="1" t="str">
        <f>MainData[[#This Row],[Nama Rig]]</f>
        <v>P#23.1</v>
      </c>
      <c r="L15" s="1" t="str">
        <f>MainData[[#This Row],[Tipe Rig]]</f>
        <v>Rig Darat</v>
      </c>
      <c r="M15" s="1">
        <f>MainData[[#This Row],[HP Rig]]</f>
        <v>400</v>
      </c>
      <c r="N15" s="6">
        <f>MainData[[#This Row],[WP&amp;B 2022]]</f>
        <v>44788</v>
      </c>
      <c r="BM15" s="1">
        <f>SUM(NPTData[[#This Row],[2g - Well Control Operations / Situation]:[31b - Other Completions Problem Time]])</f>
        <v>0</v>
      </c>
      <c r="BN15" s="1">
        <f>NPTData[[#This Row],[Total Time (hours)]]-NPTData[[#This Row],[Total NPT (hours)]]</f>
        <v>0</v>
      </c>
      <c r="BP15" s="1"/>
      <c r="BQ15" s="1"/>
      <c r="BR15" s="1"/>
      <c r="BX15" s="1"/>
      <c r="CJ15" s="1"/>
      <c r="CK15" s="1"/>
      <c r="CL15" s="1"/>
    </row>
    <row r="16" spans="1:90" ht="15" customHeight="1" x14ac:dyDescent="0.25">
      <c r="A16" s="1">
        <f>MainData[[#This Row],[No.]]</f>
        <v>14</v>
      </c>
      <c r="B16" s="1" t="str">
        <f>MainData[[#This Row],[KKKS]]</f>
        <v>P</v>
      </c>
      <c r="C16" s="1" t="str">
        <f>MainData[[#This Row],[Wilayah Kerja]]</f>
        <v>Indonesia</v>
      </c>
      <c r="D16" s="1" t="str">
        <f>MainData[[#This Row],[Asset]]</f>
        <v>Zone F</v>
      </c>
      <c r="E16" s="1" t="str">
        <f>MainData[[#This Row],[Field]]</f>
        <v>R</v>
      </c>
      <c r="F16" s="1" t="str">
        <f>MainData[[#This Row],[Nama Sumur]]</f>
        <v>R10</v>
      </c>
      <c r="G16" s="1" t="str">
        <f>MainData[[#This Row],[C/F, C/O, New]]</f>
        <v>New</v>
      </c>
      <c r="H16" s="1" t="str">
        <f>MainData[[#This Row],[Jenis Pekerjaan]]</f>
        <v>New Well</v>
      </c>
      <c r="I16" s="1" t="str">
        <f>MainData[[#This Row],[Kategori Sumur]]</f>
        <v>Development</v>
      </c>
      <c r="J16" s="1" t="str">
        <f>MainData[[#This Row],[Tipe Sumur]]</f>
        <v>Vertical</v>
      </c>
      <c r="K16" s="1" t="str">
        <f>MainData[[#This Row],[Nama Rig]]</f>
        <v>T#12</v>
      </c>
      <c r="L16" s="1" t="str">
        <f>MainData[[#This Row],[Tipe Rig]]</f>
        <v>Rig Darat</v>
      </c>
      <c r="M16" s="1">
        <f>MainData[[#This Row],[HP Rig]]</f>
        <v>550</v>
      </c>
      <c r="N16" s="6">
        <f>MainData[[#This Row],[WP&amp;B 2022]]</f>
        <v>44867</v>
      </c>
      <c r="O16" s="1">
        <v>144</v>
      </c>
      <c r="P16" s="1">
        <v>14</v>
      </c>
      <c r="V16" s="1">
        <v>21.5</v>
      </c>
      <c r="AE16" s="1">
        <v>52</v>
      </c>
      <c r="AF16" s="1">
        <v>38</v>
      </c>
      <c r="BJ16" s="1">
        <v>8</v>
      </c>
      <c r="BM16" s="1">
        <f>SUM(NPTData[[#This Row],[2g - Well Control Operations / Situation]:[31b - Other Completions Problem Time]])</f>
        <v>277.5</v>
      </c>
      <c r="BN16" s="1">
        <f>NPTData[[#This Row],[Total Time (hours)]]-NPTData[[#This Row],[Total NPT (hours)]]</f>
        <v>724.5</v>
      </c>
      <c r="BO16" s="1">
        <v>1002</v>
      </c>
      <c r="BP16" s="1"/>
      <c r="BQ16" s="1"/>
      <c r="BR16" s="1"/>
      <c r="BX16" s="1"/>
      <c r="CJ16" s="1"/>
      <c r="CK16" s="1"/>
      <c r="CL16" s="1"/>
    </row>
    <row r="17" spans="1:90" ht="15" customHeight="1" x14ac:dyDescent="0.25">
      <c r="A17" s="1">
        <f>MainData[[#This Row],[No.]]</f>
        <v>15</v>
      </c>
      <c r="B17" s="1" t="str">
        <f>MainData[[#This Row],[KKKS]]</f>
        <v>P</v>
      </c>
      <c r="C17" s="1" t="str">
        <f>MainData[[#This Row],[Wilayah Kerja]]</f>
        <v>Indonesia</v>
      </c>
      <c r="D17" s="1" t="str">
        <f>MainData[[#This Row],[Asset]]</f>
        <v>Zone F</v>
      </c>
      <c r="E17" s="1" t="str">
        <f>MainData[[#This Row],[Field]]</f>
        <v>R</v>
      </c>
      <c r="F17" s="1" t="str">
        <f>MainData[[#This Row],[Nama Sumur]]</f>
        <v>R11</v>
      </c>
      <c r="G17" s="1" t="str">
        <f>MainData[[#This Row],[C/F, C/O, New]]</f>
        <v>New</v>
      </c>
      <c r="H17" s="1" t="str">
        <f>MainData[[#This Row],[Jenis Pekerjaan]]</f>
        <v>New Well</v>
      </c>
      <c r="I17" s="1" t="str">
        <f>MainData[[#This Row],[Kategori Sumur]]</f>
        <v>Development</v>
      </c>
      <c r="J17" s="1" t="str">
        <f>MainData[[#This Row],[Tipe Sumur]]</f>
        <v>Vertical</v>
      </c>
      <c r="K17" s="1" t="str">
        <f>MainData[[#This Row],[Nama Rig]]</f>
        <v>P#23.1</v>
      </c>
      <c r="L17" s="1" t="str">
        <f>MainData[[#This Row],[Tipe Rig]]</f>
        <v>Rig Darat</v>
      </c>
      <c r="M17" s="1">
        <f>MainData[[#This Row],[HP Rig]]</f>
        <v>400</v>
      </c>
      <c r="N17" s="6">
        <f>MainData[[#This Row],[WP&amp;B 2022]]</f>
        <v>44635</v>
      </c>
      <c r="BM17" s="1">
        <f>SUM(NPTData[[#This Row],[2g - Well Control Operations / Situation]:[31b - Other Completions Problem Time]])</f>
        <v>0</v>
      </c>
      <c r="BN17" s="1">
        <f>NPTData[[#This Row],[Total Time (hours)]]-NPTData[[#This Row],[Total NPT (hours)]]</f>
        <v>409</v>
      </c>
      <c r="BO17" s="1">
        <v>409</v>
      </c>
      <c r="BP17" s="1"/>
      <c r="BQ17" s="1"/>
      <c r="BR17" s="26"/>
      <c r="BS17" s="26"/>
      <c r="BX17" s="1"/>
      <c r="CJ17" s="1"/>
      <c r="CK17" s="1"/>
      <c r="CL17" s="1"/>
    </row>
    <row r="18" spans="1:90" ht="15" customHeight="1" x14ac:dyDescent="0.25">
      <c r="A18" s="1">
        <f>MainData[[#This Row],[No.]]</f>
        <v>16</v>
      </c>
      <c r="B18" s="1" t="str">
        <f>MainData[[#This Row],[KKKS]]</f>
        <v>P</v>
      </c>
      <c r="C18" s="1" t="str">
        <f>MainData[[#This Row],[Wilayah Kerja]]</f>
        <v>Indonesia</v>
      </c>
      <c r="D18" s="1" t="str">
        <f>MainData[[#This Row],[Asset]]</f>
        <v>Zone F</v>
      </c>
      <c r="E18" s="1" t="str">
        <f>MainData[[#This Row],[Field]]</f>
        <v>R</v>
      </c>
      <c r="F18" s="1" t="str">
        <f>MainData[[#This Row],[Nama Sumur]]</f>
        <v>R12</v>
      </c>
      <c r="G18" s="1" t="str">
        <f>MainData[[#This Row],[C/F, C/O, New]]</f>
        <v>New</v>
      </c>
      <c r="H18" s="1" t="str">
        <f>MainData[[#This Row],[Jenis Pekerjaan]]</f>
        <v>New Well</v>
      </c>
      <c r="I18" s="1" t="str">
        <f>MainData[[#This Row],[Kategori Sumur]]</f>
        <v>Development</v>
      </c>
      <c r="J18" s="1" t="str">
        <f>MainData[[#This Row],[Tipe Sumur]]</f>
        <v>Vertical</v>
      </c>
      <c r="K18" s="1" t="str">
        <f>MainData[[#This Row],[Nama Rig]]</f>
        <v>P#23.1</v>
      </c>
      <c r="L18" s="1" t="str">
        <f>MainData[[#This Row],[Tipe Rig]]</f>
        <v>Rig Darat</v>
      </c>
      <c r="M18" s="1">
        <f>MainData[[#This Row],[HP Rig]]</f>
        <v>400</v>
      </c>
      <c r="N18" s="6">
        <f>MainData[[#This Row],[WP&amp;B 2022]]</f>
        <v>44683</v>
      </c>
      <c r="BM18" s="1">
        <f>SUM(NPTData[[#This Row],[2g - Well Control Operations / Situation]:[31b - Other Completions Problem Time]])</f>
        <v>0</v>
      </c>
      <c r="BN18" s="1">
        <f>NPTData[[#This Row],[Total Time (hours)]]-NPTData[[#This Row],[Total NPT (hours)]]</f>
        <v>486</v>
      </c>
      <c r="BO18" s="1">
        <v>486</v>
      </c>
      <c r="BP18" s="1"/>
      <c r="BQ18" s="1"/>
      <c r="BR18" s="26"/>
      <c r="BS18" s="26"/>
      <c r="BX18" s="1"/>
      <c r="CJ18" s="1"/>
      <c r="CK18" s="1"/>
      <c r="CL18" s="1"/>
    </row>
    <row r="19" spans="1:90" ht="15" customHeight="1" x14ac:dyDescent="0.25">
      <c r="A19" s="1">
        <f>MainData[[#This Row],[No.]]</f>
        <v>17</v>
      </c>
      <c r="B19" s="1" t="str">
        <f>MainData[[#This Row],[KKKS]]</f>
        <v>P</v>
      </c>
      <c r="C19" s="1" t="str">
        <f>MainData[[#This Row],[Wilayah Kerja]]</f>
        <v>Indonesia</v>
      </c>
      <c r="D19" s="1" t="str">
        <f>MainData[[#This Row],[Asset]]</f>
        <v>Zone F</v>
      </c>
      <c r="E19" s="1" t="str">
        <f>MainData[[#This Row],[Field]]</f>
        <v>R</v>
      </c>
      <c r="F19" s="1" t="str">
        <f>MainData[[#This Row],[Nama Sumur]]</f>
        <v>R13</v>
      </c>
      <c r="G19" s="1" t="str">
        <f>MainData[[#This Row],[C/F, C/O, New]]</f>
        <v>New</v>
      </c>
      <c r="H19" s="1" t="str">
        <f>MainData[[#This Row],[Jenis Pekerjaan]]</f>
        <v>New Well</v>
      </c>
      <c r="I19" s="1" t="str">
        <f>MainData[[#This Row],[Kategori Sumur]]</f>
        <v>Development</v>
      </c>
      <c r="J19" s="1" t="str">
        <f>MainData[[#This Row],[Tipe Sumur]]</f>
        <v>Vertical</v>
      </c>
      <c r="K19" s="1" t="str">
        <f>MainData[[#This Row],[Nama Rig]]</f>
        <v>P#23.1</v>
      </c>
      <c r="L19" s="1" t="str">
        <f>MainData[[#This Row],[Tipe Rig]]</f>
        <v>Rig Darat</v>
      </c>
      <c r="M19" s="1">
        <f>MainData[[#This Row],[HP Rig]]</f>
        <v>400</v>
      </c>
      <c r="N19" s="6">
        <f>MainData[[#This Row],[WP&amp;B 2022]]</f>
        <v>44727</v>
      </c>
      <c r="BH19" s="1">
        <v>2</v>
      </c>
      <c r="BM19" s="1">
        <f>SUM(NPTData[[#This Row],[2g - Well Control Operations / Situation]:[31b - Other Completions Problem Time]])</f>
        <v>2</v>
      </c>
      <c r="BN19" s="1">
        <f>NPTData[[#This Row],[Total Time (hours)]]-NPTData[[#This Row],[Total NPT (hours)]]</f>
        <v>393</v>
      </c>
      <c r="BO19" s="1">
        <v>395</v>
      </c>
      <c r="BP19" s="1"/>
      <c r="BQ19" s="1"/>
      <c r="BR19" s="26"/>
      <c r="BS19" s="26"/>
      <c r="BX19" s="1"/>
      <c r="CJ19" s="1"/>
      <c r="CK19" s="1"/>
      <c r="CL19" s="1"/>
    </row>
    <row r="20" spans="1:90" ht="15" customHeight="1" x14ac:dyDescent="0.25">
      <c r="A20" s="1">
        <f>MainData[[#This Row],[No.]]</f>
        <v>18</v>
      </c>
      <c r="B20" s="1" t="str">
        <f>MainData[[#This Row],[KKKS]]</f>
        <v>P</v>
      </c>
      <c r="C20" s="1" t="str">
        <f>MainData[[#This Row],[Wilayah Kerja]]</f>
        <v>Indonesia</v>
      </c>
      <c r="D20" s="1" t="str">
        <f>MainData[[#This Row],[Asset]]</f>
        <v>Zone F</v>
      </c>
      <c r="E20" s="1" t="str">
        <f>MainData[[#This Row],[Field]]</f>
        <v>PS</v>
      </c>
      <c r="F20" s="1" t="str">
        <f>MainData[[#This Row],[Nama Sumur]]</f>
        <v>PS1</v>
      </c>
      <c r="G20" s="1" t="str">
        <f>MainData[[#This Row],[C/F, C/O, New]]</f>
        <v>C/F</v>
      </c>
      <c r="H20" s="1" t="str">
        <f>MainData[[#This Row],[Jenis Pekerjaan]]</f>
        <v>New Well</v>
      </c>
      <c r="I20" s="1" t="str">
        <f>MainData[[#This Row],[Kategori Sumur]]</f>
        <v>Development</v>
      </c>
      <c r="J20" s="1" t="str">
        <f>MainData[[#This Row],[Tipe Sumur]]</f>
        <v>Directional</v>
      </c>
      <c r="K20" s="1" t="str">
        <f>MainData[[#This Row],[Nama Rig]]</f>
        <v>P#41.3</v>
      </c>
      <c r="L20" s="1" t="str">
        <f>MainData[[#This Row],[Tipe Rig]]</f>
        <v>Rig Darat</v>
      </c>
      <c r="M20" s="1">
        <f>MainData[[#This Row],[HP Rig]]</f>
        <v>1000</v>
      </c>
      <c r="N20" s="6">
        <f>MainData[[#This Row],[WP&amp;B 2022]]</f>
        <v>44880</v>
      </c>
      <c r="BM20" s="1">
        <f>SUM(NPTData[[#This Row],[2g - Well Control Operations / Situation]:[31b - Other Completions Problem Time]])</f>
        <v>0</v>
      </c>
      <c r="BN20" s="1">
        <f>NPTData[[#This Row],[Total Time (hours)]]-NPTData[[#This Row],[Total NPT (hours)]]</f>
        <v>0</v>
      </c>
      <c r="BP20" s="1"/>
      <c r="BQ20" s="1"/>
      <c r="BR20" s="1"/>
      <c r="BX20" s="1"/>
      <c r="CJ20" s="1"/>
      <c r="CK20" s="1"/>
      <c r="CL20" s="1"/>
    </row>
    <row r="21" spans="1:90" ht="15" customHeight="1" x14ac:dyDescent="0.25">
      <c r="A21" s="1">
        <f>MainData[[#This Row],[No.]]</f>
        <v>19</v>
      </c>
      <c r="B21" s="1" t="str">
        <f>MainData[[#This Row],[KKKS]]</f>
        <v>P</v>
      </c>
      <c r="C21" s="1" t="str">
        <f>MainData[[#This Row],[Wilayah Kerja]]</f>
        <v>Indonesia</v>
      </c>
      <c r="D21" s="1" t="str">
        <f>MainData[[#This Row],[Asset]]</f>
        <v>Zone F</v>
      </c>
      <c r="E21" s="1" t="str">
        <f>MainData[[#This Row],[Field]]</f>
        <v>J</v>
      </c>
      <c r="F21" s="1" t="str">
        <f>MainData[[#This Row],[Nama Sumur]]</f>
        <v>J5</v>
      </c>
      <c r="G21" s="1" t="str">
        <f>MainData[[#This Row],[C/F, C/O, New]]</f>
        <v>New</v>
      </c>
      <c r="H21" s="1" t="str">
        <f>MainData[[#This Row],[Jenis Pekerjaan]]</f>
        <v>New Well</v>
      </c>
      <c r="I21" s="1" t="str">
        <f>MainData[[#This Row],[Kategori Sumur]]</f>
        <v>Development</v>
      </c>
      <c r="J21" s="1" t="str">
        <f>MainData[[#This Row],[Tipe Sumur]]</f>
        <v>Directional</v>
      </c>
      <c r="K21" s="1" t="str">
        <f>MainData[[#This Row],[Nama Rig]]</f>
        <v>P#17</v>
      </c>
      <c r="L21" s="1" t="str">
        <f>MainData[[#This Row],[Tipe Rig]]</f>
        <v>Rig Darat</v>
      </c>
      <c r="M21" s="1">
        <f>MainData[[#This Row],[HP Rig]]</f>
        <v>550</v>
      </c>
      <c r="N21" s="6">
        <f>MainData[[#This Row],[WP&amp;B 2022]]</f>
        <v>44600</v>
      </c>
      <c r="AO21" s="1">
        <v>4</v>
      </c>
      <c r="BM21" s="1">
        <f>SUM(NPTData[[#This Row],[2g - Well Control Operations / Situation]:[31b - Other Completions Problem Time]])</f>
        <v>4</v>
      </c>
      <c r="BN21" s="1">
        <f>NPTData[[#This Row],[Total Time (hours)]]-NPTData[[#This Row],[Total NPT (hours)]]</f>
        <v>530</v>
      </c>
      <c r="BO21" s="1">
        <v>534</v>
      </c>
      <c r="BP21" s="1"/>
      <c r="BQ21" s="1"/>
      <c r="BR21" s="1"/>
      <c r="BX21" s="1"/>
      <c r="CJ21" s="1"/>
      <c r="CK21" s="1"/>
      <c r="CL21" s="1"/>
    </row>
    <row r="22" spans="1:90" ht="15" customHeight="1" x14ac:dyDescent="0.25">
      <c r="A22" s="1">
        <f>MainData[[#This Row],[No.]]</f>
        <v>20</v>
      </c>
      <c r="B22" s="1" t="str">
        <f>MainData[[#This Row],[KKKS]]</f>
        <v>P</v>
      </c>
      <c r="C22" s="1" t="str">
        <f>MainData[[#This Row],[Wilayah Kerja]]</f>
        <v>Indonesia</v>
      </c>
      <c r="D22" s="1" t="str">
        <f>MainData[[#This Row],[Asset]]</f>
        <v>Zone F</v>
      </c>
      <c r="E22" s="1" t="str">
        <f>MainData[[#This Row],[Field]]</f>
        <v>J</v>
      </c>
      <c r="F22" s="1" t="str">
        <f>MainData[[#This Row],[Nama Sumur]]</f>
        <v>J6</v>
      </c>
      <c r="G22" s="1" t="str">
        <f>MainData[[#This Row],[C/F, C/O, New]]</f>
        <v>C/O</v>
      </c>
      <c r="H22" s="1" t="str">
        <f>MainData[[#This Row],[Jenis Pekerjaan]]</f>
        <v>New Well</v>
      </c>
      <c r="I22" s="1" t="str">
        <f>MainData[[#This Row],[Kategori Sumur]]</f>
        <v>Development</v>
      </c>
      <c r="J22" s="1" t="str">
        <f>MainData[[#This Row],[Tipe Sumur]]</f>
        <v>Directional</v>
      </c>
      <c r="K22" s="1" t="str">
        <f>MainData[[#This Row],[Nama Rig]]</f>
        <v>P#42.3</v>
      </c>
      <c r="L22" s="1" t="str">
        <f>MainData[[#This Row],[Tipe Rig]]</f>
        <v>Rig Darat</v>
      </c>
      <c r="M22" s="1">
        <f>MainData[[#This Row],[HP Rig]]</f>
        <v>1500</v>
      </c>
      <c r="N22" s="6">
        <f>MainData[[#This Row],[WP&amp;B 2022]]</f>
        <v>44683</v>
      </c>
      <c r="BM22" s="1">
        <f>SUM(NPTData[[#This Row],[2g - Well Control Operations / Situation]:[31b - Other Completions Problem Time]])</f>
        <v>0</v>
      </c>
      <c r="BN22" s="1">
        <f>NPTData[[#This Row],[Total Time (hours)]]-NPTData[[#This Row],[Total NPT (hours)]]</f>
        <v>0</v>
      </c>
      <c r="BP22" s="1"/>
      <c r="BQ22" s="1"/>
      <c r="BR22" s="1"/>
      <c r="BX22" s="1"/>
      <c r="CJ22" s="1"/>
      <c r="CK22" s="1"/>
      <c r="CL22" s="1"/>
    </row>
    <row r="23" spans="1:90" ht="15" customHeight="1" x14ac:dyDescent="0.25">
      <c r="A23" s="1">
        <f>MainData[[#This Row],[No.]]</f>
        <v>21</v>
      </c>
      <c r="B23" s="1" t="str">
        <f>MainData[[#This Row],[KKKS]]</f>
        <v>P</v>
      </c>
      <c r="C23" s="1" t="str">
        <f>MainData[[#This Row],[Wilayah Kerja]]</f>
        <v>Indonesia</v>
      </c>
      <c r="D23" s="1" t="str">
        <f>MainData[[#This Row],[Asset]]</f>
        <v>Zone F</v>
      </c>
      <c r="E23" s="1" t="str">
        <f>MainData[[#This Row],[Field]]</f>
        <v>J</v>
      </c>
      <c r="F23" s="1" t="str">
        <f>MainData[[#This Row],[Nama Sumur]]</f>
        <v>J7</v>
      </c>
      <c r="G23" s="1" t="str">
        <f>MainData[[#This Row],[C/F, C/O, New]]</f>
        <v>New</v>
      </c>
      <c r="H23" s="1" t="str">
        <f>MainData[[#This Row],[Jenis Pekerjaan]]</f>
        <v>New Well</v>
      </c>
      <c r="I23" s="1" t="str">
        <f>MainData[[#This Row],[Kategori Sumur]]</f>
        <v>Development</v>
      </c>
      <c r="J23" s="1" t="str">
        <f>MainData[[#This Row],[Tipe Sumur]]</f>
        <v>Directional</v>
      </c>
      <c r="K23" s="1" t="str">
        <f>MainData[[#This Row],[Nama Rig]]</f>
        <v>P#17</v>
      </c>
      <c r="L23" s="1" t="str">
        <f>MainData[[#This Row],[Tipe Rig]]</f>
        <v>Rig Darat</v>
      </c>
      <c r="M23" s="1">
        <f>MainData[[#This Row],[HP Rig]]</f>
        <v>550</v>
      </c>
      <c r="N23" s="6">
        <f>MainData[[#This Row],[WP&amp;B 2022]]</f>
        <v>44642</v>
      </c>
      <c r="V23" s="1">
        <v>13.5</v>
      </c>
      <c r="AG23" s="1">
        <v>20</v>
      </c>
      <c r="AS23" s="1">
        <v>21</v>
      </c>
      <c r="BM23" s="1">
        <f>SUM(NPTData[[#This Row],[2g - Well Control Operations / Situation]:[31b - Other Completions Problem Time]])</f>
        <v>54.5</v>
      </c>
      <c r="BN23" s="1">
        <f>NPTData[[#This Row],[Total Time (hours)]]-NPTData[[#This Row],[Total NPT (hours)]]</f>
        <v>722.5</v>
      </c>
      <c r="BO23" s="1">
        <v>777</v>
      </c>
      <c r="BP23" s="1"/>
      <c r="BQ23" s="1"/>
      <c r="BR23" s="1"/>
      <c r="BX23" s="1"/>
      <c r="CJ23" s="1"/>
      <c r="CK23" s="1"/>
      <c r="CL23" s="1"/>
    </row>
    <row r="24" spans="1:90" ht="15" customHeight="1" x14ac:dyDescent="0.25">
      <c r="A24" s="1">
        <f>MainData[[#This Row],[No.]]</f>
        <v>22</v>
      </c>
      <c r="B24" s="1" t="str">
        <f>MainData[[#This Row],[KKKS]]</f>
        <v>P</v>
      </c>
      <c r="C24" s="1" t="str">
        <f>MainData[[#This Row],[Wilayah Kerja]]</f>
        <v>Indonesia</v>
      </c>
      <c r="D24" s="1" t="str">
        <f>MainData[[#This Row],[Asset]]</f>
        <v>Zone F</v>
      </c>
      <c r="E24" s="1" t="str">
        <f>MainData[[#This Row],[Field]]</f>
        <v>J</v>
      </c>
      <c r="F24" s="1" t="str">
        <f>MainData[[#This Row],[Nama Sumur]]</f>
        <v>J8</v>
      </c>
      <c r="G24" s="1" t="str">
        <f>MainData[[#This Row],[C/F, C/O, New]]</f>
        <v>New</v>
      </c>
      <c r="H24" s="1" t="str">
        <f>MainData[[#This Row],[Jenis Pekerjaan]]</f>
        <v>New Well</v>
      </c>
      <c r="I24" s="1" t="str">
        <f>MainData[[#This Row],[Kategori Sumur]]</f>
        <v>Development</v>
      </c>
      <c r="J24" s="1" t="str">
        <f>MainData[[#This Row],[Tipe Sumur]]</f>
        <v>Directional</v>
      </c>
      <c r="K24" s="1" t="str">
        <f>MainData[[#This Row],[Nama Rig]]</f>
        <v>P#17</v>
      </c>
      <c r="L24" s="1" t="str">
        <f>MainData[[#This Row],[Tipe Rig]]</f>
        <v>Rig Darat</v>
      </c>
      <c r="M24" s="1">
        <f>MainData[[#This Row],[HP Rig]]</f>
        <v>550</v>
      </c>
      <c r="N24" s="6">
        <f>MainData[[#This Row],[WP&amp;B 2022]]</f>
        <v>44720</v>
      </c>
      <c r="AO24" s="1">
        <v>21.5</v>
      </c>
      <c r="BM24" s="1">
        <f>SUM(NPTData[[#This Row],[2g - Well Control Operations / Situation]:[31b - Other Completions Problem Time]])</f>
        <v>21.5</v>
      </c>
      <c r="BN24" s="1">
        <f>NPTData[[#This Row],[Total Time (hours)]]-NPTData[[#This Row],[Total NPT (hours)]]</f>
        <v>501.5</v>
      </c>
      <c r="BO24" s="1">
        <v>523</v>
      </c>
      <c r="BP24" s="1"/>
      <c r="BQ24" s="1"/>
      <c r="BR24" s="1"/>
      <c r="BX24" s="1"/>
      <c r="CJ24" s="1"/>
      <c r="CK24" s="1"/>
      <c r="CL24" s="1"/>
    </row>
    <row r="25" spans="1:90" ht="15" customHeight="1" x14ac:dyDescent="0.25">
      <c r="A25" s="1">
        <f>MainData[[#This Row],[No.]]</f>
        <v>23</v>
      </c>
      <c r="B25" s="1" t="str">
        <f>MainData[[#This Row],[KKKS]]</f>
        <v>P</v>
      </c>
      <c r="C25" s="1" t="str">
        <f>MainData[[#This Row],[Wilayah Kerja]]</f>
        <v>Indonesia</v>
      </c>
      <c r="D25" s="1" t="str">
        <f>MainData[[#This Row],[Asset]]</f>
        <v>Zone F</v>
      </c>
      <c r="E25" s="1" t="str">
        <f>MainData[[#This Row],[Field]]</f>
        <v>J</v>
      </c>
      <c r="F25" s="1" t="str">
        <f>MainData[[#This Row],[Nama Sumur]]</f>
        <v>J9</v>
      </c>
      <c r="G25" s="1" t="str">
        <f>MainData[[#This Row],[C/F, C/O, New]]</f>
        <v>New</v>
      </c>
      <c r="H25" s="1" t="str">
        <f>MainData[[#This Row],[Jenis Pekerjaan]]</f>
        <v>New Well</v>
      </c>
      <c r="I25" s="1" t="str">
        <f>MainData[[#This Row],[Kategori Sumur]]</f>
        <v>Development</v>
      </c>
      <c r="J25" s="1" t="str">
        <f>MainData[[#This Row],[Tipe Sumur]]</f>
        <v>Directional</v>
      </c>
      <c r="K25" s="1" t="str">
        <f>MainData[[#This Row],[Nama Rig]]</f>
        <v>P#17</v>
      </c>
      <c r="L25" s="1" t="str">
        <f>MainData[[#This Row],[Tipe Rig]]</f>
        <v>Rig Darat</v>
      </c>
      <c r="M25" s="1">
        <f>MainData[[#This Row],[HP Rig]]</f>
        <v>550</v>
      </c>
      <c r="N25" s="6">
        <f>MainData[[#This Row],[WP&amp;B 2022]]</f>
        <v>44764</v>
      </c>
      <c r="W25" s="1">
        <v>5</v>
      </c>
      <c r="BG25" s="1">
        <v>11</v>
      </c>
      <c r="BM25" s="1">
        <f>SUM(NPTData[[#This Row],[2g - Well Control Operations / Situation]:[31b - Other Completions Problem Time]])</f>
        <v>16</v>
      </c>
      <c r="BN25" s="1">
        <f>NPTData[[#This Row],[Total Time (hours)]]-NPTData[[#This Row],[Total NPT (hours)]]</f>
        <v>730</v>
      </c>
      <c r="BO25" s="1">
        <v>746</v>
      </c>
      <c r="BP25" s="1"/>
      <c r="BQ25" s="1"/>
      <c r="BR25" s="1"/>
      <c r="BX25" s="1"/>
      <c r="CJ25" s="1"/>
      <c r="CK25" s="1"/>
      <c r="CL25" s="1"/>
    </row>
    <row r="26" spans="1:90" ht="15" customHeight="1" x14ac:dyDescent="0.25">
      <c r="A26" s="1">
        <f>MainData[[#This Row],[No.]]</f>
        <v>24</v>
      </c>
      <c r="B26" s="1" t="str">
        <f>MainData[[#This Row],[KKKS]]</f>
        <v>P</v>
      </c>
      <c r="C26" s="1" t="str">
        <f>MainData[[#This Row],[Wilayah Kerja]]</f>
        <v>Indonesia</v>
      </c>
      <c r="D26" s="1" t="str">
        <f>MainData[[#This Row],[Asset]]</f>
        <v>Zone F</v>
      </c>
      <c r="E26" s="1" t="str">
        <f>MainData[[#This Row],[Field]]</f>
        <v>J</v>
      </c>
      <c r="F26" s="1" t="str">
        <f>MainData[[#This Row],[Nama Sumur]]</f>
        <v>J10</v>
      </c>
      <c r="G26" s="1" t="str">
        <f>MainData[[#This Row],[C/F, C/O, New]]</f>
        <v>New</v>
      </c>
      <c r="H26" s="1" t="str">
        <f>MainData[[#This Row],[Jenis Pekerjaan]]</f>
        <v>New Well</v>
      </c>
      <c r="I26" s="1" t="str">
        <f>MainData[[#This Row],[Kategori Sumur]]</f>
        <v>Development</v>
      </c>
      <c r="J26" s="1" t="str">
        <f>MainData[[#This Row],[Tipe Sumur]]</f>
        <v>Directional</v>
      </c>
      <c r="K26" s="1" t="str">
        <f>MainData[[#This Row],[Nama Rig]]</f>
        <v>P#17</v>
      </c>
      <c r="L26" s="1" t="str">
        <f>MainData[[#This Row],[Tipe Rig]]</f>
        <v>Rig Darat</v>
      </c>
      <c r="M26" s="1">
        <f>MainData[[#This Row],[HP Rig]]</f>
        <v>550</v>
      </c>
      <c r="N26" s="6">
        <f>MainData[[#This Row],[WP&amp;B 2022]]</f>
        <v>44812</v>
      </c>
      <c r="BM26" s="1">
        <f>SUM(NPTData[[#This Row],[2g - Well Control Operations / Situation]:[31b - Other Completions Problem Time]])</f>
        <v>0</v>
      </c>
      <c r="BN26" s="1">
        <f>NPTData[[#This Row],[Total Time (hours)]]-NPTData[[#This Row],[Total NPT (hours)]]</f>
        <v>0</v>
      </c>
      <c r="BP26" s="1"/>
      <c r="BQ26" s="1"/>
      <c r="BR26" s="1"/>
      <c r="BX26" s="1"/>
      <c r="CJ26" s="1"/>
      <c r="CK26" s="1"/>
      <c r="CL26" s="1"/>
    </row>
    <row r="27" spans="1:90" ht="15" customHeight="1" x14ac:dyDescent="0.25">
      <c r="A27" s="1">
        <f>MainData[[#This Row],[No.]]</f>
        <v>25</v>
      </c>
      <c r="B27" s="1" t="str">
        <f>MainData[[#This Row],[KKKS]]</f>
        <v>P</v>
      </c>
      <c r="C27" s="1" t="str">
        <f>MainData[[#This Row],[Wilayah Kerja]]</f>
        <v>Indonesia</v>
      </c>
      <c r="D27" s="1" t="str">
        <f>MainData[[#This Row],[Asset]]</f>
        <v>Zone F</v>
      </c>
      <c r="E27" s="1" t="str">
        <f>MainData[[#This Row],[Field]]</f>
        <v>J</v>
      </c>
      <c r="F27" s="1" t="str">
        <f>MainData[[#This Row],[Nama Sumur]]</f>
        <v>J11</v>
      </c>
      <c r="G27" s="1" t="str">
        <f>MainData[[#This Row],[C/F, C/O, New]]</f>
        <v>C/O</v>
      </c>
      <c r="H27" s="1" t="str">
        <f>MainData[[#This Row],[Jenis Pekerjaan]]</f>
        <v>New Well</v>
      </c>
      <c r="I27" s="1" t="str">
        <f>MainData[[#This Row],[Kategori Sumur]]</f>
        <v>Development</v>
      </c>
      <c r="J27" s="1" t="str">
        <f>MainData[[#This Row],[Tipe Sumur]]</f>
        <v>Vertical</v>
      </c>
      <c r="K27" s="1" t="str">
        <f>MainData[[#This Row],[Nama Rig]]</f>
        <v>N#1</v>
      </c>
      <c r="L27" s="1" t="str">
        <f>MainData[[#This Row],[Tipe Rig]]</f>
        <v>Rig Darat</v>
      </c>
      <c r="M27" s="1">
        <f>MainData[[#This Row],[HP Rig]]</f>
        <v>550</v>
      </c>
      <c r="N27" s="6">
        <f>MainData[[#This Row],[WP&amp;B 2022]]</f>
        <v>44552</v>
      </c>
      <c r="V27" s="1">
        <v>40</v>
      </c>
      <c r="W27" s="1">
        <v>13.5</v>
      </c>
      <c r="Y27" s="1">
        <v>18.5</v>
      </c>
      <c r="BM27" s="1">
        <f>SUM(NPTData[[#This Row],[2g - Well Control Operations / Situation]:[31b - Other Completions Problem Time]])</f>
        <v>72</v>
      </c>
      <c r="BN27" s="1">
        <f>NPTData[[#This Row],[Total Time (hours)]]-NPTData[[#This Row],[Total NPT (hours)]]</f>
        <v>714</v>
      </c>
      <c r="BO27" s="1">
        <v>786</v>
      </c>
      <c r="BP27" s="1"/>
      <c r="BQ27" s="1"/>
      <c r="BR27" s="1"/>
      <c r="BX27" s="1"/>
      <c r="CJ27" s="1"/>
      <c r="CK27" s="1"/>
      <c r="CL27" s="1"/>
    </row>
    <row r="28" spans="1:90" ht="15" customHeight="1" x14ac:dyDescent="0.25">
      <c r="A28" s="1">
        <f>MainData[[#This Row],[No.]]</f>
        <v>26</v>
      </c>
      <c r="B28" s="1" t="str">
        <f>MainData[[#This Row],[KKKS]]</f>
        <v>P</v>
      </c>
      <c r="C28" s="1" t="str">
        <f>MainData[[#This Row],[Wilayah Kerja]]</f>
        <v>Indonesia</v>
      </c>
      <c r="D28" s="1" t="str">
        <f>MainData[[#This Row],[Asset]]</f>
        <v>Zone F</v>
      </c>
      <c r="E28" s="1" t="str">
        <f>MainData[[#This Row],[Field]]</f>
        <v>J</v>
      </c>
      <c r="F28" s="1" t="str">
        <f>MainData[[#This Row],[Nama Sumur]]</f>
        <v>J12</v>
      </c>
      <c r="G28" s="1" t="str">
        <f>MainData[[#This Row],[C/F, C/O, New]]</f>
        <v>C/O</v>
      </c>
      <c r="H28" s="1" t="str">
        <f>MainData[[#This Row],[Jenis Pekerjaan]]</f>
        <v>New Well</v>
      </c>
      <c r="I28" s="1" t="str">
        <f>MainData[[#This Row],[Kategori Sumur]]</f>
        <v>Development</v>
      </c>
      <c r="J28" s="1" t="str">
        <f>MainData[[#This Row],[Tipe Sumur]]</f>
        <v>Directional</v>
      </c>
      <c r="K28" s="1" t="str">
        <f>MainData[[#This Row],[Nama Rig]]</f>
        <v>P#17</v>
      </c>
      <c r="L28" s="1" t="str">
        <f>MainData[[#This Row],[Tipe Rig]]</f>
        <v>Rig Darat</v>
      </c>
      <c r="M28" s="1">
        <f>MainData[[#This Row],[HP Rig]]</f>
        <v>550</v>
      </c>
      <c r="N28" s="6">
        <f>MainData[[#This Row],[WP&amp;B 2022]]</f>
        <v>44531</v>
      </c>
      <c r="BM28" s="1">
        <f>SUM(NPTData[[#This Row],[2g - Well Control Operations / Situation]:[31b - Other Completions Problem Time]])</f>
        <v>0</v>
      </c>
      <c r="BN28" s="1">
        <f>NPTData[[#This Row],[Total Time (hours)]]-NPTData[[#This Row],[Total NPT (hours)]]</f>
        <v>458</v>
      </c>
      <c r="BO28" s="1">
        <v>458</v>
      </c>
      <c r="BP28" s="1"/>
      <c r="BQ28" s="1"/>
      <c r="BR28" s="1"/>
      <c r="BX28" s="1"/>
      <c r="CJ28" s="1"/>
      <c r="CK28" s="1"/>
      <c r="CL28" s="1"/>
    </row>
    <row r="29" spans="1:90" ht="15" customHeight="1" x14ac:dyDescent="0.25">
      <c r="A29" s="1">
        <f>MainData[[#This Row],[No.]]</f>
        <v>27</v>
      </c>
      <c r="B29" s="1" t="str">
        <f>MainData[[#This Row],[KKKS]]</f>
        <v>P</v>
      </c>
      <c r="C29" s="1" t="str">
        <f>MainData[[#This Row],[Wilayah Kerja]]</f>
        <v>Indonesia</v>
      </c>
      <c r="D29" s="1" t="str">
        <f>MainData[[#This Row],[Asset]]</f>
        <v>Zone F</v>
      </c>
      <c r="E29" s="1" t="str">
        <f>MainData[[#This Row],[Field]]</f>
        <v>J</v>
      </c>
      <c r="F29" s="1" t="str">
        <f>MainData[[#This Row],[Nama Sumur]]</f>
        <v>J13</v>
      </c>
      <c r="G29" s="1" t="str">
        <f>MainData[[#This Row],[C/F, C/O, New]]</f>
        <v>New</v>
      </c>
      <c r="H29" s="1" t="str">
        <f>MainData[[#This Row],[Jenis Pekerjaan]]</f>
        <v>New Well</v>
      </c>
      <c r="I29" s="1" t="str">
        <f>MainData[[#This Row],[Kategori Sumur]]</f>
        <v>Development</v>
      </c>
      <c r="J29" s="1" t="str">
        <f>MainData[[#This Row],[Tipe Sumur]]</f>
        <v>Directional</v>
      </c>
      <c r="K29" s="1" t="str">
        <f>MainData[[#This Row],[Nama Rig]]</f>
        <v>N#1</v>
      </c>
      <c r="L29" s="1" t="str">
        <f>MainData[[#This Row],[Tipe Rig]]</f>
        <v>Rig Darat</v>
      </c>
      <c r="M29" s="1">
        <f>MainData[[#This Row],[HP Rig]]</f>
        <v>550</v>
      </c>
      <c r="N29" s="6">
        <f>MainData[[#This Row],[WP&amp;B 2022]]</f>
        <v>0</v>
      </c>
      <c r="U29" s="1">
        <v>31</v>
      </c>
      <c r="V29" s="1">
        <v>12.5</v>
      </c>
      <c r="W29" s="1">
        <v>33.5</v>
      </c>
      <c r="AF29" s="1">
        <v>18</v>
      </c>
      <c r="BM29" s="1">
        <f>SUM(NPTData[[#This Row],[2g - Well Control Operations / Situation]:[31b - Other Completions Problem Time]])</f>
        <v>95</v>
      </c>
      <c r="BN29" s="1">
        <f>NPTData[[#This Row],[Total Time (hours)]]-NPTData[[#This Row],[Total NPT (hours)]]</f>
        <v>709</v>
      </c>
      <c r="BO29" s="1">
        <v>804</v>
      </c>
    </row>
    <row r="30" spans="1:90" ht="15" customHeight="1" x14ac:dyDescent="0.25">
      <c r="A30" s="1">
        <f>MainData[[#This Row],[No.]]</f>
        <v>28</v>
      </c>
      <c r="B30" s="1" t="str">
        <f>MainData[[#This Row],[KKKS]]</f>
        <v>P</v>
      </c>
      <c r="C30" s="1" t="str">
        <f>MainData[[#This Row],[Wilayah Kerja]]</f>
        <v>Indonesia</v>
      </c>
      <c r="D30" s="1" t="str">
        <f>MainData[[#This Row],[Asset]]</f>
        <v>Zone F</v>
      </c>
      <c r="E30" s="1" t="str">
        <f>MainData[[#This Row],[Field]]</f>
        <v>J</v>
      </c>
      <c r="F30" s="1" t="str">
        <f>MainData[[#This Row],[Nama Sumur]]</f>
        <v>J14</v>
      </c>
      <c r="G30" s="1" t="str">
        <f>MainData[[#This Row],[C/F, C/O, New]]</f>
        <v>C/O</v>
      </c>
      <c r="H30" s="1" t="str">
        <f>MainData[[#This Row],[Jenis Pekerjaan]]</f>
        <v>New Well</v>
      </c>
      <c r="I30" s="1" t="str">
        <f>MainData[[#This Row],[Kategori Sumur]]</f>
        <v>Exploration</v>
      </c>
      <c r="J30" s="1" t="str">
        <f>MainData[[#This Row],[Tipe Sumur]]</f>
        <v>Directional</v>
      </c>
      <c r="K30" s="1" t="str">
        <f>MainData[[#This Row],[Nama Rig]]</f>
        <v>T#5</v>
      </c>
      <c r="L30" s="1" t="str">
        <f>MainData[[#This Row],[Tipe Rig]]</f>
        <v>Rig Darat</v>
      </c>
      <c r="M30" s="1">
        <f>MainData[[#This Row],[HP Rig]]</f>
        <v>700</v>
      </c>
      <c r="N30" s="6">
        <f>MainData[[#This Row],[WP&amp;B 2022]]</f>
        <v>44515</v>
      </c>
      <c r="X30" s="1">
        <v>18</v>
      </c>
      <c r="AM30" s="1">
        <v>140</v>
      </c>
      <c r="AO30" s="1">
        <v>1.5</v>
      </c>
      <c r="BM30" s="1">
        <f>SUM(NPTData[[#This Row],[2g - Well Control Operations / Situation]:[31b - Other Completions Problem Time]])</f>
        <v>159.5</v>
      </c>
      <c r="BN30" s="1">
        <f>NPTData[[#This Row],[Total Time (hours)]]-NPTData[[#This Row],[Total NPT (hours)]]</f>
        <v>1296.5</v>
      </c>
      <c r="BO30" s="1">
        <v>1456</v>
      </c>
    </row>
    <row r="31" spans="1:90" ht="15" customHeight="1" x14ac:dyDescent="0.25">
      <c r="A31" s="1">
        <f>MainData[[#This Row],[No.]]</f>
        <v>29</v>
      </c>
      <c r="B31" s="1" t="str">
        <f>MainData[[#This Row],[KKKS]]</f>
        <v>P</v>
      </c>
      <c r="C31" s="1" t="s">
        <v>4</v>
      </c>
      <c r="D31" s="1" t="str">
        <f>MainData[[#This Row],[Asset]]</f>
        <v>Zone F</v>
      </c>
      <c r="E31" s="1" t="str">
        <f>MainData[[#This Row],[Field]]</f>
        <v>PB</v>
      </c>
      <c r="F31" s="1" t="str">
        <f>MainData[[#This Row],[Nama Sumur]]</f>
        <v>PB1</v>
      </c>
      <c r="G31" s="1" t="str">
        <f>MainData[[#This Row],[C/F, C/O, New]]</f>
        <v>C/O</v>
      </c>
      <c r="H31" s="1" t="str">
        <f>MainData[[#This Row],[Jenis Pekerjaan]]</f>
        <v>New Well</v>
      </c>
      <c r="I31" s="1" t="str">
        <f>MainData[[#This Row],[Kategori Sumur]]</f>
        <v>Exploration</v>
      </c>
      <c r="J31" s="1" t="str">
        <f>MainData[[#This Row],[Tipe Sumur]]</f>
        <v>Vertical</v>
      </c>
      <c r="K31" s="1" t="str">
        <f>MainData[[#This Row],[Nama Rig]]</f>
        <v>P#41.3</v>
      </c>
      <c r="L31" s="1" t="str">
        <f>MainData[[#This Row],[Tipe Rig]]</f>
        <v>Rig Darat</v>
      </c>
      <c r="M31" s="1">
        <f>MainData[[#This Row],[HP Rig]]</f>
        <v>1500</v>
      </c>
      <c r="N31" s="6">
        <f>MainData[[#This Row],[WP&amp;B 2022]]</f>
        <v>44288</v>
      </c>
      <c r="P31" s="1">
        <v>1625.5</v>
      </c>
      <c r="Q31" s="1">
        <v>113.5</v>
      </c>
      <c r="T31" s="1">
        <v>7.5</v>
      </c>
      <c r="U31" s="1">
        <v>83.5</v>
      </c>
      <c r="W31" s="1">
        <v>11</v>
      </c>
      <c r="X31" s="1">
        <v>145.5</v>
      </c>
      <c r="Y31" s="1">
        <v>48</v>
      </c>
      <c r="AD31" s="1">
        <v>3.5</v>
      </c>
      <c r="AE31" s="1">
        <v>188.5</v>
      </c>
      <c r="AF31" s="1">
        <v>342</v>
      </c>
      <c r="AG31" s="1">
        <v>51.5</v>
      </c>
      <c r="AJ31" s="1">
        <v>3.5</v>
      </c>
      <c r="AL31" s="1">
        <v>13</v>
      </c>
      <c r="AM31" s="1">
        <v>387.5</v>
      </c>
      <c r="AO31" s="1">
        <v>5.5</v>
      </c>
      <c r="AP31" s="1">
        <v>1.5</v>
      </c>
      <c r="AS31" s="1">
        <v>14</v>
      </c>
      <c r="AU31" s="1">
        <v>15.5</v>
      </c>
      <c r="BG31" s="1">
        <v>662</v>
      </c>
      <c r="BM31" s="1">
        <f>SUM(NPTData[[#This Row],[2g - Well Control Operations / Situation]:[31b - Other Completions Problem Time]])</f>
        <v>3722.5</v>
      </c>
      <c r="BN31" s="1">
        <f>NPTData[[#This Row],[Total Time (hours)]]-NPTData[[#This Row],[Total NPT (hours)]]</f>
        <v>6635.5</v>
      </c>
      <c r="BO31" s="1">
        <v>10358</v>
      </c>
    </row>
    <row r="32" spans="1:90" ht="15" customHeight="1" x14ac:dyDescent="0.25">
      <c r="A32" s="1">
        <f>MainData[[#This Row],[No.]]</f>
        <v>30</v>
      </c>
      <c r="B32" s="1" t="str">
        <f>MainData[[#This Row],[KKKS]]</f>
        <v>P</v>
      </c>
      <c r="C32" s="1" t="str">
        <f>MainData[[#This Row],[Wilayah Kerja]]</f>
        <v>Indonesia</v>
      </c>
      <c r="D32" s="1" t="str">
        <f>MainData[[#This Row],[Asset]]</f>
        <v>Zone F</v>
      </c>
      <c r="E32" s="1" t="str">
        <f>MainData[[#This Row],[Field]]</f>
        <v>J</v>
      </c>
      <c r="F32" s="1" t="str">
        <f>MainData[[#This Row],[Nama Sumur]]</f>
        <v>J15</v>
      </c>
      <c r="G32" s="1" t="str">
        <f>MainData[[#This Row],[C/F, C/O, New]]</f>
        <v>C/F</v>
      </c>
      <c r="H32" s="1" t="str">
        <f>MainData[[#This Row],[Jenis Pekerjaan]]</f>
        <v>New Well</v>
      </c>
      <c r="I32" s="1" t="str">
        <f>MainData[[#This Row],[Kategori Sumur]]</f>
        <v>Exploration</v>
      </c>
      <c r="J32" s="1" t="str">
        <f>MainData[[#This Row],[Tipe Sumur]]</f>
        <v>Directional</v>
      </c>
      <c r="K32" s="1" t="str">
        <f>MainData[[#This Row],[Nama Rig]]</f>
        <v>P#42.3</v>
      </c>
      <c r="L32" s="1" t="str">
        <f>MainData[[#This Row],[Tipe Rig]]</f>
        <v>Rig Darat</v>
      </c>
      <c r="M32" s="1">
        <f>MainData[[#This Row],[HP Rig]]</f>
        <v>1500</v>
      </c>
      <c r="N32" s="6">
        <f>MainData[[#This Row],[WP&amp;B 2022]]</f>
        <v>44594</v>
      </c>
      <c r="O32" s="1">
        <v>583.5</v>
      </c>
      <c r="Q32" s="1">
        <v>455.5</v>
      </c>
      <c r="R32" s="1">
        <v>2</v>
      </c>
      <c r="V32" s="1">
        <v>12</v>
      </c>
      <c r="W32" s="1">
        <v>3</v>
      </c>
      <c r="X32" s="1">
        <v>31.5</v>
      </c>
      <c r="AC32" s="1">
        <v>24</v>
      </c>
      <c r="AD32" s="1">
        <v>52</v>
      </c>
      <c r="AF32" s="1">
        <v>206</v>
      </c>
      <c r="AG32" s="1">
        <v>4</v>
      </c>
      <c r="AJ32" s="1">
        <v>14.5</v>
      </c>
      <c r="AL32" s="1">
        <v>162</v>
      </c>
      <c r="AM32" s="1">
        <v>8.5</v>
      </c>
      <c r="AO32" s="1">
        <v>11.5</v>
      </c>
      <c r="AZ32" s="1">
        <v>4.5</v>
      </c>
      <c r="BE32" s="1">
        <v>25</v>
      </c>
      <c r="BG32" s="1">
        <v>202.5</v>
      </c>
      <c r="BM32" s="1">
        <f>SUM(NPTData[[#This Row],[2g - Well Control Operations / Situation]:[31b - Other Completions Problem Time]])</f>
        <v>1802</v>
      </c>
      <c r="BN32" s="1">
        <f>NPTData[[#This Row],[Total Time (hours)]]-NPTData[[#This Row],[Total NPT (hours)]]</f>
        <v>2607</v>
      </c>
      <c r="BO32" s="1">
        <v>4409</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6BA8C-7170-4463-A54C-DB2CA00DBE08}">
  <dimension ref="A2:C10"/>
  <sheetViews>
    <sheetView topLeftCell="A16" zoomScale="85" zoomScaleNormal="85" workbookViewId="0">
      <selection activeCell="B9" sqref="B9:B11"/>
    </sheetView>
  </sheetViews>
  <sheetFormatPr defaultRowHeight="15" x14ac:dyDescent="0.25"/>
  <cols>
    <col min="1" max="1" width="13.85546875" bestFit="1" customWidth="1"/>
    <col min="2" max="2" width="23.7109375" bestFit="1" customWidth="1"/>
    <col min="3" max="3" width="22.28515625" bestFit="1" customWidth="1"/>
    <col min="4" max="6" width="23.7109375" bestFit="1" customWidth="1"/>
    <col min="7" max="7" width="29" bestFit="1" customWidth="1"/>
    <col min="8" max="9" width="27.5703125" bestFit="1" customWidth="1"/>
    <col min="10" max="10" width="8.28515625" bestFit="1" customWidth="1"/>
    <col min="11" max="11" width="5.85546875" bestFit="1" customWidth="1"/>
    <col min="12" max="12" width="10.28515625" bestFit="1" customWidth="1"/>
    <col min="13" max="13" width="8.140625" bestFit="1" customWidth="1"/>
    <col min="14" max="14" width="5.85546875" bestFit="1" customWidth="1"/>
    <col min="15" max="15" width="2" bestFit="1" customWidth="1"/>
    <col min="16" max="16" width="8" bestFit="1" customWidth="1"/>
    <col min="17" max="18" width="5.85546875" bestFit="1" customWidth="1"/>
    <col min="19" max="20" width="8.28515625" bestFit="1" customWidth="1"/>
    <col min="21" max="21" width="11.42578125" bestFit="1" customWidth="1"/>
    <col min="22" max="22" width="6" bestFit="1" customWidth="1"/>
    <col min="23" max="23" width="8.7109375" bestFit="1" customWidth="1"/>
    <col min="24" max="24" width="6" bestFit="1" customWidth="1"/>
    <col min="25" max="25" width="8.7109375" bestFit="1" customWidth="1"/>
    <col min="26" max="26" width="8" bestFit="1" customWidth="1"/>
    <col min="27" max="27" width="10.28515625" bestFit="1" customWidth="1"/>
    <col min="28" max="28" width="10.7109375" bestFit="1" customWidth="1"/>
  </cols>
  <sheetData>
    <row r="2" spans="1:3" x14ac:dyDescent="0.25">
      <c r="A2" s="8" t="s">
        <v>3</v>
      </c>
      <c r="B2" t="s">
        <v>39</v>
      </c>
    </row>
    <row r="3" spans="1:3" x14ac:dyDescent="0.25">
      <c r="A3" s="8" t="s">
        <v>6</v>
      </c>
      <c r="B3" t="s">
        <v>39</v>
      </c>
    </row>
    <row r="4" spans="1:3" x14ac:dyDescent="0.25">
      <c r="A4" s="8" t="s">
        <v>13</v>
      </c>
      <c r="B4" t="s">
        <v>28</v>
      </c>
    </row>
    <row r="5" spans="1:3" x14ac:dyDescent="0.25">
      <c r="A5" s="8" t="s">
        <v>9</v>
      </c>
      <c r="B5" t="s">
        <v>39</v>
      </c>
    </row>
    <row r="6" spans="1:3" x14ac:dyDescent="0.25">
      <c r="A6" s="8" t="s">
        <v>10</v>
      </c>
      <c r="B6" t="s">
        <v>39</v>
      </c>
    </row>
    <row r="8" spans="1:3" x14ac:dyDescent="0.25">
      <c r="A8" s="8" t="s">
        <v>37</v>
      </c>
      <c r="B8" t="s">
        <v>124</v>
      </c>
      <c r="C8" t="s">
        <v>136</v>
      </c>
    </row>
    <row r="9" spans="1:3" x14ac:dyDescent="0.25">
      <c r="A9" s="9">
        <v>0</v>
      </c>
      <c r="B9">
        <v>0</v>
      </c>
      <c r="C9">
        <v>0</v>
      </c>
    </row>
    <row r="10" spans="1:3" x14ac:dyDescent="0.25">
      <c r="A10" s="9" t="s">
        <v>38</v>
      </c>
      <c r="B10">
        <v>0</v>
      </c>
      <c r="C10">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9DAE3-080D-4C50-A7C0-0AF3DEDE7F0E}">
  <dimension ref="A1:AD100"/>
  <sheetViews>
    <sheetView tabSelected="1" zoomScale="85" zoomScaleNormal="85" workbookViewId="0">
      <pane xSplit="1" topLeftCell="B1" activePane="topRight" state="frozen"/>
      <selection pane="topRight" activeCell="D24" sqref="D24"/>
    </sheetView>
  </sheetViews>
  <sheetFormatPr defaultColWidth="10.7109375" defaultRowHeight="15" customHeight="1" x14ac:dyDescent="0.25"/>
  <cols>
    <col min="1" max="1" width="17.28515625" style="1" bestFit="1" customWidth="1"/>
    <col min="2" max="2" width="21.5703125" style="1" bestFit="1" customWidth="1"/>
    <col min="3" max="3" width="14.85546875" style="1" bestFit="1" customWidth="1"/>
    <col min="4" max="4" width="40.7109375" style="1" customWidth="1"/>
    <col min="5" max="5" width="15.5703125" style="1" bestFit="1" customWidth="1"/>
    <col min="6" max="7" width="15.5703125" style="1" customWidth="1"/>
    <col min="8" max="8" width="31" style="31" bestFit="1" customWidth="1"/>
    <col min="9" max="9" width="20.85546875" style="2" bestFit="1" customWidth="1"/>
    <col min="10" max="10" width="16.28515625" style="5" bestFit="1" customWidth="1"/>
    <col min="11" max="11" width="26.7109375" style="1" bestFit="1" customWidth="1"/>
    <col min="12" max="12" width="27.42578125" style="1" bestFit="1" customWidth="1"/>
    <col min="13" max="13" width="29.140625" style="1" bestFit="1" customWidth="1"/>
    <col min="14" max="14" width="30" style="1" bestFit="1" customWidth="1"/>
    <col min="15" max="15" width="30.7109375" style="1" bestFit="1" customWidth="1"/>
    <col min="16" max="16" width="32.5703125" style="3" bestFit="1" customWidth="1"/>
    <col min="17" max="17" width="28.140625" style="1" bestFit="1" customWidth="1"/>
    <col min="18" max="18" width="28.7109375" style="1" bestFit="1" customWidth="1"/>
    <col min="19" max="19" width="30.42578125" style="1" bestFit="1" customWidth="1"/>
    <col min="20" max="20" width="32.140625" style="1" bestFit="1" customWidth="1"/>
    <col min="21" max="21" width="32.7109375" style="1" bestFit="1" customWidth="1"/>
    <col min="22" max="22" width="34.42578125" style="1" bestFit="1" customWidth="1"/>
    <col min="23" max="23" width="30.7109375" style="1" bestFit="1" customWidth="1"/>
    <col min="24" max="24" width="24" style="1" bestFit="1" customWidth="1"/>
    <col min="25" max="25" width="24.7109375" style="1" bestFit="1" customWidth="1"/>
    <col min="26" max="26" width="26.28515625" style="1" bestFit="1" customWidth="1"/>
    <col min="27" max="27" width="26.28515625" style="1" customWidth="1"/>
    <col min="28" max="28" width="20.7109375" style="2" bestFit="1" customWidth="1"/>
    <col min="29" max="29" width="19.85546875" style="5" bestFit="1" customWidth="1"/>
    <col min="30" max="30" width="19.5703125" style="5" bestFit="1" customWidth="1"/>
    <col min="31" max="31" width="20.7109375" style="1" bestFit="1" customWidth="1"/>
    <col min="32" max="32" width="12.85546875" style="1" bestFit="1" customWidth="1"/>
    <col min="33" max="16384" width="10.7109375" style="1"/>
  </cols>
  <sheetData>
    <row r="1" spans="1:30" x14ac:dyDescent="0.25">
      <c r="A1" s="1" t="s">
        <v>20</v>
      </c>
      <c r="B1" s="1" t="s">
        <v>10</v>
      </c>
      <c r="C1" s="1" t="s">
        <v>125</v>
      </c>
      <c r="D1" s="1" t="s">
        <v>126</v>
      </c>
      <c r="E1" s="1" t="s">
        <v>127</v>
      </c>
      <c r="F1" s="1" t="s">
        <v>182</v>
      </c>
      <c r="G1" s="1" t="s">
        <v>185</v>
      </c>
      <c r="H1" s="1" t="s">
        <v>36</v>
      </c>
      <c r="I1" s="1"/>
      <c r="J1" s="1"/>
      <c r="P1" s="1"/>
      <c r="AB1" s="1"/>
      <c r="AC1" s="1"/>
      <c r="AD1" s="1"/>
    </row>
    <row r="2" spans="1:30" ht="15" customHeight="1" x14ac:dyDescent="0.25">
      <c r="A2" s="1" t="s">
        <v>275</v>
      </c>
      <c r="B2" s="1" t="s">
        <v>304</v>
      </c>
      <c r="C2" s="1" t="s">
        <v>128</v>
      </c>
      <c r="D2" s="1" t="s">
        <v>98</v>
      </c>
      <c r="E2" s="1">
        <v>8</v>
      </c>
      <c r="F2" s="1" t="s">
        <v>313</v>
      </c>
      <c r="G2" s="1" t="s">
        <v>192</v>
      </c>
      <c r="H2" s="22" t="s">
        <v>183</v>
      </c>
      <c r="I2" s="1"/>
      <c r="J2" s="1"/>
      <c r="P2" s="1"/>
      <c r="AB2" s="1"/>
      <c r="AC2" s="1"/>
      <c r="AD2" s="1"/>
    </row>
    <row r="3" spans="1:30" ht="15" customHeight="1" x14ac:dyDescent="0.25">
      <c r="A3" s="1" t="s">
        <v>275</v>
      </c>
      <c r="B3" s="1" t="s">
        <v>304</v>
      </c>
      <c r="C3" s="1" t="s">
        <v>129</v>
      </c>
      <c r="E3" s="1">
        <v>620</v>
      </c>
      <c r="H3" s="22"/>
      <c r="I3" s="1"/>
      <c r="J3" s="1"/>
      <c r="P3" s="1"/>
      <c r="AB3" s="1"/>
      <c r="AC3" s="1"/>
      <c r="AD3" s="1"/>
    </row>
    <row r="4" spans="1:30" ht="15" customHeight="1" x14ac:dyDescent="0.25">
      <c r="A4" s="1" t="s">
        <v>280</v>
      </c>
      <c r="B4" s="1" t="s">
        <v>306</v>
      </c>
      <c r="C4" s="1" t="s">
        <v>128</v>
      </c>
      <c r="D4" s="1" t="s">
        <v>86</v>
      </c>
      <c r="E4" s="1">
        <v>23</v>
      </c>
      <c r="F4" s="1" t="s">
        <v>314</v>
      </c>
      <c r="G4" s="1" t="s">
        <v>186</v>
      </c>
      <c r="H4" s="22" t="s">
        <v>195</v>
      </c>
      <c r="I4" s="1"/>
      <c r="J4" s="1"/>
      <c r="P4" s="1"/>
      <c r="AB4" s="1"/>
      <c r="AC4" s="1"/>
      <c r="AD4" s="1"/>
    </row>
    <row r="5" spans="1:30" ht="15" customHeight="1" x14ac:dyDescent="0.25">
      <c r="A5" s="1" t="s">
        <v>280</v>
      </c>
      <c r="B5" s="1" t="s">
        <v>306</v>
      </c>
      <c r="C5" s="1" t="s">
        <v>128</v>
      </c>
      <c r="D5" s="1" t="s">
        <v>63</v>
      </c>
      <c r="E5" s="1">
        <v>3</v>
      </c>
      <c r="F5" s="1" t="s">
        <v>314</v>
      </c>
      <c r="G5" s="1" t="s">
        <v>186</v>
      </c>
      <c r="H5" s="22" t="s">
        <v>194</v>
      </c>
      <c r="I5" s="1"/>
      <c r="J5" s="1"/>
      <c r="P5" s="1"/>
      <c r="AB5" s="1"/>
      <c r="AC5" s="1"/>
      <c r="AD5" s="1"/>
    </row>
    <row r="6" spans="1:30" ht="15" customHeight="1" x14ac:dyDescent="0.25">
      <c r="A6" s="1" t="s">
        <v>280</v>
      </c>
      <c r="B6" s="1" t="s">
        <v>306</v>
      </c>
      <c r="C6" s="1" t="s">
        <v>128</v>
      </c>
      <c r="D6" s="1" t="s">
        <v>78</v>
      </c>
      <c r="E6" s="1">
        <v>1</v>
      </c>
      <c r="F6" s="1" t="s">
        <v>315</v>
      </c>
      <c r="G6" s="1" t="s">
        <v>197</v>
      </c>
      <c r="H6" s="22" t="s">
        <v>196</v>
      </c>
      <c r="I6" s="1"/>
      <c r="J6" s="1"/>
      <c r="P6" s="1"/>
      <c r="AB6" s="1"/>
      <c r="AC6" s="1"/>
      <c r="AD6" s="1"/>
    </row>
    <row r="7" spans="1:30" ht="15" customHeight="1" x14ac:dyDescent="0.25">
      <c r="A7" s="1" t="s">
        <v>280</v>
      </c>
      <c r="B7" s="1" t="s">
        <v>306</v>
      </c>
      <c r="C7" s="1" t="s">
        <v>128</v>
      </c>
      <c r="D7" s="1" t="s">
        <v>83</v>
      </c>
      <c r="E7" s="1">
        <v>1</v>
      </c>
      <c r="H7" s="22" t="s">
        <v>216</v>
      </c>
      <c r="I7" s="1"/>
      <c r="J7" s="1"/>
      <c r="P7" s="1"/>
      <c r="AB7" s="1"/>
      <c r="AC7" s="1"/>
      <c r="AD7" s="1"/>
    </row>
    <row r="8" spans="1:30" ht="15" customHeight="1" x14ac:dyDescent="0.25">
      <c r="A8" s="1" t="s">
        <v>280</v>
      </c>
      <c r="B8" s="1" t="s">
        <v>306</v>
      </c>
      <c r="C8" s="1" t="s">
        <v>129</v>
      </c>
      <c r="E8" s="1">
        <v>518</v>
      </c>
      <c r="H8" s="22"/>
      <c r="I8" s="1"/>
      <c r="J8" s="1"/>
      <c r="P8" s="1"/>
      <c r="AB8" s="1"/>
      <c r="AC8" s="1"/>
      <c r="AD8" s="1"/>
    </row>
    <row r="9" spans="1:30" ht="15" customHeight="1" x14ac:dyDescent="0.25">
      <c r="A9" s="1" t="s">
        <v>285</v>
      </c>
      <c r="B9" s="1" t="s">
        <v>307</v>
      </c>
      <c r="C9" s="1" t="s">
        <v>128</v>
      </c>
      <c r="D9" s="1" t="s">
        <v>86</v>
      </c>
      <c r="E9" s="1">
        <v>36.5</v>
      </c>
      <c r="F9" s="1" t="s">
        <v>271</v>
      </c>
      <c r="G9" s="1" t="s">
        <v>186</v>
      </c>
      <c r="H9" s="22" t="s">
        <v>199</v>
      </c>
      <c r="I9" s="1"/>
      <c r="J9" s="1"/>
      <c r="P9" s="1"/>
      <c r="AB9" s="1"/>
      <c r="AC9" s="1"/>
      <c r="AD9" s="1"/>
    </row>
    <row r="10" spans="1:30" ht="15" customHeight="1" x14ac:dyDescent="0.25">
      <c r="A10" s="1" t="s">
        <v>285</v>
      </c>
      <c r="B10" s="1" t="s">
        <v>307</v>
      </c>
      <c r="C10" s="1" t="s">
        <v>128</v>
      </c>
      <c r="D10" s="1" t="s">
        <v>64</v>
      </c>
      <c r="E10" s="1">
        <v>11</v>
      </c>
      <c r="F10" s="1" t="s">
        <v>271</v>
      </c>
      <c r="G10" s="1" t="s">
        <v>186</v>
      </c>
      <c r="H10" s="22" t="s">
        <v>198</v>
      </c>
      <c r="I10" s="1"/>
      <c r="J10" s="1"/>
      <c r="P10" s="1"/>
      <c r="AB10" s="1"/>
      <c r="AC10" s="1"/>
      <c r="AD10" s="1"/>
    </row>
    <row r="11" spans="1:30" ht="15" customHeight="1" x14ac:dyDescent="0.25">
      <c r="A11" s="1" t="s">
        <v>285</v>
      </c>
      <c r="B11" s="1" t="s">
        <v>307</v>
      </c>
      <c r="C11" s="1" t="s">
        <v>129</v>
      </c>
      <c r="E11" s="1">
        <v>492.5</v>
      </c>
      <c r="H11" s="22"/>
      <c r="I11" s="1"/>
      <c r="J11" s="1"/>
      <c r="P11" s="1"/>
      <c r="AB11" s="1"/>
      <c r="AC11" s="1"/>
      <c r="AD11" s="1"/>
    </row>
    <row r="12" spans="1:30" ht="15" customHeight="1" x14ac:dyDescent="0.25">
      <c r="A12" s="1" t="s">
        <v>288</v>
      </c>
      <c r="B12" s="1" t="s">
        <v>307</v>
      </c>
      <c r="C12" s="1" t="s">
        <v>129</v>
      </c>
      <c r="E12" s="1">
        <v>409</v>
      </c>
      <c r="H12" s="22"/>
      <c r="I12" s="1"/>
      <c r="J12" s="1"/>
      <c r="P12" s="1"/>
      <c r="AB12" s="1"/>
      <c r="AC12" s="1"/>
      <c r="AD12" s="1"/>
    </row>
    <row r="13" spans="1:30" ht="15" customHeight="1" x14ac:dyDescent="0.25">
      <c r="A13" s="1" t="s">
        <v>289</v>
      </c>
      <c r="B13" s="1" t="s">
        <v>307</v>
      </c>
      <c r="C13" s="1" t="s">
        <v>129</v>
      </c>
      <c r="E13" s="1">
        <v>486</v>
      </c>
      <c r="H13" s="22"/>
      <c r="I13" s="1"/>
      <c r="J13" s="1"/>
      <c r="P13" s="1"/>
      <c r="AB13" s="1"/>
      <c r="AC13" s="1"/>
      <c r="AD13" s="1"/>
    </row>
    <row r="14" spans="1:30" ht="15" customHeight="1" x14ac:dyDescent="0.25">
      <c r="A14" s="1" t="s">
        <v>292</v>
      </c>
      <c r="B14" s="1" t="s">
        <v>309</v>
      </c>
      <c r="C14" s="1" t="s">
        <v>128</v>
      </c>
      <c r="D14" s="1" t="s">
        <v>101</v>
      </c>
      <c r="E14" s="1">
        <v>4</v>
      </c>
      <c r="F14" s="1" t="s">
        <v>316</v>
      </c>
      <c r="G14" s="1" t="s">
        <v>193</v>
      </c>
      <c r="H14" s="22" t="s">
        <v>205</v>
      </c>
      <c r="I14" s="1"/>
      <c r="J14" s="1"/>
      <c r="P14" s="1"/>
      <c r="AB14" s="1"/>
      <c r="AC14" s="1"/>
      <c r="AD14" s="1"/>
    </row>
    <row r="15" spans="1:30" ht="15" customHeight="1" x14ac:dyDescent="0.25">
      <c r="A15" s="1" t="s">
        <v>292</v>
      </c>
      <c r="B15" s="1" t="s">
        <v>309</v>
      </c>
      <c r="C15" s="1" t="s">
        <v>129</v>
      </c>
      <c r="E15" s="1">
        <v>530</v>
      </c>
      <c r="H15" s="22"/>
      <c r="I15" s="1"/>
      <c r="J15" s="1"/>
      <c r="P15" s="1"/>
      <c r="AB15" s="1"/>
      <c r="AC15" s="1"/>
      <c r="AD15" s="1"/>
    </row>
    <row r="16" spans="1:30" ht="15" customHeight="1" x14ac:dyDescent="0.25">
      <c r="A16" s="1" t="s">
        <v>294</v>
      </c>
      <c r="B16" s="1" t="s">
        <v>309</v>
      </c>
      <c r="C16" s="1" t="s">
        <v>128</v>
      </c>
      <c r="D16" s="1" t="s">
        <v>88</v>
      </c>
      <c r="E16" s="1">
        <v>13.5</v>
      </c>
      <c r="F16" s="1" t="s">
        <v>313</v>
      </c>
      <c r="G16" s="1" t="s">
        <v>206</v>
      </c>
      <c r="H16" s="22" t="s">
        <v>208</v>
      </c>
      <c r="I16" s="1"/>
      <c r="J16" s="1"/>
      <c r="P16" s="1"/>
      <c r="AB16" s="1"/>
      <c r="AC16" s="1"/>
      <c r="AD16" s="1"/>
    </row>
    <row r="17" spans="1:30" ht="15" customHeight="1" x14ac:dyDescent="0.25">
      <c r="A17" s="1" t="s">
        <v>294</v>
      </c>
      <c r="B17" s="1" t="s">
        <v>309</v>
      </c>
      <c r="C17" s="1" t="s">
        <v>128</v>
      </c>
      <c r="D17" s="1" t="s">
        <v>93</v>
      </c>
      <c r="E17" s="1">
        <v>20</v>
      </c>
      <c r="F17" s="1" t="s">
        <v>271</v>
      </c>
      <c r="G17" s="1" t="s">
        <v>207</v>
      </c>
      <c r="H17" s="22" t="s">
        <v>209</v>
      </c>
      <c r="I17" s="1"/>
      <c r="J17" s="1"/>
      <c r="P17" s="1"/>
      <c r="AB17" s="1"/>
      <c r="AC17" s="1"/>
      <c r="AD17" s="1"/>
    </row>
    <row r="18" spans="1:30" ht="15" customHeight="1" x14ac:dyDescent="0.25">
      <c r="A18" s="1" t="s">
        <v>294</v>
      </c>
      <c r="B18" s="1" t="s">
        <v>309</v>
      </c>
      <c r="C18" s="1" t="s">
        <v>128</v>
      </c>
      <c r="D18" s="1" t="s">
        <v>105</v>
      </c>
      <c r="E18" s="1">
        <v>21</v>
      </c>
      <c r="F18" s="1" t="s">
        <v>317</v>
      </c>
      <c r="G18" s="1" t="s">
        <v>212</v>
      </c>
      <c r="H18" s="22" t="s">
        <v>210</v>
      </c>
      <c r="I18" s="1"/>
      <c r="J18" s="1"/>
      <c r="P18" s="1"/>
      <c r="AB18" s="1"/>
      <c r="AC18" s="1"/>
      <c r="AD18" s="1"/>
    </row>
    <row r="19" spans="1:30" ht="15" customHeight="1" x14ac:dyDescent="0.25">
      <c r="A19" s="1" t="s">
        <v>294</v>
      </c>
      <c r="B19" s="1" t="s">
        <v>309</v>
      </c>
      <c r="C19" s="1" t="s">
        <v>129</v>
      </c>
      <c r="E19" s="1">
        <v>722.5</v>
      </c>
      <c r="H19" s="22"/>
      <c r="I19" s="1"/>
      <c r="J19" s="1"/>
      <c r="P19" s="1"/>
      <c r="AB19" s="1"/>
      <c r="AC19" s="1"/>
      <c r="AD19" s="1"/>
    </row>
    <row r="20" spans="1:30" ht="15" customHeight="1" x14ac:dyDescent="0.25">
      <c r="A20" s="1" t="s">
        <v>295</v>
      </c>
      <c r="B20" s="1" t="s">
        <v>309</v>
      </c>
      <c r="C20" s="1" t="s">
        <v>128</v>
      </c>
      <c r="D20" s="1" t="s">
        <v>101</v>
      </c>
      <c r="E20" s="1">
        <v>21.5</v>
      </c>
      <c r="F20" s="1" t="s">
        <v>318</v>
      </c>
      <c r="G20" s="1" t="s">
        <v>193</v>
      </c>
      <c r="H20" s="22" t="s">
        <v>211</v>
      </c>
      <c r="I20" s="1"/>
      <c r="J20" s="1"/>
      <c r="P20" s="1"/>
      <c r="AB20" s="1"/>
      <c r="AC20" s="1"/>
      <c r="AD20" s="1"/>
    </row>
    <row r="21" spans="1:30" ht="15" customHeight="1" x14ac:dyDescent="0.25">
      <c r="A21" s="1" t="s">
        <v>295</v>
      </c>
      <c r="B21" s="1" t="s">
        <v>309</v>
      </c>
      <c r="C21" s="1" t="s">
        <v>129</v>
      </c>
      <c r="E21" s="1">
        <v>501.5</v>
      </c>
      <c r="H21" s="22"/>
      <c r="I21" s="1"/>
      <c r="J21" s="1"/>
      <c r="P21" s="1"/>
      <c r="AB21" s="1"/>
      <c r="AC21" s="1"/>
      <c r="AD21" s="1"/>
    </row>
    <row r="22" spans="1:30" ht="15" customHeight="1" x14ac:dyDescent="0.25">
      <c r="A22" s="1" t="s">
        <v>298</v>
      </c>
      <c r="B22" s="1" t="s">
        <v>304</v>
      </c>
      <c r="C22" s="1" t="s">
        <v>128</v>
      </c>
      <c r="D22" s="1" t="s">
        <v>88</v>
      </c>
      <c r="E22" s="1">
        <v>40</v>
      </c>
      <c r="F22" s="1" t="s">
        <v>319</v>
      </c>
      <c r="G22" s="1" t="s">
        <v>186</v>
      </c>
      <c r="H22" s="22" t="s">
        <v>213</v>
      </c>
      <c r="I22" s="1"/>
      <c r="J22" s="1"/>
      <c r="P22" s="1"/>
      <c r="AB22" s="1"/>
      <c r="AC22" s="1"/>
      <c r="AD22" s="1"/>
    </row>
    <row r="23" spans="1:30" ht="15" customHeight="1" x14ac:dyDescent="0.25">
      <c r="A23" s="1" t="s">
        <v>298</v>
      </c>
      <c r="B23" s="1" t="s">
        <v>304</v>
      </c>
      <c r="C23" s="1" t="s">
        <v>128</v>
      </c>
      <c r="D23" s="1" t="s">
        <v>89</v>
      </c>
      <c r="E23" s="1">
        <v>13.5</v>
      </c>
      <c r="F23" s="1" t="s">
        <v>319</v>
      </c>
      <c r="G23" s="1" t="s">
        <v>186</v>
      </c>
      <c r="H23" s="22" t="s">
        <v>214</v>
      </c>
      <c r="I23" s="1"/>
      <c r="J23" s="1"/>
      <c r="P23" s="1"/>
      <c r="AB23" s="1"/>
      <c r="AC23" s="1"/>
      <c r="AD23" s="1"/>
    </row>
    <row r="24" spans="1:30" ht="15" customHeight="1" x14ac:dyDescent="0.25">
      <c r="A24" s="1" t="s">
        <v>298</v>
      </c>
      <c r="B24" s="1" t="s">
        <v>304</v>
      </c>
      <c r="C24" s="1" t="s">
        <v>128</v>
      </c>
      <c r="D24" s="1" t="s">
        <v>91</v>
      </c>
      <c r="E24" s="1">
        <v>18.5</v>
      </c>
      <c r="F24" s="1" t="s">
        <v>319</v>
      </c>
      <c r="G24" s="1" t="s">
        <v>186</v>
      </c>
      <c r="H24" s="22" t="s">
        <v>215</v>
      </c>
      <c r="I24" s="1"/>
      <c r="J24" s="1"/>
      <c r="P24" s="1"/>
      <c r="AB24" s="1"/>
      <c r="AC24" s="1"/>
      <c r="AD24" s="1"/>
    </row>
    <row r="25" spans="1:30" ht="15" customHeight="1" x14ac:dyDescent="0.25">
      <c r="A25" s="1" t="s">
        <v>298</v>
      </c>
      <c r="B25" s="1" t="s">
        <v>304</v>
      </c>
      <c r="C25" s="1" t="s">
        <v>129</v>
      </c>
      <c r="E25" s="1">
        <v>714</v>
      </c>
      <c r="H25" s="22"/>
      <c r="I25" s="1"/>
      <c r="J25" s="1"/>
      <c r="P25" s="1"/>
      <c r="AB25" s="1"/>
      <c r="AC25" s="1"/>
      <c r="AD25" s="1"/>
    </row>
    <row r="26" spans="1:30" ht="15" customHeight="1" x14ac:dyDescent="0.25">
      <c r="A26" s="1" t="s">
        <v>299</v>
      </c>
      <c r="B26" s="1" t="s">
        <v>309</v>
      </c>
      <c r="C26" s="1" t="s">
        <v>129</v>
      </c>
      <c r="E26" s="1">
        <v>458</v>
      </c>
      <c r="H26" s="22"/>
      <c r="I26" s="1"/>
      <c r="J26" s="1"/>
      <c r="P26" s="1"/>
      <c r="AB26" s="1"/>
      <c r="AC26" s="1"/>
      <c r="AD26" s="1"/>
    </row>
    <row r="27" spans="1:30" ht="15" customHeight="1" x14ac:dyDescent="0.25">
      <c r="A27" s="1" t="s">
        <v>300</v>
      </c>
      <c r="B27" s="1" t="s">
        <v>304</v>
      </c>
      <c r="C27" s="1" t="s">
        <v>128</v>
      </c>
      <c r="D27" s="1" t="s">
        <v>87</v>
      </c>
      <c r="E27" s="1">
        <v>31</v>
      </c>
      <c r="F27" s="1" t="s">
        <v>319</v>
      </c>
      <c r="G27" s="1" t="s">
        <v>186</v>
      </c>
      <c r="H27" s="22" t="s">
        <v>218</v>
      </c>
      <c r="I27" s="1"/>
      <c r="J27" s="1"/>
      <c r="P27" s="1"/>
      <c r="AB27" s="1"/>
      <c r="AC27" s="1"/>
      <c r="AD27" s="1"/>
    </row>
    <row r="28" spans="1:30" ht="15" customHeight="1" x14ac:dyDescent="0.25">
      <c r="A28" s="1" t="s">
        <v>300</v>
      </c>
      <c r="B28" s="1" t="s">
        <v>304</v>
      </c>
      <c r="C28" s="1" t="s">
        <v>128</v>
      </c>
      <c r="D28" s="1" t="s">
        <v>88</v>
      </c>
      <c r="E28" s="1">
        <v>12.5</v>
      </c>
      <c r="F28" s="1" t="s">
        <v>319</v>
      </c>
      <c r="G28" s="1" t="s">
        <v>186</v>
      </c>
      <c r="H28" s="22" t="s">
        <v>220</v>
      </c>
      <c r="I28" s="1"/>
      <c r="J28" s="1"/>
      <c r="P28" s="1"/>
      <c r="AB28" s="1"/>
      <c r="AC28" s="1"/>
      <c r="AD28" s="1"/>
    </row>
    <row r="29" spans="1:30" ht="15" customHeight="1" x14ac:dyDescent="0.25">
      <c r="A29" s="1" t="s">
        <v>300</v>
      </c>
      <c r="B29" s="1" t="s">
        <v>304</v>
      </c>
      <c r="C29" s="1" t="s">
        <v>128</v>
      </c>
      <c r="D29" s="1" t="s">
        <v>89</v>
      </c>
      <c r="E29" s="1">
        <v>33.5</v>
      </c>
      <c r="F29" s="1" t="s">
        <v>319</v>
      </c>
      <c r="G29" s="1" t="s">
        <v>186</v>
      </c>
      <c r="H29" s="31" t="s">
        <v>219</v>
      </c>
    </row>
    <row r="30" spans="1:30" ht="15" customHeight="1" x14ac:dyDescent="0.25">
      <c r="A30" s="1" t="s">
        <v>300</v>
      </c>
      <c r="B30" s="1" t="s">
        <v>304</v>
      </c>
      <c r="C30" s="1" t="s">
        <v>128</v>
      </c>
      <c r="D30" s="1" t="s">
        <v>71</v>
      </c>
      <c r="E30" s="1">
        <v>18</v>
      </c>
      <c r="F30" s="1" t="s">
        <v>319</v>
      </c>
      <c r="G30" s="1" t="s">
        <v>186</v>
      </c>
      <c r="H30" s="31" t="s">
        <v>217</v>
      </c>
    </row>
    <row r="31" spans="1:30" ht="15" customHeight="1" x14ac:dyDescent="0.25">
      <c r="A31" s="1" t="s">
        <v>300</v>
      </c>
      <c r="B31" s="1" t="s">
        <v>304</v>
      </c>
      <c r="C31" s="1" t="s">
        <v>129</v>
      </c>
      <c r="E31" s="1">
        <v>709</v>
      </c>
    </row>
    <row r="32" spans="1:30" ht="15" customHeight="1" x14ac:dyDescent="0.25">
      <c r="A32" s="1" t="s">
        <v>301</v>
      </c>
      <c r="B32" s="1" t="s">
        <v>312</v>
      </c>
      <c r="C32" s="1" t="s">
        <v>128</v>
      </c>
      <c r="D32" s="1" t="s">
        <v>90</v>
      </c>
      <c r="E32" s="1">
        <v>18</v>
      </c>
      <c r="F32" s="1" t="s">
        <v>314</v>
      </c>
      <c r="G32" s="1" t="s">
        <v>186</v>
      </c>
      <c r="H32" s="31" t="s">
        <v>222</v>
      </c>
    </row>
    <row r="33" spans="1:8" ht="15" customHeight="1" x14ac:dyDescent="0.25">
      <c r="A33" s="1" t="s">
        <v>301</v>
      </c>
      <c r="B33" s="1" t="s">
        <v>312</v>
      </c>
      <c r="C33" s="1" t="s">
        <v>128</v>
      </c>
      <c r="D33" s="1" t="s">
        <v>99</v>
      </c>
      <c r="E33" s="1">
        <v>131</v>
      </c>
      <c r="F33" s="1" t="s">
        <v>320</v>
      </c>
      <c r="G33" s="1" t="s">
        <v>223</v>
      </c>
      <c r="H33" s="31" t="s">
        <v>224</v>
      </c>
    </row>
    <row r="34" spans="1:8" ht="15" customHeight="1" x14ac:dyDescent="0.25">
      <c r="A34" s="1" t="s">
        <v>301</v>
      </c>
      <c r="B34" s="1" t="s">
        <v>312</v>
      </c>
      <c r="C34" s="1" t="s">
        <v>128</v>
      </c>
      <c r="D34" s="1" t="s">
        <v>99</v>
      </c>
      <c r="E34" s="1">
        <v>9</v>
      </c>
      <c r="F34" s="1" t="s">
        <v>313</v>
      </c>
      <c r="G34" s="1" t="s">
        <v>206</v>
      </c>
      <c r="H34" s="31" t="s">
        <v>225</v>
      </c>
    </row>
    <row r="35" spans="1:8" ht="15" customHeight="1" x14ac:dyDescent="0.25">
      <c r="A35" s="1" t="s">
        <v>301</v>
      </c>
      <c r="B35" s="1" t="s">
        <v>312</v>
      </c>
      <c r="C35" s="1" t="s">
        <v>128</v>
      </c>
      <c r="D35" s="1" t="s">
        <v>101</v>
      </c>
      <c r="E35" s="1">
        <v>1.5</v>
      </c>
      <c r="F35" s="1" t="s">
        <v>321</v>
      </c>
      <c r="G35" s="1" t="s">
        <v>193</v>
      </c>
      <c r="H35" s="31" t="s">
        <v>221</v>
      </c>
    </row>
    <row r="36" spans="1:8" ht="15" customHeight="1" x14ac:dyDescent="0.25">
      <c r="A36" s="1" t="s">
        <v>301</v>
      </c>
      <c r="B36" s="1" t="s">
        <v>312</v>
      </c>
      <c r="C36" s="1" t="s">
        <v>129</v>
      </c>
      <c r="E36" s="1">
        <v>1314.5</v>
      </c>
    </row>
    <row r="37" spans="1:8" ht="15" customHeight="1" x14ac:dyDescent="0.25">
      <c r="A37" s="1" t="s">
        <v>279</v>
      </c>
      <c r="B37" s="1" t="s">
        <v>306</v>
      </c>
      <c r="C37" s="1" t="s">
        <v>128</v>
      </c>
      <c r="D37" s="1" t="s">
        <v>86</v>
      </c>
      <c r="E37" s="1">
        <v>2</v>
      </c>
      <c r="F37" s="1" t="s">
        <v>314</v>
      </c>
      <c r="G37" s="1" t="s">
        <v>186</v>
      </c>
      <c r="H37" s="31" t="s">
        <v>188</v>
      </c>
    </row>
    <row r="38" spans="1:8" ht="15" customHeight="1" x14ac:dyDescent="0.25">
      <c r="A38" s="1" t="s">
        <v>279</v>
      </c>
      <c r="B38" s="1" t="s">
        <v>306</v>
      </c>
      <c r="C38" s="1" t="s">
        <v>128</v>
      </c>
      <c r="D38" s="1" t="s">
        <v>88</v>
      </c>
      <c r="E38" s="1">
        <v>66.5</v>
      </c>
      <c r="F38" s="1" t="s">
        <v>314</v>
      </c>
      <c r="G38" s="1" t="s">
        <v>186</v>
      </c>
      <c r="H38" s="31" t="s">
        <v>184</v>
      </c>
    </row>
    <row r="39" spans="1:8" ht="15" customHeight="1" x14ac:dyDescent="0.25">
      <c r="A39" s="1" t="s">
        <v>279</v>
      </c>
      <c r="B39" s="1" t="s">
        <v>306</v>
      </c>
      <c r="C39" s="1" t="s">
        <v>128</v>
      </c>
      <c r="D39" s="1" t="s">
        <v>89</v>
      </c>
      <c r="E39" s="1">
        <v>14.5</v>
      </c>
      <c r="F39" s="1" t="s">
        <v>314</v>
      </c>
      <c r="G39" s="1" t="s">
        <v>186</v>
      </c>
      <c r="H39" s="31" t="s">
        <v>187</v>
      </c>
    </row>
    <row r="40" spans="1:8" ht="15" customHeight="1" x14ac:dyDescent="0.25">
      <c r="A40" s="1" t="s">
        <v>279</v>
      </c>
      <c r="B40" s="1" t="s">
        <v>306</v>
      </c>
      <c r="C40" s="1" t="s">
        <v>128</v>
      </c>
      <c r="D40" s="1" t="s">
        <v>90</v>
      </c>
      <c r="E40" s="1">
        <v>13</v>
      </c>
      <c r="F40" s="1" t="s">
        <v>314</v>
      </c>
      <c r="G40" s="1" t="s">
        <v>186</v>
      </c>
      <c r="H40" s="31" t="s">
        <v>189</v>
      </c>
    </row>
    <row r="41" spans="1:8" ht="15" customHeight="1" x14ac:dyDescent="0.25">
      <c r="A41" s="1" t="s">
        <v>279</v>
      </c>
      <c r="B41" s="1" t="s">
        <v>306</v>
      </c>
      <c r="C41" s="1" t="s">
        <v>129</v>
      </c>
      <c r="E41" s="1">
        <v>726</v>
      </c>
    </row>
    <row r="42" spans="1:8" ht="15" customHeight="1" x14ac:dyDescent="0.25">
      <c r="A42" s="1" t="s">
        <v>282</v>
      </c>
      <c r="B42" s="1" t="s">
        <v>307</v>
      </c>
      <c r="C42" s="1" t="s">
        <v>128</v>
      </c>
      <c r="D42" s="1" t="s">
        <v>98</v>
      </c>
      <c r="E42" s="1">
        <v>3</v>
      </c>
      <c r="F42" s="1" t="s">
        <v>313</v>
      </c>
      <c r="G42" s="1" t="s">
        <v>192</v>
      </c>
      <c r="H42" s="31" t="s">
        <v>190</v>
      </c>
    </row>
    <row r="43" spans="1:8" ht="15" customHeight="1" x14ac:dyDescent="0.25">
      <c r="A43" s="1" t="s">
        <v>282</v>
      </c>
      <c r="B43" s="1" t="s">
        <v>307</v>
      </c>
      <c r="C43" s="1" t="s">
        <v>128</v>
      </c>
      <c r="D43" s="1" t="s">
        <v>80</v>
      </c>
      <c r="E43" s="1">
        <v>20.5</v>
      </c>
      <c r="F43" s="1" t="s">
        <v>316</v>
      </c>
      <c r="G43" s="1" t="s">
        <v>193</v>
      </c>
      <c r="H43" s="31" t="s">
        <v>191</v>
      </c>
    </row>
    <row r="44" spans="1:8" ht="15" customHeight="1" x14ac:dyDescent="0.25">
      <c r="A44" s="1" t="s">
        <v>282</v>
      </c>
      <c r="B44" s="1" t="s">
        <v>307</v>
      </c>
      <c r="C44" s="1" t="s">
        <v>129</v>
      </c>
      <c r="E44" s="1">
        <v>485.5</v>
      </c>
    </row>
    <row r="45" spans="1:8" ht="15" customHeight="1" x14ac:dyDescent="0.25">
      <c r="A45" s="1" t="s">
        <v>302</v>
      </c>
      <c r="B45" s="1" t="s">
        <v>308</v>
      </c>
      <c r="C45" s="1" t="s">
        <v>128</v>
      </c>
      <c r="D45" s="1" t="s">
        <v>68</v>
      </c>
      <c r="E45" s="1">
        <v>1625.5</v>
      </c>
      <c r="H45" s="31" t="s">
        <v>248</v>
      </c>
    </row>
    <row r="46" spans="1:8" ht="15" customHeight="1" x14ac:dyDescent="0.25">
      <c r="A46" s="1" t="s">
        <v>302</v>
      </c>
      <c r="B46" s="1" t="s">
        <v>308</v>
      </c>
      <c r="C46" s="1" t="s">
        <v>128</v>
      </c>
      <c r="D46" s="1" t="s">
        <v>69</v>
      </c>
      <c r="E46" s="1">
        <v>113.5</v>
      </c>
      <c r="H46" s="31" t="s">
        <v>230</v>
      </c>
    </row>
    <row r="47" spans="1:8" ht="15" customHeight="1" x14ac:dyDescent="0.25">
      <c r="A47" s="1" t="s">
        <v>302</v>
      </c>
      <c r="B47" s="1" t="s">
        <v>308</v>
      </c>
      <c r="C47" s="1" t="s">
        <v>128</v>
      </c>
      <c r="D47" s="1" t="s">
        <v>86</v>
      </c>
      <c r="E47" s="1">
        <v>7.5</v>
      </c>
      <c r="F47" s="1" t="s">
        <v>271</v>
      </c>
      <c r="G47" s="1" t="s">
        <v>186</v>
      </c>
      <c r="H47" s="31" t="s">
        <v>231</v>
      </c>
    </row>
    <row r="48" spans="1:8" ht="15" customHeight="1" x14ac:dyDescent="0.25">
      <c r="A48" s="1" t="s">
        <v>302</v>
      </c>
      <c r="B48" s="1" t="s">
        <v>308</v>
      </c>
      <c r="C48" s="1" t="s">
        <v>128</v>
      </c>
      <c r="D48" s="1" t="s">
        <v>87</v>
      </c>
      <c r="E48" s="1">
        <v>83.5</v>
      </c>
      <c r="F48" s="1" t="s">
        <v>271</v>
      </c>
      <c r="G48" s="1" t="s">
        <v>186</v>
      </c>
      <c r="H48" s="31" t="s">
        <v>232</v>
      </c>
    </row>
    <row r="49" spans="1:8" ht="15" customHeight="1" x14ac:dyDescent="0.25">
      <c r="A49" s="1" t="s">
        <v>302</v>
      </c>
      <c r="B49" s="1" t="s">
        <v>308</v>
      </c>
      <c r="C49" s="1" t="s">
        <v>128</v>
      </c>
      <c r="D49" s="1" t="s">
        <v>89</v>
      </c>
      <c r="E49" s="1">
        <v>11</v>
      </c>
      <c r="F49" s="1" t="s">
        <v>271</v>
      </c>
      <c r="G49" s="1" t="s">
        <v>186</v>
      </c>
      <c r="H49" s="31" t="s">
        <v>233</v>
      </c>
    </row>
    <row r="50" spans="1:8" ht="15" customHeight="1" x14ac:dyDescent="0.25">
      <c r="A50" s="1" t="s">
        <v>302</v>
      </c>
      <c r="B50" s="1" t="s">
        <v>308</v>
      </c>
      <c r="C50" s="1" t="s">
        <v>128</v>
      </c>
      <c r="D50" s="1" t="s">
        <v>90</v>
      </c>
      <c r="E50" s="1">
        <v>145.5</v>
      </c>
      <c r="F50" s="1" t="s">
        <v>271</v>
      </c>
      <c r="G50" s="1" t="s">
        <v>186</v>
      </c>
      <c r="H50" s="31" t="s">
        <v>234</v>
      </c>
    </row>
    <row r="51" spans="1:8" ht="15" customHeight="1" x14ac:dyDescent="0.25">
      <c r="A51" s="1" t="s">
        <v>302</v>
      </c>
      <c r="B51" s="1" t="s">
        <v>308</v>
      </c>
      <c r="C51" s="1" t="s">
        <v>128</v>
      </c>
      <c r="D51" s="1" t="s">
        <v>91</v>
      </c>
      <c r="E51" s="1">
        <v>48</v>
      </c>
      <c r="F51" s="1" t="s">
        <v>271</v>
      </c>
      <c r="G51" s="1" t="s">
        <v>186</v>
      </c>
      <c r="H51" s="31" t="s">
        <v>235</v>
      </c>
    </row>
    <row r="52" spans="1:8" ht="15" customHeight="1" x14ac:dyDescent="0.25">
      <c r="A52" s="1" t="s">
        <v>302</v>
      </c>
      <c r="B52" s="1" t="s">
        <v>308</v>
      </c>
      <c r="C52" s="1" t="s">
        <v>128</v>
      </c>
      <c r="D52" s="1" t="s">
        <v>65</v>
      </c>
      <c r="E52" s="1">
        <v>3.5</v>
      </c>
      <c r="F52" s="1" t="s">
        <v>322</v>
      </c>
      <c r="G52" s="1" t="s">
        <v>237</v>
      </c>
      <c r="H52" s="31" t="s">
        <v>236</v>
      </c>
    </row>
    <row r="53" spans="1:8" ht="15" customHeight="1" x14ac:dyDescent="0.25">
      <c r="A53" s="1" t="s">
        <v>302</v>
      </c>
      <c r="B53" s="1" t="s">
        <v>308</v>
      </c>
      <c r="C53" s="1" t="s">
        <v>128</v>
      </c>
      <c r="D53" s="1" t="s">
        <v>66</v>
      </c>
      <c r="E53" s="1">
        <v>188.5</v>
      </c>
      <c r="H53" s="31" t="s">
        <v>238</v>
      </c>
    </row>
    <row r="54" spans="1:8" ht="15" customHeight="1" x14ac:dyDescent="0.25">
      <c r="A54" s="1" t="s">
        <v>302</v>
      </c>
      <c r="B54" s="1" t="s">
        <v>308</v>
      </c>
      <c r="C54" s="1" t="s">
        <v>128</v>
      </c>
      <c r="D54" s="1" t="s">
        <v>71</v>
      </c>
      <c r="E54" s="1">
        <v>342</v>
      </c>
      <c r="H54" s="31" t="s">
        <v>239</v>
      </c>
    </row>
    <row r="55" spans="1:8" ht="15" customHeight="1" x14ac:dyDescent="0.25">
      <c r="A55" s="1" t="s">
        <v>302</v>
      </c>
      <c r="B55" s="1" t="s">
        <v>308</v>
      </c>
      <c r="C55" s="1" t="s">
        <v>128</v>
      </c>
      <c r="D55" s="1" t="s">
        <v>93</v>
      </c>
      <c r="E55" s="1">
        <v>51.5</v>
      </c>
      <c r="F55" s="1" t="s">
        <v>323</v>
      </c>
      <c r="G55" s="1" t="s">
        <v>207</v>
      </c>
      <c r="H55" s="31" t="s">
        <v>324</v>
      </c>
    </row>
    <row r="56" spans="1:8" ht="15" customHeight="1" x14ac:dyDescent="0.25">
      <c r="A56" s="1" t="s">
        <v>302</v>
      </c>
      <c r="B56" s="1" t="s">
        <v>308</v>
      </c>
      <c r="C56" s="1" t="s">
        <v>128</v>
      </c>
      <c r="D56" s="1" t="s">
        <v>96</v>
      </c>
      <c r="E56" s="1">
        <v>3.5</v>
      </c>
      <c r="F56" s="1" t="s">
        <v>325</v>
      </c>
      <c r="G56" s="1" t="s">
        <v>261</v>
      </c>
      <c r="H56" s="31" t="s">
        <v>240</v>
      </c>
    </row>
    <row r="57" spans="1:8" ht="15" customHeight="1" x14ac:dyDescent="0.25">
      <c r="A57" s="1" t="s">
        <v>302</v>
      </c>
      <c r="B57" s="1" t="s">
        <v>308</v>
      </c>
      <c r="C57" s="1" t="s">
        <v>128</v>
      </c>
      <c r="D57" s="1" t="s">
        <v>98</v>
      </c>
      <c r="E57" s="1">
        <v>13</v>
      </c>
      <c r="F57" s="1" t="s">
        <v>327</v>
      </c>
      <c r="G57" s="1" t="s">
        <v>192</v>
      </c>
      <c r="H57" s="31" t="s">
        <v>241</v>
      </c>
    </row>
    <row r="58" spans="1:8" ht="15" customHeight="1" x14ac:dyDescent="0.25">
      <c r="A58" s="1" t="s">
        <v>302</v>
      </c>
      <c r="B58" s="1" t="s">
        <v>308</v>
      </c>
      <c r="C58" s="1" t="s">
        <v>128</v>
      </c>
      <c r="D58" s="1" t="s">
        <v>99</v>
      </c>
      <c r="E58" s="1">
        <v>387.5</v>
      </c>
      <c r="F58" s="1" t="s">
        <v>242</v>
      </c>
      <c r="G58" s="1" t="s">
        <v>260</v>
      </c>
      <c r="H58" s="33" t="s">
        <v>326</v>
      </c>
    </row>
    <row r="59" spans="1:8" ht="15" customHeight="1" x14ac:dyDescent="0.25">
      <c r="A59" s="1" t="s">
        <v>302</v>
      </c>
      <c r="B59" s="1" t="s">
        <v>308</v>
      </c>
      <c r="C59" s="1" t="s">
        <v>128</v>
      </c>
      <c r="D59" s="1" t="s">
        <v>101</v>
      </c>
      <c r="E59" s="1">
        <v>5.5</v>
      </c>
      <c r="F59" s="1" t="s">
        <v>323</v>
      </c>
      <c r="G59" s="1" t="s">
        <v>193</v>
      </c>
      <c r="H59" s="31" t="s">
        <v>243</v>
      </c>
    </row>
    <row r="60" spans="1:8" ht="15" customHeight="1" x14ac:dyDescent="0.25">
      <c r="A60" s="1" t="s">
        <v>302</v>
      </c>
      <c r="B60" s="1" t="s">
        <v>308</v>
      </c>
      <c r="C60" s="1" t="s">
        <v>128</v>
      </c>
      <c r="D60" s="1" t="s">
        <v>102</v>
      </c>
      <c r="E60" s="1">
        <v>1.5</v>
      </c>
      <c r="F60" s="1" t="s">
        <v>323</v>
      </c>
      <c r="G60" s="1" t="s">
        <v>193</v>
      </c>
      <c r="H60" s="31" t="s">
        <v>244</v>
      </c>
    </row>
    <row r="61" spans="1:8" ht="15" customHeight="1" x14ac:dyDescent="0.25">
      <c r="A61" s="1" t="s">
        <v>302</v>
      </c>
      <c r="B61" s="1" t="s">
        <v>308</v>
      </c>
      <c r="C61" s="1" t="s">
        <v>128</v>
      </c>
      <c r="D61" s="1" t="s">
        <v>105</v>
      </c>
      <c r="E61" s="1">
        <v>14</v>
      </c>
      <c r="H61" s="31" t="s">
        <v>245</v>
      </c>
    </row>
    <row r="62" spans="1:8" ht="15" customHeight="1" x14ac:dyDescent="0.25">
      <c r="A62" s="1" t="s">
        <v>302</v>
      </c>
      <c r="B62" s="1" t="s">
        <v>308</v>
      </c>
      <c r="C62" s="1" t="s">
        <v>128</v>
      </c>
      <c r="D62" s="1" t="s">
        <v>107</v>
      </c>
      <c r="E62" s="1">
        <v>15.5</v>
      </c>
      <c r="F62" s="1" t="s">
        <v>271</v>
      </c>
      <c r="G62" s="1" t="s">
        <v>186</v>
      </c>
      <c r="H62" s="31" t="s">
        <v>246</v>
      </c>
    </row>
    <row r="63" spans="1:8" ht="15" customHeight="1" x14ac:dyDescent="0.25">
      <c r="A63" s="1" t="s">
        <v>302</v>
      </c>
      <c r="B63" s="1" t="s">
        <v>308</v>
      </c>
      <c r="C63" s="1" t="s">
        <v>128</v>
      </c>
      <c r="D63" s="1" t="s">
        <v>78</v>
      </c>
      <c r="E63" s="1">
        <v>662</v>
      </c>
      <c r="H63" s="31" t="s">
        <v>247</v>
      </c>
    </row>
    <row r="64" spans="1:8" ht="15" customHeight="1" x14ac:dyDescent="0.25">
      <c r="A64" s="1" t="s">
        <v>302</v>
      </c>
      <c r="B64" s="1" t="s">
        <v>308</v>
      </c>
      <c r="C64" s="1" t="s">
        <v>129</v>
      </c>
      <c r="E64" s="1">
        <v>6635.5</v>
      </c>
    </row>
    <row r="65" spans="1:8" ht="15" customHeight="1" x14ac:dyDescent="0.25">
      <c r="A65" s="1" t="s">
        <v>277</v>
      </c>
      <c r="B65" s="1" t="s">
        <v>304</v>
      </c>
      <c r="C65" s="1" t="s">
        <v>129</v>
      </c>
      <c r="E65" s="1">
        <v>466</v>
      </c>
    </row>
    <row r="66" spans="1:8" ht="15" customHeight="1" x14ac:dyDescent="0.25">
      <c r="A66" s="1" t="s">
        <v>296</v>
      </c>
      <c r="B66" s="1" t="s">
        <v>309</v>
      </c>
      <c r="C66" s="1" t="s">
        <v>128</v>
      </c>
      <c r="D66" s="1" t="s">
        <v>89</v>
      </c>
      <c r="E66" s="1">
        <v>5</v>
      </c>
      <c r="F66" s="1" t="s">
        <v>271</v>
      </c>
      <c r="G66" s="1" t="s">
        <v>186</v>
      </c>
      <c r="H66" s="31" t="s">
        <v>227</v>
      </c>
    </row>
    <row r="67" spans="1:8" ht="15" customHeight="1" x14ac:dyDescent="0.25">
      <c r="A67" s="1" t="s">
        <v>296</v>
      </c>
      <c r="B67" s="1" t="s">
        <v>309</v>
      </c>
      <c r="C67" s="1" t="s">
        <v>128</v>
      </c>
      <c r="D67" s="1" t="s">
        <v>78</v>
      </c>
      <c r="E67" s="1">
        <v>11</v>
      </c>
      <c r="F67" s="1" t="s">
        <v>328</v>
      </c>
      <c r="G67" s="1" t="s">
        <v>229</v>
      </c>
      <c r="H67" s="31" t="s">
        <v>228</v>
      </c>
    </row>
    <row r="68" spans="1:8" ht="15" customHeight="1" x14ac:dyDescent="0.25">
      <c r="A68" s="1" t="s">
        <v>296</v>
      </c>
      <c r="B68" s="1" t="s">
        <v>309</v>
      </c>
      <c r="C68" s="1" t="s">
        <v>129</v>
      </c>
      <c r="E68" s="1">
        <v>730</v>
      </c>
    </row>
    <row r="69" spans="1:8" ht="15" customHeight="1" x14ac:dyDescent="0.25">
      <c r="A69" s="1" t="s">
        <v>290</v>
      </c>
      <c r="B69" s="1" t="s">
        <v>307</v>
      </c>
      <c r="C69" s="1" t="s">
        <v>128</v>
      </c>
      <c r="D69" s="1" t="s">
        <v>83</v>
      </c>
      <c r="E69" s="1">
        <v>2</v>
      </c>
      <c r="H69" s="31" t="s">
        <v>226</v>
      </c>
    </row>
    <row r="70" spans="1:8" ht="15" customHeight="1" x14ac:dyDescent="0.25">
      <c r="A70" s="1" t="s">
        <v>290</v>
      </c>
      <c r="B70" s="1" t="s">
        <v>307</v>
      </c>
      <c r="C70" s="1" t="s">
        <v>129</v>
      </c>
      <c r="E70" s="1">
        <v>393</v>
      </c>
    </row>
    <row r="71" spans="1:8" ht="15" customHeight="1" x14ac:dyDescent="0.25">
      <c r="A71" s="1" t="s">
        <v>303</v>
      </c>
      <c r="B71" s="1" t="s">
        <v>305</v>
      </c>
      <c r="C71" s="1" t="s">
        <v>128</v>
      </c>
      <c r="D71" s="1" t="s">
        <v>67</v>
      </c>
      <c r="E71" s="1">
        <v>583.5</v>
      </c>
      <c r="H71" s="31" t="s">
        <v>249</v>
      </c>
    </row>
    <row r="72" spans="1:8" ht="15" customHeight="1" x14ac:dyDescent="0.25">
      <c r="A72" s="1" t="s">
        <v>303</v>
      </c>
      <c r="B72" s="1" t="s">
        <v>305</v>
      </c>
      <c r="C72" s="1" t="s">
        <v>128</v>
      </c>
      <c r="D72" s="1" t="s">
        <v>69</v>
      </c>
      <c r="E72" s="1">
        <v>455.5</v>
      </c>
      <c r="H72" s="31" t="s">
        <v>254</v>
      </c>
    </row>
    <row r="73" spans="1:8" ht="15" customHeight="1" x14ac:dyDescent="0.25">
      <c r="A73" s="1" t="s">
        <v>303</v>
      </c>
      <c r="B73" s="1" t="s">
        <v>305</v>
      </c>
      <c r="C73" s="1" t="s">
        <v>128</v>
      </c>
      <c r="D73" s="1" t="s">
        <v>84</v>
      </c>
      <c r="E73" s="1">
        <v>2</v>
      </c>
      <c r="H73" s="31" t="s">
        <v>250</v>
      </c>
    </row>
    <row r="74" spans="1:8" ht="15" customHeight="1" x14ac:dyDescent="0.25">
      <c r="A74" s="1" t="s">
        <v>303</v>
      </c>
      <c r="B74" s="1" t="s">
        <v>305</v>
      </c>
      <c r="C74" s="1" t="s">
        <v>128</v>
      </c>
      <c r="D74" s="1" t="s">
        <v>88</v>
      </c>
      <c r="E74" s="1">
        <v>12</v>
      </c>
      <c r="F74" s="1" t="s">
        <v>271</v>
      </c>
      <c r="G74" s="1" t="s">
        <v>186</v>
      </c>
      <c r="H74" s="31" t="s">
        <v>251</v>
      </c>
    </row>
    <row r="75" spans="1:8" ht="15" customHeight="1" x14ac:dyDescent="0.25">
      <c r="A75" s="1" t="s">
        <v>303</v>
      </c>
      <c r="B75" s="1" t="s">
        <v>305</v>
      </c>
      <c r="C75" s="1" t="s">
        <v>128</v>
      </c>
      <c r="D75" s="1" t="s">
        <v>89</v>
      </c>
      <c r="E75" s="1">
        <v>3</v>
      </c>
      <c r="F75" s="1" t="s">
        <v>271</v>
      </c>
      <c r="G75" s="1" t="s">
        <v>186</v>
      </c>
      <c r="H75" s="31" t="s">
        <v>252</v>
      </c>
    </row>
    <row r="76" spans="1:8" ht="15" customHeight="1" x14ac:dyDescent="0.25">
      <c r="A76" s="1" t="s">
        <v>303</v>
      </c>
      <c r="B76" s="1" t="s">
        <v>305</v>
      </c>
      <c r="C76" s="1" t="s">
        <v>128</v>
      </c>
      <c r="D76" s="1" t="s">
        <v>90</v>
      </c>
      <c r="E76" s="1">
        <v>31.5</v>
      </c>
      <c r="F76" s="1" t="s">
        <v>271</v>
      </c>
      <c r="G76" s="1" t="s">
        <v>186</v>
      </c>
      <c r="H76" s="31" t="s">
        <v>253</v>
      </c>
    </row>
    <row r="77" spans="1:8" ht="15" customHeight="1" x14ac:dyDescent="0.25">
      <c r="A77" s="1" t="s">
        <v>303</v>
      </c>
      <c r="B77" s="1" t="s">
        <v>305</v>
      </c>
      <c r="C77" s="1" t="s">
        <v>128</v>
      </c>
      <c r="D77" s="1" t="s">
        <v>70</v>
      </c>
      <c r="E77" s="1">
        <v>24</v>
      </c>
      <c r="F77" s="1" t="s">
        <v>327</v>
      </c>
      <c r="G77" s="1" t="s">
        <v>193</v>
      </c>
      <c r="H77" s="31" t="s">
        <v>255</v>
      </c>
    </row>
    <row r="78" spans="1:8" ht="15" customHeight="1" x14ac:dyDescent="0.25">
      <c r="A78" s="1" t="s">
        <v>303</v>
      </c>
      <c r="B78" s="1" t="s">
        <v>305</v>
      </c>
      <c r="C78" s="1" t="s">
        <v>128</v>
      </c>
      <c r="D78" s="1" t="s">
        <v>65</v>
      </c>
      <c r="E78" s="1">
        <v>52</v>
      </c>
      <c r="H78" s="31" t="s">
        <v>256</v>
      </c>
    </row>
    <row r="79" spans="1:8" ht="15" customHeight="1" x14ac:dyDescent="0.25">
      <c r="A79" s="1" t="s">
        <v>303</v>
      </c>
      <c r="B79" s="1" t="s">
        <v>305</v>
      </c>
      <c r="C79" s="1" t="s">
        <v>128</v>
      </c>
      <c r="D79" s="1" t="s">
        <v>71</v>
      </c>
      <c r="E79" s="1">
        <v>206</v>
      </c>
      <c r="H79" s="31" t="s">
        <v>257</v>
      </c>
    </row>
    <row r="80" spans="1:8" ht="15" customHeight="1" x14ac:dyDescent="0.25">
      <c r="A80" s="1" t="s">
        <v>303</v>
      </c>
      <c r="B80" s="1" t="s">
        <v>305</v>
      </c>
      <c r="C80" s="1" t="s">
        <v>128</v>
      </c>
      <c r="D80" s="1" t="s">
        <v>93</v>
      </c>
      <c r="E80" s="1">
        <v>4</v>
      </c>
      <c r="F80" s="1" t="s">
        <v>271</v>
      </c>
      <c r="G80" s="1" t="s">
        <v>207</v>
      </c>
      <c r="H80" s="31" t="s">
        <v>258</v>
      </c>
    </row>
    <row r="81" spans="1:8" ht="15" customHeight="1" x14ac:dyDescent="0.25">
      <c r="A81" s="1" t="s">
        <v>303</v>
      </c>
      <c r="B81" s="1" t="s">
        <v>305</v>
      </c>
      <c r="C81" s="1" t="s">
        <v>128</v>
      </c>
      <c r="D81" s="1" t="s">
        <v>96</v>
      </c>
      <c r="E81" s="1">
        <v>14.5</v>
      </c>
      <c r="F81" s="1" t="s">
        <v>329</v>
      </c>
      <c r="G81" s="1" t="s">
        <v>261</v>
      </c>
      <c r="H81" s="31" t="s">
        <v>259</v>
      </c>
    </row>
    <row r="82" spans="1:8" ht="15" customHeight="1" x14ac:dyDescent="0.25">
      <c r="A82" s="1" t="s">
        <v>303</v>
      </c>
      <c r="B82" s="1" t="s">
        <v>305</v>
      </c>
      <c r="C82" s="1" t="s">
        <v>128</v>
      </c>
      <c r="D82" s="1" t="s">
        <v>98</v>
      </c>
      <c r="E82" s="1">
        <v>162</v>
      </c>
      <c r="F82" s="1" t="s">
        <v>316</v>
      </c>
      <c r="G82" s="1" t="s">
        <v>192</v>
      </c>
      <c r="H82" s="31" t="s">
        <v>262</v>
      </c>
    </row>
    <row r="83" spans="1:8" ht="15" customHeight="1" x14ac:dyDescent="0.25">
      <c r="A83" s="1" t="s">
        <v>303</v>
      </c>
      <c r="B83" s="1" t="s">
        <v>305</v>
      </c>
      <c r="C83" s="1" t="s">
        <v>128</v>
      </c>
      <c r="D83" s="1" t="s">
        <v>99</v>
      </c>
      <c r="E83" s="1">
        <v>8.5</v>
      </c>
    </row>
    <row r="84" spans="1:8" ht="15" customHeight="1" x14ac:dyDescent="0.25">
      <c r="A84" s="1" t="s">
        <v>303</v>
      </c>
      <c r="B84" s="1" t="s">
        <v>305</v>
      </c>
      <c r="C84" s="1" t="s">
        <v>128</v>
      </c>
      <c r="D84" s="1" t="s">
        <v>101</v>
      </c>
      <c r="E84" s="1">
        <v>11.5</v>
      </c>
      <c r="F84" s="1" t="s">
        <v>327</v>
      </c>
      <c r="G84" s="1" t="s">
        <v>193</v>
      </c>
      <c r="H84" s="31" t="s">
        <v>263</v>
      </c>
    </row>
    <row r="85" spans="1:8" ht="15" customHeight="1" x14ac:dyDescent="0.25">
      <c r="A85" s="1" t="s">
        <v>303</v>
      </c>
      <c r="B85" s="1" t="s">
        <v>305</v>
      </c>
      <c r="C85" s="1" t="s">
        <v>128</v>
      </c>
      <c r="D85" s="1" t="s">
        <v>112</v>
      </c>
      <c r="E85" s="1">
        <v>4.5</v>
      </c>
      <c r="F85" s="1" t="s">
        <v>330</v>
      </c>
      <c r="G85" s="1" t="s">
        <v>265</v>
      </c>
      <c r="H85" s="31" t="s">
        <v>264</v>
      </c>
    </row>
    <row r="86" spans="1:8" ht="15" customHeight="1" x14ac:dyDescent="0.25">
      <c r="A86" s="1" t="s">
        <v>303</v>
      </c>
      <c r="B86" s="1" t="s">
        <v>305</v>
      </c>
      <c r="C86" s="1" t="s">
        <v>128</v>
      </c>
      <c r="D86" s="1" t="s">
        <v>76</v>
      </c>
      <c r="E86" s="1">
        <v>25</v>
      </c>
      <c r="F86" s="1" t="s">
        <v>331</v>
      </c>
      <c r="G86" s="1" t="s">
        <v>267</v>
      </c>
      <c r="H86" s="31" t="s">
        <v>266</v>
      </c>
    </row>
    <row r="87" spans="1:8" ht="15" customHeight="1" x14ac:dyDescent="0.25">
      <c r="A87" s="1" t="s">
        <v>303</v>
      </c>
      <c r="B87" s="1" t="s">
        <v>305</v>
      </c>
      <c r="C87" s="1" t="s">
        <v>128</v>
      </c>
      <c r="D87" s="1" t="s">
        <v>78</v>
      </c>
      <c r="E87" s="1">
        <v>202.5</v>
      </c>
      <c r="H87" s="31" t="s">
        <v>268</v>
      </c>
    </row>
    <row r="88" spans="1:8" ht="15" customHeight="1" x14ac:dyDescent="0.25">
      <c r="A88" s="1" t="s">
        <v>303</v>
      </c>
      <c r="B88" s="1" t="s">
        <v>305</v>
      </c>
      <c r="C88" s="1" t="s">
        <v>129</v>
      </c>
      <c r="E88" s="1">
        <v>2607</v>
      </c>
    </row>
    <row r="89" spans="1:8" ht="15" customHeight="1" x14ac:dyDescent="0.25">
      <c r="A89" s="1" t="s">
        <v>287</v>
      </c>
      <c r="B89" s="1" t="s">
        <v>306</v>
      </c>
      <c r="C89" s="1" t="s">
        <v>128</v>
      </c>
      <c r="D89" s="1" t="s">
        <v>67</v>
      </c>
      <c r="E89" s="1">
        <v>144</v>
      </c>
      <c r="H89" s="31" t="s">
        <v>201</v>
      </c>
    </row>
    <row r="90" spans="1:8" ht="15" customHeight="1" x14ac:dyDescent="0.25">
      <c r="A90" s="1" t="s">
        <v>287</v>
      </c>
      <c r="B90" s="1" t="s">
        <v>306</v>
      </c>
      <c r="C90" s="1" t="s">
        <v>128</v>
      </c>
      <c r="D90" s="1" t="s">
        <v>68</v>
      </c>
      <c r="E90" s="1">
        <v>14</v>
      </c>
      <c r="H90" s="31" t="s">
        <v>202</v>
      </c>
    </row>
    <row r="91" spans="1:8" ht="15" customHeight="1" x14ac:dyDescent="0.25">
      <c r="A91" s="1" t="s">
        <v>287</v>
      </c>
      <c r="B91" s="1" t="s">
        <v>306</v>
      </c>
      <c r="C91" s="1" t="s">
        <v>128</v>
      </c>
      <c r="D91" s="1" t="s">
        <v>88</v>
      </c>
      <c r="E91" s="1">
        <v>21.5</v>
      </c>
      <c r="F91" s="1" t="s">
        <v>314</v>
      </c>
      <c r="G91" s="1" t="s">
        <v>186</v>
      </c>
      <c r="H91" s="31" t="s">
        <v>204</v>
      </c>
    </row>
    <row r="92" spans="1:8" ht="15" customHeight="1" x14ac:dyDescent="0.25">
      <c r="A92" s="1" t="s">
        <v>287</v>
      </c>
      <c r="B92" s="1" t="s">
        <v>306</v>
      </c>
      <c r="C92" s="1" t="s">
        <v>128</v>
      </c>
      <c r="D92" s="1" t="s">
        <v>66</v>
      </c>
      <c r="E92" s="1">
        <v>52</v>
      </c>
      <c r="H92" s="31" t="s">
        <v>203</v>
      </c>
    </row>
    <row r="93" spans="1:8" ht="15" customHeight="1" x14ac:dyDescent="0.25">
      <c r="A93" s="1" t="s">
        <v>287</v>
      </c>
      <c r="B93" s="1" t="s">
        <v>306</v>
      </c>
      <c r="C93" s="1" t="s">
        <v>128</v>
      </c>
      <c r="D93" s="1" t="s">
        <v>71</v>
      </c>
      <c r="E93" s="1">
        <v>38</v>
      </c>
      <c r="F93" s="1" t="s">
        <v>314</v>
      </c>
      <c r="G93" s="1" t="s">
        <v>186</v>
      </c>
      <c r="H93" s="22" t="s">
        <v>200</v>
      </c>
    </row>
    <row r="94" spans="1:8" ht="15" customHeight="1" x14ac:dyDescent="0.25">
      <c r="A94" s="1" t="s">
        <v>287</v>
      </c>
      <c r="B94" s="1" t="s">
        <v>306</v>
      </c>
      <c r="C94" s="1" t="s">
        <v>128</v>
      </c>
      <c r="D94" s="1" t="s">
        <v>80</v>
      </c>
      <c r="E94" s="1">
        <v>8</v>
      </c>
      <c r="F94" s="1" t="s">
        <v>314</v>
      </c>
      <c r="G94" s="1" t="s">
        <v>186</v>
      </c>
      <c r="H94" s="31" t="s">
        <v>332</v>
      </c>
    </row>
    <row r="95" spans="1:8" ht="15" customHeight="1" x14ac:dyDescent="0.25">
      <c r="A95" s="1" t="s">
        <v>287</v>
      </c>
      <c r="B95" s="1" t="s">
        <v>306</v>
      </c>
      <c r="C95" s="1" t="s">
        <v>129</v>
      </c>
      <c r="E95" s="1">
        <v>724.5</v>
      </c>
    </row>
    <row r="100" spans="8:8" ht="15" customHeight="1" x14ac:dyDescent="0.25">
      <c r="H100" s="32"/>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3EAF9-2496-40B4-901D-3AE16854F2AE}">
  <dimension ref="A1:Z44"/>
  <sheetViews>
    <sheetView workbookViewId="0">
      <selection activeCell="AP17" sqref="AP17"/>
    </sheetView>
  </sheetViews>
  <sheetFormatPr defaultColWidth="8.85546875" defaultRowHeight="15" x14ac:dyDescent="0.25"/>
  <cols>
    <col min="1" max="1" width="20.85546875" style="1" bestFit="1" customWidth="1"/>
    <col min="2" max="2" width="19.42578125" style="1" bestFit="1" customWidth="1"/>
    <col min="3" max="3" width="17.85546875" style="1" bestFit="1" customWidth="1"/>
    <col min="4" max="4" width="28.85546875" style="1" bestFit="1" customWidth="1"/>
    <col min="5" max="5" width="23.5703125" style="1" bestFit="1" customWidth="1"/>
    <col min="6" max="7" width="8.85546875" style="1"/>
    <col min="8" max="8" width="20.85546875" style="1" bestFit="1" customWidth="1"/>
    <col min="9" max="9" width="16.7109375" style="16" bestFit="1" customWidth="1"/>
    <col min="10" max="10" width="12.42578125" style="16" bestFit="1" customWidth="1"/>
    <col min="11" max="11" width="27.42578125" style="16" bestFit="1" customWidth="1"/>
    <col min="12" max="12" width="23.140625" style="16" bestFit="1" customWidth="1"/>
    <col min="13" max="13" width="11.28515625" style="1" bestFit="1" customWidth="1"/>
    <col min="14" max="14" width="11.28515625" style="16" bestFit="1" customWidth="1"/>
    <col min="15" max="15" width="15.7109375" style="16" customWidth="1"/>
    <col min="16" max="17" width="15.7109375" style="7" customWidth="1"/>
    <col min="18" max="18" width="20.85546875" style="1" bestFit="1" customWidth="1"/>
    <col min="19" max="19" width="19.42578125" style="1" bestFit="1" customWidth="1"/>
    <col min="20" max="20" width="27.5703125" style="1" bestFit="1" customWidth="1"/>
    <col min="21" max="21" width="23.140625" style="1" bestFit="1" customWidth="1"/>
    <col min="22" max="22" width="17.7109375" style="1" bestFit="1" customWidth="1"/>
    <col min="23" max="23" width="18" style="1" bestFit="1" customWidth="1"/>
    <col min="24" max="24" width="21.7109375" style="1" bestFit="1" customWidth="1"/>
    <col min="25" max="16384" width="8.85546875" style="1"/>
  </cols>
  <sheetData>
    <row r="1" spans="1:21" s="11" customFormat="1" ht="45" x14ac:dyDescent="0.25">
      <c r="A1" s="17" t="s">
        <v>37</v>
      </c>
      <c r="B1" s="11" t="s">
        <v>60</v>
      </c>
      <c r="C1" s="11" t="s">
        <v>61</v>
      </c>
      <c r="D1" s="11" t="s">
        <v>134</v>
      </c>
      <c r="E1" s="11" t="s">
        <v>62</v>
      </c>
      <c r="H1" s="11" t="s">
        <v>140</v>
      </c>
      <c r="I1" s="18" t="s">
        <v>42</v>
      </c>
      <c r="J1" s="18" t="s">
        <v>54</v>
      </c>
      <c r="K1" s="18" t="s">
        <v>139</v>
      </c>
      <c r="L1" s="18" t="s">
        <v>58</v>
      </c>
      <c r="M1" s="11" t="s">
        <v>131</v>
      </c>
      <c r="N1" s="18" t="s">
        <v>135</v>
      </c>
      <c r="O1" s="18" t="s">
        <v>143</v>
      </c>
      <c r="P1" s="19" t="s">
        <v>144</v>
      </c>
      <c r="Q1" s="19" t="s">
        <v>147</v>
      </c>
      <c r="R1" s="11" t="s">
        <v>145</v>
      </c>
      <c r="S1" s="11" t="s">
        <v>146</v>
      </c>
      <c r="T1" s="11" t="s">
        <v>57</v>
      </c>
    </row>
    <row r="2" spans="1:21" x14ac:dyDescent="0.25">
      <c r="A2" s="1" t="s">
        <v>31</v>
      </c>
      <c r="B2" s="1">
        <v>17.75</v>
      </c>
      <c r="C2" s="1">
        <v>70.791666666664241</v>
      </c>
      <c r="D2" s="1">
        <v>111.83333333332848</v>
      </c>
      <c r="E2" s="1">
        <v>8.8333333333357587</v>
      </c>
      <c r="H2" s="1" t="str">
        <f t="shared" ref="H2:H8" si="0">A2</f>
        <v>NREM #01</v>
      </c>
      <c r="I2" s="16">
        <f>GETPIVOTDATA("Sum of Actual - Move (days)",$A$1,"Nama Rig","NREM #01")</f>
        <v>17.75</v>
      </c>
      <c r="J2" s="16">
        <f>GETPIVOTDATA("Sum of Actual - R/U Endurance (days)",$A$1,"Nama Rig","NREM #01")</f>
        <v>70.791666666664241</v>
      </c>
      <c r="K2" s="16">
        <f>GETPIVOTDATA("Sum of Actual - Operation (days)",$A$1,"Nama Rig","NREM #01")</f>
        <v>111.83333333332848</v>
      </c>
      <c r="L2" s="16">
        <f>GETPIVOTDATA("Sum of Actual - R/D (days)",$A$1,"Nama Rig","NREM #01")</f>
        <v>8.8333333333357587</v>
      </c>
      <c r="M2" s="16" t="e">
        <f>#REF!</f>
        <v>#REF!</v>
      </c>
      <c r="N2" s="16">
        <f>GETPIVOTDATA("Sum of Total NPT (hours)",$A$22,"Nama Rig","NREM #01")/24</f>
        <v>7.291666666666667</v>
      </c>
      <c r="O2" s="16" t="e">
        <f>SUM(Table4[[#This Row],[Actual - Move (days)]:[Standby (days)]])</f>
        <v>#REF!</v>
      </c>
      <c r="P2" s="7" t="e">
        <f>(Table4[[#This Row],[Actual - Move (days)]]+Table4[[#This Row],[Actual - R/U Endurance (days)]]+Table4[[#This Row],[Actual - Operation w/ NPT (days)]]-Table4[[#This Row],[NPT (days)]]+Table4[[#This Row],[Actual - R/D (days)]]+Table4[[#This Row],[Standby (days)]])</f>
        <v>#REF!</v>
      </c>
      <c r="Q2" s="7">
        <f>(Table4[[#This Row],[Actual - Move (days)]]+Table4[[#This Row],[Actual - R/U Endurance (days)]]+Table4[[#This Row],[Actual - Operation w/ NPT (days)]]-Table4[[#This Row],[NPT (days)]]+Table4[[#This Row],[Actual - R/D (days)]])</f>
        <v>201.91666666666183</v>
      </c>
      <c r="R2" s="7" t="e">
        <f>SUM(Table4[Rig Availability (days)])/SUM(Table4[Total Gross (days)])</f>
        <v>#REF!</v>
      </c>
      <c r="S2" s="7" t="e">
        <f>SUM(Table4[Rig Utility (days)])/SUM(Table4[Total Gross (days)])</f>
        <v>#REF!</v>
      </c>
      <c r="T2" s="16">
        <f>Table4[[#This Row],[Actual - Operation w/ NPT (days)]]-Table4[[#This Row],[NPT (days)]]</f>
        <v>104.54166666666181</v>
      </c>
    </row>
    <row r="3" spans="1:21" x14ac:dyDescent="0.25">
      <c r="A3" s="1" t="s">
        <v>32</v>
      </c>
      <c r="B3" s="1">
        <v>25</v>
      </c>
      <c r="C3" s="1">
        <v>41.958333333328483</v>
      </c>
      <c r="D3" s="1">
        <v>126.58333333334303</v>
      </c>
      <c r="E3" s="1">
        <v>15</v>
      </c>
      <c r="H3" s="1" t="str">
        <f t="shared" si="0"/>
        <v>PDSI #17.2/NT45-M</v>
      </c>
      <c r="I3" s="16">
        <f>GETPIVOTDATA("Sum of Actual - Move (days)",$A$1,"Nama Rig","PDSI #17.2/NT45-M")</f>
        <v>25</v>
      </c>
      <c r="J3" s="16">
        <f>GETPIVOTDATA("Sum of Actual - R/U Endurance (days)",$A$1,"Nama Rig","PDSI #17.2/NT45-M")</f>
        <v>41.958333333328483</v>
      </c>
      <c r="K3" s="16">
        <f>GETPIVOTDATA("Sum of Actual - Operation (days)",$A$1,"Nama Rig","PDSI #17.2/NT45-M")</f>
        <v>126.58333333334303</v>
      </c>
      <c r="L3" s="16">
        <f>GETPIVOTDATA("Sum of Actual - R/D (days)",$A$1,"Nama Rig","PDSI #17.2/NT45-M")</f>
        <v>15</v>
      </c>
      <c r="M3" s="16" t="e">
        <f>#REF!</f>
        <v>#REF!</v>
      </c>
      <c r="N3" s="16">
        <f>GETPIVOTDATA("Sum of Total NPT (hours)",$A$22,"Nama Rig","PDSI #17.2/NT45-M")/24</f>
        <v>4</v>
      </c>
      <c r="O3" s="16" t="e">
        <f>SUM(Table4[[#This Row],[Actual - Move (days)]:[Standby (days)]])</f>
        <v>#REF!</v>
      </c>
      <c r="P3" s="7" t="e">
        <f>(Table4[[#This Row],[Actual - Move (days)]]+Table4[[#This Row],[Actual - R/U Endurance (days)]]+Table4[[#This Row],[Actual - Operation w/ NPT (days)]]-Table4[[#This Row],[NPT (days)]]+Table4[[#This Row],[Actual - R/D (days)]]+Table4[[#This Row],[Standby (days)]])</f>
        <v>#REF!</v>
      </c>
      <c r="Q3" s="7">
        <f>(Table4[[#This Row],[Actual - Move (days)]]+Table4[[#This Row],[Actual - R/U Endurance (days)]]+Table4[[#This Row],[Actual - Operation w/ NPT (days)]]-Table4[[#This Row],[NPT (days)]]+Table4[[#This Row],[Actual - R/D (days)]])</f>
        <v>204.54166666667152</v>
      </c>
      <c r="R3" s="7" t="e">
        <f>SUM(Table4[Rig Availability (days)])/SUM(Table4[Total Gross (days)])</f>
        <v>#REF!</v>
      </c>
      <c r="S3" s="7" t="e">
        <f>SUM(Table4[Rig Utility (days)])/SUM(Table4[Total Gross (days)])</f>
        <v>#REF!</v>
      </c>
      <c r="T3" s="16">
        <f>Table4[[#This Row],[Actual - Operation w/ NPT (days)]]-Table4[[#This Row],[NPT (days)]]</f>
        <v>122.58333333334303</v>
      </c>
    </row>
    <row r="4" spans="1:21" x14ac:dyDescent="0.25">
      <c r="A4" s="1" t="s">
        <v>34</v>
      </c>
      <c r="B4" s="1">
        <v>13.666666666664241</v>
      </c>
      <c r="C4" s="1">
        <v>47.833333333335759</v>
      </c>
      <c r="D4" s="1">
        <v>97.541666666664241</v>
      </c>
      <c r="E4" s="1">
        <v>10</v>
      </c>
      <c r="H4" s="1" t="str">
        <f t="shared" si="0"/>
        <v>PDSI #23.1/CWKT210-M</v>
      </c>
      <c r="I4" s="16">
        <f>GETPIVOTDATA("Sum of Actual - Move (days)",$A$1,"Nama Rig","PDSI #23.1/CWKT210-M")</f>
        <v>13.666666666664241</v>
      </c>
      <c r="J4" s="16">
        <f>GETPIVOTDATA("Sum of Actual - R/U Endurance (days)",$A$1,"Nama Rig","PDSI #23.1/CWKT210-M")</f>
        <v>47.833333333335759</v>
      </c>
      <c r="K4" s="16">
        <f>GETPIVOTDATA("Sum of Actual - Operation (days)",$A$1,"Nama Rig","PDSI #23.1/CWKT210-M")</f>
        <v>97.541666666664241</v>
      </c>
      <c r="L4" s="16">
        <f>GETPIVOTDATA("Sum of Actual - R/D (days)",$A$1,"Nama Rig","PDSI #23.1/CWKT210-M")</f>
        <v>10</v>
      </c>
      <c r="M4" s="16" t="e">
        <f>#REF!</f>
        <v>#REF!</v>
      </c>
      <c r="N4" s="16">
        <f>GETPIVOTDATA("Sum of Total NPT (hours)",$A$22,"Nama Rig","PDSI #23.1/CWKT210-M")/24</f>
        <v>3.0416666666666665</v>
      </c>
      <c r="O4" s="16" t="e">
        <f>SUM(Table4[[#This Row],[Actual - Move (days)]:[Standby (days)]])</f>
        <v>#REF!</v>
      </c>
      <c r="P4" s="7" t="e">
        <f>(Table4[[#This Row],[Actual - Move (days)]]+Table4[[#This Row],[Actual - R/U Endurance (days)]]+Table4[[#This Row],[Actual - Operation w/ NPT (days)]]-Table4[[#This Row],[NPT (days)]]+Table4[[#This Row],[Actual - R/D (days)]]+Table4[[#This Row],[Standby (days)]])</f>
        <v>#REF!</v>
      </c>
      <c r="Q4" s="7">
        <f>(Table4[[#This Row],[Actual - Move (days)]]+Table4[[#This Row],[Actual - R/U Endurance (days)]]+Table4[[#This Row],[Actual - Operation w/ NPT (days)]]-Table4[[#This Row],[NPT (days)]]+Table4[[#This Row],[Actual - R/D (days)]])</f>
        <v>165.99999999999758</v>
      </c>
      <c r="R4" s="7" t="e">
        <f>SUM(Table4[Rig Availability (days)])/SUM(Table4[Total Gross (days)])</f>
        <v>#REF!</v>
      </c>
      <c r="S4" s="7" t="e">
        <f>SUM(Table4[Rig Utility (days)])/SUM(Table4[Total Gross (days)])</f>
        <v>#REF!</v>
      </c>
      <c r="T4" s="16">
        <f>Table4[[#This Row],[Actual - Operation w/ NPT (days)]]-Table4[[#This Row],[NPT (days)]]</f>
        <v>94.49999999999757</v>
      </c>
    </row>
    <row r="5" spans="1:21" x14ac:dyDescent="0.25">
      <c r="A5" s="1" t="s">
        <v>35</v>
      </c>
      <c r="B5" s="1">
        <v>29</v>
      </c>
      <c r="C5" s="1">
        <v>10</v>
      </c>
      <c r="D5" s="1">
        <v>429.83333333333576</v>
      </c>
      <c r="E5" s="1">
        <v>3</v>
      </c>
      <c r="H5" s="1" t="str">
        <f t="shared" si="0"/>
        <v>PDSI #41.3/N110UE</v>
      </c>
      <c r="I5" s="16">
        <f>GETPIVOTDATA("Sum of Actual - Move (days)",$A$1,"Nama Rig","PDSI #41.3/N110UE")</f>
        <v>29</v>
      </c>
      <c r="J5" s="16">
        <f>GETPIVOTDATA("Sum of Actual - R/U Endurance (days)",$A$1,"Nama Rig","PDSI #41.3/N110UE")</f>
        <v>10</v>
      </c>
      <c r="K5" s="16">
        <f>GETPIVOTDATA("Sum of Actual - Operation (days)",$A$1,"Nama Rig","PDSI #41.3/N110UE")</f>
        <v>429.83333333333576</v>
      </c>
      <c r="L5" s="16">
        <f>GETPIVOTDATA("Sum of Actual - R/D (days)",$A$1,"Nama Rig","PDSI #41.3/N110UE")</f>
        <v>3</v>
      </c>
      <c r="M5" s="16" t="e">
        <f>#REF!</f>
        <v>#REF!</v>
      </c>
      <c r="N5" s="16">
        <f>GETPIVOTDATA("Sum of Total NPT (hours)",$A$22,"Nama Rig","PDSI #41.3/N110UE")/24</f>
        <v>155.10416666666666</v>
      </c>
      <c r="O5" s="16" t="e">
        <f>SUM(Table4[[#This Row],[Actual - Move (days)]:[Standby (days)]])</f>
        <v>#REF!</v>
      </c>
      <c r="P5" s="7" t="e">
        <f>(Table4[[#This Row],[Actual - Move (days)]]+Table4[[#This Row],[Actual - R/U Endurance (days)]]+Table4[[#This Row],[Actual - Operation w/ NPT (days)]]-Table4[[#This Row],[NPT (days)]]+Table4[[#This Row],[Actual - R/D (days)]]+Table4[[#This Row],[Standby (days)]])</f>
        <v>#REF!</v>
      </c>
      <c r="Q5" s="7">
        <f>(Table4[[#This Row],[Actual - Move (days)]]+Table4[[#This Row],[Actual - R/U Endurance (days)]]+Table4[[#This Row],[Actual - Operation w/ NPT (days)]]-Table4[[#This Row],[NPT (days)]]+Table4[[#This Row],[Actual - R/D (days)]])</f>
        <v>316.72916666666913</v>
      </c>
      <c r="R5" s="7" t="e">
        <f>SUM(Table4[Rig Availability (days)])/SUM(Table4[Total Gross (days)])</f>
        <v>#REF!</v>
      </c>
      <c r="S5" s="7" t="e">
        <f>SUM(Table4[Rig Utility (days)])/SUM(Table4[Total Gross (days)])</f>
        <v>#REF!</v>
      </c>
      <c r="T5" s="16">
        <f>Table4[[#This Row],[Actual - Operation w/ NPT (days)]]-Table4[[#This Row],[NPT (days)]]</f>
        <v>274.72916666666913</v>
      </c>
    </row>
    <row r="6" spans="1:21" x14ac:dyDescent="0.25">
      <c r="A6" s="1" t="s">
        <v>29</v>
      </c>
      <c r="B6" s="1">
        <v>0</v>
      </c>
      <c r="C6" s="1">
        <v>0</v>
      </c>
      <c r="D6" s="1">
        <v>184.25</v>
      </c>
      <c r="E6" s="1">
        <v>0</v>
      </c>
      <c r="H6" s="1" t="str">
        <f t="shared" si="0"/>
        <v>PDSI #42.3/N1500-E</v>
      </c>
      <c r="I6" s="16">
        <f>GETPIVOTDATA("Sum of Actual - Move (days)",$A$1,"Nama Rig","PDSI #42.3/N1500-E")</f>
        <v>0</v>
      </c>
      <c r="J6" s="16">
        <f>GETPIVOTDATA("Sum of Actual - R/U Endurance (days)",$A$1,"Nama Rig","PDSI #42.3/N1500-E")</f>
        <v>0</v>
      </c>
      <c r="K6" s="16">
        <f>GETPIVOTDATA("Sum of Actual - Operation (days)",$A$1,"Nama Rig","PDSI #42.3/N1500-E")</f>
        <v>184.25</v>
      </c>
      <c r="L6" s="16">
        <f>GETPIVOTDATA("Sum of Actual - R/D (days)",$A$1,"Nama Rig","PDSI #42.3/N1500-E")</f>
        <v>0</v>
      </c>
      <c r="M6" s="16" t="e">
        <f>#REF!</f>
        <v>#REF!</v>
      </c>
      <c r="N6" s="16">
        <f>GETPIVOTDATA("Sum of Total NPT (hours)",$A$22,"Nama Rig","PDSI #42.3/N1500-E")/24</f>
        <v>75.083333333333329</v>
      </c>
      <c r="O6" s="16" t="e">
        <f>SUM(Table4[[#This Row],[Actual - Move (days)]:[Standby (days)]])</f>
        <v>#REF!</v>
      </c>
      <c r="P6" s="7" t="e">
        <f>(Table4[[#This Row],[Actual - Move (days)]]+Table4[[#This Row],[Actual - R/U Endurance (days)]]+Table4[[#This Row],[Actual - Operation w/ NPT (days)]]-Table4[[#This Row],[NPT (days)]]+Table4[[#This Row],[Actual - R/D (days)]]+Table4[[#This Row],[Standby (days)]])</f>
        <v>#REF!</v>
      </c>
      <c r="Q6" s="7">
        <f>(Table4[[#This Row],[Actual - Move (days)]]+Table4[[#This Row],[Actual - R/U Endurance (days)]]+Table4[[#This Row],[Actual - Operation w/ NPT (days)]]-Table4[[#This Row],[NPT (days)]]+Table4[[#This Row],[Actual - R/D (days)]])</f>
        <v>109.16666666666667</v>
      </c>
      <c r="R6" s="7" t="e">
        <f>SUM(Table4[Rig Availability (days)])/SUM(Table4[Total Gross (days)])</f>
        <v>#REF!</v>
      </c>
      <c r="S6" s="7" t="e">
        <f>SUM(Table4[Rig Utility (days)])/SUM(Table4[Total Gross (days)])</f>
        <v>#REF!</v>
      </c>
      <c r="T6" s="16">
        <f>Table4[[#This Row],[Actual - Operation w/ NPT (days)]]-Table4[[#This Row],[NPT (days)]]</f>
        <v>109.16666666666667</v>
      </c>
    </row>
    <row r="7" spans="1:21" x14ac:dyDescent="0.25">
      <c r="A7" s="1" t="s">
        <v>114</v>
      </c>
      <c r="B7" s="1">
        <v>17</v>
      </c>
      <c r="C7" s="1">
        <v>0</v>
      </c>
      <c r="D7" s="1">
        <v>60.666666666664241</v>
      </c>
      <c r="E7" s="1">
        <v>3.0416666666715173</v>
      </c>
      <c r="H7" s="1" t="str">
        <f t="shared" si="0"/>
        <v>TMMJ-05</v>
      </c>
      <c r="I7" s="16">
        <f>GETPIVOTDATA("Sum of Actual - Move (days)",$A$1,"Nama Rig","TMMJ-05")</f>
        <v>17</v>
      </c>
      <c r="J7" s="16">
        <f>GETPIVOTDATA("Sum of Actual - R/U Endurance (days)",$A$1,"Nama Rig","TMMJ-05")</f>
        <v>0</v>
      </c>
      <c r="K7" s="16">
        <f>GETPIVOTDATA("Sum of Actual - Operation (days)",$A$1,"Nama Rig","TMMJ-05")</f>
        <v>60.666666666664241</v>
      </c>
      <c r="L7" s="16">
        <f>GETPIVOTDATA("Sum of Actual - R/D (days)",$A$1,"Nama Rig","TMMJ-05")</f>
        <v>3.0416666666715173</v>
      </c>
      <c r="M7" s="16" t="e">
        <f>#REF!</f>
        <v>#REF!</v>
      </c>
      <c r="N7" s="16">
        <f>GETPIVOTDATA("Sum of Total NPT (hours)",$A$22,"Nama Rig","TMMJ-05")/24</f>
        <v>6.645833333333333</v>
      </c>
      <c r="O7" s="16" t="e">
        <f>SUM(Table4[[#This Row],[Actual - Move (days)]:[Standby (days)]])</f>
        <v>#REF!</v>
      </c>
      <c r="P7" s="7" t="e">
        <f>(Table4[[#This Row],[Actual - Move (days)]]+Table4[[#This Row],[Actual - R/U Endurance (days)]]+Table4[[#This Row],[Actual - Operation w/ NPT (days)]]-Table4[[#This Row],[NPT (days)]]+Table4[[#This Row],[Actual - R/D (days)]]+Table4[[#This Row],[Standby (days)]])</f>
        <v>#REF!</v>
      </c>
      <c r="Q7" s="7">
        <f>(Table4[[#This Row],[Actual - Move (days)]]+Table4[[#This Row],[Actual - R/U Endurance (days)]]+Table4[[#This Row],[Actual - Operation w/ NPT (days)]]-Table4[[#This Row],[NPT (days)]]+Table4[[#This Row],[Actual - R/D (days)]])</f>
        <v>74.06250000000243</v>
      </c>
      <c r="R7" s="7" t="e">
        <f>SUM(Table4[Rig Availability (days)])/SUM(Table4[Total Gross (days)])</f>
        <v>#REF!</v>
      </c>
      <c r="S7" s="7" t="e">
        <f>SUM(Table4[Rig Utility (days)])/SUM(Table4[Total Gross (days)])</f>
        <v>#REF!</v>
      </c>
      <c r="T7" s="16">
        <f>Table4[[#This Row],[Actual - Operation w/ NPT (days)]]-Table4[[#This Row],[NPT (days)]]</f>
        <v>54.020833333330906</v>
      </c>
    </row>
    <row r="8" spans="1:21" x14ac:dyDescent="0.25">
      <c r="A8" s="1" t="s">
        <v>33</v>
      </c>
      <c r="B8" s="1">
        <v>58.666666666664241</v>
      </c>
      <c r="C8" s="1">
        <v>12.125</v>
      </c>
      <c r="D8" s="1">
        <v>98.708333333335759</v>
      </c>
      <c r="E8" s="1">
        <v>6</v>
      </c>
      <c r="H8" s="1" t="str">
        <f t="shared" si="0"/>
        <v>TMMJ-12</v>
      </c>
      <c r="I8" s="16">
        <f>GETPIVOTDATA("Sum of Actual - Move (days)",$A$1,"Nama Rig","TMMJ-12")</f>
        <v>58.666666666664241</v>
      </c>
      <c r="J8" s="16">
        <f>GETPIVOTDATA("Sum of Actual - R/U Endurance (days)",$A$1,"Nama Rig","TMMJ-12")</f>
        <v>12.125</v>
      </c>
      <c r="K8" s="16">
        <f>GETPIVOTDATA("Sum of Actual - Operation (days)",$A$1,"Nama Rig","TMMJ-12")</f>
        <v>98.708333333335759</v>
      </c>
      <c r="L8" s="16">
        <f>GETPIVOTDATA("Sum of Actual - R/D (days)",$A$1,"Nama Rig","TMMJ-12")</f>
        <v>6</v>
      </c>
      <c r="M8" s="16" t="e">
        <f>#REF!</f>
        <v>#REF!</v>
      </c>
      <c r="N8" s="16">
        <f>GETPIVOTDATA("Sum of Total NPT (hours)",$A$22,"Nama Rig","TMMJ-12")/24</f>
        <v>16.729166666666668</v>
      </c>
      <c r="O8" s="16" t="e">
        <f>SUM(Table4[[#This Row],[Actual - Move (days)]:[Standby (days)]])</f>
        <v>#REF!</v>
      </c>
      <c r="P8" s="7" t="e">
        <f>(Table4[[#This Row],[Actual - Move (days)]]+Table4[[#This Row],[Actual - R/U Endurance (days)]]+Table4[[#This Row],[Actual - Operation w/ NPT (days)]]-Table4[[#This Row],[NPT (days)]]+Table4[[#This Row],[Actual - R/D (days)]]+Table4[[#This Row],[Standby (days)]])</f>
        <v>#REF!</v>
      </c>
      <c r="Q8" s="7">
        <f>(Table4[[#This Row],[Actual - Move (days)]]+Table4[[#This Row],[Actual - R/U Endurance (days)]]+Table4[[#This Row],[Actual - Operation w/ NPT (days)]]-Table4[[#This Row],[NPT (days)]]+Table4[[#This Row],[Actual - R/D (days)]])</f>
        <v>158.77083333333334</v>
      </c>
      <c r="R8" s="7" t="e">
        <f>SUM(Table4[Rig Availability (days)])/SUM(Table4[Total Gross (days)])</f>
        <v>#REF!</v>
      </c>
      <c r="S8" s="7" t="e">
        <f>SUM(Table4[Rig Utility (days)])/SUM(Table4[Total Gross (days)])</f>
        <v>#REF!</v>
      </c>
      <c r="T8" s="16">
        <f>Table4[[#This Row],[Actual - Operation w/ NPT (days)]]-Table4[[#This Row],[NPT (days)]]</f>
        <v>81.979166666669087</v>
      </c>
    </row>
    <row r="9" spans="1:21" x14ac:dyDescent="0.25">
      <c r="A9" s="1" t="s">
        <v>38</v>
      </c>
      <c r="B9" s="1">
        <v>161.08333333332848</v>
      </c>
      <c r="C9" s="1">
        <v>182.70833333332848</v>
      </c>
      <c r="D9" s="1">
        <v>1109.4166666666715</v>
      </c>
      <c r="E9" s="1">
        <v>45.875000000007276</v>
      </c>
    </row>
    <row r="11" spans="1:21" x14ac:dyDescent="0.25">
      <c r="M11" s="16"/>
      <c r="T11" s="16"/>
      <c r="U11" s="16"/>
    </row>
    <row r="20" spans="1:26" x14ac:dyDescent="0.25">
      <c r="H20" s="21"/>
      <c r="I20" s="21"/>
    </row>
    <row r="22" spans="1:26" x14ac:dyDescent="0.25">
      <c r="A22" s="23" t="s">
        <v>37</v>
      </c>
      <c r="B22" s="1" t="s">
        <v>124</v>
      </c>
      <c r="C22" s="1" t="s">
        <v>136</v>
      </c>
      <c r="H22" s="20" t="s">
        <v>37</v>
      </c>
      <c r="I22" s="21" t="s">
        <v>141</v>
      </c>
      <c r="J22" s="21" t="s">
        <v>142</v>
      </c>
      <c r="K22" s="21" t="s">
        <v>148</v>
      </c>
      <c r="L22" s="21" t="s">
        <v>149</v>
      </c>
      <c r="M22"/>
      <c r="N22"/>
      <c r="O22" s="21"/>
      <c r="P22" s="21"/>
      <c r="Q22" s="21"/>
      <c r="R22" s="8" t="s">
        <v>37</v>
      </c>
      <c r="S22" t="s">
        <v>150</v>
      </c>
      <c r="T22" t="s">
        <v>151</v>
      </c>
      <c r="U22" t="s">
        <v>152</v>
      </c>
      <c r="V22" t="s">
        <v>153</v>
      </c>
      <c r="W22" t="s">
        <v>154</v>
      </c>
      <c r="X22" t="s">
        <v>155</v>
      </c>
    </row>
    <row r="23" spans="1:26" x14ac:dyDescent="0.25">
      <c r="A23" s="1" t="s">
        <v>31</v>
      </c>
      <c r="B23" s="1">
        <v>175</v>
      </c>
      <c r="C23" s="1">
        <v>2509</v>
      </c>
      <c r="H23" s="22" t="s">
        <v>31</v>
      </c>
      <c r="I23" s="25">
        <v>0.97227503168567808</v>
      </c>
      <c r="J23" s="25">
        <v>0.76774397972114761</v>
      </c>
      <c r="K23" s="25">
        <v>1.0015086925517118</v>
      </c>
      <c r="L23" s="25">
        <v>-6.9336032139762395E-3</v>
      </c>
      <c r="M23"/>
      <c r="N23"/>
      <c r="O23" s="21"/>
      <c r="P23" s="21"/>
      <c r="Q23" s="21"/>
      <c r="R23" s="9" t="s">
        <v>31</v>
      </c>
      <c r="S23" s="24">
        <v>6.7490494296577941E-2</v>
      </c>
      <c r="T23" s="24">
        <v>0.2691698352344648</v>
      </c>
      <c r="U23" s="24">
        <v>0.39749683143217418</v>
      </c>
      <c r="V23" s="24">
        <v>3.3586818757930639E-2</v>
      </c>
      <c r="W23" s="24">
        <v>2.7724968314321929E-2</v>
      </c>
      <c r="X23" s="24">
        <v>0.20453105196453047</v>
      </c>
      <c r="Z23" s="26"/>
    </row>
    <row r="24" spans="1:26" x14ac:dyDescent="0.25">
      <c r="A24" s="1" t="s">
        <v>32</v>
      </c>
      <c r="B24" s="1">
        <v>96</v>
      </c>
      <c r="C24" s="1">
        <v>2942</v>
      </c>
      <c r="H24" s="22" t="s">
        <v>32</v>
      </c>
      <c r="I24" s="25">
        <v>1.0000447631122114</v>
      </c>
      <c r="J24" s="25">
        <v>-2.2889803942231879E-3</v>
      </c>
      <c r="K24" s="25">
        <v>1.0015086925517118</v>
      </c>
      <c r="L24" s="25">
        <v>-6.9336032139762395E-3</v>
      </c>
      <c r="M24"/>
      <c r="N24"/>
      <c r="O24" s="21"/>
      <c r="P24" s="21"/>
      <c r="Q24" s="21"/>
      <c r="R24" s="9" t="s">
        <v>32</v>
      </c>
      <c r="S24" s="24">
        <v>-2.7976945132081489E-4</v>
      </c>
      <c r="T24" s="24">
        <v>-4.695463958000467E-4</v>
      </c>
      <c r="U24" s="24">
        <v>-1.3718028763098375E-3</v>
      </c>
      <c r="V24" s="24">
        <v>-1.6786167079248894E-4</v>
      </c>
      <c r="W24" s="24">
        <v>-4.4763112211330381E-5</v>
      </c>
      <c r="X24" s="24">
        <v>1.0023337435064346</v>
      </c>
    </row>
    <row r="25" spans="1:26" x14ac:dyDescent="0.25">
      <c r="A25" s="1" t="s">
        <v>34</v>
      </c>
      <c r="B25" s="1">
        <v>73</v>
      </c>
      <c r="C25" s="1">
        <v>2266</v>
      </c>
      <c r="H25" s="22" t="s">
        <v>34</v>
      </c>
      <c r="I25" s="25">
        <v>1.000034025067619</v>
      </c>
      <c r="J25" s="25">
        <v>-1.8569297177270798E-3</v>
      </c>
      <c r="K25" s="25">
        <v>1.0015086925517118</v>
      </c>
      <c r="L25" s="25">
        <v>-6.9336032139762395E-3</v>
      </c>
      <c r="M25"/>
      <c r="N25"/>
      <c r="O25" s="21"/>
      <c r="P25" s="21"/>
      <c r="Q25" s="21"/>
      <c r="R25" s="9" t="s">
        <v>34</v>
      </c>
      <c r="S25" s="24">
        <v>-1.5287975587710415E-4</v>
      </c>
      <c r="T25" s="24">
        <v>-5.3507914556998667E-4</v>
      </c>
      <c r="U25" s="24">
        <v>-1.0571075802723318E-3</v>
      </c>
      <c r="V25" s="24">
        <v>-1.1186323600765704E-4</v>
      </c>
      <c r="W25" s="24">
        <v>-3.4025067618995683E-5</v>
      </c>
      <c r="X25" s="24">
        <v>1.0018909547853461</v>
      </c>
    </row>
    <row r="26" spans="1:26" x14ac:dyDescent="0.25">
      <c r="A26" s="1" t="s">
        <v>35</v>
      </c>
      <c r="B26" s="1">
        <v>3722.5</v>
      </c>
      <c r="C26" s="1">
        <v>6635.5</v>
      </c>
      <c r="H26" s="22" t="s">
        <v>35</v>
      </c>
      <c r="I26" s="25">
        <v>0.67225743969008633</v>
      </c>
      <c r="J26" s="25">
        <v>0.66926395492164636</v>
      </c>
      <c r="K26" s="25">
        <v>1.0015086925517118</v>
      </c>
      <c r="L26" s="25">
        <v>-6.9336032139762395E-3</v>
      </c>
      <c r="M26"/>
      <c r="N26"/>
      <c r="O26" s="21"/>
      <c r="P26" s="21"/>
      <c r="Q26" s="21"/>
      <c r="R26" s="9" t="s">
        <v>35</v>
      </c>
      <c r="S26" s="24">
        <v>6.1278394083465401E-2</v>
      </c>
      <c r="T26" s="24">
        <v>2.1130480718436345E-2</v>
      </c>
      <c r="U26" s="24">
        <v>0.58051593590421369</v>
      </c>
      <c r="V26" s="24">
        <v>6.3391442155309036E-3</v>
      </c>
      <c r="W26" s="24">
        <v>0.32774256030991372</v>
      </c>
      <c r="X26" s="24">
        <v>2.9934847684400211E-3</v>
      </c>
    </row>
    <row r="27" spans="1:26" x14ac:dyDescent="0.25">
      <c r="A27" s="1" t="s">
        <v>29</v>
      </c>
      <c r="B27" s="1">
        <v>1802</v>
      </c>
      <c r="C27" s="1">
        <v>2607</v>
      </c>
      <c r="H27" s="22" t="s">
        <v>114</v>
      </c>
      <c r="I27" s="25">
        <v>0.91765616933402416</v>
      </c>
      <c r="J27" s="25">
        <v>0.91765616933402416</v>
      </c>
      <c r="K27" s="25">
        <v>1.0015086925517118</v>
      </c>
      <c r="L27" s="25">
        <v>-6.9336032139762395E-3</v>
      </c>
      <c r="M27"/>
      <c r="N27"/>
      <c r="O27" s="21"/>
      <c r="P27" s="21"/>
      <c r="Q27" s="21"/>
      <c r="R27" s="9" t="s">
        <v>29</v>
      </c>
      <c r="S27" s="24">
        <v>0</v>
      </c>
      <c r="T27" s="24">
        <v>0</v>
      </c>
      <c r="U27" s="24">
        <v>0.59249208502939854</v>
      </c>
      <c r="V27" s="24">
        <v>0</v>
      </c>
      <c r="W27" s="24">
        <v>0.40750791497060151</v>
      </c>
      <c r="X27" s="24">
        <v>0</v>
      </c>
    </row>
    <row r="28" spans="1:26" x14ac:dyDescent="0.25">
      <c r="A28" s="1" t="s">
        <v>114</v>
      </c>
      <c r="B28" s="1">
        <v>159.5</v>
      </c>
      <c r="C28" s="1">
        <v>1296.5</v>
      </c>
      <c r="H28" s="22" t="s">
        <v>33</v>
      </c>
      <c r="I28" s="25">
        <v>0.9094497068110059</v>
      </c>
      <c r="J28" s="25">
        <v>0.85938204781235905</v>
      </c>
      <c r="K28" s="25">
        <v>1.0015086925517118</v>
      </c>
      <c r="L28" s="25">
        <v>-6.9336032139762395E-3</v>
      </c>
      <c r="M28"/>
      <c r="N28"/>
      <c r="O28" s="21"/>
      <c r="P28" s="21"/>
      <c r="Q28" s="21"/>
      <c r="R28" s="9" t="s">
        <v>114</v>
      </c>
      <c r="S28" s="24">
        <v>0.21063500258130496</v>
      </c>
      <c r="T28" s="24">
        <v>0</v>
      </c>
      <c r="U28" s="24">
        <v>0.66933402168296474</v>
      </c>
      <c r="V28" s="24">
        <v>3.7687145069754374E-2</v>
      </c>
      <c r="W28" s="24">
        <v>8.2343830665975837E-2</v>
      </c>
      <c r="X28" s="24">
        <v>0</v>
      </c>
    </row>
    <row r="29" spans="1:26" x14ac:dyDescent="0.25">
      <c r="A29" s="1" t="s">
        <v>33</v>
      </c>
      <c r="B29" s="1">
        <v>401.5</v>
      </c>
      <c r="C29" s="1">
        <v>1967.5</v>
      </c>
      <c r="H29" s="22" t="s">
        <v>38</v>
      </c>
      <c r="I29" s="25">
        <v>1.0010847248010399</v>
      </c>
      <c r="J29" s="25">
        <v>-6.3122661922866176E-3</v>
      </c>
      <c r="K29" s="25">
        <v>6.00905215531027</v>
      </c>
      <c r="L29" s="25">
        <v>-4.160161928385743E-2</v>
      </c>
      <c r="M29"/>
      <c r="N29"/>
      <c r="O29" s="21"/>
      <c r="P29" s="21"/>
      <c r="Q29" s="21"/>
      <c r="R29" s="9" t="s">
        <v>33</v>
      </c>
      <c r="S29" s="24">
        <v>0.3175462336490622</v>
      </c>
      <c r="T29" s="24">
        <v>6.5629228687415428E-2</v>
      </c>
      <c r="U29" s="24">
        <v>0.44373026612540778</v>
      </c>
      <c r="V29" s="24">
        <v>3.2476319350473612E-2</v>
      </c>
      <c r="W29" s="24">
        <v>9.0550293188994144E-2</v>
      </c>
      <c r="X29" s="24">
        <v>5.0067658998646819E-2</v>
      </c>
    </row>
    <row r="30" spans="1:26" x14ac:dyDescent="0.25">
      <c r="A30" s="1" t="s">
        <v>38</v>
      </c>
      <c r="B30" s="1">
        <v>6429.5</v>
      </c>
      <c r="C30" s="1">
        <v>20223.5</v>
      </c>
      <c r="H30"/>
      <c r="I30"/>
      <c r="J30"/>
      <c r="K30"/>
      <c r="L30"/>
      <c r="M30"/>
      <c r="N30"/>
      <c r="O30" s="21"/>
      <c r="P30" s="21"/>
      <c r="Q30" s="21"/>
      <c r="R30" s="9" t="s">
        <v>38</v>
      </c>
      <c r="S30" s="24">
        <v>-9.0716313942268737E-4</v>
      </c>
      <c r="T30" s="24">
        <v>-1.0289473270482406E-3</v>
      </c>
      <c r="U30" s="24">
        <v>-4.7391413205770724E-3</v>
      </c>
      <c r="V30" s="24">
        <v>-2.5835142692823781E-4</v>
      </c>
      <c r="W30" s="24">
        <v>-1.508692551711936E-3</v>
      </c>
      <c r="X30" s="24">
        <v>1.008442295765688</v>
      </c>
    </row>
    <row r="31" spans="1:26" x14ac:dyDescent="0.25">
      <c r="H31" s="21"/>
      <c r="I31" s="21"/>
      <c r="J31" s="21"/>
      <c r="K31" s="21"/>
      <c r="L31" s="21"/>
      <c r="M31" s="21"/>
      <c r="N31" s="21"/>
      <c r="O31" s="21"/>
      <c r="P31" s="21"/>
      <c r="R31"/>
      <c r="S31"/>
      <c r="T31"/>
    </row>
    <row r="32" spans="1:26" x14ac:dyDescent="0.25">
      <c r="H32" s="21"/>
      <c r="I32" s="21"/>
      <c r="J32" s="21"/>
      <c r="R32"/>
      <c r="S32"/>
      <c r="T32"/>
    </row>
    <row r="33" spans="8:20" x14ac:dyDescent="0.25">
      <c r="H33" s="21"/>
      <c r="I33" s="21"/>
      <c r="J33" s="21"/>
      <c r="R33"/>
      <c r="S33"/>
      <c r="T33"/>
    </row>
    <row r="34" spans="8:20" x14ac:dyDescent="0.25">
      <c r="H34" s="21"/>
      <c r="I34" s="21"/>
      <c r="J34" s="21"/>
      <c r="R34"/>
      <c r="S34"/>
      <c r="T34"/>
    </row>
    <row r="35" spans="8:20" x14ac:dyDescent="0.25">
      <c r="H35" s="21"/>
      <c r="I35" s="21"/>
      <c r="J35" s="21"/>
      <c r="R35"/>
      <c r="S35"/>
      <c r="T35"/>
    </row>
    <row r="36" spans="8:20" x14ac:dyDescent="0.25">
      <c r="H36" s="21"/>
      <c r="I36" s="21"/>
      <c r="J36" s="21"/>
      <c r="R36"/>
      <c r="S36"/>
      <c r="T36"/>
    </row>
    <row r="37" spans="8:20" x14ac:dyDescent="0.25">
      <c r="H37" s="21"/>
      <c r="I37" s="21"/>
      <c r="J37" s="21"/>
      <c r="R37"/>
      <c r="S37"/>
      <c r="T37"/>
    </row>
    <row r="38" spans="8:20" x14ac:dyDescent="0.25">
      <c r="H38" s="21"/>
      <c r="I38" s="21"/>
      <c r="J38" s="21"/>
      <c r="R38"/>
      <c r="S38"/>
      <c r="T38"/>
    </row>
    <row r="39" spans="8:20" x14ac:dyDescent="0.25">
      <c r="H39" s="21"/>
      <c r="I39" s="21"/>
      <c r="J39" s="21"/>
      <c r="R39"/>
      <c r="S39"/>
      <c r="T39"/>
    </row>
    <row r="40" spans="8:20" x14ac:dyDescent="0.25">
      <c r="H40" s="21"/>
    </row>
    <row r="41" spans="8:20" x14ac:dyDescent="0.25">
      <c r="H41" s="21"/>
    </row>
    <row r="42" spans="8:20" x14ac:dyDescent="0.25">
      <c r="H42" s="21"/>
    </row>
    <row r="43" spans="8:20" x14ac:dyDescent="0.25">
      <c r="H43" s="21"/>
    </row>
    <row r="44" spans="8:20" x14ac:dyDescent="0.25">
      <c r="H44" s="21"/>
    </row>
  </sheetData>
  <phoneticPr fontId="1" type="noConversion"/>
  <pageMargins left="0.7" right="0.7" top="0.75" bottom="0.75" header="0.3" footer="0.3"/>
  <pageSetup orientation="portrait" r:id="rId5"/>
  <ignoredErrors>
    <ignoredError sqref="I3:I8 J2:L8" calculatedColumn="1"/>
  </ignoredErrors>
  <drawing r:id="rId6"/>
  <tableParts count="1">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23083-B947-4E7C-B441-505095347692}">
  <dimension ref="A1:B8"/>
  <sheetViews>
    <sheetView zoomScale="85" zoomScaleNormal="85" workbookViewId="0">
      <selection activeCell="B4" sqref="B4"/>
    </sheetView>
  </sheetViews>
  <sheetFormatPr defaultRowHeight="15" x14ac:dyDescent="0.25"/>
  <cols>
    <col min="1" max="1" width="13.85546875" bestFit="1" customWidth="1"/>
    <col min="2" max="2" width="17.28515625" bestFit="1" customWidth="1"/>
  </cols>
  <sheetData>
    <row r="1" spans="1:2" x14ac:dyDescent="0.25">
      <c r="A1" s="8" t="s">
        <v>3</v>
      </c>
      <c r="B1" t="s">
        <v>5</v>
      </c>
    </row>
    <row r="2" spans="1:2" x14ac:dyDescent="0.25">
      <c r="A2" s="8" t="s">
        <v>6</v>
      </c>
      <c r="B2" t="s">
        <v>39</v>
      </c>
    </row>
    <row r="3" spans="1:2" x14ac:dyDescent="0.25">
      <c r="A3" s="8" t="s">
        <v>13</v>
      </c>
      <c r="B3" t="s">
        <v>28</v>
      </c>
    </row>
    <row r="4" spans="1:2" x14ac:dyDescent="0.25">
      <c r="A4" s="8" t="s">
        <v>10</v>
      </c>
      <c r="B4" t="s">
        <v>39</v>
      </c>
    </row>
    <row r="5" spans="1:2" x14ac:dyDescent="0.25">
      <c r="A5" s="8" t="s">
        <v>20</v>
      </c>
      <c r="B5" t="s">
        <v>171</v>
      </c>
    </row>
    <row r="7" spans="1:2" x14ac:dyDescent="0.25">
      <c r="A7" s="8" t="s">
        <v>37</v>
      </c>
      <c r="B7" t="s">
        <v>130</v>
      </c>
    </row>
    <row r="8" spans="1:2" x14ac:dyDescent="0.25">
      <c r="A8" s="9" t="s">
        <v>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30070-2EBC-4ABA-8D78-EB2A4B781ADA}">
  <dimension ref="A1:B9"/>
  <sheetViews>
    <sheetView zoomScale="85" zoomScaleNormal="85" workbookViewId="0">
      <selection activeCell="A13" sqref="A13"/>
    </sheetView>
  </sheetViews>
  <sheetFormatPr defaultRowHeight="15" x14ac:dyDescent="0.25"/>
  <cols>
    <col min="1" max="1" width="13.85546875" bestFit="1" customWidth="1"/>
    <col min="2" max="2" width="17.28515625" bestFit="1" customWidth="1"/>
    <col min="3" max="3" width="7" bestFit="1" customWidth="1"/>
    <col min="4" max="4" width="10.7109375" bestFit="1" customWidth="1"/>
  </cols>
  <sheetData>
    <row r="1" spans="1:2" x14ac:dyDescent="0.25">
      <c r="A1" s="8" t="s">
        <v>3</v>
      </c>
      <c r="B1" t="s">
        <v>5</v>
      </c>
    </row>
    <row r="2" spans="1:2" x14ac:dyDescent="0.25">
      <c r="A2" s="8" t="s">
        <v>6</v>
      </c>
      <c r="B2" t="s">
        <v>39</v>
      </c>
    </row>
    <row r="3" spans="1:2" x14ac:dyDescent="0.25">
      <c r="A3" s="8" t="s">
        <v>13</v>
      </c>
      <c r="B3" t="s">
        <v>28</v>
      </c>
    </row>
    <row r="4" spans="1:2" x14ac:dyDescent="0.25">
      <c r="A4" s="8" t="s">
        <v>10</v>
      </c>
      <c r="B4" t="s">
        <v>39</v>
      </c>
    </row>
    <row r="5" spans="1:2" x14ac:dyDescent="0.25">
      <c r="A5" s="8" t="s">
        <v>125</v>
      </c>
      <c r="B5" t="s">
        <v>128</v>
      </c>
    </row>
    <row r="6" spans="1:2" x14ac:dyDescent="0.25">
      <c r="A6" s="8" t="s">
        <v>20</v>
      </c>
      <c r="B6" t="s">
        <v>171</v>
      </c>
    </row>
    <row r="8" spans="1:2" x14ac:dyDescent="0.25">
      <c r="A8" s="8" t="s">
        <v>37</v>
      </c>
      <c r="B8" t="s">
        <v>130</v>
      </c>
    </row>
    <row r="9" spans="1:2" x14ac:dyDescent="0.25">
      <c r="A9" s="9" t="s">
        <v>38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84084-09AA-46D5-8E02-07530FC57F4B}">
  <dimension ref="A1:B9"/>
  <sheetViews>
    <sheetView topLeftCell="A16" zoomScale="85" zoomScaleNormal="85" workbookViewId="0">
      <selection activeCell="T9" sqref="T9"/>
    </sheetView>
  </sheetViews>
  <sheetFormatPr defaultRowHeight="15" x14ac:dyDescent="0.25"/>
  <cols>
    <col min="1" max="1" width="15.7109375" bestFit="1" customWidth="1"/>
    <col min="2" max="2" width="16.42578125" bestFit="1" customWidth="1"/>
    <col min="3" max="3" width="27.7109375" bestFit="1" customWidth="1"/>
    <col min="4" max="4" width="26.140625" bestFit="1" customWidth="1"/>
    <col min="5" max="5" width="36.42578125" bestFit="1" customWidth="1"/>
    <col min="6" max="6" width="23" bestFit="1" customWidth="1"/>
    <col min="7" max="7" width="24.28515625" bestFit="1" customWidth="1"/>
    <col min="8" max="8" width="24.42578125" bestFit="1" customWidth="1"/>
    <col min="9" max="9" width="28.140625" bestFit="1" customWidth="1"/>
    <col min="10" max="10" width="24" bestFit="1" customWidth="1"/>
    <col min="11" max="11" width="16.85546875" bestFit="1" customWidth="1"/>
    <col min="12" max="12" width="11.42578125" bestFit="1" customWidth="1"/>
    <col min="13" max="13" width="24.28515625" bestFit="1" customWidth="1"/>
    <col min="14" max="14" width="24.42578125" bestFit="1" customWidth="1"/>
    <col min="15" max="15" width="28.140625" bestFit="1" customWidth="1"/>
    <col min="16" max="16" width="24" bestFit="1" customWidth="1"/>
    <col min="17" max="17" width="16.85546875" bestFit="1" customWidth="1"/>
    <col min="18" max="18" width="11.42578125" bestFit="1" customWidth="1"/>
    <col min="19" max="19" width="33" bestFit="1" customWidth="1"/>
    <col min="20" max="20" width="20.7109375" bestFit="1" customWidth="1"/>
    <col min="21" max="21" width="21.42578125" bestFit="1" customWidth="1"/>
    <col min="22" max="22" width="35.7109375" bestFit="1" customWidth="1"/>
    <col min="23" max="23" width="32.28515625" bestFit="1" customWidth="1"/>
    <col min="24" max="24" width="19.42578125" bestFit="1" customWidth="1"/>
    <col min="25" max="25" width="22.42578125" bestFit="1" customWidth="1"/>
    <col min="26" max="26" width="24.28515625" bestFit="1" customWidth="1"/>
    <col min="27" max="27" width="11.42578125" bestFit="1" customWidth="1"/>
  </cols>
  <sheetData>
    <row r="1" spans="1:2" x14ac:dyDescent="0.25">
      <c r="A1" s="8" t="s">
        <v>3</v>
      </c>
      <c r="B1" t="s">
        <v>5</v>
      </c>
    </row>
    <row r="2" spans="1:2" x14ac:dyDescent="0.25">
      <c r="A2" s="8" t="s">
        <v>6</v>
      </c>
      <c r="B2" t="s">
        <v>39</v>
      </c>
    </row>
    <row r="3" spans="1:2" x14ac:dyDescent="0.25">
      <c r="A3" s="8" t="s">
        <v>13</v>
      </c>
      <c r="B3" t="s">
        <v>28</v>
      </c>
    </row>
    <row r="4" spans="1:2" x14ac:dyDescent="0.25">
      <c r="A4" s="8" t="s">
        <v>10</v>
      </c>
      <c r="B4" t="s">
        <v>39</v>
      </c>
    </row>
    <row r="5" spans="1:2" x14ac:dyDescent="0.25">
      <c r="A5" s="8" t="s">
        <v>125</v>
      </c>
      <c r="B5" t="s">
        <v>128</v>
      </c>
    </row>
    <row r="7" spans="1:2" x14ac:dyDescent="0.25">
      <c r="A7" s="8" t="s">
        <v>130</v>
      </c>
      <c r="B7" s="8" t="s">
        <v>120</v>
      </c>
    </row>
    <row r="8" spans="1:2" x14ac:dyDescent="0.25">
      <c r="A8" s="8" t="s">
        <v>37</v>
      </c>
      <c r="B8" t="s">
        <v>38</v>
      </c>
    </row>
    <row r="9" spans="1:2" x14ac:dyDescent="0.25">
      <c r="A9" s="9" t="s">
        <v>38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4BE4E-F1F0-4DAB-85AB-5DE6621AAC86}">
  <dimension ref="A1:B9"/>
  <sheetViews>
    <sheetView zoomScale="85" zoomScaleNormal="85" workbookViewId="0">
      <selection activeCell="G22" sqref="G22"/>
    </sheetView>
  </sheetViews>
  <sheetFormatPr defaultRowHeight="15" x14ac:dyDescent="0.25"/>
  <cols>
    <col min="1" max="1" width="15.7109375" bestFit="1" customWidth="1"/>
    <col min="2" max="2" width="16.42578125" bestFit="1" customWidth="1"/>
    <col min="3" max="3" width="23.85546875" bestFit="1" customWidth="1"/>
    <col min="4" max="4" width="22.7109375" bestFit="1" customWidth="1"/>
    <col min="5" max="5" width="23.7109375" bestFit="1" customWidth="1"/>
    <col min="6" max="6" width="18" bestFit="1" customWidth="1"/>
    <col min="7" max="7" width="28.140625" bestFit="1" customWidth="1"/>
    <col min="8" max="8" width="11.42578125" bestFit="1" customWidth="1"/>
    <col min="9" max="9" width="24.28515625" bestFit="1" customWidth="1"/>
    <col min="10" max="10" width="24.42578125" bestFit="1" customWidth="1"/>
    <col min="11" max="11" width="28.140625" bestFit="1" customWidth="1"/>
    <col min="12" max="12" width="11.42578125" bestFit="1" customWidth="1"/>
    <col min="13" max="13" width="26.140625" bestFit="1" customWidth="1"/>
    <col min="14" max="14" width="36.42578125" bestFit="1" customWidth="1"/>
    <col min="15" max="15" width="19.5703125" bestFit="1" customWidth="1"/>
    <col min="16" max="16" width="24" bestFit="1" customWidth="1"/>
    <col min="17" max="17" width="16.85546875" bestFit="1" customWidth="1"/>
    <col min="18" max="19" width="11.42578125" bestFit="1" customWidth="1"/>
    <col min="20" max="20" width="19.42578125" bestFit="1" customWidth="1"/>
    <col min="21" max="21" width="22.42578125" bestFit="1" customWidth="1"/>
    <col min="22" max="22" width="24.28515625" bestFit="1" customWidth="1"/>
    <col min="23" max="23" width="11.42578125" bestFit="1" customWidth="1"/>
    <col min="24" max="24" width="22.42578125" bestFit="1" customWidth="1"/>
    <col min="25" max="25" width="24.28515625" bestFit="1" customWidth="1"/>
    <col min="26" max="27" width="11.42578125" bestFit="1" customWidth="1"/>
    <col min="28" max="28" width="19.5703125" bestFit="1" customWidth="1"/>
    <col min="29" max="29" width="24" bestFit="1" customWidth="1"/>
    <col min="30" max="30" width="16.85546875" bestFit="1" customWidth="1"/>
    <col min="31" max="31" width="11.42578125" bestFit="1" customWidth="1"/>
  </cols>
  <sheetData>
    <row r="1" spans="1:2" x14ac:dyDescent="0.25">
      <c r="A1" s="8" t="s">
        <v>3</v>
      </c>
      <c r="B1" t="s">
        <v>5</v>
      </c>
    </row>
    <row r="2" spans="1:2" x14ac:dyDescent="0.25">
      <c r="A2" s="8" t="s">
        <v>6</v>
      </c>
      <c r="B2" t="s">
        <v>39</v>
      </c>
    </row>
    <row r="3" spans="1:2" x14ac:dyDescent="0.25">
      <c r="A3" s="8" t="s">
        <v>13</v>
      </c>
      <c r="B3" t="s">
        <v>28</v>
      </c>
    </row>
    <row r="4" spans="1:2" x14ac:dyDescent="0.25">
      <c r="A4" s="8" t="s">
        <v>10</v>
      </c>
      <c r="B4" t="s">
        <v>39</v>
      </c>
    </row>
    <row r="5" spans="1:2" x14ac:dyDescent="0.25">
      <c r="A5" s="8" t="s">
        <v>125</v>
      </c>
      <c r="B5" t="s">
        <v>128</v>
      </c>
    </row>
    <row r="7" spans="1:2" x14ac:dyDescent="0.25">
      <c r="A7" s="8" t="s">
        <v>130</v>
      </c>
      <c r="B7" s="8" t="s">
        <v>120</v>
      </c>
    </row>
    <row r="8" spans="1:2" x14ac:dyDescent="0.25">
      <c r="A8" s="8" t="s">
        <v>37</v>
      </c>
      <c r="B8" t="s">
        <v>38</v>
      </c>
    </row>
    <row r="9" spans="1:2" x14ac:dyDescent="0.25">
      <c r="A9" s="9" t="s">
        <v>38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F9402-533A-456D-8501-C030F58A10DB}">
  <dimension ref="A1:J97"/>
  <sheetViews>
    <sheetView zoomScale="85" zoomScaleNormal="85" workbookViewId="0">
      <pane xSplit="1" topLeftCell="B1" activePane="topRight" state="frozen"/>
      <selection pane="topRight" activeCell="B11" sqref="B11"/>
    </sheetView>
  </sheetViews>
  <sheetFormatPr defaultColWidth="10.7109375" defaultRowHeight="15" customHeight="1" x14ac:dyDescent="0.25"/>
  <cols>
    <col min="1" max="1" width="17.28515625" style="1" bestFit="1" customWidth="1"/>
    <col min="2" max="2" width="18.5703125" style="1" bestFit="1" customWidth="1"/>
    <col min="3" max="3" width="21.5703125" style="1" bestFit="1" customWidth="1"/>
    <col min="4" max="4" width="13.28515625" style="1" bestFit="1" customWidth="1"/>
    <col min="5" max="5" width="11.85546875" style="1" bestFit="1" customWidth="1"/>
    <col min="6" max="7" width="15.7109375" style="1" customWidth="1"/>
    <col min="8" max="8" width="20.7109375" style="5" customWidth="1"/>
    <col min="9" max="16384" width="10.7109375" style="1"/>
  </cols>
  <sheetData>
    <row r="1" spans="1:10" s="11" customFormat="1" x14ac:dyDescent="0.25">
      <c r="A1" s="11" t="s">
        <v>20</v>
      </c>
      <c r="B1" s="11" t="s">
        <v>7</v>
      </c>
      <c r="C1" s="11" t="s">
        <v>10</v>
      </c>
      <c r="D1" s="11" t="s">
        <v>11</v>
      </c>
      <c r="E1" s="11" t="s">
        <v>12</v>
      </c>
      <c r="F1" s="11" t="s">
        <v>14</v>
      </c>
      <c r="G1" s="11" t="s">
        <v>172</v>
      </c>
      <c r="H1" s="14" t="s">
        <v>174</v>
      </c>
    </row>
    <row r="2" spans="1:10" ht="15" customHeight="1" x14ac:dyDescent="0.25">
      <c r="A2" s="1" t="s">
        <v>275</v>
      </c>
      <c r="B2" s="1" t="s">
        <v>17</v>
      </c>
      <c r="C2" s="1" t="s">
        <v>304</v>
      </c>
      <c r="D2" s="1" t="s">
        <v>30</v>
      </c>
      <c r="E2" s="1">
        <v>550</v>
      </c>
      <c r="F2" s="6">
        <v>44607</v>
      </c>
      <c r="G2" s="6" t="s">
        <v>173</v>
      </c>
      <c r="H2" s="5">
        <v>2868237</v>
      </c>
    </row>
    <row r="3" spans="1:10" ht="15" customHeight="1" x14ac:dyDescent="0.25">
      <c r="A3" s="1" t="s">
        <v>275</v>
      </c>
      <c r="B3" s="1" t="s">
        <v>17</v>
      </c>
      <c r="C3" s="1" t="s">
        <v>304</v>
      </c>
      <c r="D3" s="1" t="s">
        <v>30</v>
      </c>
      <c r="E3" s="1">
        <v>550</v>
      </c>
      <c r="F3" s="6">
        <v>44607</v>
      </c>
      <c r="G3" s="6" t="s">
        <v>175</v>
      </c>
      <c r="H3" s="5">
        <v>-467911.78620973974</v>
      </c>
    </row>
    <row r="4" spans="1:10" ht="15" customHeight="1" x14ac:dyDescent="0.25">
      <c r="A4" s="1" t="s">
        <v>275</v>
      </c>
      <c r="B4" s="1" t="s">
        <v>17</v>
      </c>
      <c r="C4" s="1" t="s">
        <v>304</v>
      </c>
      <c r="D4" s="1" t="s">
        <v>30</v>
      </c>
      <c r="E4" s="1">
        <v>550</v>
      </c>
      <c r="F4" s="6">
        <v>44607</v>
      </c>
      <c r="G4" s="6" t="s">
        <v>176</v>
      </c>
      <c r="H4" s="5">
        <v>1485151.9540594812</v>
      </c>
    </row>
    <row r="5" spans="1:10" ht="15" customHeight="1" x14ac:dyDescent="0.25">
      <c r="A5" s="1" t="s">
        <v>275</v>
      </c>
      <c r="B5" s="1" t="s">
        <v>17</v>
      </c>
      <c r="C5" s="1" t="s">
        <v>304</v>
      </c>
      <c r="D5" s="1" t="s">
        <v>30</v>
      </c>
      <c r="E5" s="1">
        <v>550</v>
      </c>
      <c r="F5" s="6">
        <v>44607</v>
      </c>
      <c r="G5" s="6" t="s">
        <v>177</v>
      </c>
      <c r="H5" s="5">
        <v>915173.2597307791</v>
      </c>
    </row>
    <row r="6" spans="1:10" ht="15" customHeight="1" x14ac:dyDescent="0.25">
      <c r="A6" s="1" t="s">
        <v>275</v>
      </c>
      <c r="B6" s="1" t="s">
        <v>17</v>
      </c>
      <c r="C6" s="1" t="s">
        <v>304</v>
      </c>
      <c r="D6" s="1" t="s">
        <v>30</v>
      </c>
      <c r="E6" s="1">
        <v>550</v>
      </c>
      <c r="F6" s="6">
        <v>44607</v>
      </c>
      <c r="G6" s="6" t="s">
        <v>178</v>
      </c>
      <c r="H6" s="5">
        <v>5346.94</v>
      </c>
    </row>
    <row r="7" spans="1:10" ht="15" customHeight="1" x14ac:dyDescent="0.25">
      <c r="A7" s="1" t="s">
        <v>277</v>
      </c>
      <c r="B7" s="1" t="s">
        <v>18</v>
      </c>
      <c r="C7" s="1" t="s">
        <v>304</v>
      </c>
      <c r="D7" s="1" t="s">
        <v>30</v>
      </c>
      <c r="E7" s="1">
        <v>550</v>
      </c>
      <c r="F7" s="6">
        <v>44757</v>
      </c>
      <c r="G7" s="6" t="s">
        <v>173</v>
      </c>
      <c r="H7" s="5">
        <v>2692554</v>
      </c>
    </row>
    <row r="8" spans="1:10" ht="15" customHeight="1" x14ac:dyDescent="0.25">
      <c r="A8" s="1" t="s">
        <v>277</v>
      </c>
      <c r="B8" s="1" t="s">
        <v>18</v>
      </c>
      <c r="C8" s="1" t="s">
        <v>304</v>
      </c>
      <c r="D8" s="1" t="s">
        <v>30</v>
      </c>
      <c r="E8" s="1">
        <v>550</v>
      </c>
      <c r="F8" s="6">
        <v>44757</v>
      </c>
      <c r="G8" s="6" t="s">
        <v>175</v>
      </c>
      <c r="H8" s="5">
        <v>-628087.14545092336</v>
      </c>
    </row>
    <row r="9" spans="1:10" ht="15" customHeight="1" x14ac:dyDescent="0.25">
      <c r="A9" s="1" t="s">
        <v>277</v>
      </c>
      <c r="B9" s="1" t="s">
        <v>18</v>
      </c>
      <c r="C9" s="1" t="s">
        <v>304</v>
      </c>
      <c r="D9" s="1" t="s">
        <v>30</v>
      </c>
      <c r="E9" s="1">
        <v>550</v>
      </c>
      <c r="F9" s="6">
        <v>44757</v>
      </c>
      <c r="G9" s="6" t="s">
        <v>176</v>
      </c>
      <c r="H9" s="5">
        <v>1281085.9423937472</v>
      </c>
    </row>
    <row r="10" spans="1:10" ht="15" customHeight="1" x14ac:dyDescent="0.25">
      <c r="A10" s="1" t="s">
        <v>277</v>
      </c>
      <c r="B10" s="1" t="s">
        <v>18</v>
      </c>
      <c r="C10" s="1" t="s">
        <v>304</v>
      </c>
      <c r="D10" s="1" t="s">
        <v>30</v>
      </c>
      <c r="E10" s="1">
        <v>550</v>
      </c>
      <c r="F10" s="6">
        <v>44757</v>
      </c>
      <c r="G10" s="6" t="s">
        <v>177</v>
      </c>
      <c r="H10" s="5">
        <v>783380.91215532948</v>
      </c>
    </row>
    <row r="11" spans="1:10" ht="15" customHeight="1" x14ac:dyDescent="0.25">
      <c r="A11" s="1" t="s">
        <v>279</v>
      </c>
      <c r="B11" s="1" t="s">
        <v>18</v>
      </c>
      <c r="C11" s="1" t="s">
        <v>306</v>
      </c>
      <c r="D11" s="1" t="s">
        <v>30</v>
      </c>
      <c r="E11" s="1">
        <v>550</v>
      </c>
      <c r="F11" s="6">
        <v>44653</v>
      </c>
      <c r="G11" s="6" t="s">
        <v>173</v>
      </c>
      <c r="H11" s="5">
        <v>2851130</v>
      </c>
    </row>
    <row r="12" spans="1:10" ht="15" customHeight="1" x14ac:dyDescent="0.25">
      <c r="A12" s="1" t="s">
        <v>279</v>
      </c>
      <c r="B12" s="1" t="s">
        <v>18</v>
      </c>
      <c r="C12" s="1" t="s">
        <v>306</v>
      </c>
      <c r="D12" s="1" t="s">
        <v>30</v>
      </c>
      <c r="E12" s="1">
        <v>550</v>
      </c>
      <c r="F12" s="6">
        <v>44653</v>
      </c>
      <c r="G12" s="6" t="s">
        <v>175</v>
      </c>
      <c r="H12" s="5">
        <v>309558.58174366737</v>
      </c>
      <c r="J12" s="26"/>
    </row>
    <row r="13" spans="1:10" ht="15" customHeight="1" x14ac:dyDescent="0.25">
      <c r="A13" s="1" t="s">
        <v>279</v>
      </c>
      <c r="B13" s="1" t="s">
        <v>18</v>
      </c>
      <c r="C13" s="1" t="s">
        <v>306</v>
      </c>
      <c r="D13" s="1" t="s">
        <v>30</v>
      </c>
      <c r="E13" s="1">
        <v>550</v>
      </c>
      <c r="F13" s="6">
        <v>44653</v>
      </c>
      <c r="G13" s="6" t="s">
        <v>176</v>
      </c>
      <c r="H13" s="5">
        <v>2084781.7294244175</v>
      </c>
      <c r="J13" s="26"/>
    </row>
    <row r="14" spans="1:10" ht="15" customHeight="1" x14ac:dyDescent="0.25">
      <c r="A14" s="1" t="s">
        <v>279</v>
      </c>
      <c r="B14" s="1" t="s">
        <v>18</v>
      </c>
      <c r="C14" s="1" t="s">
        <v>306</v>
      </c>
      <c r="D14" s="1" t="s">
        <v>30</v>
      </c>
      <c r="E14" s="1">
        <v>550</v>
      </c>
      <c r="F14" s="6">
        <v>44653</v>
      </c>
      <c r="G14" s="6" t="s">
        <v>177</v>
      </c>
      <c r="H14" s="5">
        <v>1075906.8523192499</v>
      </c>
      <c r="J14" s="26"/>
    </row>
    <row r="15" spans="1:10" ht="15" customHeight="1" x14ac:dyDescent="0.25">
      <c r="A15" s="1" t="s">
        <v>279</v>
      </c>
      <c r="B15" s="1" t="s">
        <v>18</v>
      </c>
      <c r="C15" s="1" t="s">
        <v>306</v>
      </c>
      <c r="D15" s="1" t="s">
        <v>30</v>
      </c>
      <c r="E15" s="1">
        <v>550</v>
      </c>
      <c r="F15" s="6">
        <v>44653</v>
      </c>
      <c r="G15" s="6" t="s">
        <v>178</v>
      </c>
      <c r="H15" s="5">
        <v>175800.31</v>
      </c>
      <c r="J15" s="26"/>
    </row>
    <row r="16" spans="1:10" ht="15" customHeight="1" x14ac:dyDescent="0.25">
      <c r="A16" s="1" t="s">
        <v>280</v>
      </c>
      <c r="B16" s="1" t="s">
        <v>18</v>
      </c>
      <c r="C16" s="1" t="s">
        <v>306</v>
      </c>
      <c r="D16" s="1" t="s">
        <v>30</v>
      </c>
      <c r="E16" s="1">
        <v>550</v>
      </c>
      <c r="F16" s="6">
        <v>44744</v>
      </c>
      <c r="G16" s="6" t="s">
        <v>173</v>
      </c>
      <c r="H16" s="5">
        <v>2766044.56</v>
      </c>
    </row>
    <row r="17" spans="1:8" ht="15" customHeight="1" x14ac:dyDescent="0.25">
      <c r="A17" s="1" t="s">
        <v>280</v>
      </c>
      <c r="B17" s="1" t="s">
        <v>18</v>
      </c>
      <c r="C17" s="1" t="s">
        <v>306</v>
      </c>
      <c r="D17" s="1" t="s">
        <v>30</v>
      </c>
      <c r="E17" s="1">
        <v>550</v>
      </c>
      <c r="F17" s="6">
        <v>44744</v>
      </c>
      <c r="G17" s="6" t="s">
        <v>175</v>
      </c>
      <c r="H17" s="5">
        <v>-399420.72429616703</v>
      </c>
    </row>
    <row r="18" spans="1:8" ht="15" customHeight="1" x14ac:dyDescent="0.25">
      <c r="A18" s="1" t="s">
        <v>280</v>
      </c>
      <c r="B18" s="1" t="s">
        <v>18</v>
      </c>
      <c r="C18" s="1" t="s">
        <v>306</v>
      </c>
      <c r="D18" s="1" t="s">
        <v>30</v>
      </c>
      <c r="E18" s="1">
        <v>550</v>
      </c>
      <c r="F18" s="6">
        <v>44744</v>
      </c>
      <c r="G18" s="6" t="s">
        <v>176</v>
      </c>
      <c r="H18" s="5">
        <v>1630790.9984825787</v>
      </c>
    </row>
    <row r="19" spans="1:8" ht="15" customHeight="1" x14ac:dyDescent="0.25">
      <c r="A19" s="1" t="s">
        <v>280</v>
      </c>
      <c r="B19" s="1" t="s">
        <v>18</v>
      </c>
      <c r="C19" s="1" t="s">
        <v>306</v>
      </c>
      <c r="D19" s="1" t="s">
        <v>30</v>
      </c>
      <c r="E19" s="1">
        <v>550</v>
      </c>
      <c r="F19" s="6">
        <v>44744</v>
      </c>
      <c r="G19" s="6" t="s">
        <v>177</v>
      </c>
      <c r="H19" s="5">
        <v>735832.83722125436</v>
      </c>
    </row>
    <row r="20" spans="1:8" ht="15" customHeight="1" x14ac:dyDescent="0.25">
      <c r="A20" s="1" t="s">
        <v>280</v>
      </c>
      <c r="B20" s="1" t="s">
        <v>18</v>
      </c>
      <c r="C20" s="1" t="s">
        <v>306</v>
      </c>
      <c r="D20" s="1" t="s">
        <v>30</v>
      </c>
      <c r="E20" s="1">
        <v>550</v>
      </c>
      <c r="F20" s="6">
        <v>44744</v>
      </c>
      <c r="G20" s="6" t="s">
        <v>178</v>
      </c>
      <c r="H20" s="5">
        <v>16230.1</v>
      </c>
    </row>
    <row r="21" spans="1:8" ht="15" customHeight="1" x14ac:dyDescent="0.25">
      <c r="A21" s="1" t="s">
        <v>282</v>
      </c>
      <c r="B21" s="1" t="s">
        <v>18</v>
      </c>
      <c r="C21" s="1" t="s">
        <v>307</v>
      </c>
      <c r="D21" s="1" t="s">
        <v>30</v>
      </c>
      <c r="E21" s="1">
        <v>400</v>
      </c>
      <c r="F21" s="6">
        <v>44775</v>
      </c>
      <c r="G21" s="6" t="s">
        <v>173</v>
      </c>
      <c r="H21" s="5">
        <v>2489280</v>
      </c>
    </row>
    <row r="22" spans="1:8" ht="15" customHeight="1" x14ac:dyDescent="0.25">
      <c r="A22" s="1" t="s">
        <v>282</v>
      </c>
      <c r="B22" s="1" t="s">
        <v>18</v>
      </c>
      <c r="C22" s="1" t="s">
        <v>307</v>
      </c>
      <c r="D22" s="1" t="s">
        <v>30</v>
      </c>
      <c r="E22" s="1">
        <v>400</v>
      </c>
      <c r="F22" s="6">
        <v>44775</v>
      </c>
      <c r="G22" s="6" t="s">
        <v>175</v>
      </c>
      <c r="H22" s="5">
        <v>-352693.21334469644</v>
      </c>
    </row>
    <row r="23" spans="1:8" ht="15" customHeight="1" x14ac:dyDescent="0.25">
      <c r="A23" s="1" t="s">
        <v>282</v>
      </c>
      <c r="B23" s="1" t="s">
        <v>18</v>
      </c>
      <c r="C23" s="1" t="s">
        <v>307</v>
      </c>
      <c r="D23" s="1" t="s">
        <v>30</v>
      </c>
      <c r="E23" s="1">
        <v>400</v>
      </c>
      <c r="F23" s="6">
        <v>44775</v>
      </c>
      <c r="G23" s="6" t="s">
        <v>176</v>
      </c>
      <c r="H23" s="5">
        <v>1166626.3931849203</v>
      </c>
    </row>
    <row r="24" spans="1:8" ht="15" customHeight="1" x14ac:dyDescent="0.25">
      <c r="A24" s="1" t="s">
        <v>282</v>
      </c>
      <c r="B24" s="1" t="s">
        <v>18</v>
      </c>
      <c r="C24" s="1" t="s">
        <v>307</v>
      </c>
      <c r="D24" s="1" t="s">
        <v>30</v>
      </c>
      <c r="E24" s="1">
        <v>400</v>
      </c>
      <c r="F24" s="6">
        <v>44775</v>
      </c>
      <c r="G24" s="6" t="s">
        <v>177</v>
      </c>
      <c r="H24" s="5">
        <v>969960.39347038325</v>
      </c>
    </row>
    <row r="25" spans="1:8" ht="15" customHeight="1" x14ac:dyDescent="0.25">
      <c r="A25" s="1" t="s">
        <v>282</v>
      </c>
      <c r="B25" s="1" t="s">
        <v>18</v>
      </c>
      <c r="C25" s="1" t="s">
        <v>307</v>
      </c>
      <c r="D25" s="1" t="s">
        <v>30</v>
      </c>
      <c r="E25" s="1">
        <v>400</v>
      </c>
      <c r="F25" s="6">
        <v>44775</v>
      </c>
      <c r="G25" s="6" t="s">
        <v>178</v>
      </c>
      <c r="H25" s="5">
        <v>46752.1</v>
      </c>
    </row>
    <row r="26" spans="1:8" ht="15" customHeight="1" x14ac:dyDescent="0.25">
      <c r="A26" s="1" t="s">
        <v>285</v>
      </c>
      <c r="B26" s="1" t="s">
        <v>17</v>
      </c>
      <c r="C26" s="1" t="s">
        <v>307</v>
      </c>
      <c r="D26" s="1" t="s">
        <v>30</v>
      </c>
      <c r="E26" s="1">
        <v>400</v>
      </c>
      <c r="F26" s="6">
        <v>44563</v>
      </c>
      <c r="G26" s="6" t="s">
        <v>173</v>
      </c>
      <c r="H26" s="5">
        <v>2318089</v>
      </c>
    </row>
    <row r="27" spans="1:8" ht="15" customHeight="1" x14ac:dyDescent="0.25">
      <c r="A27" s="1" t="s">
        <v>285</v>
      </c>
      <c r="B27" s="1" t="s">
        <v>17</v>
      </c>
      <c r="C27" s="1" t="s">
        <v>307</v>
      </c>
      <c r="D27" s="1" t="s">
        <v>30</v>
      </c>
      <c r="E27" s="1">
        <v>400</v>
      </c>
      <c r="F27" s="6">
        <v>44563</v>
      </c>
      <c r="G27" s="6" t="s">
        <v>175</v>
      </c>
      <c r="H27" s="5">
        <v>-438356.80717857159</v>
      </c>
    </row>
    <row r="28" spans="1:8" ht="15" customHeight="1" x14ac:dyDescent="0.25">
      <c r="A28" s="1" t="s">
        <v>285</v>
      </c>
      <c r="B28" s="1" t="s">
        <v>17</v>
      </c>
      <c r="C28" s="1" t="s">
        <v>307</v>
      </c>
      <c r="D28" s="1" t="s">
        <v>30</v>
      </c>
      <c r="E28" s="1">
        <v>400</v>
      </c>
      <c r="F28" s="6">
        <v>44563</v>
      </c>
      <c r="G28" s="6" t="s">
        <v>176</v>
      </c>
      <c r="H28" s="5">
        <v>1225106.9856455021</v>
      </c>
    </row>
    <row r="29" spans="1:8" ht="15" customHeight="1" x14ac:dyDescent="0.25">
      <c r="A29" s="1" t="s">
        <v>285</v>
      </c>
      <c r="B29" s="1" t="s">
        <v>17</v>
      </c>
      <c r="C29" s="1" t="s">
        <v>307</v>
      </c>
      <c r="D29" s="1" t="s">
        <v>30</v>
      </c>
      <c r="E29" s="1">
        <v>400</v>
      </c>
      <c r="F29" s="6">
        <v>44563</v>
      </c>
      <c r="G29" s="6" t="s">
        <v>177</v>
      </c>
      <c r="H29" s="5">
        <v>654625.20717592631</v>
      </c>
    </row>
    <row r="30" spans="1:8" ht="15" customHeight="1" x14ac:dyDescent="0.25">
      <c r="A30" s="1" t="s">
        <v>285</v>
      </c>
      <c r="B30" s="1" t="s">
        <v>17</v>
      </c>
      <c r="C30" s="1" t="s">
        <v>307</v>
      </c>
      <c r="D30" s="1" t="s">
        <v>30</v>
      </c>
      <c r="E30" s="1">
        <v>400</v>
      </c>
      <c r="F30" s="6">
        <v>44563</v>
      </c>
      <c r="G30" s="6" t="s">
        <v>178</v>
      </c>
      <c r="H30" s="5">
        <v>115750.84</v>
      </c>
    </row>
    <row r="31" spans="1:8" ht="15" customHeight="1" x14ac:dyDescent="0.25">
      <c r="A31" s="1" t="s">
        <v>288</v>
      </c>
      <c r="B31" s="1" t="s">
        <v>18</v>
      </c>
      <c r="C31" s="1" t="s">
        <v>307</v>
      </c>
      <c r="D31" s="1" t="s">
        <v>30</v>
      </c>
      <c r="E31" s="1">
        <v>400</v>
      </c>
      <c r="F31" s="6">
        <v>44635</v>
      </c>
      <c r="G31" s="6" t="s">
        <v>173</v>
      </c>
      <c r="H31" s="5">
        <v>2557831.42</v>
      </c>
    </row>
    <row r="32" spans="1:8" ht="15" customHeight="1" x14ac:dyDescent="0.25">
      <c r="A32" s="1" t="s">
        <v>288</v>
      </c>
      <c r="B32" s="1" t="s">
        <v>18</v>
      </c>
      <c r="C32" s="1" t="s">
        <v>307</v>
      </c>
      <c r="D32" s="1" t="s">
        <v>30</v>
      </c>
      <c r="E32" s="1">
        <v>400</v>
      </c>
      <c r="F32" s="6">
        <v>44635</v>
      </c>
      <c r="G32" s="6" t="s">
        <v>175</v>
      </c>
      <c r="H32" s="5">
        <v>-232659.64471270842</v>
      </c>
    </row>
    <row r="33" spans="1:8" ht="15" customHeight="1" x14ac:dyDescent="0.25">
      <c r="A33" s="1" t="s">
        <v>288</v>
      </c>
      <c r="B33" s="1" t="s">
        <v>18</v>
      </c>
      <c r="C33" s="1" t="s">
        <v>307</v>
      </c>
      <c r="D33" s="1" t="s">
        <v>30</v>
      </c>
      <c r="E33" s="1">
        <v>400</v>
      </c>
      <c r="F33" s="6">
        <v>44635</v>
      </c>
      <c r="G33" s="6" t="s">
        <v>176</v>
      </c>
      <c r="H33" s="5">
        <v>1631787.4110684954</v>
      </c>
    </row>
    <row r="34" spans="1:8" ht="15" customHeight="1" x14ac:dyDescent="0.25">
      <c r="A34" s="1" t="s">
        <v>288</v>
      </c>
      <c r="B34" s="1" t="s">
        <v>18</v>
      </c>
      <c r="C34" s="1" t="s">
        <v>307</v>
      </c>
      <c r="D34" s="1" t="s">
        <v>30</v>
      </c>
      <c r="E34" s="1">
        <v>400</v>
      </c>
      <c r="F34" s="6">
        <v>44635</v>
      </c>
      <c r="G34" s="6" t="s">
        <v>177</v>
      </c>
      <c r="H34" s="5">
        <v>693384.36421879614</v>
      </c>
    </row>
    <row r="35" spans="1:8" ht="15" customHeight="1" x14ac:dyDescent="0.25">
      <c r="A35" s="1" t="s">
        <v>289</v>
      </c>
      <c r="B35" s="1" t="s">
        <v>18</v>
      </c>
      <c r="C35" s="1" t="s">
        <v>307</v>
      </c>
      <c r="D35" s="1" t="s">
        <v>30</v>
      </c>
      <c r="E35" s="1">
        <v>400</v>
      </c>
      <c r="F35" s="6">
        <v>44683</v>
      </c>
      <c r="G35" s="6" t="s">
        <v>173</v>
      </c>
      <c r="H35" s="5">
        <v>2213895</v>
      </c>
    </row>
    <row r="36" spans="1:8" ht="15" customHeight="1" x14ac:dyDescent="0.25">
      <c r="A36" s="1" t="s">
        <v>289</v>
      </c>
      <c r="B36" s="1" t="s">
        <v>18</v>
      </c>
      <c r="C36" s="1" t="s">
        <v>307</v>
      </c>
      <c r="D36" s="1" t="s">
        <v>30</v>
      </c>
      <c r="E36" s="1">
        <v>400</v>
      </c>
      <c r="F36" s="6">
        <v>44683</v>
      </c>
      <c r="G36" s="6" t="s">
        <v>175</v>
      </c>
      <c r="H36" s="5">
        <v>259254.14592566807</v>
      </c>
    </row>
    <row r="37" spans="1:8" ht="15" customHeight="1" x14ac:dyDescent="0.25">
      <c r="A37" s="1" t="s">
        <v>289</v>
      </c>
      <c r="B37" s="1" t="s">
        <v>18</v>
      </c>
      <c r="C37" s="1" t="s">
        <v>307</v>
      </c>
      <c r="D37" s="1" t="s">
        <v>30</v>
      </c>
      <c r="E37" s="1">
        <v>400</v>
      </c>
      <c r="F37" s="6">
        <v>44683</v>
      </c>
      <c r="G37" s="6" t="s">
        <v>176</v>
      </c>
      <c r="H37" s="5">
        <v>1652687.4109692222</v>
      </c>
    </row>
    <row r="38" spans="1:8" ht="15" customHeight="1" x14ac:dyDescent="0.25">
      <c r="A38" s="1" t="s">
        <v>289</v>
      </c>
      <c r="B38" s="1" t="s">
        <v>18</v>
      </c>
      <c r="C38" s="1" t="s">
        <v>307</v>
      </c>
      <c r="D38" s="1" t="s">
        <v>30</v>
      </c>
      <c r="E38" s="1">
        <v>400</v>
      </c>
      <c r="F38" s="6">
        <v>44683</v>
      </c>
      <c r="G38" s="6" t="s">
        <v>177</v>
      </c>
      <c r="H38" s="5">
        <v>820461.73495644587</v>
      </c>
    </row>
    <row r="39" spans="1:8" ht="15" customHeight="1" x14ac:dyDescent="0.25">
      <c r="A39" s="1" t="s">
        <v>290</v>
      </c>
      <c r="B39" s="1" t="s">
        <v>18</v>
      </c>
      <c r="C39" s="1" t="s">
        <v>307</v>
      </c>
      <c r="D39" s="1" t="s">
        <v>30</v>
      </c>
      <c r="E39" s="1">
        <v>400</v>
      </c>
      <c r="F39" s="6">
        <v>44727</v>
      </c>
      <c r="G39" s="6" t="s">
        <v>173</v>
      </c>
      <c r="H39" s="5">
        <v>2254026</v>
      </c>
    </row>
    <row r="40" spans="1:8" ht="15" customHeight="1" x14ac:dyDescent="0.25">
      <c r="A40" s="1" t="s">
        <v>290</v>
      </c>
      <c r="B40" s="1" t="s">
        <v>18</v>
      </c>
      <c r="C40" s="1" t="s">
        <v>307</v>
      </c>
      <c r="D40" s="1" t="s">
        <v>30</v>
      </c>
      <c r="E40" s="1">
        <v>400</v>
      </c>
      <c r="F40" s="6">
        <v>44727</v>
      </c>
      <c r="G40" s="6" t="s">
        <v>175</v>
      </c>
      <c r="H40" s="5">
        <v>13556.624111498706</v>
      </c>
    </row>
    <row r="41" spans="1:8" ht="15" customHeight="1" x14ac:dyDescent="0.25">
      <c r="A41" s="1" t="s">
        <v>290</v>
      </c>
      <c r="B41" s="1" t="s">
        <v>18</v>
      </c>
      <c r="C41" s="1" t="s">
        <v>307</v>
      </c>
      <c r="D41" s="1" t="s">
        <v>30</v>
      </c>
      <c r="E41" s="1">
        <v>400</v>
      </c>
      <c r="F41" s="6">
        <v>44727</v>
      </c>
      <c r="G41" s="6" t="s">
        <v>176</v>
      </c>
      <c r="H41" s="5">
        <v>1607042.102158827</v>
      </c>
    </row>
    <row r="42" spans="1:8" ht="15" customHeight="1" x14ac:dyDescent="0.25">
      <c r="A42" s="1" t="s">
        <v>290</v>
      </c>
      <c r="B42" s="1" t="s">
        <v>18</v>
      </c>
      <c r="C42" s="1" t="s">
        <v>307</v>
      </c>
      <c r="D42" s="1" t="s">
        <v>30</v>
      </c>
      <c r="E42" s="1">
        <v>400</v>
      </c>
      <c r="F42" s="6">
        <v>44727</v>
      </c>
      <c r="G42" s="6" t="s">
        <v>177</v>
      </c>
      <c r="H42" s="5">
        <v>660540.5219526717</v>
      </c>
    </row>
    <row r="43" spans="1:8" ht="15" customHeight="1" x14ac:dyDescent="0.25">
      <c r="A43" s="1" t="s">
        <v>290</v>
      </c>
      <c r="B43" s="1" t="s">
        <v>18</v>
      </c>
      <c r="C43" s="1" t="s">
        <v>307</v>
      </c>
      <c r="D43" s="1" t="s">
        <v>30</v>
      </c>
      <c r="E43" s="1">
        <v>400</v>
      </c>
      <c r="F43" s="6">
        <v>44727</v>
      </c>
      <c r="G43" s="6" t="s">
        <v>178</v>
      </c>
      <c r="H43" s="5">
        <v>2027.06</v>
      </c>
    </row>
    <row r="44" spans="1:8" ht="15" customHeight="1" x14ac:dyDescent="0.25">
      <c r="A44" s="1" t="s">
        <v>292</v>
      </c>
      <c r="B44" s="1" t="s">
        <v>18</v>
      </c>
      <c r="C44" s="1" t="s">
        <v>309</v>
      </c>
      <c r="D44" s="1" t="s">
        <v>30</v>
      </c>
      <c r="E44" s="1">
        <v>550</v>
      </c>
      <c r="F44" s="6">
        <v>44600</v>
      </c>
      <c r="G44" s="6" t="s">
        <v>173</v>
      </c>
      <c r="H44" s="5">
        <v>3226593.01</v>
      </c>
    </row>
    <row r="45" spans="1:8" ht="15" customHeight="1" x14ac:dyDescent="0.25">
      <c r="A45" s="1" t="s">
        <v>292</v>
      </c>
      <c r="B45" s="1" t="s">
        <v>18</v>
      </c>
      <c r="C45" s="1" t="s">
        <v>309</v>
      </c>
      <c r="D45" s="1" t="s">
        <v>30</v>
      </c>
      <c r="E45" s="1">
        <v>550</v>
      </c>
      <c r="F45" s="6">
        <v>44600</v>
      </c>
      <c r="G45" s="6" t="s">
        <v>175</v>
      </c>
      <c r="H45" s="5">
        <v>-686179.01897069765</v>
      </c>
    </row>
    <row r="46" spans="1:8" ht="15" customHeight="1" x14ac:dyDescent="0.25">
      <c r="A46" s="1" t="s">
        <v>292</v>
      </c>
      <c r="B46" s="1" t="s">
        <v>18</v>
      </c>
      <c r="C46" s="1" t="s">
        <v>309</v>
      </c>
      <c r="D46" s="1" t="s">
        <v>30</v>
      </c>
      <c r="E46" s="1">
        <v>550</v>
      </c>
      <c r="F46" s="6">
        <v>44600</v>
      </c>
      <c r="G46" s="6" t="s">
        <v>176</v>
      </c>
      <c r="H46" s="5">
        <v>1622813.3721959998</v>
      </c>
    </row>
    <row r="47" spans="1:8" ht="15" customHeight="1" x14ac:dyDescent="0.25">
      <c r="A47" s="1" t="s">
        <v>292</v>
      </c>
      <c r="B47" s="1" t="s">
        <v>18</v>
      </c>
      <c r="C47" s="1" t="s">
        <v>309</v>
      </c>
      <c r="D47" s="1" t="s">
        <v>30</v>
      </c>
      <c r="E47" s="1">
        <v>550</v>
      </c>
      <c r="F47" s="6">
        <v>44600</v>
      </c>
      <c r="G47" s="6" t="s">
        <v>177</v>
      </c>
      <c r="H47" s="5">
        <v>917600.61883330229</v>
      </c>
    </row>
    <row r="48" spans="1:8" ht="15" customHeight="1" x14ac:dyDescent="0.25">
      <c r="A48" s="1" t="s">
        <v>292</v>
      </c>
      <c r="B48" s="1" t="s">
        <v>18</v>
      </c>
      <c r="C48" s="1" t="s">
        <v>309</v>
      </c>
      <c r="D48" s="1" t="s">
        <v>30</v>
      </c>
      <c r="E48" s="1">
        <v>550</v>
      </c>
      <c r="F48" s="6">
        <v>44600</v>
      </c>
      <c r="G48" s="6" t="s">
        <v>178</v>
      </c>
      <c r="H48" s="5">
        <v>5316.84</v>
      </c>
    </row>
    <row r="49" spans="1:8" ht="15" customHeight="1" x14ac:dyDescent="0.25">
      <c r="A49" s="1" t="s">
        <v>294</v>
      </c>
      <c r="B49" s="1" t="s">
        <v>18</v>
      </c>
      <c r="C49" s="1" t="s">
        <v>309</v>
      </c>
      <c r="D49" s="1" t="s">
        <v>30</v>
      </c>
      <c r="E49" s="1">
        <v>550</v>
      </c>
      <c r="F49" s="6">
        <v>44642</v>
      </c>
      <c r="G49" s="6" t="s">
        <v>173</v>
      </c>
      <c r="H49" s="5">
        <v>2508579</v>
      </c>
    </row>
    <row r="50" spans="1:8" ht="15" customHeight="1" x14ac:dyDescent="0.25">
      <c r="A50" s="1" t="s">
        <v>294</v>
      </c>
      <c r="B50" s="1" t="s">
        <v>18</v>
      </c>
      <c r="C50" s="1" t="s">
        <v>309</v>
      </c>
      <c r="D50" s="1" t="s">
        <v>30</v>
      </c>
      <c r="E50" s="1">
        <v>550</v>
      </c>
      <c r="F50" s="6">
        <v>44642</v>
      </c>
      <c r="G50" s="6" t="s">
        <v>175</v>
      </c>
      <c r="H50" s="5">
        <v>-252103.12993669091</v>
      </c>
    </row>
    <row r="51" spans="1:8" ht="15" customHeight="1" x14ac:dyDescent="0.25">
      <c r="A51" s="1" t="s">
        <v>294</v>
      </c>
      <c r="B51" s="1" t="s">
        <v>18</v>
      </c>
      <c r="C51" s="1" t="s">
        <v>309</v>
      </c>
      <c r="D51" s="1" t="s">
        <v>30</v>
      </c>
      <c r="E51" s="1">
        <v>550</v>
      </c>
      <c r="F51" s="6">
        <v>44642</v>
      </c>
      <c r="G51" s="6" t="s">
        <v>176</v>
      </c>
      <c r="H51" s="5">
        <v>1090648.2784494774</v>
      </c>
    </row>
    <row r="52" spans="1:8" ht="15" customHeight="1" x14ac:dyDescent="0.25">
      <c r="A52" s="1" t="s">
        <v>294</v>
      </c>
      <c r="B52" s="1" t="s">
        <v>18</v>
      </c>
      <c r="C52" s="1" t="s">
        <v>309</v>
      </c>
      <c r="D52" s="1" t="s">
        <v>30</v>
      </c>
      <c r="E52" s="1">
        <v>550</v>
      </c>
      <c r="F52" s="6">
        <v>44642</v>
      </c>
      <c r="G52" s="6" t="s">
        <v>177</v>
      </c>
      <c r="H52" s="5">
        <v>1165827.5916138317</v>
      </c>
    </row>
    <row r="53" spans="1:8" ht="15" customHeight="1" x14ac:dyDescent="0.25">
      <c r="A53" s="1" t="s">
        <v>294</v>
      </c>
      <c r="B53" s="1" t="s">
        <v>18</v>
      </c>
      <c r="C53" s="1" t="s">
        <v>309</v>
      </c>
      <c r="D53" s="1" t="s">
        <v>30</v>
      </c>
      <c r="E53" s="1">
        <v>550</v>
      </c>
      <c r="F53" s="6">
        <v>44642</v>
      </c>
      <c r="G53" s="6" t="s">
        <v>178</v>
      </c>
      <c r="H53" s="5">
        <v>40925.059000000001</v>
      </c>
    </row>
    <row r="54" spans="1:8" ht="15" customHeight="1" x14ac:dyDescent="0.25">
      <c r="A54" s="1" t="s">
        <v>295</v>
      </c>
      <c r="B54" s="1" t="s">
        <v>18</v>
      </c>
      <c r="C54" s="1" t="s">
        <v>309</v>
      </c>
      <c r="D54" s="1" t="s">
        <v>30</v>
      </c>
      <c r="E54" s="1">
        <v>550</v>
      </c>
      <c r="F54" s="6">
        <v>44720</v>
      </c>
      <c r="G54" s="6" t="s">
        <v>173</v>
      </c>
      <c r="H54" s="5">
        <v>2362404</v>
      </c>
    </row>
    <row r="55" spans="1:8" ht="15" customHeight="1" x14ac:dyDescent="0.25">
      <c r="A55" s="1" t="s">
        <v>295</v>
      </c>
      <c r="B55" s="1" t="s">
        <v>18</v>
      </c>
      <c r="C55" s="1" t="s">
        <v>309</v>
      </c>
      <c r="D55" s="1" t="s">
        <v>30</v>
      </c>
      <c r="E55" s="1">
        <v>550</v>
      </c>
      <c r="F55" s="6">
        <v>44720</v>
      </c>
      <c r="G55" s="6" t="s">
        <v>175</v>
      </c>
      <c r="H55" s="5">
        <v>-288052.44003484305</v>
      </c>
    </row>
    <row r="56" spans="1:8" ht="15" customHeight="1" x14ac:dyDescent="0.25">
      <c r="A56" s="1" t="s">
        <v>295</v>
      </c>
      <c r="B56" s="1" t="s">
        <v>18</v>
      </c>
      <c r="C56" s="1" t="s">
        <v>309</v>
      </c>
      <c r="D56" s="1" t="s">
        <v>30</v>
      </c>
      <c r="E56" s="1">
        <v>550</v>
      </c>
      <c r="F56" s="6">
        <v>44720</v>
      </c>
      <c r="G56" s="6" t="s">
        <v>176</v>
      </c>
      <c r="H56" s="5">
        <v>848047.64753048774</v>
      </c>
    </row>
    <row r="57" spans="1:8" ht="15" customHeight="1" x14ac:dyDescent="0.25">
      <c r="A57" s="1" t="s">
        <v>295</v>
      </c>
      <c r="B57" s="1" t="s">
        <v>18</v>
      </c>
      <c r="C57" s="1" t="s">
        <v>309</v>
      </c>
      <c r="D57" s="1" t="s">
        <v>30</v>
      </c>
      <c r="E57" s="1">
        <v>550</v>
      </c>
      <c r="F57" s="6">
        <v>44720</v>
      </c>
      <c r="G57" s="6" t="s">
        <v>177</v>
      </c>
      <c r="H57" s="5">
        <v>1226303.9124346692</v>
      </c>
    </row>
    <row r="58" spans="1:8" ht="15" customHeight="1" x14ac:dyDescent="0.25">
      <c r="A58" s="1" t="s">
        <v>295</v>
      </c>
      <c r="B58" s="1" t="s">
        <v>18</v>
      </c>
      <c r="C58" s="1" t="s">
        <v>309</v>
      </c>
      <c r="D58" s="1" t="s">
        <v>30</v>
      </c>
      <c r="E58" s="1">
        <v>550</v>
      </c>
      <c r="F58" s="6">
        <v>44720</v>
      </c>
      <c r="G58" s="6" t="s">
        <v>178</v>
      </c>
      <c r="H58" s="5">
        <v>27887.13</v>
      </c>
    </row>
    <row r="59" spans="1:8" ht="15" customHeight="1" x14ac:dyDescent="0.25">
      <c r="A59" s="1" t="s">
        <v>296</v>
      </c>
      <c r="B59" s="1" t="s">
        <v>18</v>
      </c>
      <c r="C59" s="1" t="s">
        <v>309</v>
      </c>
      <c r="D59" s="1" t="s">
        <v>30</v>
      </c>
      <c r="E59" s="1">
        <v>550</v>
      </c>
      <c r="F59" s="6">
        <v>44764</v>
      </c>
      <c r="G59" s="6" t="s">
        <v>173</v>
      </c>
      <c r="H59" s="5">
        <v>2433487</v>
      </c>
    </row>
    <row r="60" spans="1:8" ht="15" customHeight="1" x14ac:dyDescent="0.25">
      <c r="A60" s="1" t="s">
        <v>296</v>
      </c>
      <c r="B60" s="1" t="s">
        <v>18</v>
      </c>
      <c r="C60" s="1" t="s">
        <v>309</v>
      </c>
      <c r="D60" s="1" t="s">
        <v>30</v>
      </c>
      <c r="E60" s="1">
        <v>550</v>
      </c>
      <c r="F60" s="6">
        <v>44764</v>
      </c>
      <c r="G60" s="6" t="s">
        <v>175</v>
      </c>
      <c r="H60" s="5">
        <v>52184.152643871028</v>
      </c>
    </row>
    <row r="61" spans="1:8" ht="15" customHeight="1" x14ac:dyDescent="0.25">
      <c r="A61" s="1" t="s">
        <v>296</v>
      </c>
      <c r="B61" s="1" t="s">
        <v>18</v>
      </c>
      <c r="C61" s="1" t="s">
        <v>309</v>
      </c>
      <c r="D61" s="1" t="s">
        <v>30</v>
      </c>
      <c r="E61" s="1">
        <v>550</v>
      </c>
      <c r="F61" s="6">
        <v>44764</v>
      </c>
      <c r="G61" s="6" t="s">
        <v>176</v>
      </c>
      <c r="H61" s="5">
        <v>1092510.741951494</v>
      </c>
    </row>
    <row r="62" spans="1:8" ht="15" customHeight="1" x14ac:dyDescent="0.25">
      <c r="A62" s="1" t="s">
        <v>296</v>
      </c>
      <c r="B62" s="1" t="s">
        <v>18</v>
      </c>
      <c r="C62" s="1" t="s">
        <v>309</v>
      </c>
      <c r="D62" s="1" t="s">
        <v>30</v>
      </c>
      <c r="E62" s="1">
        <v>550</v>
      </c>
      <c r="F62" s="6">
        <v>44764</v>
      </c>
      <c r="G62" s="6" t="s">
        <v>177</v>
      </c>
      <c r="H62" s="5">
        <v>1393160.410692377</v>
      </c>
    </row>
    <row r="63" spans="1:8" ht="15" customHeight="1" x14ac:dyDescent="0.25">
      <c r="A63" s="1" t="s">
        <v>296</v>
      </c>
      <c r="B63" s="1" t="s">
        <v>18</v>
      </c>
      <c r="C63" s="1" t="s">
        <v>309</v>
      </c>
      <c r="D63" s="1" t="s">
        <v>30</v>
      </c>
      <c r="E63" s="1">
        <v>550</v>
      </c>
      <c r="F63" s="6">
        <v>44764</v>
      </c>
      <c r="G63" s="6" t="s">
        <v>178</v>
      </c>
      <c r="H63" s="5">
        <v>13909.8</v>
      </c>
    </row>
    <row r="64" spans="1:8" ht="15" customHeight="1" x14ac:dyDescent="0.25">
      <c r="A64" s="1" t="s">
        <v>298</v>
      </c>
      <c r="B64" s="1" t="s">
        <v>21</v>
      </c>
      <c r="C64" s="1" t="s">
        <v>304</v>
      </c>
      <c r="D64" s="1" t="s">
        <v>30</v>
      </c>
      <c r="E64" s="1">
        <v>550</v>
      </c>
      <c r="F64" s="6">
        <v>44552</v>
      </c>
      <c r="G64" s="6" t="s">
        <v>173</v>
      </c>
      <c r="H64" s="5">
        <v>2623025.7528246213</v>
      </c>
    </row>
    <row r="65" spans="1:8" ht="15" customHeight="1" x14ac:dyDescent="0.25">
      <c r="A65" s="1" t="s">
        <v>298</v>
      </c>
      <c r="B65" s="1" t="s">
        <v>21</v>
      </c>
      <c r="C65" s="1" t="s">
        <v>304</v>
      </c>
      <c r="D65" s="1" t="s">
        <v>30</v>
      </c>
      <c r="E65" s="1">
        <v>550</v>
      </c>
      <c r="F65" s="6">
        <v>44552</v>
      </c>
      <c r="G65" s="6" t="s">
        <v>175</v>
      </c>
      <c r="H65" s="5">
        <v>-195232.48389864853</v>
      </c>
    </row>
    <row r="66" spans="1:8" ht="15" customHeight="1" x14ac:dyDescent="0.25">
      <c r="A66" s="1" t="s">
        <v>298</v>
      </c>
      <c r="B66" s="1" t="s">
        <v>21</v>
      </c>
      <c r="C66" s="1" t="s">
        <v>304</v>
      </c>
      <c r="D66" s="1" t="s">
        <v>30</v>
      </c>
      <c r="E66" s="1">
        <v>550</v>
      </c>
      <c r="F66" s="6">
        <v>44552</v>
      </c>
      <c r="G66" s="6" t="s">
        <v>176</v>
      </c>
      <c r="H66" s="5">
        <v>1540219.1054954408</v>
      </c>
    </row>
    <row r="67" spans="1:8" ht="15" customHeight="1" x14ac:dyDescent="0.25">
      <c r="A67" s="1" t="s">
        <v>298</v>
      </c>
      <c r="B67" s="1" t="s">
        <v>21</v>
      </c>
      <c r="C67" s="1" t="s">
        <v>304</v>
      </c>
      <c r="D67" s="1" t="s">
        <v>30</v>
      </c>
      <c r="E67" s="1">
        <v>550</v>
      </c>
      <c r="F67" s="6">
        <v>44552</v>
      </c>
      <c r="G67" s="6" t="s">
        <v>177</v>
      </c>
      <c r="H67" s="5">
        <v>887574.16343053197</v>
      </c>
    </row>
    <row r="68" spans="1:8" ht="15" customHeight="1" x14ac:dyDescent="0.25">
      <c r="A68" s="1" t="s">
        <v>298</v>
      </c>
      <c r="B68" s="1" t="s">
        <v>21</v>
      </c>
      <c r="C68" s="1" t="s">
        <v>304</v>
      </c>
      <c r="D68" s="1" t="s">
        <v>30</v>
      </c>
      <c r="E68" s="1">
        <v>550</v>
      </c>
      <c r="F68" s="6">
        <v>44552</v>
      </c>
      <c r="G68" s="6" t="s">
        <v>178</v>
      </c>
      <c r="H68" s="5">
        <v>73120.52</v>
      </c>
    </row>
    <row r="69" spans="1:8" ht="15" customHeight="1" x14ac:dyDescent="0.25">
      <c r="A69" s="1" t="s">
        <v>299</v>
      </c>
      <c r="B69" s="1" t="s">
        <v>21</v>
      </c>
      <c r="C69" s="1" t="s">
        <v>309</v>
      </c>
      <c r="D69" s="1" t="s">
        <v>30</v>
      </c>
      <c r="E69" s="1">
        <v>550</v>
      </c>
      <c r="F69" s="6">
        <v>44531</v>
      </c>
      <c r="G69" s="6" t="s">
        <v>173</v>
      </c>
      <c r="H69" s="5">
        <v>2529742</v>
      </c>
    </row>
    <row r="70" spans="1:8" ht="15" customHeight="1" x14ac:dyDescent="0.25">
      <c r="A70" s="1" t="s">
        <v>299</v>
      </c>
      <c r="B70" s="1" t="s">
        <v>21</v>
      </c>
      <c r="C70" s="1" t="s">
        <v>309</v>
      </c>
      <c r="D70" s="1" t="s">
        <v>30</v>
      </c>
      <c r="E70" s="1">
        <v>550</v>
      </c>
      <c r="F70" s="6">
        <v>44531</v>
      </c>
      <c r="G70" s="6" t="s">
        <v>175</v>
      </c>
      <c r="H70" s="5">
        <v>-452420.40286247549</v>
      </c>
    </row>
    <row r="71" spans="1:8" ht="15" customHeight="1" x14ac:dyDescent="0.25">
      <c r="A71" s="1" t="s">
        <v>299</v>
      </c>
      <c r="B71" s="1" t="s">
        <v>21</v>
      </c>
      <c r="C71" s="1" t="s">
        <v>309</v>
      </c>
      <c r="D71" s="1" t="s">
        <v>30</v>
      </c>
      <c r="E71" s="1">
        <v>550</v>
      </c>
      <c r="F71" s="6">
        <v>44531</v>
      </c>
      <c r="G71" s="6" t="s">
        <v>176</v>
      </c>
      <c r="H71" s="5">
        <v>1262404.0251826181</v>
      </c>
    </row>
    <row r="72" spans="1:8" ht="15" customHeight="1" x14ac:dyDescent="0.25">
      <c r="A72" s="1" t="s">
        <v>299</v>
      </c>
      <c r="B72" s="1" t="s">
        <v>21</v>
      </c>
      <c r="C72" s="1" t="s">
        <v>309</v>
      </c>
      <c r="D72" s="1" t="s">
        <v>30</v>
      </c>
      <c r="E72" s="1">
        <v>550</v>
      </c>
      <c r="F72" s="6">
        <v>44531</v>
      </c>
      <c r="G72" s="6" t="s">
        <v>177</v>
      </c>
      <c r="H72" s="5">
        <v>814917.57195490645</v>
      </c>
    </row>
    <row r="73" spans="1:8" ht="15" customHeight="1" x14ac:dyDescent="0.25">
      <c r="A73" s="1" t="s">
        <v>300</v>
      </c>
      <c r="B73" s="1" t="s">
        <v>18</v>
      </c>
      <c r="C73" s="1" t="s">
        <v>304</v>
      </c>
      <c r="D73" s="1" t="s">
        <v>30</v>
      </c>
      <c r="E73" s="1">
        <v>550</v>
      </c>
      <c r="F73" s="6"/>
      <c r="G73" s="6" t="s">
        <v>173</v>
      </c>
      <c r="H73" s="5">
        <v>2466748</v>
      </c>
    </row>
    <row r="74" spans="1:8" ht="15" customHeight="1" x14ac:dyDescent="0.25">
      <c r="A74" s="1" t="s">
        <v>300</v>
      </c>
      <c r="B74" s="1" t="s">
        <v>18</v>
      </c>
      <c r="C74" s="1" t="s">
        <v>304</v>
      </c>
      <c r="D74" s="1" t="s">
        <v>30</v>
      </c>
      <c r="E74" s="1">
        <v>550</v>
      </c>
      <c r="F74" s="6"/>
      <c r="G74" s="6" t="s">
        <v>175</v>
      </c>
      <c r="H74" s="5">
        <v>-481077.00244862959</v>
      </c>
    </row>
    <row r="75" spans="1:8" ht="15" customHeight="1" x14ac:dyDescent="0.25">
      <c r="A75" s="1" t="s">
        <v>300</v>
      </c>
      <c r="B75" s="1" t="s">
        <v>18</v>
      </c>
      <c r="C75" s="1" t="s">
        <v>304</v>
      </c>
      <c r="D75" s="1" t="s">
        <v>30</v>
      </c>
      <c r="E75" s="1">
        <v>550</v>
      </c>
      <c r="F75" s="6"/>
      <c r="G75" s="6" t="s">
        <v>176</v>
      </c>
      <c r="H75" s="5">
        <v>973032.71080390271</v>
      </c>
    </row>
    <row r="76" spans="1:8" ht="15" customHeight="1" x14ac:dyDescent="0.25">
      <c r="A76" s="1" t="s">
        <v>300</v>
      </c>
      <c r="B76" s="1" t="s">
        <v>18</v>
      </c>
      <c r="C76" s="1" t="s">
        <v>304</v>
      </c>
      <c r="D76" s="1" t="s">
        <v>30</v>
      </c>
      <c r="E76" s="1">
        <v>550</v>
      </c>
      <c r="F76" s="6"/>
      <c r="G76" s="6" t="s">
        <v>177</v>
      </c>
      <c r="H76" s="5">
        <v>1012638.2867474677</v>
      </c>
    </row>
    <row r="77" spans="1:8" ht="15" customHeight="1" x14ac:dyDescent="0.25">
      <c r="A77" s="1" t="s">
        <v>300</v>
      </c>
      <c r="B77" s="1" t="s">
        <v>18</v>
      </c>
      <c r="C77" s="1" t="s">
        <v>304</v>
      </c>
      <c r="D77" s="1" t="s">
        <v>30</v>
      </c>
      <c r="E77" s="1">
        <v>550</v>
      </c>
      <c r="F77" s="6"/>
      <c r="G77" s="6" t="s">
        <v>178</v>
      </c>
      <c r="H77" s="5">
        <v>67700</v>
      </c>
    </row>
    <row r="78" spans="1:8" ht="15" customHeight="1" x14ac:dyDescent="0.25">
      <c r="A78" s="1" t="s">
        <v>301</v>
      </c>
      <c r="B78" s="1" t="s">
        <v>21</v>
      </c>
      <c r="C78" s="1" t="s">
        <v>312</v>
      </c>
      <c r="D78" s="1" t="s">
        <v>30</v>
      </c>
      <c r="E78" s="1">
        <v>700</v>
      </c>
      <c r="F78" s="6">
        <v>44515</v>
      </c>
      <c r="G78" s="6" t="s">
        <v>173</v>
      </c>
      <c r="H78" s="5">
        <v>10193828</v>
      </c>
    </row>
    <row r="79" spans="1:8" ht="15" customHeight="1" x14ac:dyDescent="0.25">
      <c r="A79" s="1" t="s">
        <v>301</v>
      </c>
      <c r="B79" s="1" t="s">
        <v>21</v>
      </c>
      <c r="C79" s="1" t="s">
        <v>312</v>
      </c>
      <c r="D79" s="1" t="s">
        <v>30</v>
      </c>
      <c r="E79" s="1">
        <v>700</v>
      </c>
      <c r="F79" s="6">
        <v>44515</v>
      </c>
      <c r="G79" s="6" t="s">
        <v>175</v>
      </c>
      <c r="H79" s="5">
        <v>-3012413.8673505653</v>
      </c>
    </row>
    <row r="80" spans="1:8" ht="15" customHeight="1" x14ac:dyDescent="0.25">
      <c r="A80" s="1" t="s">
        <v>301</v>
      </c>
      <c r="B80" s="1" t="s">
        <v>21</v>
      </c>
      <c r="C80" s="1" t="s">
        <v>312</v>
      </c>
      <c r="D80" s="1" t="s">
        <v>30</v>
      </c>
      <c r="E80" s="1">
        <v>700</v>
      </c>
      <c r="F80" s="6">
        <v>44515</v>
      </c>
      <c r="G80" s="6" t="s">
        <v>176</v>
      </c>
      <c r="H80" s="5">
        <v>4059872.0076282974</v>
      </c>
    </row>
    <row r="81" spans="1:8" ht="15" customHeight="1" x14ac:dyDescent="0.25">
      <c r="A81" s="1" t="s">
        <v>301</v>
      </c>
      <c r="B81" s="1" t="s">
        <v>21</v>
      </c>
      <c r="C81" s="1" t="s">
        <v>312</v>
      </c>
      <c r="D81" s="1" t="s">
        <v>30</v>
      </c>
      <c r="E81" s="1">
        <v>700</v>
      </c>
      <c r="F81" s="6">
        <v>44515</v>
      </c>
      <c r="G81" s="6" t="s">
        <v>177</v>
      </c>
      <c r="H81" s="5">
        <v>3121542.1250211373</v>
      </c>
    </row>
    <row r="82" spans="1:8" ht="15" customHeight="1" x14ac:dyDescent="0.25">
      <c r="A82" s="1" t="s">
        <v>301</v>
      </c>
      <c r="B82" s="1" t="s">
        <v>21</v>
      </c>
      <c r="C82" s="1" t="s">
        <v>312</v>
      </c>
      <c r="D82" s="1" t="s">
        <v>30</v>
      </c>
      <c r="E82" s="1">
        <v>700</v>
      </c>
      <c r="F82" s="6">
        <v>44515</v>
      </c>
      <c r="G82" s="6" t="s">
        <v>178</v>
      </c>
      <c r="H82" s="5">
        <v>453349.53</v>
      </c>
    </row>
    <row r="83" spans="1:8" ht="15" customHeight="1" x14ac:dyDescent="0.25">
      <c r="A83" s="1" t="s">
        <v>302</v>
      </c>
      <c r="B83" s="1" t="s">
        <v>21</v>
      </c>
      <c r="C83" s="1" t="s">
        <v>308</v>
      </c>
      <c r="D83" s="1" t="s">
        <v>30</v>
      </c>
      <c r="E83" s="1">
        <v>1500</v>
      </c>
      <c r="F83" s="6">
        <v>44288</v>
      </c>
      <c r="G83" s="6" t="s">
        <v>173</v>
      </c>
      <c r="H83" s="5">
        <v>26620003</v>
      </c>
    </row>
    <row r="84" spans="1:8" ht="15" customHeight="1" x14ac:dyDescent="0.25">
      <c r="A84" s="1" t="s">
        <v>302</v>
      </c>
      <c r="B84" s="1" t="s">
        <v>21</v>
      </c>
      <c r="C84" s="1" t="s">
        <v>308</v>
      </c>
      <c r="D84" s="1" t="s">
        <v>30</v>
      </c>
      <c r="E84" s="1">
        <v>1500</v>
      </c>
      <c r="F84" s="6">
        <v>44288</v>
      </c>
      <c r="G84" s="6" t="s">
        <v>175</v>
      </c>
      <c r="H84" s="5">
        <v>27266011.204052478</v>
      </c>
    </row>
    <row r="85" spans="1:8" ht="15" customHeight="1" x14ac:dyDescent="0.25">
      <c r="A85" s="1" t="s">
        <v>302</v>
      </c>
      <c r="B85" s="1" t="s">
        <v>21</v>
      </c>
      <c r="C85" s="1" t="s">
        <v>308</v>
      </c>
      <c r="D85" s="1" t="s">
        <v>30</v>
      </c>
      <c r="E85" s="1">
        <v>1500</v>
      </c>
      <c r="F85" s="6">
        <v>44288</v>
      </c>
      <c r="G85" s="6" t="s">
        <v>176</v>
      </c>
      <c r="H85" s="5">
        <v>47485213.662025839</v>
      </c>
    </row>
    <row r="86" spans="1:8" ht="15" customHeight="1" x14ac:dyDescent="0.25">
      <c r="A86" s="1" t="s">
        <v>302</v>
      </c>
      <c r="B86" s="1" t="s">
        <v>21</v>
      </c>
      <c r="C86" s="1" t="s">
        <v>308</v>
      </c>
      <c r="D86" s="1" t="s">
        <v>30</v>
      </c>
      <c r="E86" s="1">
        <v>1500</v>
      </c>
      <c r="F86" s="6">
        <v>44288</v>
      </c>
      <c r="G86" s="6" t="s">
        <v>177</v>
      </c>
      <c r="H86" s="5">
        <v>6400800.542026639</v>
      </c>
    </row>
    <row r="87" spans="1:8" ht="15" customHeight="1" x14ac:dyDescent="0.25">
      <c r="A87" s="1" t="s">
        <v>302</v>
      </c>
      <c r="B87" s="1" t="s">
        <v>21</v>
      </c>
      <c r="C87" s="1" t="s">
        <v>308</v>
      </c>
      <c r="D87" s="1" t="s">
        <v>30</v>
      </c>
      <c r="E87" s="1">
        <v>1500</v>
      </c>
      <c r="F87" s="6">
        <v>44288</v>
      </c>
      <c r="G87" s="6" t="s">
        <v>178</v>
      </c>
      <c r="H87" s="5">
        <v>16637047.689999999</v>
      </c>
    </row>
    <row r="88" spans="1:8" ht="15" customHeight="1" x14ac:dyDescent="0.25">
      <c r="A88" s="1" t="s">
        <v>303</v>
      </c>
      <c r="B88" s="1" t="s">
        <v>17</v>
      </c>
      <c r="C88" s="1" t="s">
        <v>305</v>
      </c>
      <c r="D88" s="1" t="s">
        <v>30</v>
      </c>
      <c r="E88" s="1">
        <v>1500</v>
      </c>
      <c r="F88" s="6">
        <v>44594</v>
      </c>
      <c r="G88" s="6" t="s">
        <v>173</v>
      </c>
      <c r="H88" s="5">
        <v>11423390.2687712</v>
      </c>
    </row>
    <row r="89" spans="1:8" ht="15" customHeight="1" x14ac:dyDescent="0.25">
      <c r="A89" s="1" t="s">
        <v>303</v>
      </c>
      <c r="B89" s="1" t="s">
        <v>17</v>
      </c>
      <c r="C89" s="1" t="s">
        <v>305</v>
      </c>
      <c r="D89" s="1" t="s">
        <v>30</v>
      </c>
      <c r="E89" s="1">
        <v>1500</v>
      </c>
      <c r="F89" s="6">
        <v>44594</v>
      </c>
      <c r="G89" s="6" t="s">
        <v>175</v>
      </c>
      <c r="H89" s="5">
        <v>10346686.641228801</v>
      </c>
    </row>
    <row r="90" spans="1:8" ht="15" customHeight="1" x14ac:dyDescent="0.25">
      <c r="A90" s="1" t="s">
        <v>303</v>
      </c>
      <c r="B90" s="1" t="s">
        <v>17</v>
      </c>
      <c r="C90" s="1" t="s">
        <v>305</v>
      </c>
      <c r="D90" s="1" t="s">
        <v>30</v>
      </c>
      <c r="E90" s="1">
        <v>1500</v>
      </c>
      <c r="F90" s="6">
        <v>44594</v>
      </c>
      <c r="G90" s="6" t="s">
        <v>176</v>
      </c>
      <c r="H90" s="5">
        <v>8477924.5155498628</v>
      </c>
    </row>
    <row r="91" spans="1:8" ht="15" customHeight="1" x14ac:dyDescent="0.25">
      <c r="A91" s="1" t="s">
        <v>303</v>
      </c>
      <c r="B91" s="1" t="s">
        <v>17</v>
      </c>
      <c r="C91" s="1" t="s">
        <v>305</v>
      </c>
      <c r="D91" s="1" t="s">
        <v>30</v>
      </c>
      <c r="E91" s="1">
        <v>1500</v>
      </c>
      <c r="F91" s="6">
        <v>44594</v>
      </c>
      <c r="G91" s="6" t="s">
        <v>177</v>
      </c>
      <c r="H91" s="5">
        <v>13292152.394450137</v>
      </c>
    </row>
    <row r="92" spans="1:8" ht="15" customHeight="1" x14ac:dyDescent="0.25">
      <c r="A92" s="1" t="s">
        <v>303</v>
      </c>
      <c r="B92" s="1" t="s">
        <v>17</v>
      </c>
      <c r="C92" s="1" t="s">
        <v>305</v>
      </c>
      <c r="D92" s="1" t="s">
        <v>30</v>
      </c>
      <c r="E92" s="1">
        <v>1500</v>
      </c>
      <c r="F92" s="6">
        <v>44594</v>
      </c>
      <c r="G92" s="6" t="s">
        <v>178</v>
      </c>
      <c r="H92" s="5">
        <v>5119327.5199999996</v>
      </c>
    </row>
    <row r="93" spans="1:8" ht="15" customHeight="1" x14ac:dyDescent="0.25">
      <c r="A93" s="1" t="s">
        <v>287</v>
      </c>
      <c r="B93" s="1" t="s">
        <v>18</v>
      </c>
      <c r="C93" s="1" t="s">
        <v>306</v>
      </c>
      <c r="D93" s="1" t="s">
        <v>30</v>
      </c>
      <c r="E93" s="1">
        <v>550</v>
      </c>
      <c r="F93" s="6">
        <v>44867</v>
      </c>
      <c r="G93" s="6" t="s">
        <v>173</v>
      </c>
      <c r="H93" s="5">
        <v>2505645</v>
      </c>
    </row>
    <row r="94" spans="1:8" ht="15" customHeight="1" x14ac:dyDescent="0.25">
      <c r="A94" s="1" t="s">
        <v>287</v>
      </c>
      <c r="B94" s="1" t="s">
        <v>18</v>
      </c>
      <c r="C94" s="1" t="s">
        <v>306</v>
      </c>
      <c r="D94" s="1" t="s">
        <v>30</v>
      </c>
      <c r="E94" s="1">
        <v>550</v>
      </c>
      <c r="F94" s="6">
        <v>44867</v>
      </c>
      <c r="G94" s="6" t="s">
        <v>175</v>
      </c>
      <c r="H94" s="5">
        <v>-388052.95948875276</v>
      </c>
    </row>
    <row r="95" spans="1:8" ht="15" customHeight="1" x14ac:dyDescent="0.25">
      <c r="A95" s="1" t="s">
        <v>287</v>
      </c>
      <c r="B95" s="1" t="s">
        <v>18</v>
      </c>
      <c r="C95" s="1" t="s">
        <v>306</v>
      </c>
      <c r="D95" s="1" t="s">
        <v>30</v>
      </c>
      <c r="E95" s="1">
        <v>550</v>
      </c>
      <c r="F95" s="6">
        <v>44867</v>
      </c>
      <c r="G95" s="6" t="s">
        <v>176</v>
      </c>
      <c r="H95" s="5">
        <v>1568197.6731391596</v>
      </c>
    </row>
    <row r="96" spans="1:8" ht="15" customHeight="1" x14ac:dyDescent="0.25">
      <c r="A96" s="1" t="s">
        <v>287</v>
      </c>
      <c r="B96" s="1" t="s">
        <v>18</v>
      </c>
      <c r="C96" s="1" t="s">
        <v>306</v>
      </c>
      <c r="D96" s="1" t="s">
        <v>30</v>
      </c>
      <c r="E96" s="1">
        <v>550</v>
      </c>
      <c r="F96" s="6">
        <v>44867</v>
      </c>
      <c r="G96" s="6" t="s">
        <v>177</v>
      </c>
      <c r="H96" s="5">
        <v>1325500.2863495932</v>
      </c>
    </row>
    <row r="97" spans="1:8" ht="15" customHeight="1" x14ac:dyDescent="0.25">
      <c r="A97" s="1" t="s">
        <v>287</v>
      </c>
      <c r="B97" s="1" t="s">
        <v>18</v>
      </c>
      <c r="C97" s="1" t="s">
        <v>306</v>
      </c>
      <c r="D97" s="1" t="s">
        <v>30</v>
      </c>
      <c r="E97" s="1">
        <v>550</v>
      </c>
      <c r="F97" s="6">
        <v>44867</v>
      </c>
      <c r="G97" s="6" t="s">
        <v>178</v>
      </c>
      <c r="H97" s="5">
        <v>630823.77</v>
      </c>
    </row>
  </sheetData>
  <phoneticPr fontId="1" type="noConversion"/>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DD9A-48A4-4A48-AECA-EE764F3F510F}">
  <dimension ref="A1:O81"/>
  <sheetViews>
    <sheetView zoomScale="85" zoomScaleNormal="85" workbookViewId="0">
      <pane xSplit="1" topLeftCell="B1" activePane="topRight" state="frozen"/>
      <selection pane="topRight" activeCell="A6" sqref="A6"/>
    </sheetView>
  </sheetViews>
  <sheetFormatPr defaultColWidth="10.7109375" defaultRowHeight="15" customHeight="1" x14ac:dyDescent="0.25"/>
  <cols>
    <col min="1" max="1" width="17.28515625" style="1" bestFit="1" customWidth="1"/>
    <col min="2" max="2" width="18.5703125" style="1" bestFit="1" customWidth="1"/>
    <col min="3" max="3" width="19.85546875" style="1" bestFit="1" customWidth="1"/>
    <col min="4" max="4" width="20.28515625" style="1" bestFit="1" customWidth="1"/>
    <col min="5" max="5" width="16.28515625" style="1" bestFit="1" customWidth="1"/>
    <col min="6" max="6" width="16.28515625" style="1" customWidth="1"/>
    <col min="7" max="7" width="21.5703125" style="1" bestFit="1" customWidth="1"/>
    <col min="8" max="8" width="13.28515625" style="1" bestFit="1" customWidth="1"/>
    <col min="9" max="9" width="11.85546875" style="1" bestFit="1" customWidth="1"/>
    <col min="10" max="12" width="15.7109375" style="1" customWidth="1"/>
    <col min="13" max="13" width="20.7109375" style="5" customWidth="1"/>
    <col min="14" max="16384" width="10.7109375" style="1"/>
  </cols>
  <sheetData>
    <row r="1" spans="1:15" s="11" customFormat="1" x14ac:dyDescent="0.25">
      <c r="A1" s="11" t="s">
        <v>20</v>
      </c>
      <c r="B1" s="11" t="s">
        <v>7</v>
      </c>
      <c r="C1" s="11" t="s">
        <v>8</v>
      </c>
      <c r="D1" s="11" t="s">
        <v>13</v>
      </c>
      <c r="E1" s="11" t="s">
        <v>9</v>
      </c>
      <c r="F1" s="11" t="s">
        <v>160</v>
      </c>
      <c r="G1" s="11" t="s">
        <v>10</v>
      </c>
      <c r="H1" s="11" t="s">
        <v>11</v>
      </c>
      <c r="I1" s="11" t="s">
        <v>12</v>
      </c>
      <c r="J1" s="11" t="s">
        <v>14</v>
      </c>
      <c r="K1" s="11" t="s">
        <v>125</v>
      </c>
      <c r="L1" s="11" t="s">
        <v>180</v>
      </c>
      <c r="M1" s="14" t="s">
        <v>174</v>
      </c>
    </row>
    <row r="2" spans="1:15" ht="15" customHeight="1" x14ac:dyDescent="0.25">
      <c r="A2" s="1" t="s">
        <v>275</v>
      </c>
      <c r="B2" s="1" t="s">
        <v>17</v>
      </c>
      <c r="C2" s="1" t="s">
        <v>158</v>
      </c>
      <c r="D2" s="1" t="s">
        <v>28</v>
      </c>
      <c r="E2" s="1" t="s">
        <v>119</v>
      </c>
      <c r="F2" s="1" t="s">
        <v>159</v>
      </c>
      <c r="G2" s="1" t="s">
        <v>304</v>
      </c>
      <c r="H2" s="1" t="s">
        <v>30</v>
      </c>
      <c r="I2" s="1">
        <v>550</v>
      </c>
      <c r="J2" s="6">
        <v>44607</v>
      </c>
      <c r="K2" s="6" t="s">
        <v>179</v>
      </c>
      <c r="L2" s="6" t="s">
        <v>176</v>
      </c>
      <c r="M2" s="1">
        <v>9.4166666666666679</v>
      </c>
    </row>
    <row r="3" spans="1:15" ht="15" customHeight="1" x14ac:dyDescent="0.25">
      <c r="A3" s="1" t="s">
        <v>275</v>
      </c>
      <c r="B3" s="1" t="s">
        <v>17</v>
      </c>
      <c r="C3" s="1" t="s">
        <v>158</v>
      </c>
      <c r="D3" s="1" t="s">
        <v>28</v>
      </c>
      <c r="E3" s="1" t="s">
        <v>119</v>
      </c>
      <c r="F3" s="1" t="s">
        <v>159</v>
      </c>
      <c r="G3" s="1" t="s">
        <v>304</v>
      </c>
      <c r="H3" s="1" t="s">
        <v>30</v>
      </c>
      <c r="I3" s="1">
        <v>550</v>
      </c>
      <c r="J3" s="6">
        <v>44607</v>
      </c>
      <c r="K3" s="6" t="s">
        <v>179</v>
      </c>
      <c r="L3" s="6" t="s">
        <v>177</v>
      </c>
      <c r="M3" s="1">
        <v>10.812500000000007</v>
      </c>
    </row>
    <row r="4" spans="1:15" ht="15" customHeight="1" x14ac:dyDescent="0.25">
      <c r="A4" s="1" t="s">
        <v>275</v>
      </c>
      <c r="B4" s="1" t="s">
        <v>17</v>
      </c>
      <c r="C4" s="1" t="s">
        <v>158</v>
      </c>
      <c r="D4" s="1" t="s">
        <v>28</v>
      </c>
      <c r="E4" s="1" t="s">
        <v>119</v>
      </c>
      <c r="F4" s="1" t="s">
        <v>159</v>
      </c>
      <c r="G4" s="1" t="s">
        <v>304</v>
      </c>
      <c r="H4" s="1" t="s">
        <v>30</v>
      </c>
      <c r="I4" s="1">
        <v>550</v>
      </c>
      <c r="J4" s="6">
        <v>44607</v>
      </c>
      <c r="K4" s="6" t="s">
        <v>181</v>
      </c>
      <c r="L4" s="6" t="s">
        <v>176</v>
      </c>
      <c r="M4" s="1">
        <v>11</v>
      </c>
    </row>
    <row r="5" spans="1:15" ht="15" customHeight="1" x14ac:dyDescent="0.25">
      <c r="A5" s="1" t="s">
        <v>275</v>
      </c>
      <c r="B5" s="1" t="s">
        <v>17</v>
      </c>
      <c r="C5" s="1" t="s">
        <v>158</v>
      </c>
      <c r="D5" s="1" t="s">
        <v>28</v>
      </c>
      <c r="E5" s="1" t="s">
        <v>119</v>
      </c>
      <c r="F5" s="1" t="s">
        <v>159</v>
      </c>
      <c r="G5" s="1" t="s">
        <v>304</v>
      </c>
      <c r="H5" s="1" t="s">
        <v>30</v>
      </c>
      <c r="I5" s="1">
        <v>550</v>
      </c>
      <c r="J5" s="6">
        <v>44607</v>
      </c>
      <c r="K5" s="6" t="s">
        <v>181</v>
      </c>
      <c r="L5" s="6" t="s">
        <v>177</v>
      </c>
      <c r="M5" s="1">
        <v>15.166666666664241</v>
      </c>
    </row>
    <row r="6" spans="1:15" ht="15" customHeight="1" x14ac:dyDescent="0.25">
      <c r="A6" s="1" t="s">
        <v>277</v>
      </c>
      <c r="B6" s="1" t="s">
        <v>18</v>
      </c>
      <c r="C6" s="1" t="s">
        <v>158</v>
      </c>
      <c r="D6" s="1" t="s">
        <v>28</v>
      </c>
      <c r="E6" s="1" t="s">
        <v>119</v>
      </c>
      <c r="F6" s="1" t="s">
        <v>159</v>
      </c>
      <c r="G6" s="1" t="s">
        <v>304</v>
      </c>
      <c r="H6" s="1" t="s">
        <v>30</v>
      </c>
      <c r="I6" s="1">
        <v>550</v>
      </c>
      <c r="J6" s="6">
        <v>44757</v>
      </c>
      <c r="K6" s="6" t="s">
        <v>179</v>
      </c>
      <c r="L6" s="6" t="s">
        <v>176</v>
      </c>
      <c r="M6" s="1">
        <v>8.3000000000000007</v>
      </c>
    </row>
    <row r="7" spans="1:15" ht="15" customHeight="1" x14ac:dyDescent="0.25">
      <c r="A7" s="1" t="s">
        <v>277</v>
      </c>
      <c r="B7" s="1" t="s">
        <v>18</v>
      </c>
      <c r="C7" s="1" t="s">
        <v>158</v>
      </c>
      <c r="D7" s="1" t="s">
        <v>28</v>
      </c>
      <c r="E7" s="1" t="s">
        <v>119</v>
      </c>
      <c r="F7" s="1" t="s">
        <v>159</v>
      </c>
      <c r="G7" s="1" t="s">
        <v>304</v>
      </c>
      <c r="H7" s="1" t="s">
        <v>30</v>
      </c>
      <c r="I7" s="1">
        <v>550</v>
      </c>
      <c r="J7" s="6">
        <v>44757</v>
      </c>
      <c r="K7" s="6" t="s">
        <v>179</v>
      </c>
      <c r="L7" s="6" t="s">
        <v>177</v>
      </c>
      <c r="M7" s="1">
        <v>11.4</v>
      </c>
    </row>
    <row r="8" spans="1:15" ht="15" customHeight="1" x14ac:dyDescent="0.25">
      <c r="A8" s="1" t="s">
        <v>277</v>
      </c>
      <c r="B8" s="1" t="s">
        <v>18</v>
      </c>
      <c r="C8" s="1" t="s">
        <v>158</v>
      </c>
      <c r="D8" s="1" t="s">
        <v>28</v>
      </c>
      <c r="E8" s="1" t="s">
        <v>119</v>
      </c>
      <c r="F8" s="1" t="s">
        <v>159</v>
      </c>
      <c r="G8" s="1" t="s">
        <v>304</v>
      </c>
      <c r="H8" s="1" t="s">
        <v>30</v>
      </c>
      <c r="I8" s="1">
        <v>550</v>
      </c>
      <c r="J8" s="6">
        <v>44757</v>
      </c>
      <c r="K8" s="6" t="s">
        <v>181</v>
      </c>
      <c r="L8" s="6" t="s">
        <v>176</v>
      </c>
      <c r="M8" s="1">
        <v>9.1041666666642413</v>
      </c>
    </row>
    <row r="9" spans="1:15" ht="15" customHeight="1" x14ac:dyDescent="0.25">
      <c r="A9" s="1" t="s">
        <v>277</v>
      </c>
      <c r="B9" s="1" t="s">
        <v>18</v>
      </c>
      <c r="C9" s="1" t="s">
        <v>158</v>
      </c>
      <c r="D9" s="1" t="s">
        <v>28</v>
      </c>
      <c r="E9" s="1" t="s">
        <v>119</v>
      </c>
      <c r="F9" s="1" t="s">
        <v>159</v>
      </c>
      <c r="G9" s="1" t="s">
        <v>304</v>
      </c>
      <c r="H9" s="1" t="s">
        <v>30</v>
      </c>
      <c r="I9" s="1">
        <v>550</v>
      </c>
      <c r="J9" s="6">
        <v>44757</v>
      </c>
      <c r="K9" s="6" t="s">
        <v>181</v>
      </c>
      <c r="L9" s="6" t="s">
        <v>177</v>
      </c>
      <c r="M9" s="1">
        <v>10.3125</v>
      </c>
    </row>
    <row r="10" spans="1:15" ht="15" customHeight="1" x14ac:dyDescent="0.25">
      <c r="A10" s="1" t="s">
        <v>279</v>
      </c>
      <c r="B10" s="1" t="s">
        <v>18</v>
      </c>
      <c r="C10" s="1" t="s">
        <v>158</v>
      </c>
      <c r="D10" s="1" t="s">
        <v>28</v>
      </c>
      <c r="E10" s="1" t="s">
        <v>118</v>
      </c>
      <c r="F10" s="1" t="s">
        <v>159</v>
      </c>
      <c r="G10" s="1" t="s">
        <v>306</v>
      </c>
      <c r="H10" s="1" t="s">
        <v>30</v>
      </c>
      <c r="I10" s="1">
        <v>550</v>
      </c>
      <c r="J10" s="6">
        <v>44653</v>
      </c>
      <c r="K10" s="6" t="s">
        <v>179</v>
      </c>
      <c r="L10" s="6" t="s">
        <v>176</v>
      </c>
      <c r="M10" s="1">
        <v>11.23</v>
      </c>
    </row>
    <row r="11" spans="1:15" ht="15" customHeight="1" x14ac:dyDescent="0.25">
      <c r="A11" s="1" t="s">
        <v>279</v>
      </c>
      <c r="B11" s="1" t="s">
        <v>18</v>
      </c>
      <c r="C11" s="1" t="s">
        <v>158</v>
      </c>
      <c r="D11" s="1" t="s">
        <v>28</v>
      </c>
      <c r="E11" s="1" t="s">
        <v>118</v>
      </c>
      <c r="F11" s="1" t="s">
        <v>159</v>
      </c>
      <c r="G11" s="1" t="s">
        <v>306</v>
      </c>
      <c r="H11" s="1" t="s">
        <v>30</v>
      </c>
      <c r="I11" s="1">
        <v>550</v>
      </c>
      <c r="J11" s="6">
        <v>44653</v>
      </c>
      <c r="K11" s="6" t="s">
        <v>179</v>
      </c>
      <c r="L11" s="6" t="s">
        <v>177</v>
      </c>
      <c r="M11" s="1">
        <v>9.92</v>
      </c>
      <c r="O11" s="26"/>
    </row>
    <row r="12" spans="1:15" ht="15" customHeight="1" x14ac:dyDescent="0.25">
      <c r="A12" s="1" t="s">
        <v>279</v>
      </c>
      <c r="B12" s="1" t="s">
        <v>18</v>
      </c>
      <c r="C12" s="1" t="s">
        <v>158</v>
      </c>
      <c r="D12" s="1" t="s">
        <v>28</v>
      </c>
      <c r="E12" s="1" t="s">
        <v>118</v>
      </c>
      <c r="F12" s="1" t="s">
        <v>159</v>
      </c>
      <c r="G12" s="1" t="s">
        <v>306</v>
      </c>
      <c r="H12" s="1" t="s">
        <v>30</v>
      </c>
      <c r="I12" s="1">
        <v>550</v>
      </c>
      <c r="J12" s="6">
        <v>44653</v>
      </c>
      <c r="K12" s="6" t="s">
        <v>181</v>
      </c>
      <c r="L12" s="6" t="s">
        <v>176</v>
      </c>
      <c r="M12" s="1">
        <v>21.791666666664241</v>
      </c>
      <c r="O12" s="26"/>
    </row>
    <row r="13" spans="1:15" ht="15" customHeight="1" x14ac:dyDescent="0.25">
      <c r="A13" s="1" t="s">
        <v>279</v>
      </c>
      <c r="B13" s="1" t="s">
        <v>18</v>
      </c>
      <c r="C13" s="1" t="s">
        <v>158</v>
      </c>
      <c r="D13" s="1" t="s">
        <v>28</v>
      </c>
      <c r="E13" s="1" t="s">
        <v>118</v>
      </c>
      <c r="F13" s="1" t="s">
        <v>159</v>
      </c>
      <c r="G13" s="1" t="s">
        <v>306</v>
      </c>
      <c r="H13" s="1" t="s">
        <v>30</v>
      </c>
      <c r="I13" s="1">
        <v>550</v>
      </c>
      <c r="J13" s="6">
        <v>44653</v>
      </c>
      <c r="K13" s="6" t="s">
        <v>181</v>
      </c>
      <c r="L13" s="6" t="s">
        <v>177</v>
      </c>
      <c r="M13" s="1">
        <v>12.458333333335759</v>
      </c>
      <c r="O13" s="26"/>
    </row>
    <row r="14" spans="1:15" ht="15" customHeight="1" x14ac:dyDescent="0.25">
      <c r="A14" s="1" t="s">
        <v>280</v>
      </c>
      <c r="B14" s="1" t="s">
        <v>18</v>
      </c>
      <c r="C14" s="1" t="s">
        <v>158</v>
      </c>
      <c r="D14" s="1" t="s">
        <v>28</v>
      </c>
      <c r="E14" s="1" t="s">
        <v>119</v>
      </c>
      <c r="F14" s="1" t="s">
        <v>159</v>
      </c>
      <c r="G14" s="1" t="s">
        <v>306</v>
      </c>
      <c r="H14" s="1" t="s">
        <v>30</v>
      </c>
      <c r="I14" s="1">
        <v>550</v>
      </c>
      <c r="J14" s="6">
        <v>44744</v>
      </c>
      <c r="K14" s="6" t="s">
        <v>179</v>
      </c>
      <c r="L14" s="6" t="s">
        <v>176</v>
      </c>
      <c r="M14" s="1">
        <v>7.42</v>
      </c>
    </row>
    <row r="15" spans="1:15" ht="15" customHeight="1" x14ac:dyDescent="0.25">
      <c r="A15" s="1" t="s">
        <v>280</v>
      </c>
      <c r="B15" s="1" t="s">
        <v>18</v>
      </c>
      <c r="C15" s="1" t="s">
        <v>158</v>
      </c>
      <c r="D15" s="1" t="s">
        <v>28</v>
      </c>
      <c r="E15" s="1" t="s">
        <v>119</v>
      </c>
      <c r="F15" s="1" t="s">
        <v>159</v>
      </c>
      <c r="G15" s="1" t="s">
        <v>306</v>
      </c>
      <c r="H15" s="1" t="s">
        <v>30</v>
      </c>
      <c r="I15" s="1">
        <v>550</v>
      </c>
      <c r="J15" s="6">
        <v>44744</v>
      </c>
      <c r="K15" s="6" t="s">
        <v>179</v>
      </c>
      <c r="L15" s="6" t="s">
        <v>177</v>
      </c>
      <c r="M15" s="1">
        <v>11.5</v>
      </c>
    </row>
    <row r="16" spans="1:15" ht="15" customHeight="1" x14ac:dyDescent="0.25">
      <c r="A16" s="1" t="s">
        <v>280</v>
      </c>
      <c r="B16" s="1" t="s">
        <v>18</v>
      </c>
      <c r="C16" s="1" t="s">
        <v>158</v>
      </c>
      <c r="D16" s="1" t="s">
        <v>28</v>
      </c>
      <c r="E16" s="1" t="s">
        <v>119</v>
      </c>
      <c r="F16" s="1" t="s">
        <v>159</v>
      </c>
      <c r="G16" s="1" t="s">
        <v>306</v>
      </c>
      <c r="H16" s="1" t="s">
        <v>30</v>
      </c>
      <c r="I16" s="1">
        <v>550</v>
      </c>
      <c r="J16" s="6">
        <v>44744</v>
      </c>
      <c r="K16" s="6" t="s">
        <v>181</v>
      </c>
      <c r="L16" s="6" t="s">
        <v>176</v>
      </c>
      <c r="M16" s="1">
        <v>7.7083333333357587</v>
      </c>
    </row>
    <row r="17" spans="1:13" ht="15" customHeight="1" x14ac:dyDescent="0.25">
      <c r="A17" s="1" t="s">
        <v>280</v>
      </c>
      <c r="B17" s="1" t="s">
        <v>18</v>
      </c>
      <c r="C17" s="1" t="s">
        <v>158</v>
      </c>
      <c r="D17" s="1" t="s">
        <v>28</v>
      </c>
      <c r="E17" s="1" t="s">
        <v>119</v>
      </c>
      <c r="F17" s="1" t="s">
        <v>159</v>
      </c>
      <c r="G17" s="1" t="s">
        <v>306</v>
      </c>
      <c r="H17" s="1" t="s">
        <v>30</v>
      </c>
      <c r="I17" s="1">
        <v>550</v>
      </c>
      <c r="J17" s="6">
        <v>44744</v>
      </c>
      <c r="K17" s="6" t="s">
        <v>181</v>
      </c>
      <c r="L17" s="6" t="s">
        <v>177</v>
      </c>
      <c r="M17" s="1">
        <v>15</v>
      </c>
    </row>
    <row r="18" spans="1:13" ht="15" customHeight="1" x14ac:dyDescent="0.25">
      <c r="A18" s="1" t="s">
        <v>282</v>
      </c>
      <c r="B18" s="1" t="s">
        <v>18</v>
      </c>
      <c r="C18" s="1" t="s">
        <v>158</v>
      </c>
      <c r="D18" s="1" t="s">
        <v>28</v>
      </c>
      <c r="E18" s="1" t="s">
        <v>119</v>
      </c>
      <c r="F18" s="1" t="s">
        <v>159</v>
      </c>
      <c r="G18" s="1" t="s">
        <v>307</v>
      </c>
      <c r="H18" s="1" t="s">
        <v>30</v>
      </c>
      <c r="I18" s="1">
        <v>400</v>
      </c>
      <c r="J18" s="6">
        <v>44775</v>
      </c>
      <c r="K18" s="6" t="s">
        <v>179</v>
      </c>
      <c r="L18" s="6" t="s">
        <v>176</v>
      </c>
      <c r="M18" s="1">
        <v>9.25</v>
      </c>
    </row>
    <row r="19" spans="1:13" ht="15" customHeight="1" x14ac:dyDescent="0.25">
      <c r="A19" s="1" t="s">
        <v>282</v>
      </c>
      <c r="B19" s="1" t="s">
        <v>18</v>
      </c>
      <c r="C19" s="1" t="s">
        <v>158</v>
      </c>
      <c r="D19" s="1" t="s">
        <v>28</v>
      </c>
      <c r="E19" s="1" t="s">
        <v>119</v>
      </c>
      <c r="F19" s="1" t="s">
        <v>159</v>
      </c>
      <c r="G19" s="1" t="s">
        <v>307</v>
      </c>
      <c r="H19" s="1" t="s">
        <v>30</v>
      </c>
      <c r="I19" s="1">
        <v>400</v>
      </c>
      <c r="J19" s="6">
        <v>44775</v>
      </c>
      <c r="K19" s="6" t="s">
        <v>179</v>
      </c>
      <c r="L19" s="6" t="s">
        <v>177</v>
      </c>
      <c r="M19" s="1">
        <v>14.69</v>
      </c>
    </row>
    <row r="20" spans="1:13" ht="15" customHeight="1" x14ac:dyDescent="0.25">
      <c r="A20" s="1" t="s">
        <v>282</v>
      </c>
      <c r="B20" s="1" t="s">
        <v>18</v>
      </c>
      <c r="C20" s="1" t="s">
        <v>158</v>
      </c>
      <c r="D20" s="1" t="s">
        <v>28</v>
      </c>
      <c r="E20" s="1" t="s">
        <v>119</v>
      </c>
      <c r="F20" s="1" t="s">
        <v>159</v>
      </c>
      <c r="G20" s="1" t="s">
        <v>307</v>
      </c>
      <c r="H20" s="1" t="s">
        <v>30</v>
      </c>
      <c r="I20" s="1">
        <v>400</v>
      </c>
      <c r="J20" s="6">
        <v>44775</v>
      </c>
      <c r="K20" s="6" t="s">
        <v>181</v>
      </c>
      <c r="L20" s="6" t="s">
        <v>176</v>
      </c>
      <c r="M20" s="1">
        <v>7.5416666666642413</v>
      </c>
    </row>
    <row r="21" spans="1:13" ht="15" customHeight="1" x14ac:dyDescent="0.25">
      <c r="A21" s="1" t="s">
        <v>282</v>
      </c>
      <c r="B21" s="1" t="s">
        <v>18</v>
      </c>
      <c r="C21" s="1" t="s">
        <v>158</v>
      </c>
      <c r="D21" s="1" t="s">
        <v>28</v>
      </c>
      <c r="E21" s="1" t="s">
        <v>119</v>
      </c>
      <c r="F21" s="1" t="s">
        <v>159</v>
      </c>
      <c r="G21" s="1" t="s">
        <v>307</v>
      </c>
      <c r="H21" s="1" t="s">
        <v>30</v>
      </c>
      <c r="I21" s="1">
        <v>400</v>
      </c>
      <c r="J21" s="6">
        <v>44775</v>
      </c>
      <c r="K21" s="6" t="s">
        <v>181</v>
      </c>
      <c r="L21" s="6" t="s">
        <v>177</v>
      </c>
      <c r="M21" s="1">
        <v>13.666666666664241</v>
      </c>
    </row>
    <row r="22" spans="1:13" ht="15" customHeight="1" x14ac:dyDescent="0.25">
      <c r="A22" s="1" t="s">
        <v>285</v>
      </c>
      <c r="B22" s="1" t="s">
        <v>17</v>
      </c>
      <c r="C22" s="1" t="s">
        <v>158</v>
      </c>
      <c r="D22" s="1" t="s">
        <v>28</v>
      </c>
      <c r="E22" s="1" t="s">
        <v>119</v>
      </c>
      <c r="F22" s="1" t="s">
        <v>159</v>
      </c>
      <c r="G22" s="1" t="s">
        <v>307</v>
      </c>
      <c r="H22" s="1" t="s">
        <v>30</v>
      </c>
      <c r="I22" s="1">
        <v>400</v>
      </c>
      <c r="J22" s="6">
        <v>44563</v>
      </c>
      <c r="K22" s="6" t="s">
        <v>179</v>
      </c>
      <c r="L22" s="6" t="s">
        <v>176</v>
      </c>
      <c r="M22" s="1">
        <v>7.31</v>
      </c>
    </row>
    <row r="23" spans="1:13" ht="15" customHeight="1" x14ac:dyDescent="0.25">
      <c r="A23" s="1" t="s">
        <v>285</v>
      </c>
      <c r="B23" s="1" t="s">
        <v>17</v>
      </c>
      <c r="C23" s="1" t="s">
        <v>158</v>
      </c>
      <c r="D23" s="1" t="s">
        <v>28</v>
      </c>
      <c r="E23" s="1" t="s">
        <v>119</v>
      </c>
      <c r="F23" s="1" t="s">
        <v>159</v>
      </c>
      <c r="G23" s="1" t="s">
        <v>307</v>
      </c>
      <c r="H23" s="1" t="s">
        <v>30</v>
      </c>
      <c r="I23" s="1">
        <v>400</v>
      </c>
      <c r="J23" s="6">
        <v>44563</v>
      </c>
      <c r="K23" s="6" t="s">
        <v>179</v>
      </c>
      <c r="L23" s="6" t="s">
        <v>177</v>
      </c>
      <c r="M23" s="1">
        <v>14.46</v>
      </c>
    </row>
    <row r="24" spans="1:13" ht="15" customHeight="1" x14ac:dyDescent="0.25">
      <c r="A24" s="1" t="s">
        <v>285</v>
      </c>
      <c r="B24" s="1" t="s">
        <v>17</v>
      </c>
      <c r="C24" s="1" t="s">
        <v>158</v>
      </c>
      <c r="D24" s="1" t="s">
        <v>28</v>
      </c>
      <c r="E24" s="1" t="s">
        <v>119</v>
      </c>
      <c r="F24" s="1" t="s">
        <v>159</v>
      </c>
      <c r="G24" s="1" t="s">
        <v>307</v>
      </c>
      <c r="H24" s="1" t="s">
        <v>30</v>
      </c>
      <c r="I24" s="1">
        <v>400</v>
      </c>
      <c r="J24" s="6">
        <v>44563</v>
      </c>
      <c r="K24" s="6" t="s">
        <v>181</v>
      </c>
      <c r="L24" s="6" t="s">
        <v>176</v>
      </c>
      <c r="M24" s="1">
        <v>8.9166666666642413</v>
      </c>
    </row>
    <row r="25" spans="1:13" ht="15" customHeight="1" x14ac:dyDescent="0.25">
      <c r="A25" s="1" t="s">
        <v>285</v>
      </c>
      <c r="B25" s="1" t="s">
        <v>17</v>
      </c>
      <c r="C25" s="1" t="s">
        <v>158</v>
      </c>
      <c r="D25" s="1" t="s">
        <v>28</v>
      </c>
      <c r="E25" s="1" t="s">
        <v>119</v>
      </c>
      <c r="F25" s="1" t="s">
        <v>159</v>
      </c>
      <c r="G25" s="1" t="s">
        <v>307</v>
      </c>
      <c r="H25" s="1" t="s">
        <v>30</v>
      </c>
      <c r="I25" s="1">
        <v>400</v>
      </c>
      <c r="J25" s="6">
        <v>44563</v>
      </c>
      <c r="K25" s="6" t="s">
        <v>181</v>
      </c>
      <c r="L25" s="6" t="s">
        <v>177</v>
      </c>
      <c r="M25" s="1">
        <v>13.666666666671517</v>
      </c>
    </row>
    <row r="26" spans="1:13" ht="15" customHeight="1" x14ac:dyDescent="0.25">
      <c r="A26" s="1" t="s">
        <v>288</v>
      </c>
      <c r="B26" s="1" t="s">
        <v>18</v>
      </c>
      <c r="C26" s="1" t="s">
        <v>158</v>
      </c>
      <c r="D26" s="1" t="s">
        <v>28</v>
      </c>
      <c r="E26" s="1" t="s">
        <v>119</v>
      </c>
      <c r="F26" s="1" t="s">
        <v>159</v>
      </c>
      <c r="G26" s="1" t="s">
        <v>307</v>
      </c>
      <c r="H26" s="1" t="s">
        <v>30</v>
      </c>
      <c r="I26" s="1">
        <v>400</v>
      </c>
      <c r="J26" s="6">
        <v>44635</v>
      </c>
      <c r="K26" s="6" t="s">
        <v>179</v>
      </c>
      <c r="L26" s="6" t="s">
        <v>176</v>
      </c>
      <c r="M26" s="1">
        <v>7.97</v>
      </c>
    </row>
    <row r="27" spans="1:13" ht="15" customHeight="1" x14ac:dyDescent="0.25">
      <c r="A27" s="1" t="s">
        <v>288</v>
      </c>
      <c r="B27" s="1" t="s">
        <v>18</v>
      </c>
      <c r="C27" s="1" t="s">
        <v>158</v>
      </c>
      <c r="D27" s="1" t="s">
        <v>28</v>
      </c>
      <c r="E27" s="1" t="s">
        <v>119</v>
      </c>
      <c r="F27" s="1" t="s">
        <v>159</v>
      </c>
      <c r="G27" s="1" t="s">
        <v>307</v>
      </c>
      <c r="H27" s="1" t="s">
        <v>30</v>
      </c>
      <c r="I27" s="1">
        <v>400</v>
      </c>
      <c r="J27" s="6">
        <v>44635</v>
      </c>
      <c r="K27" s="6" t="s">
        <v>179</v>
      </c>
      <c r="L27" s="6" t="s">
        <v>177</v>
      </c>
      <c r="M27" s="1">
        <v>9.1300000000000008</v>
      </c>
    </row>
    <row r="28" spans="1:13" ht="15" customHeight="1" x14ac:dyDescent="0.25">
      <c r="A28" s="1" t="s">
        <v>288</v>
      </c>
      <c r="B28" s="1" t="s">
        <v>18</v>
      </c>
      <c r="C28" s="1" t="s">
        <v>158</v>
      </c>
      <c r="D28" s="1" t="s">
        <v>28</v>
      </c>
      <c r="E28" s="1" t="s">
        <v>119</v>
      </c>
      <c r="F28" s="1" t="s">
        <v>159</v>
      </c>
      <c r="G28" s="1" t="s">
        <v>307</v>
      </c>
      <c r="H28" s="1" t="s">
        <v>30</v>
      </c>
      <c r="I28" s="1">
        <v>400</v>
      </c>
      <c r="J28" s="6">
        <v>44635</v>
      </c>
      <c r="K28" s="6" t="s">
        <v>181</v>
      </c>
      <c r="L28" s="6" t="s">
        <v>176</v>
      </c>
      <c r="M28" s="1">
        <v>7</v>
      </c>
    </row>
    <row r="29" spans="1:13" ht="15" customHeight="1" x14ac:dyDescent="0.25">
      <c r="A29" s="1" t="s">
        <v>288</v>
      </c>
      <c r="B29" s="1" t="s">
        <v>18</v>
      </c>
      <c r="C29" s="1" t="s">
        <v>158</v>
      </c>
      <c r="D29" s="1" t="s">
        <v>28</v>
      </c>
      <c r="E29" s="1" t="s">
        <v>119</v>
      </c>
      <c r="F29" s="1" t="s">
        <v>159</v>
      </c>
      <c r="G29" s="1" t="s">
        <v>307</v>
      </c>
      <c r="H29" s="1" t="s">
        <v>30</v>
      </c>
      <c r="I29" s="1">
        <v>400</v>
      </c>
      <c r="J29" s="6">
        <v>44635</v>
      </c>
      <c r="K29" s="6" t="s">
        <v>181</v>
      </c>
      <c r="L29" s="6" t="s">
        <v>177</v>
      </c>
      <c r="M29" s="1">
        <v>10.041666666664241</v>
      </c>
    </row>
    <row r="30" spans="1:13" ht="15" customHeight="1" x14ac:dyDescent="0.25">
      <c r="A30" s="1" t="s">
        <v>289</v>
      </c>
      <c r="B30" s="1" t="s">
        <v>18</v>
      </c>
      <c r="C30" s="1" t="s">
        <v>158</v>
      </c>
      <c r="D30" s="1" t="s">
        <v>28</v>
      </c>
      <c r="E30" s="1" t="s">
        <v>119</v>
      </c>
      <c r="F30" s="1" t="s">
        <v>159</v>
      </c>
      <c r="G30" s="1" t="s">
        <v>307</v>
      </c>
      <c r="H30" s="1" t="s">
        <v>30</v>
      </c>
      <c r="I30" s="1">
        <v>400</v>
      </c>
      <c r="J30" s="6">
        <v>44683</v>
      </c>
      <c r="K30" s="6" t="s">
        <v>179</v>
      </c>
      <c r="L30" s="6" t="s">
        <v>176</v>
      </c>
      <c r="M30" s="1">
        <v>7.97</v>
      </c>
    </row>
    <row r="31" spans="1:13" ht="15" customHeight="1" x14ac:dyDescent="0.25">
      <c r="A31" s="1" t="s">
        <v>289</v>
      </c>
      <c r="B31" s="1" t="s">
        <v>18</v>
      </c>
      <c r="C31" s="1" t="s">
        <v>158</v>
      </c>
      <c r="D31" s="1" t="s">
        <v>28</v>
      </c>
      <c r="E31" s="1" t="s">
        <v>119</v>
      </c>
      <c r="F31" s="1" t="s">
        <v>159</v>
      </c>
      <c r="G31" s="1" t="s">
        <v>307</v>
      </c>
      <c r="H31" s="1" t="s">
        <v>30</v>
      </c>
      <c r="I31" s="1">
        <v>400</v>
      </c>
      <c r="J31" s="6">
        <v>44683</v>
      </c>
      <c r="K31" s="6" t="s">
        <v>179</v>
      </c>
      <c r="L31" s="6" t="s">
        <v>177</v>
      </c>
      <c r="M31" s="1">
        <v>9.1300000000000008</v>
      </c>
    </row>
    <row r="32" spans="1:13" ht="15" customHeight="1" x14ac:dyDescent="0.25">
      <c r="A32" s="1" t="s">
        <v>289</v>
      </c>
      <c r="B32" s="1" t="s">
        <v>18</v>
      </c>
      <c r="C32" s="1" t="s">
        <v>158</v>
      </c>
      <c r="D32" s="1" t="s">
        <v>28</v>
      </c>
      <c r="E32" s="1" t="s">
        <v>119</v>
      </c>
      <c r="F32" s="1" t="s">
        <v>159</v>
      </c>
      <c r="G32" s="1" t="s">
        <v>307</v>
      </c>
      <c r="H32" s="1" t="s">
        <v>30</v>
      </c>
      <c r="I32" s="1">
        <v>400</v>
      </c>
      <c r="J32" s="6">
        <v>44683</v>
      </c>
      <c r="K32" s="6" t="s">
        <v>181</v>
      </c>
      <c r="L32" s="6" t="s">
        <v>176</v>
      </c>
      <c r="M32" s="1">
        <v>7.4375</v>
      </c>
    </row>
    <row r="33" spans="1:13" ht="15" customHeight="1" x14ac:dyDescent="0.25">
      <c r="A33" s="1" t="s">
        <v>289</v>
      </c>
      <c r="B33" s="1" t="s">
        <v>18</v>
      </c>
      <c r="C33" s="1" t="s">
        <v>158</v>
      </c>
      <c r="D33" s="1" t="s">
        <v>28</v>
      </c>
      <c r="E33" s="1" t="s">
        <v>119</v>
      </c>
      <c r="F33" s="1" t="s">
        <v>159</v>
      </c>
      <c r="G33" s="1" t="s">
        <v>307</v>
      </c>
      <c r="H33" s="1" t="s">
        <v>30</v>
      </c>
      <c r="I33" s="1">
        <v>400</v>
      </c>
      <c r="J33" s="6">
        <v>44683</v>
      </c>
      <c r="K33" s="6" t="s">
        <v>181</v>
      </c>
      <c r="L33" s="6" t="s">
        <v>177</v>
      </c>
      <c r="M33" s="1">
        <v>12.8125</v>
      </c>
    </row>
    <row r="34" spans="1:13" ht="15" customHeight="1" x14ac:dyDescent="0.25">
      <c r="A34" s="1" t="s">
        <v>290</v>
      </c>
      <c r="B34" s="1" t="s">
        <v>18</v>
      </c>
      <c r="C34" s="1" t="s">
        <v>158</v>
      </c>
      <c r="D34" s="1" t="s">
        <v>28</v>
      </c>
      <c r="E34" s="1" t="s">
        <v>119</v>
      </c>
      <c r="F34" s="1" t="s">
        <v>159</v>
      </c>
      <c r="G34" s="1" t="s">
        <v>307</v>
      </c>
      <c r="H34" s="1" t="s">
        <v>30</v>
      </c>
      <c r="I34" s="1">
        <v>400</v>
      </c>
      <c r="J34" s="6">
        <v>44727</v>
      </c>
      <c r="K34" s="6" t="s">
        <v>179</v>
      </c>
      <c r="L34" s="6" t="s">
        <v>176</v>
      </c>
      <c r="M34" s="1">
        <v>8.23</v>
      </c>
    </row>
    <row r="35" spans="1:13" ht="15" customHeight="1" x14ac:dyDescent="0.25">
      <c r="A35" s="1" t="s">
        <v>290</v>
      </c>
      <c r="B35" s="1" t="s">
        <v>18</v>
      </c>
      <c r="C35" s="1" t="s">
        <v>158</v>
      </c>
      <c r="D35" s="1" t="s">
        <v>28</v>
      </c>
      <c r="E35" s="1" t="s">
        <v>119</v>
      </c>
      <c r="F35" s="1" t="s">
        <v>159</v>
      </c>
      <c r="G35" s="1" t="s">
        <v>307</v>
      </c>
      <c r="H35" s="1" t="s">
        <v>30</v>
      </c>
      <c r="I35" s="1">
        <v>400</v>
      </c>
      <c r="J35" s="6">
        <v>44727</v>
      </c>
      <c r="K35" s="6" t="s">
        <v>179</v>
      </c>
      <c r="L35" s="6" t="s">
        <v>177</v>
      </c>
      <c r="M35" s="1">
        <v>10.039999999999999</v>
      </c>
    </row>
    <row r="36" spans="1:13" ht="15" customHeight="1" x14ac:dyDescent="0.25">
      <c r="A36" s="1" t="s">
        <v>290</v>
      </c>
      <c r="B36" s="1" t="s">
        <v>18</v>
      </c>
      <c r="C36" s="1" t="s">
        <v>158</v>
      </c>
      <c r="D36" s="1" t="s">
        <v>28</v>
      </c>
      <c r="E36" s="1" t="s">
        <v>119</v>
      </c>
      <c r="F36" s="1" t="s">
        <v>159</v>
      </c>
      <c r="G36" s="1" t="s">
        <v>307</v>
      </c>
      <c r="H36" s="1" t="s">
        <v>30</v>
      </c>
      <c r="I36" s="1">
        <v>400</v>
      </c>
      <c r="J36" s="6">
        <v>44727</v>
      </c>
      <c r="K36" s="6" t="s">
        <v>181</v>
      </c>
      <c r="L36" s="6" t="s">
        <v>176</v>
      </c>
      <c r="M36" s="1">
        <v>7.2291666666715173</v>
      </c>
    </row>
    <row r="37" spans="1:13" ht="15" customHeight="1" x14ac:dyDescent="0.25">
      <c r="A37" s="1" t="s">
        <v>290</v>
      </c>
      <c r="B37" s="1" t="s">
        <v>18</v>
      </c>
      <c r="C37" s="1" t="s">
        <v>158</v>
      </c>
      <c r="D37" s="1" t="s">
        <v>28</v>
      </c>
      <c r="E37" s="1" t="s">
        <v>119</v>
      </c>
      <c r="F37" s="1" t="s">
        <v>159</v>
      </c>
      <c r="G37" s="1" t="s">
        <v>307</v>
      </c>
      <c r="H37" s="1" t="s">
        <v>30</v>
      </c>
      <c r="I37" s="1">
        <v>400</v>
      </c>
      <c r="J37" s="6">
        <v>44727</v>
      </c>
      <c r="K37" s="6" t="s">
        <v>181</v>
      </c>
      <c r="L37" s="6" t="s">
        <v>177</v>
      </c>
      <c r="M37" s="1">
        <v>9.2291666666642413</v>
      </c>
    </row>
    <row r="38" spans="1:13" ht="15" customHeight="1" x14ac:dyDescent="0.25">
      <c r="A38" s="1" t="s">
        <v>292</v>
      </c>
      <c r="B38" s="1" t="s">
        <v>18</v>
      </c>
      <c r="C38" s="1" t="s">
        <v>158</v>
      </c>
      <c r="D38" s="1" t="s">
        <v>28</v>
      </c>
      <c r="E38" s="1" t="s">
        <v>118</v>
      </c>
      <c r="F38" s="1" t="s">
        <v>159</v>
      </c>
      <c r="G38" s="1" t="s">
        <v>309</v>
      </c>
      <c r="H38" s="1" t="s">
        <v>30</v>
      </c>
      <c r="I38" s="1">
        <v>550</v>
      </c>
      <c r="J38" s="6">
        <v>44600</v>
      </c>
      <c r="K38" s="6" t="s">
        <v>179</v>
      </c>
      <c r="L38" s="6" t="s">
        <v>176</v>
      </c>
      <c r="M38" s="1">
        <v>10.333333333333332</v>
      </c>
    </row>
    <row r="39" spans="1:13" ht="15" customHeight="1" x14ac:dyDescent="0.25">
      <c r="A39" s="1" t="s">
        <v>292</v>
      </c>
      <c r="B39" s="1" t="s">
        <v>18</v>
      </c>
      <c r="C39" s="1" t="s">
        <v>158</v>
      </c>
      <c r="D39" s="1" t="s">
        <v>28</v>
      </c>
      <c r="E39" s="1" t="s">
        <v>118</v>
      </c>
      <c r="F39" s="1" t="s">
        <v>159</v>
      </c>
      <c r="G39" s="1" t="s">
        <v>309</v>
      </c>
      <c r="H39" s="1" t="s">
        <v>30</v>
      </c>
      <c r="I39" s="1">
        <v>550</v>
      </c>
      <c r="J39" s="6">
        <v>44600</v>
      </c>
      <c r="K39" s="6" t="s">
        <v>179</v>
      </c>
      <c r="L39" s="6" t="s">
        <v>177</v>
      </c>
      <c r="M39" s="1">
        <v>21.229166666666647</v>
      </c>
    </row>
    <row r="40" spans="1:13" ht="15" customHeight="1" x14ac:dyDescent="0.25">
      <c r="A40" s="1" t="s">
        <v>292</v>
      </c>
      <c r="B40" s="1" t="s">
        <v>18</v>
      </c>
      <c r="C40" s="1" t="s">
        <v>158</v>
      </c>
      <c r="D40" s="1" t="s">
        <v>28</v>
      </c>
      <c r="E40" s="1" t="s">
        <v>118</v>
      </c>
      <c r="F40" s="1" t="s">
        <v>159</v>
      </c>
      <c r="G40" s="1" t="s">
        <v>309</v>
      </c>
      <c r="H40" s="1" t="s">
        <v>30</v>
      </c>
      <c r="I40" s="1">
        <v>550</v>
      </c>
      <c r="J40" s="6">
        <v>44600</v>
      </c>
      <c r="K40" s="6" t="s">
        <v>181</v>
      </c>
      <c r="L40" s="6" t="s">
        <v>176</v>
      </c>
      <c r="M40" s="1">
        <v>11.291666666664241</v>
      </c>
    </row>
    <row r="41" spans="1:13" ht="15" customHeight="1" x14ac:dyDescent="0.25">
      <c r="A41" s="1" t="s">
        <v>292</v>
      </c>
      <c r="B41" s="1" t="s">
        <v>18</v>
      </c>
      <c r="C41" s="1" t="s">
        <v>158</v>
      </c>
      <c r="D41" s="1" t="s">
        <v>28</v>
      </c>
      <c r="E41" s="1" t="s">
        <v>118</v>
      </c>
      <c r="F41" s="1" t="s">
        <v>159</v>
      </c>
      <c r="G41" s="1" t="s">
        <v>309</v>
      </c>
      <c r="H41" s="1" t="s">
        <v>30</v>
      </c>
      <c r="I41" s="1">
        <v>550</v>
      </c>
      <c r="J41" s="6">
        <v>44600</v>
      </c>
      <c r="K41" s="6" t="s">
        <v>181</v>
      </c>
      <c r="L41" s="6" t="s">
        <v>177</v>
      </c>
      <c r="M41" s="1">
        <v>10.958333333335759</v>
      </c>
    </row>
    <row r="42" spans="1:13" ht="15" customHeight="1" x14ac:dyDescent="0.25">
      <c r="A42" s="1" t="s">
        <v>294</v>
      </c>
      <c r="B42" s="1" t="s">
        <v>18</v>
      </c>
      <c r="C42" s="1" t="s">
        <v>158</v>
      </c>
      <c r="D42" s="1" t="s">
        <v>28</v>
      </c>
      <c r="E42" s="1" t="s">
        <v>118</v>
      </c>
      <c r="F42" s="1" t="s">
        <v>159</v>
      </c>
      <c r="G42" s="1" t="s">
        <v>309</v>
      </c>
      <c r="H42" s="1" t="s">
        <v>30</v>
      </c>
      <c r="I42" s="1">
        <v>550</v>
      </c>
      <c r="J42" s="6">
        <v>44642</v>
      </c>
      <c r="K42" s="6" t="s">
        <v>179</v>
      </c>
      <c r="L42" s="6" t="s">
        <v>176</v>
      </c>
      <c r="M42" s="1">
        <v>11.1</v>
      </c>
    </row>
    <row r="43" spans="1:13" ht="15" customHeight="1" x14ac:dyDescent="0.25">
      <c r="A43" s="1" t="s">
        <v>294</v>
      </c>
      <c r="B43" s="1" t="s">
        <v>18</v>
      </c>
      <c r="C43" s="1" t="s">
        <v>158</v>
      </c>
      <c r="D43" s="1" t="s">
        <v>28</v>
      </c>
      <c r="E43" s="1" t="s">
        <v>118</v>
      </c>
      <c r="F43" s="1" t="s">
        <v>159</v>
      </c>
      <c r="G43" s="1" t="s">
        <v>309</v>
      </c>
      <c r="H43" s="1" t="s">
        <v>30</v>
      </c>
      <c r="I43" s="1">
        <v>550</v>
      </c>
      <c r="J43" s="6">
        <v>44642</v>
      </c>
      <c r="K43" s="6" t="s">
        <v>179</v>
      </c>
      <c r="L43" s="6" t="s">
        <v>177</v>
      </c>
      <c r="M43" s="1">
        <v>18.100000000000001</v>
      </c>
    </row>
    <row r="44" spans="1:13" ht="15" customHeight="1" x14ac:dyDescent="0.25">
      <c r="A44" s="1" t="s">
        <v>294</v>
      </c>
      <c r="B44" s="1" t="s">
        <v>18</v>
      </c>
      <c r="C44" s="1" t="s">
        <v>158</v>
      </c>
      <c r="D44" s="1" t="s">
        <v>28</v>
      </c>
      <c r="E44" s="1" t="s">
        <v>118</v>
      </c>
      <c r="F44" s="1" t="s">
        <v>159</v>
      </c>
      <c r="G44" s="1" t="s">
        <v>309</v>
      </c>
      <c r="H44" s="1" t="s">
        <v>30</v>
      </c>
      <c r="I44" s="1">
        <v>550</v>
      </c>
      <c r="J44" s="6">
        <v>44642</v>
      </c>
      <c r="K44" s="6" t="s">
        <v>181</v>
      </c>
      <c r="L44" s="6" t="s">
        <v>176</v>
      </c>
      <c r="M44" s="1">
        <v>11.375</v>
      </c>
    </row>
    <row r="45" spans="1:13" ht="15" customHeight="1" x14ac:dyDescent="0.25">
      <c r="A45" s="1" t="s">
        <v>294</v>
      </c>
      <c r="B45" s="1" t="s">
        <v>18</v>
      </c>
      <c r="C45" s="1" t="s">
        <v>158</v>
      </c>
      <c r="D45" s="1" t="s">
        <v>28</v>
      </c>
      <c r="E45" s="1" t="s">
        <v>118</v>
      </c>
      <c r="F45" s="1" t="s">
        <v>159</v>
      </c>
      <c r="G45" s="1" t="s">
        <v>309</v>
      </c>
      <c r="H45" s="1" t="s">
        <v>30</v>
      </c>
      <c r="I45" s="1">
        <v>550</v>
      </c>
      <c r="J45" s="6">
        <v>44642</v>
      </c>
      <c r="K45" s="6" t="s">
        <v>181</v>
      </c>
      <c r="L45" s="6" t="s">
        <v>177</v>
      </c>
      <c r="M45" s="1">
        <v>21</v>
      </c>
    </row>
    <row r="46" spans="1:13" ht="15" customHeight="1" x14ac:dyDescent="0.25">
      <c r="A46" s="1" t="s">
        <v>295</v>
      </c>
      <c r="B46" s="1" t="s">
        <v>18</v>
      </c>
      <c r="C46" s="1" t="s">
        <v>158</v>
      </c>
      <c r="D46" s="1" t="s">
        <v>28</v>
      </c>
      <c r="E46" s="1" t="s">
        <v>118</v>
      </c>
      <c r="F46" s="1" t="s">
        <v>159</v>
      </c>
      <c r="G46" s="1" t="s">
        <v>309</v>
      </c>
      <c r="H46" s="1" t="s">
        <v>30</v>
      </c>
      <c r="I46" s="1">
        <v>550</v>
      </c>
      <c r="J46" s="6">
        <v>44720</v>
      </c>
      <c r="K46" s="6" t="s">
        <v>179</v>
      </c>
      <c r="L46" s="6" t="s">
        <v>176</v>
      </c>
      <c r="M46" s="1">
        <v>10.0208333333333</v>
      </c>
    </row>
    <row r="47" spans="1:13" ht="15" customHeight="1" x14ac:dyDescent="0.25">
      <c r="A47" s="1" t="s">
        <v>295</v>
      </c>
      <c r="B47" s="1" t="s">
        <v>18</v>
      </c>
      <c r="C47" s="1" t="s">
        <v>158</v>
      </c>
      <c r="D47" s="1" t="s">
        <v>28</v>
      </c>
      <c r="E47" s="1" t="s">
        <v>118</v>
      </c>
      <c r="F47" s="1" t="s">
        <v>159</v>
      </c>
      <c r="G47" s="1" t="s">
        <v>309</v>
      </c>
      <c r="H47" s="1" t="s">
        <v>30</v>
      </c>
      <c r="I47" s="1">
        <v>550</v>
      </c>
      <c r="J47" s="6">
        <v>44720</v>
      </c>
      <c r="K47" s="6" t="s">
        <v>179</v>
      </c>
      <c r="L47" s="6" t="s">
        <v>177</v>
      </c>
      <c r="M47" s="1">
        <v>17.812500000000039</v>
      </c>
    </row>
    <row r="48" spans="1:13" ht="15" customHeight="1" x14ac:dyDescent="0.25">
      <c r="A48" s="1" t="s">
        <v>295</v>
      </c>
      <c r="B48" s="1" t="s">
        <v>18</v>
      </c>
      <c r="C48" s="1" t="s">
        <v>158</v>
      </c>
      <c r="D48" s="1" t="s">
        <v>28</v>
      </c>
      <c r="E48" s="1" t="s">
        <v>118</v>
      </c>
      <c r="F48" s="1" t="s">
        <v>159</v>
      </c>
      <c r="G48" s="1" t="s">
        <v>309</v>
      </c>
      <c r="H48" s="1" t="s">
        <v>30</v>
      </c>
      <c r="I48" s="1">
        <v>550</v>
      </c>
      <c r="J48" s="6">
        <v>44720</v>
      </c>
      <c r="K48" s="6" t="s">
        <v>181</v>
      </c>
      <c r="L48" s="6" t="s">
        <v>176</v>
      </c>
      <c r="M48" s="1">
        <v>8.5416666666715173</v>
      </c>
    </row>
    <row r="49" spans="1:13" ht="15" customHeight="1" x14ac:dyDescent="0.25">
      <c r="A49" s="1" t="s">
        <v>295</v>
      </c>
      <c r="B49" s="1" t="s">
        <v>18</v>
      </c>
      <c r="C49" s="1" t="s">
        <v>158</v>
      </c>
      <c r="D49" s="1" t="s">
        <v>28</v>
      </c>
      <c r="E49" s="1" t="s">
        <v>118</v>
      </c>
      <c r="F49" s="1" t="s">
        <v>159</v>
      </c>
      <c r="G49" s="1" t="s">
        <v>309</v>
      </c>
      <c r="H49" s="1" t="s">
        <v>30</v>
      </c>
      <c r="I49" s="1">
        <v>550</v>
      </c>
      <c r="J49" s="6">
        <v>44720</v>
      </c>
      <c r="K49" s="6" t="s">
        <v>181</v>
      </c>
      <c r="L49" s="6" t="s">
        <v>177</v>
      </c>
      <c r="M49" s="1">
        <v>13.25</v>
      </c>
    </row>
    <row r="50" spans="1:13" ht="15" customHeight="1" x14ac:dyDescent="0.25">
      <c r="A50" s="1" t="s">
        <v>296</v>
      </c>
      <c r="B50" s="1" t="s">
        <v>18</v>
      </c>
      <c r="C50" s="1" t="s">
        <v>158</v>
      </c>
      <c r="D50" s="1" t="s">
        <v>28</v>
      </c>
      <c r="E50" s="1" t="s">
        <v>118</v>
      </c>
      <c r="F50" s="1" t="s">
        <v>159</v>
      </c>
      <c r="G50" s="1" t="s">
        <v>309</v>
      </c>
      <c r="H50" s="1" t="s">
        <v>30</v>
      </c>
      <c r="I50" s="1">
        <v>550</v>
      </c>
      <c r="J50" s="6">
        <v>44764</v>
      </c>
      <c r="K50" s="6" t="s">
        <v>179</v>
      </c>
      <c r="L50" s="6" t="s">
        <v>176</v>
      </c>
      <c r="M50" s="1">
        <v>10.02</v>
      </c>
    </row>
    <row r="51" spans="1:13" ht="15" customHeight="1" x14ac:dyDescent="0.25">
      <c r="A51" s="1" t="s">
        <v>296</v>
      </c>
      <c r="B51" s="1" t="s">
        <v>18</v>
      </c>
      <c r="C51" s="1" t="s">
        <v>158</v>
      </c>
      <c r="D51" s="1" t="s">
        <v>28</v>
      </c>
      <c r="E51" s="1" t="s">
        <v>118</v>
      </c>
      <c r="F51" s="1" t="s">
        <v>159</v>
      </c>
      <c r="G51" s="1" t="s">
        <v>309</v>
      </c>
      <c r="H51" s="1" t="s">
        <v>30</v>
      </c>
      <c r="I51" s="1">
        <v>550</v>
      </c>
      <c r="J51" s="6">
        <v>44764</v>
      </c>
      <c r="K51" s="6" t="s">
        <v>179</v>
      </c>
      <c r="L51" s="6" t="s">
        <v>177</v>
      </c>
      <c r="M51" s="1">
        <v>17.809999999999999</v>
      </c>
    </row>
    <row r="52" spans="1:13" ht="15" customHeight="1" x14ac:dyDescent="0.25">
      <c r="A52" s="1" t="s">
        <v>296</v>
      </c>
      <c r="B52" s="1" t="s">
        <v>18</v>
      </c>
      <c r="C52" s="1" t="s">
        <v>158</v>
      </c>
      <c r="D52" s="1" t="s">
        <v>28</v>
      </c>
      <c r="E52" s="1" t="s">
        <v>118</v>
      </c>
      <c r="F52" s="1" t="s">
        <v>159</v>
      </c>
      <c r="G52" s="1" t="s">
        <v>309</v>
      </c>
      <c r="H52" s="1" t="s">
        <v>30</v>
      </c>
      <c r="I52" s="1">
        <v>550</v>
      </c>
      <c r="J52" s="6">
        <v>44764</v>
      </c>
      <c r="K52" s="6" t="s">
        <v>181</v>
      </c>
      <c r="L52" s="6" t="s">
        <v>176</v>
      </c>
      <c r="M52" s="1">
        <v>9.0416666666715173</v>
      </c>
    </row>
    <row r="53" spans="1:13" ht="15" customHeight="1" x14ac:dyDescent="0.25">
      <c r="A53" s="1" t="s">
        <v>296</v>
      </c>
      <c r="B53" s="1" t="s">
        <v>18</v>
      </c>
      <c r="C53" s="1" t="s">
        <v>158</v>
      </c>
      <c r="D53" s="1" t="s">
        <v>28</v>
      </c>
      <c r="E53" s="1" t="s">
        <v>118</v>
      </c>
      <c r="F53" s="1" t="s">
        <v>159</v>
      </c>
      <c r="G53" s="1" t="s">
        <v>309</v>
      </c>
      <c r="H53" s="1" t="s">
        <v>30</v>
      </c>
      <c r="I53" s="1">
        <v>550</v>
      </c>
      <c r="J53" s="6">
        <v>44764</v>
      </c>
      <c r="K53" s="6" t="s">
        <v>181</v>
      </c>
      <c r="L53" s="6" t="s">
        <v>177</v>
      </c>
      <c r="M53" s="1">
        <v>22</v>
      </c>
    </row>
    <row r="54" spans="1:13" ht="15" customHeight="1" x14ac:dyDescent="0.25">
      <c r="A54" s="1" t="s">
        <v>298</v>
      </c>
      <c r="B54" s="1" t="s">
        <v>21</v>
      </c>
      <c r="C54" s="1" t="s">
        <v>158</v>
      </c>
      <c r="D54" s="1" t="s">
        <v>28</v>
      </c>
      <c r="E54" s="1" t="s">
        <v>119</v>
      </c>
      <c r="F54" s="1" t="s">
        <v>159</v>
      </c>
      <c r="G54" s="1" t="s">
        <v>304</v>
      </c>
      <c r="H54" s="1" t="s">
        <v>30</v>
      </c>
      <c r="I54" s="1">
        <v>550</v>
      </c>
      <c r="J54" s="6">
        <v>44552</v>
      </c>
      <c r="K54" s="6" t="s">
        <v>179</v>
      </c>
      <c r="L54" s="6" t="s">
        <v>176</v>
      </c>
      <c r="M54" s="1">
        <v>11.4375</v>
      </c>
    </row>
    <row r="55" spans="1:13" ht="15" customHeight="1" x14ac:dyDescent="0.25">
      <c r="A55" s="1" t="s">
        <v>298</v>
      </c>
      <c r="B55" s="1" t="s">
        <v>21</v>
      </c>
      <c r="C55" s="1" t="s">
        <v>158</v>
      </c>
      <c r="D55" s="1" t="s">
        <v>28</v>
      </c>
      <c r="E55" s="1" t="s">
        <v>119</v>
      </c>
      <c r="F55" s="1" t="s">
        <v>159</v>
      </c>
      <c r="G55" s="1" t="s">
        <v>304</v>
      </c>
      <c r="H55" s="1" t="s">
        <v>30</v>
      </c>
      <c r="I55" s="1">
        <v>550</v>
      </c>
      <c r="J55" s="6">
        <v>44552</v>
      </c>
      <c r="K55" s="6" t="s">
        <v>179</v>
      </c>
      <c r="L55" s="6" t="s">
        <v>177</v>
      </c>
      <c r="M55" s="1">
        <v>16.375000000000007</v>
      </c>
    </row>
    <row r="56" spans="1:13" ht="15" customHeight="1" x14ac:dyDescent="0.25">
      <c r="A56" s="1" t="s">
        <v>298</v>
      </c>
      <c r="B56" s="1" t="s">
        <v>21</v>
      </c>
      <c r="C56" s="1" t="s">
        <v>158</v>
      </c>
      <c r="D56" s="1" t="s">
        <v>28</v>
      </c>
      <c r="E56" s="1" t="s">
        <v>119</v>
      </c>
      <c r="F56" s="1" t="s">
        <v>159</v>
      </c>
      <c r="G56" s="1" t="s">
        <v>304</v>
      </c>
      <c r="H56" s="1" t="s">
        <v>30</v>
      </c>
      <c r="I56" s="1">
        <v>550</v>
      </c>
      <c r="J56" s="6">
        <v>44552</v>
      </c>
      <c r="K56" s="6" t="s">
        <v>181</v>
      </c>
      <c r="L56" s="6" t="s">
        <v>176</v>
      </c>
      <c r="M56" s="1">
        <v>15.645833333335759</v>
      </c>
    </row>
    <row r="57" spans="1:13" ht="15" customHeight="1" x14ac:dyDescent="0.25">
      <c r="A57" s="1" t="s">
        <v>298</v>
      </c>
      <c r="B57" s="1" t="s">
        <v>21</v>
      </c>
      <c r="C57" s="1" t="s">
        <v>158</v>
      </c>
      <c r="D57" s="1" t="s">
        <v>28</v>
      </c>
      <c r="E57" s="1" t="s">
        <v>119</v>
      </c>
      <c r="F57" s="1" t="s">
        <v>159</v>
      </c>
      <c r="G57" s="1" t="s">
        <v>304</v>
      </c>
      <c r="H57" s="1" t="s">
        <v>30</v>
      </c>
      <c r="I57" s="1">
        <v>550</v>
      </c>
      <c r="J57" s="6">
        <v>44552</v>
      </c>
      <c r="K57" s="6" t="s">
        <v>181</v>
      </c>
      <c r="L57" s="6" t="s">
        <v>177</v>
      </c>
      <c r="M57" s="1">
        <v>17.104166666664241</v>
      </c>
    </row>
    <row r="58" spans="1:13" ht="15" customHeight="1" x14ac:dyDescent="0.25">
      <c r="A58" s="1" t="s">
        <v>299</v>
      </c>
      <c r="B58" s="1" t="s">
        <v>21</v>
      </c>
      <c r="C58" s="1" t="s">
        <v>158</v>
      </c>
      <c r="D58" s="1" t="s">
        <v>28</v>
      </c>
      <c r="E58" s="1" t="s">
        <v>118</v>
      </c>
      <c r="F58" s="1" t="s">
        <v>159</v>
      </c>
      <c r="G58" s="1" t="s">
        <v>309</v>
      </c>
      <c r="H58" s="1" t="s">
        <v>30</v>
      </c>
      <c r="I58" s="1">
        <v>550</v>
      </c>
      <c r="J58" s="6">
        <v>44531</v>
      </c>
      <c r="K58" s="6" t="s">
        <v>179</v>
      </c>
      <c r="L58" s="6" t="s">
        <v>176</v>
      </c>
      <c r="M58" s="1">
        <v>9.9</v>
      </c>
    </row>
    <row r="59" spans="1:13" ht="15" customHeight="1" x14ac:dyDescent="0.25">
      <c r="A59" s="1" t="s">
        <v>299</v>
      </c>
      <c r="B59" s="1" t="s">
        <v>21</v>
      </c>
      <c r="C59" s="1" t="s">
        <v>158</v>
      </c>
      <c r="D59" s="1" t="s">
        <v>28</v>
      </c>
      <c r="E59" s="1" t="s">
        <v>118</v>
      </c>
      <c r="F59" s="1" t="s">
        <v>159</v>
      </c>
      <c r="G59" s="1" t="s">
        <v>309</v>
      </c>
      <c r="H59" s="1" t="s">
        <v>30</v>
      </c>
      <c r="I59" s="1">
        <v>550</v>
      </c>
      <c r="J59" s="6">
        <v>44531</v>
      </c>
      <c r="K59" s="6" t="s">
        <v>179</v>
      </c>
      <c r="L59" s="6" t="s">
        <v>177</v>
      </c>
      <c r="M59" s="1">
        <v>16.100000000000001</v>
      </c>
    </row>
    <row r="60" spans="1:13" ht="15" customHeight="1" x14ac:dyDescent="0.25">
      <c r="A60" s="1" t="s">
        <v>299</v>
      </c>
      <c r="B60" s="1" t="s">
        <v>21</v>
      </c>
      <c r="C60" s="1" t="s">
        <v>158</v>
      </c>
      <c r="D60" s="1" t="s">
        <v>28</v>
      </c>
      <c r="E60" s="1" t="s">
        <v>118</v>
      </c>
      <c r="F60" s="1" t="s">
        <v>159</v>
      </c>
      <c r="G60" s="1" t="s">
        <v>309</v>
      </c>
      <c r="H60" s="1" t="s">
        <v>30</v>
      </c>
      <c r="I60" s="1">
        <v>550</v>
      </c>
      <c r="J60" s="6">
        <v>44531</v>
      </c>
      <c r="K60" s="6" t="s">
        <v>181</v>
      </c>
      <c r="L60" s="6" t="s">
        <v>176</v>
      </c>
      <c r="M60" s="1">
        <v>7.2291666666642413</v>
      </c>
    </row>
    <row r="61" spans="1:13" ht="15" customHeight="1" x14ac:dyDescent="0.25">
      <c r="A61" s="1" t="s">
        <v>299</v>
      </c>
      <c r="B61" s="1" t="s">
        <v>21</v>
      </c>
      <c r="C61" s="1" t="s">
        <v>158</v>
      </c>
      <c r="D61" s="1" t="s">
        <v>28</v>
      </c>
      <c r="E61" s="1" t="s">
        <v>118</v>
      </c>
      <c r="F61" s="1" t="s">
        <v>159</v>
      </c>
      <c r="G61" s="1" t="s">
        <v>309</v>
      </c>
      <c r="H61" s="1" t="s">
        <v>30</v>
      </c>
      <c r="I61" s="1">
        <v>550</v>
      </c>
      <c r="J61" s="6">
        <v>44531</v>
      </c>
      <c r="K61" s="6" t="s">
        <v>181</v>
      </c>
      <c r="L61" s="6" t="s">
        <v>177</v>
      </c>
      <c r="M61" s="1">
        <v>11.895833333335759</v>
      </c>
    </row>
    <row r="62" spans="1:13" ht="15" customHeight="1" x14ac:dyDescent="0.25">
      <c r="A62" s="1" t="s">
        <v>300</v>
      </c>
      <c r="B62" s="1" t="s">
        <v>18</v>
      </c>
      <c r="C62" s="1" t="s">
        <v>158</v>
      </c>
      <c r="D62" s="1" t="s">
        <v>28</v>
      </c>
      <c r="E62" s="1" t="s">
        <v>118</v>
      </c>
      <c r="F62" s="1" t="s">
        <v>159</v>
      </c>
      <c r="G62" s="1" t="s">
        <v>304</v>
      </c>
      <c r="H62" s="1" t="s">
        <v>30</v>
      </c>
      <c r="I62" s="1">
        <v>550</v>
      </c>
      <c r="J62" s="6"/>
      <c r="K62" s="6" t="s">
        <v>179</v>
      </c>
      <c r="L62" s="6" t="s">
        <v>176</v>
      </c>
      <c r="M62" s="1">
        <v>11.3</v>
      </c>
    </row>
    <row r="63" spans="1:13" ht="15" customHeight="1" x14ac:dyDescent="0.25">
      <c r="A63" s="1" t="s">
        <v>300</v>
      </c>
      <c r="B63" s="1" t="s">
        <v>18</v>
      </c>
      <c r="C63" s="1" t="s">
        <v>158</v>
      </c>
      <c r="D63" s="1" t="s">
        <v>28</v>
      </c>
      <c r="E63" s="1" t="s">
        <v>118</v>
      </c>
      <c r="F63" s="1" t="s">
        <v>159</v>
      </c>
      <c r="G63" s="1" t="s">
        <v>304</v>
      </c>
      <c r="H63" s="1" t="s">
        <v>30</v>
      </c>
      <c r="I63" s="1">
        <v>550</v>
      </c>
      <c r="J63" s="6"/>
      <c r="K63" s="6" t="s">
        <v>179</v>
      </c>
      <c r="L63" s="6" t="s">
        <v>177</v>
      </c>
      <c r="M63" s="1">
        <v>20.2</v>
      </c>
    </row>
    <row r="64" spans="1:13" ht="15" customHeight="1" x14ac:dyDescent="0.25">
      <c r="A64" s="1" t="s">
        <v>300</v>
      </c>
      <c r="B64" s="1" t="s">
        <v>18</v>
      </c>
      <c r="C64" s="1" t="s">
        <v>158</v>
      </c>
      <c r="D64" s="1" t="s">
        <v>28</v>
      </c>
      <c r="E64" s="1" t="s">
        <v>118</v>
      </c>
      <c r="F64" s="1" t="s">
        <v>159</v>
      </c>
      <c r="G64" s="1" t="s">
        <v>304</v>
      </c>
      <c r="H64" s="1" t="s">
        <v>30</v>
      </c>
      <c r="I64" s="1">
        <v>550</v>
      </c>
      <c r="J64" s="6"/>
      <c r="K64" s="6" t="s">
        <v>181</v>
      </c>
      <c r="L64" s="6" t="s">
        <v>176</v>
      </c>
      <c r="M64" s="1">
        <v>13.416666666664241</v>
      </c>
    </row>
    <row r="65" spans="1:13" ht="15" customHeight="1" x14ac:dyDescent="0.25">
      <c r="A65" s="1" t="s">
        <v>300</v>
      </c>
      <c r="B65" s="1" t="s">
        <v>18</v>
      </c>
      <c r="C65" s="1" t="s">
        <v>158</v>
      </c>
      <c r="D65" s="1" t="s">
        <v>28</v>
      </c>
      <c r="E65" s="1" t="s">
        <v>118</v>
      </c>
      <c r="F65" s="1" t="s">
        <v>159</v>
      </c>
      <c r="G65" s="1" t="s">
        <v>304</v>
      </c>
      <c r="H65" s="1" t="s">
        <v>30</v>
      </c>
      <c r="I65" s="1">
        <v>550</v>
      </c>
      <c r="J65" s="6"/>
      <c r="K65" s="6" t="s">
        <v>181</v>
      </c>
      <c r="L65" s="6" t="s">
        <v>177</v>
      </c>
      <c r="M65" s="1">
        <v>20.083333333335759</v>
      </c>
    </row>
    <row r="66" spans="1:13" ht="15" customHeight="1" x14ac:dyDescent="0.25">
      <c r="A66" s="1" t="s">
        <v>301</v>
      </c>
      <c r="B66" s="1" t="s">
        <v>21</v>
      </c>
      <c r="C66" s="1" t="s">
        <v>158</v>
      </c>
      <c r="D66" s="1" t="s">
        <v>113</v>
      </c>
      <c r="E66" s="1" t="s">
        <v>118</v>
      </c>
      <c r="F66" s="1" t="s">
        <v>159</v>
      </c>
      <c r="G66" s="1" t="s">
        <v>312</v>
      </c>
      <c r="H66" s="1" t="s">
        <v>30</v>
      </c>
      <c r="I66" s="1">
        <v>700</v>
      </c>
      <c r="J66" s="6">
        <v>44515</v>
      </c>
      <c r="K66" s="6" t="s">
        <v>179</v>
      </c>
      <c r="L66" s="6" t="s">
        <v>176</v>
      </c>
      <c r="M66" s="1">
        <v>24.92</v>
      </c>
    </row>
    <row r="67" spans="1:13" ht="15" customHeight="1" x14ac:dyDescent="0.25">
      <c r="A67" s="1" t="s">
        <v>301</v>
      </c>
      <c r="B67" s="1" t="s">
        <v>21</v>
      </c>
      <c r="C67" s="1" t="s">
        <v>158</v>
      </c>
      <c r="D67" s="1" t="s">
        <v>113</v>
      </c>
      <c r="E67" s="1" t="s">
        <v>118</v>
      </c>
      <c r="F67" s="1" t="s">
        <v>159</v>
      </c>
      <c r="G67" s="1" t="s">
        <v>312</v>
      </c>
      <c r="H67" s="1" t="s">
        <v>30</v>
      </c>
      <c r="I67" s="1">
        <v>700</v>
      </c>
      <c r="J67" s="6">
        <v>44515</v>
      </c>
      <c r="K67" s="6" t="s">
        <v>179</v>
      </c>
      <c r="L67" s="6" t="s">
        <v>177</v>
      </c>
      <c r="M67" s="1">
        <v>60.23</v>
      </c>
    </row>
    <row r="68" spans="1:13" ht="15" customHeight="1" x14ac:dyDescent="0.25">
      <c r="A68" s="1" t="s">
        <v>301</v>
      </c>
      <c r="B68" s="1" t="s">
        <v>21</v>
      </c>
      <c r="C68" s="1" t="s">
        <v>158</v>
      </c>
      <c r="D68" s="1" t="s">
        <v>113</v>
      </c>
      <c r="E68" s="1" t="s">
        <v>118</v>
      </c>
      <c r="F68" s="1" t="s">
        <v>159</v>
      </c>
      <c r="G68" s="1" t="s">
        <v>312</v>
      </c>
      <c r="H68" s="1" t="s">
        <v>30</v>
      </c>
      <c r="I68" s="1">
        <v>700</v>
      </c>
      <c r="J68" s="6">
        <v>44515</v>
      </c>
      <c r="K68" s="6" t="s">
        <v>181</v>
      </c>
      <c r="L68" s="6" t="s">
        <v>176</v>
      </c>
      <c r="M68" s="1">
        <v>22.166666666664241</v>
      </c>
    </row>
    <row r="69" spans="1:13" ht="15" customHeight="1" x14ac:dyDescent="0.25">
      <c r="A69" s="1" t="s">
        <v>301</v>
      </c>
      <c r="B69" s="1" t="s">
        <v>21</v>
      </c>
      <c r="C69" s="1" t="s">
        <v>158</v>
      </c>
      <c r="D69" s="1" t="s">
        <v>113</v>
      </c>
      <c r="E69" s="1" t="s">
        <v>118</v>
      </c>
      <c r="F69" s="1" t="s">
        <v>159</v>
      </c>
      <c r="G69" s="1" t="s">
        <v>312</v>
      </c>
      <c r="H69" s="1" t="s">
        <v>30</v>
      </c>
      <c r="I69" s="1">
        <v>700</v>
      </c>
      <c r="J69" s="6">
        <v>44515</v>
      </c>
      <c r="K69" s="6" t="s">
        <v>181</v>
      </c>
      <c r="L69" s="6" t="s">
        <v>177</v>
      </c>
      <c r="M69" s="1">
        <v>38.5</v>
      </c>
    </row>
    <row r="70" spans="1:13" ht="15" customHeight="1" x14ac:dyDescent="0.25">
      <c r="A70" s="1" t="s">
        <v>302</v>
      </c>
      <c r="B70" s="1" t="s">
        <v>21</v>
      </c>
      <c r="C70" s="1" t="s">
        <v>158</v>
      </c>
      <c r="D70" s="1" t="s">
        <v>113</v>
      </c>
      <c r="E70" s="1" t="s">
        <v>119</v>
      </c>
      <c r="F70" s="1" t="s">
        <v>159</v>
      </c>
      <c r="G70" s="1" t="s">
        <v>308</v>
      </c>
      <c r="H70" s="1" t="s">
        <v>30</v>
      </c>
      <c r="I70" s="1">
        <v>1500</v>
      </c>
      <c r="J70" s="6">
        <v>44288</v>
      </c>
      <c r="K70" s="6" t="s">
        <v>179</v>
      </c>
      <c r="L70" s="6" t="s">
        <v>176</v>
      </c>
      <c r="M70" s="1">
        <v>114.14</v>
      </c>
    </row>
    <row r="71" spans="1:13" ht="15" customHeight="1" x14ac:dyDescent="0.25">
      <c r="A71" s="1" t="s">
        <v>302</v>
      </c>
      <c r="B71" s="1" t="s">
        <v>21</v>
      </c>
      <c r="C71" s="1" t="s">
        <v>158</v>
      </c>
      <c r="D71" s="1" t="s">
        <v>113</v>
      </c>
      <c r="E71" s="1" t="s">
        <v>119</v>
      </c>
      <c r="F71" s="1" t="s">
        <v>159</v>
      </c>
      <c r="G71" s="1" t="s">
        <v>308</v>
      </c>
      <c r="H71" s="1" t="s">
        <v>30</v>
      </c>
      <c r="I71" s="1">
        <v>1500</v>
      </c>
      <c r="J71" s="6">
        <v>44288</v>
      </c>
      <c r="K71" s="6" t="s">
        <v>179</v>
      </c>
      <c r="L71" s="6" t="s">
        <v>177</v>
      </c>
      <c r="M71" s="1">
        <v>99.69</v>
      </c>
    </row>
    <row r="72" spans="1:13" ht="15" customHeight="1" x14ac:dyDescent="0.25">
      <c r="A72" s="1" t="s">
        <v>302</v>
      </c>
      <c r="B72" s="1" t="s">
        <v>21</v>
      </c>
      <c r="C72" s="1" t="s">
        <v>158</v>
      </c>
      <c r="D72" s="1" t="s">
        <v>113</v>
      </c>
      <c r="E72" s="1" t="s">
        <v>119</v>
      </c>
      <c r="F72" s="1" t="s">
        <v>159</v>
      </c>
      <c r="G72" s="1" t="s">
        <v>308</v>
      </c>
      <c r="H72" s="1" t="s">
        <v>30</v>
      </c>
      <c r="I72" s="1">
        <v>1500</v>
      </c>
      <c r="J72" s="6">
        <v>44288</v>
      </c>
      <c r="K72" s="6" t="s">
        <v>181</v>
      </c>
      <c r="L72" s="6" t="s">
        <v>176</v>
      </c>
      <c r="M72" s="1">
        <v>336.375</v>
      </c>
    </row>
    <row r="73" spans="1:13" ht="15" customHeight="1" x14ac:dyDescent="0.25">
      <c r="A73" s="1" t="s">
        <v>302</v>
      </c>
      <c r="B73" s="1" t="s">
        <v>21</v>
      </c>
      <c r="C73" s="1" t="s">
        <v>158</v>
      </c>
      <c r="D73" s="1" t="s">
        <v>113</v>
      </c>
      <c r="E73" s="1" t="s">
        <v>119</v>
      </c>
      <c r="F73" s="1" t="s">
        <v>159</v>
      </c>
      <c r="G73" s="1" t="s">
        <v>308</v>
      </c>
      <c r="H73" s="1" t="s">
        <v>30</v>
      </c>
      <c r="I73" s="1">
        <v>1500</v>
      </c>
      <c r="J73" s="6">
        <v>44288</v>
      </c>
      <c r="K73" s="6" t="s">
        <v>181</v>
      </c>
      <c r="L73" s="6" t="s">
        <v>177</v>
      </c>
      <c r="M73" s="1">
        <v>93.458333333335759</v>
      </c>
    </row>
    <row r="74" spans="1:13" ht="15" customHeight="1" x14ac:dyDescent="0.25">
      <c r="A74" s="1" t="s">
        <v>303</v>
      </c>
      <c r="B74" s="1" t="s">
        <v>17</v>
      </c>
      <c r="C74" s="1" t="s">
        <v>158</v>
      </c>
      <c r="D74" s="1" t="s">
        <v>113</v>
      </c>
      <c r="E74" s="1" t="s">
        <v>118</v>
      </c>
      <c r="F74" s="1" t="s">
        <v>159</v>
      </c>
      <c r="G74" s="1" t="s">
        <v>305</v>
      </c>
      <c r="H74" s="1" t="s">
        <v>30</v>
      </c>
      <c r="I74" s="1">
        <v>1500</v>
      </c>
      <c r="J74" s="6">
        <v>44594</v>
      </c>
      <c r="K74" s="6" t="s">
        <v>179</v>
      </c>
      <c r="L74" s="6" t="s">
        <v>176</v>
      </c>
      <c r="M74" s="1">
        <v>12.5</v>
      </c>
    </row>
    <row r="75" spans="1:13" ht="15" customHeight="1" x14ac:dyDescent="0.25">
      <c r="A75" s="1" t="s">
        <v>303</v>
      </c>
      <c r="B75" s="1" t="s">
        <v>17</v>
      </c>
      <c r="C75" s="1" t="s">
        <v>158</v>
      </c>
      <c r="D75" s="1" t="s">
        <v>113</v>
      </c>
      <c r="E75" s="1" t="s">
        <v>118</v>
      </c>
      <c r="F75" s="1" t="s">
        <v>159</v>
      </c>
      <c r="G75" s="1" t="s">
        <v>305</v>
      </c>
      <c r="H75" s="1" t="s">
        <v>30</v>
      </c>
      <c r="I75" s="1">
        <v>1500</v>
      </c>
      <c r="J75" s="6">
        <v>44594</v>
      </c>
      <c r="K75" s="6" t="s">
        <v>179</v>
      </c>
      <c r="L75" s="6" t="s">
        <v>177</v>
      </c>
      <c r="M75" s="1">
        <v>34.9</v>
      </c>
    </row>
    <row r="76" spans="1:13" ht="15" customHeight="1" x14ac:dyDescent="0.25">
      <c r="A76" s="1" t="s">
        <v>303</v>
      </c>
      <c r="B76" s="1" t="s">
        <v>17</v>
      </c>
      <c r="C76" s="1" t="s">
        <v>158</v>
      </c>
      <c r="D76" s="1" t="s">
        <v>113</v>
      </c>
      <c r="E76" s="1" t="s">
        <v>118</v>
      </c>
      <c r="F76" s="1" t="s">
        <v>159</v>
      </c>
      <c r="G76" s="1" t="s">
        <v>305</v>
      </c>
      <c r="H76" s="1" t="s">
        <v>30</v>
      </c>
      <c r="I76" s="1">
        <v>1500</v>
      </c>
      <c r="J76" s="6">
        <v>44594</v>
      </c>
      <c r="K76" s="6" t="s">
        <v>181</v>
      </c>
      <c r="L76" s="6" t="s">
        <v>176</v>
      </c>
      <c r="M76" s="1">
        <v>88.854166666664241</v>
      </c>
    </row>
    <row r="77" spans="1:13" ht="15" customHeight="1" x14ac:dyDescent="0.25">
      <c r="A77" s="1" t="s">
        <v>303</v>
      </c>
      <c r="B77" s="1" t="s">
        <v>17</v>
      </c>
      <c r="C77" s="1" t="s">
        <v>158</v>
      </c>
      <c r="D77" s="1" t="s">
        <v>113</v>
      </c>
      <c r="E77" s="1" t="s">
        <v>118</v>
      </c>
      <c r="F77" s="1" t="s">
        <v>159</v>
      </c>
      <c r="G77" s="1" t="s">
        <v>305</v>
      </c>
      <c r="H77" s="1" t="s">
        <v>30</v>
      </c>
      <c r="I77" s="1">
        <v>1500</v>
      </c>
      <c r="J77" s="6">
        <v>44594</v>
      </c>
      <c r="K77" s="6" t="s">
        <v>181</v>
      </c>
      <c r="L77" s="6" t="s">
        <v>177</v>
      </c>
      <c r="M77" s="1">
        <v>95.395833333335759</v>
      </c>
    </row>
    <row r="78" spans="1:13" ht="15" customHeight="1" x14ac:dyDescent="0.25">
      <c r="A78" s="1" t="s">
        <v>287</v>
      </c>
      <c r="B78" s="1" t="s">
        <v>18</v>
      </c>
      <c r="C78" s="1" t="s">
        <v>158</v>
      </c>
      <c r="D78" s="1" t="s">
        <v>28</v>
      </c>
      <c r="E78" s="1" t="s">
        <v>119</v>
      </c>
      <c r="F78" s="1" t="s">
        <v>159</v>
      </c>
      <c r="G78" s="1" t="s">
        <v>306</v>
      </c>
      <c r="H78" s="1" t="s">
        <v>30</v>
      </c>
      <c r="I78" s="1">
        <v>550</v>
      </c>
      <c r="J78" s="6">
        <v>44867</v>
      </c>
      <c r="K78" s="6" t="s">
        <v>179</v>
      </c>
      <c r="L78" s="6" t="s">
        <v>176</v>
      </c>
      <c r="M78" s="1">
        <v>8.48</v>
      </c>
    </row>
    <row r="79" spans="1:13" ht="15" customHeight="1" x14ac:dyDescent="0.25">
      <c r="A79" s="1" t="s">
        <v>287</v>
      </c>
      <c r="B79" s="1" t="s">
        <v>18</v>
      </c>
      <c r="C79" s="1" t="s">
        <v>158</v>
      </c>
      <c r="D79" s="1" t="s">
        <v>28</v>
      </c>
      <c r="E79" s="1" t="s">
        <v>119</v>
      </c>
      <c r="F79" s="1" t="s">
        <v>159</v>
      </c>
      <c r="G79" s="1" t="s">
        <v>306</v>
      </c>
      <c r="H79" s="1" t="s">
        <v>30</v>
      </c>
      <c r="I79" s="1">
        <v>550</v>
      </c>
      <c r="J79" s="6">
        <v>44867</v>
      </c>
      <c r="K79" s="6" t="s">
        <v>179</v>
      </c>
      <c r="L79" s="6" t="s">
        <v>177</v>
      </c>
      <c r="M79" s="1">
        <v>14.02</v>
      </c>
    </row>
    <row r="80" spans="1:13" ht="15" customHeight="1" x14ac:dyDescent="0.25">
      <c r="A80" s="1" t="s">
        <v>287</v>
      </c>
      <c r="B80" s="1" t="s">
        <v>18</v>
      </c>
      <c r="C80" s="1" t="s">
        <v>158</v>
      </c>
      <c r="D80" s="1" t="s">
        <v>28</v>
      </c>
      <c r="E80" s="1" t="s">
        <v>119</v>
      </c>
      <c r="F80" s="1" t="s">
        <v>159</v>
      </c>
      <c r="G80" s="1" t="s">
        <v>306</v>
      </c>
      <c r="H80" s="1" t="s">
        <v>30</v>
      </c>
      <c r="I80" s="1">
        <v>550</v>
      </c>
      <c r="J80" s="6">
        <v>44867</v>
      </c>
      <c r="K80" s="6" t="s">
        <v>181</v>
      </c>
      <c r="L80" s="6" t="s">
        <v>176</v>
      </c>
      <c r="M80" s="1">
        <v>14.166666666664241</v>
      </c>
    </row>
    <row r="81" spans="1:13" ht="15" customHeight="1" x14ac:dyDescent="0.25">
      <c r="A81" s="1" t="s">
        <v>287</v>
      </c>
      <c r="B81" s="1" t="s">
        <v>18</v>
      </c>
      <c r="C81" s="1" t="s">
        <v>158</v>
      </c>
      <c r="D81" s="1" t="s">
        <v>28</v>
      </c>
      <c r="E81" s="1" t="s">
        <v>119</v>
      </c>
      <c r="F81" s="1" t="s">
        <v>159</v>
      </c>
      <c r="G81" s="1" t="s">
        <v>306</v>
      </c>
      <c r="H81" s="1" t="s">
        <v>30</v>
      </c>
      <c r="I81" s="1">
        <v>550</v>
      </c>
      <c r="J81" s="6">
        <v>44867</v>
      </c>
      <c r="K81" s="6" t="s">
        <v>181</v>
      </c>
      <c r="L81" s="6" t="s">
        <v>177</v>
      </c>
      <c r="M81" s="1">
        <v>27.583333333335759</v>
      </c>
    </row>
  </sheetData>
  <phoneticPr fontId="1"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BBA7-97EC-4F26-986D-79709CE609B7}">
  <dimension ref="A1:N28"/>
  <sheetViews>
    <sheetView topLeftCell="A15" zoomScale="85" zoomScaleNormal="85" workbookViewId="0">
      <pane xSplit="1" topLeftCell="B1" activePane="topRight" state="frozen"/>
      <selection pane="topRight" activeCell="L41" sqref="L41"/>
    </sheetView>
  </sheetViews>
  <sheetFormatPr defaultColWidth="10.7109375" defaultRowHeight="15" customHeight="1" x14ac:dyDescent="0.25"/>
  <cols>
    <col min="1" max="1" width="17.28515625" style="1" bestFit="1" customWidth="1"/>
    <col min="2" max="2" width="18.5703125" style="1" bestFit="1" customWidth="1"/>
    <col min="3" max="3" width="19.85546875" style="1" bestFit="1" customWidth="1"/>
    <col min="4" max="4" width="20.28515625" style="1" bestFit="1" customWidth="1"/>
    <col min="5" max="5" width="16.28515625" style="1" bestFit="1" customWidth="1"/>
    <col min="6" max="6" width="16.28515625" style="1" customWidth="1"/>
    <col min="7" max="7" width="21.5703125" style="1" bestFit="1" customWidth="1"/>
    <col min="8" max="8" width="13.28515625" style="1" bestFit="1" customWidth="1"/>
    <col min="9" max="9" width="11.85546875" style="1" bestFit="1" customWidth="1"/>
    <col min="10" max="11" width="15.7109375" style="1" customWidth="1"/>
    <col min="12" max="12" width="20.7109375" style="26" customWidth="1"/>
    <col min="13" max="16384" width="10.7109375" style="1"/>
  </cols>
  <sheetData>
    <row r="1" spans="1:14" s="11" customFormat="1" x14ac:dyDescent="0.25">
      <c r="A1" s="11" t="s">
        <v>19</v>
      </c>
      <c r="B1" s="11" t="s">
        <v>7</v>
      </c>
      <c r="C1" s="11" t="s">
        <v>8</v>
      </c>
      <c r="D1" s="11" t="s">
        <v>13</v>
      </c>
      <c r="E1" s="11" t="s">
        <v>9</v>
      </c>
      <c r="F1" s="11" t="s">
        <v>160</v>
      </c>
      <c r="G1" s="11" t="s">
        <v>10</v>
      </c>
      <c r="H1" s="11" t="s">
        <v>11</v>
      </c>
      <c r="I1" s="11" t="s">
        <v>12</v>
      </c>
      <c r="J1" s="11" t="s">
        <v>14</v>
      </c>
      <c r="K1" s="11" t="s">
        <v>125</v>
      </c>
      <c r="L1" s="30" t="s">
        <v>174</v>
      </c>
    </row>
    <row r="2" spans="1:14" ht="15" customHeight="1" x14ac:dyDescent="0.25">
      <c r="A2" s="1" t="s">
        <v>275</v>
      </c>
      <c r="B2" s="1" t="s">
        <v>17</v>
      </c>
      <c r="C2" s="1" t="s">
        <v>158</v>
      </c>
      <c r="D2" s="1" t="s">
        <v>28</v>
      </c>
      <c r="E2" s="1" t="s">
        <v>119</v>
      </c>
      <c r="F2" s="1" t="s">
        <v>159</v>
      </c>
      <c r="G2" s="1" t="s">
        <v>304</v>
      </c>
      <c r="H2" s="1" t="s">
        <v>30</v>
      </c>
      <c r="I2" s="1">
        <v>550</v>
      </c>
      <c r="J2" s="6">
        <v>44607</v>
      </c>
      <c r="K2" s="6" t="s">
        <v>173</v>
      </c>
      <c r="L2" s="26">
        <v>0.83686432250551823</v>
      </c>
    </row>
    <row r="3" spans="1:14" ht="15" customHeight="1" x14ac:dyDescent="0.25">
      <c r="A3" s="1" t="s">
        <v>277</v>
      </c>
      <c r="B3" s="1" t="s">
        <v>18</v>
      </c>
      <c r="C3" s="1" t="s">
        <v>158</v>
      </c>
      <c r="D3" s="1" t="s">
        <v>28</v>
      </c>
      <c r="E3" s="1" t="s">
        <v>119</v>
      </c>
      <c r="F3" s="1" t="s">
        <v>159</v>
      </c>
      <c r="G3" s="1" t="s">
        <v>304</v>
      </c>
      <c r="H3" s="1" t="s">
        <v>30</v>
      </c>
      <c r="I3" s="1">
        <v>550</v>
      </c>
      <c r="J3" s="6">
        <v>44757</v>
      </c>
      <c r="K3" s="6" t="s">
        <v>173</v>
      </c>
      <c r="L3" s="26">
        <v>0.76673182953770902</v>
      </c>
    </row>
    <row r="4" spans="1:14" ht="15" customHeight="1" x14ac:dyDescent="0.25">
      <c r="A4" s="1" t="s">
        <v>279</v>
      </c>
      <c r="B4" s="1" t="s">
        <v>18</v>
      </c>
      <c r="C4" s="1" t="s">
        <v>158</v>
      </c>
      <c r="D4" s="1" t="s">
        <v>28</v>
      </c>
      <c r="E4" s="1" t="s">
        <v>118</v>
      </c>
      <c r="F4" s="1" t="s">
        <v>159</v>
      </c>
      <c r="G4" s="1" t="s">
        <v>306</v>
      </c>
      <c r="H4" s="1" t="s">
        <v>30</v>
      </c>
      <c r="I4" s="1">
        <v>550</v>
      </c>
      <c r="J4" s="6">
        <v>44653</v>
      </c>
      <c r="K4" s="6" t="s">
        <v>173</v>
      </c>
      <c r="L4" s="26">
        <v>1</v>
      </c>
    </row>
    <row r="5" spans="1:14" ht="15" customHeight="1" x14ac:dyDescent="0.25">
      <c r="A5" s="1" t="s">
        <v>279</v>
      </c>
      <c r="B5" s="1" t="s">
        <v>18</v>
      </c>
      <c r="C5" s="1" t="s">
        <v>158</v>
      </c>
      <c r="D5" s="1" t="s">
        <v>28</v>
      </c>
      <c r="E5" s="1" t="s">
        <v>118</v>
      </c>
      <c r="F5" s="1" t="s">
        <v>159</v>
      </c>
      <c r="G5" s="1" t="s">
        <v>306</v>
      </c>
      <c r="H5" s="1" t="s">
        <v>30</v>
      </c>
      <c r="I5" s="1">
        <v>550</v>
      </c>
      <c r="J5" s="6">
        <v>44653</v>
      </c>
      <c r="K5" s="6" t="s">
        <v>175</v>
      </c>
      <c r="L5" s="26">
        <v>0.10857399758820796</v>
      </c>
    </row>
    <row r="6" spans="1:14" ht="15" customHeight="1" x14ac:dyDescent="0.25">
      <c r="A6" s="1" t="s">
        <v>280</v>
      </c>
      <c r="B6" s="1" t="s">
        <v>18</v>
      </c>
      <c r="C6" s="1" t="s">
        <v>158</v>
      </c>
      <c r="D6" s="1" t="s">
        <v>28</v>
      </c>
      <c r="E6" s="1" t="s">
        <v>119</v>
      </c>
      <c r="F6" s="1" t="s">
        <v>159</v>
      </c>
      <c r="G6" s="1" t="s">
        <v>306</v>
      </c>
      <c r="H6" s="1" t="s">
        <v>30</v>
      </c>
      <c r="I6" s="1">
        <v>550</v>
      </c>
      <c r="J6" s="6">
        <v>44744</v>
      </c>
      <c r="K6" s="6" t="s">
        <v>173</v>
      </c>
      <c r="L6" s="26">
        <v>0.85559859372035318</v>
      </c>
    </row>
    <row r="7" spans="1:14" ht="15" customHeight="1" x14ac:dyDescent="0.25">
      <c r="A7" s="1" t="s">
        <v>282</v>
      </c>
      <c r="B7" s="1" t="s">
        <v>18</v>
      </c>
      <c r="C7" s="1" t="s">
        <v>158</v>
      </c>
      <c r="D7" s="1" t="s">
        <v>28</v>
      </c>
      <c r="E7" s="1" t="s">
        <v>119</v>
      </c>
      <c r="F7" s="1" t="s">
        <v>159</v>
      </c>
      <c r="G7" s="1" t="s">
        <v>307</v>
      </c>
      <c r="H7" s="1" t="s">
        <v>30</v>
      </c>
      <c r="I7" s="1">
        <v>400</v>
      </c>
      <c r="J7" s="6">
        <v>44775</v>
      </c>
      <c r="K7" s="6" t="s">
        <v>173</v>
      </c>
      <c r="L7" s="26">
        <v>0.85831517011155978</v>
      </c>
    </row>
    <row r="8" spans="1:14" ht="15" customHeight="1" x14ac:dyDescent="0.25">
      <c r="A8" s="1" t="s">
        <v>285</v>
      </c>
      <c r="B8" s="1" t="s">
        <v>17</v>
      </c>
      <c r="C8" s="1" t="s">
        <v>158</v>
      </c>
      <c r="D8" s="1" t="s">
        <v>28</v>
      </c>
      <c r="E8" s="1" t="s">
        <v>119</v>
      </c>
      <c r="F8" s="1" t="s">
        <v>159</v>
      </c>
      <c r="G8" s="1" t="s">
        <v>307</v>
      </c>
      <c r="H8" s="1" t="s">
        <v>30</v>
      </c>
      <c r="I8" s="1">
        <v>400</v>
      </c>
      <c r="J8" s="6">
        <v>44563</v>
      </c>
      <c r="K8" s="6" t="s">
        <v>173</v>
      </c>
      <c r="L8" s="26">
        <v>0.81089733518489948</v>
      </c>
      <c r="N8" s="26"/>
    </row>
    <row r="9" spans="1:14" ht="15" customHeight="1" x14ac:dyDescent="0.25">
      <c r="A9" s="1" t="s">
        <v>288</v>
      </c>
      <c r="B9" s="1" t="s">
        <v>18</v>
      </c>
      <c r="C9" s="1" t="s">
        <v>158</v>
      </c>
      <c r="D9" s="1" t="s">
        <v>28</v>
      </c>
      <c r="E9" s="1" t="s">
        <v>119</v>
      </c>
      <c r="F9" s="1" t="s">
        <v>159</v>
      </c>
      <c r="G9" s="1" t="s">
        <v>307</v>
      </c>
      <c r="H9" s="1" t="s">
        <v>30</v>
      </c>
      <c r="I9" s="1">
        <v>400</v>
      </c>
      <c r="J9" s="6">
        <v>44635</v>
      </c>
      <c r="K9" s="6" t="s">
        <v>173</v>
      </c>
      <c r="L9" s="26">
        <v>0.90904027415821309</v>
      </c>
    </row>
    <row r="10" spans="1:14" ht="15" customHeight="1" x14ac:dyDescent="0.25">
      <c r="A10" s="1" t="s">
        <v>289</v>
      </c>
      <c r="B10" s="1" t="s">
        <v>18</v>
      </c>
      <c r="C10" s="1" t="s">
        <v>158</v>
      </c>
      <c r="D10" s="1" t="s">
        <v>28</v>
      </c>
      <c r="E10" s="1" t="s">
        <v>119</v>
      </c>
      <c r="F10" s="1" t="s">
        <v>159</v>
      </c>
      <c r="G10" s="1" t="s">
        <v>307</v>
      </c>
      <c r="H10" s="1" t="s">
        <v>30</v>
      </c>
      <c r="I10" s="1">
        <v>400</v>
      </c>
      <c r="J10" s="6">
        <v>44683</v>
      </c>
      <c r="K10" s="6" t="s">
        <v>173</v>
      </c>
      <c r="L10" s="26">
        <v>1</v>
      </c>
    </row>
    <row r="11" spans="1:14" ht="15" customHeight="1" x14ac:dyDescent="0.25">
      <c r="A11" s="1" t="s">
        <v>289</v>
      </c>
      <c r="B11" s="1" t="s">
        <v>18</v>
      </c>
      <c r="C11" s="1" t="s">
        <v>158</v>
      </c>
      <c r="D11" s="1" t="s">
        <v>28</v>
      </c>
      <c r="E11" s="1" t="s">
        <v>119</v>
      </c>
      <c r="F11" s="1" t="s">
        <v>159</v>
      </c>
      <c r="G11" s="1" t="s">
        <v>307</v>
      </c>
      <c r="H11" s="1" t="s">
        <v>30</v>
      </c>
      <c r="I11" s="1">
        <v>400</v>
      </c>
      <c r="J11" s="6">
        <v>44683</v>
      </c>
      <c r="K11" s="6" t="s">
        <v>175</v>
      </c>
      <c r="L11" s="26">
        <v>0.11710318055990374</v>
      </c>
    </row>
    <row r="12" spans="1:14" ht="15" customHeight="1" x14ac:dyDescent="0.25">
      <c r="A12" s="1" t="s">
        <v>290</v>
      </c>
      <c r="B12" s="1" t="s">
        <v>18</v>
      </c>
      <c r="C12" s="1" t="s">
        <v>158</v>
      </c>
      <c r="D12" s="1" t="s">
        <v>28</v>
      </c>
      <c r="E12" s="1" t="s">
        <v>119</v>
      </c>
      <c r="F12" s="1" t="s">
        <v>159</v>
      </c>
      <c r="G12" s="1" t="s">
        <v>307</v>
      </c>
      <c r="H12" s="1" t="s">
        <v>30</v>
      </c>
      <c r="I12" s="1">
        <v>400</v>
      </c>
      <c r="J12" s="6">
        <v>44727</v>
      </c>
      <c r="K12" s="6" t="s">
        <v>173</v>
      </c>
      <c r="L12" s="26">
        <v>1</v>
      </c>
    </row>
    <row r="13" spans="1:14" ht="15" customHeight="1" x14ac:dyDescent="0.25">
      <c r="A13" s="1" t="s">
        <v>290</v>
      </c>
      <c r="B13" s="1" t="s">
        <v>18</v>
      </c>
      <c r="C13" s="1" t="s">
        <v>158</v>
      </c>
      <c r="D13" s="1" t="s">
        <v>28</v>
      </c>
      <c r="E13" s="1" t="s">
        <v>119</v>
      </c>
      <c r="F13" s="1" t="s">
        <v>159</v>
      </c>
      <c r="G13" s="1" t="s">
        <v>307</v>
      </c>
      <c r="H13" s="1" t="s">
        <v>30</v>
      </c>
      <c r="I13" s="1">
        <v>400</v>
      </c>
      <c r="J13" s="6">
        <v>44727</v>
      </c>
      <c r="K13" s="6" t="s">
        <v>175</v>
      </c>
      <c r="L13" s="26">
        <v>6.0144044973299803E-3</v>
      </c>
    </row>
    <row r="14" spans="1:14" ht="15" customHeight="1" x14ac:dyDescent="0.25">
      <c r="A14" s="1" t="s">
        <v>292</v>
      </c>
      <c r="B14" s="1" t="s">
        <v>18</v>
      </c>
      <c r="C14" s="1" t="s">
        <v>158</v>
      </c>
      <c r="D14" s="1" t="s">
        <v>28</v>
      </c>
      <c r="E14" s="1" t="s">
        <v>118</v>
      </c>
      <c r="F14" s="1" t="s">
        <v>159</v>
      </c>
      <c r="G14" s="1" t="s">
        <v>309</v>
      </c>
      <c r="H14" s="1" t="s">
        <v>30</v>
      </c>
      <c r="I14" s="1">
        <v>550</v>
      </c>
      <c r="J14" s="6">
        <v>44600</v>
      </c>
      <c r="K14" s="6" t="s">
        <v>173</v>
      </c>
      <c r="L14" s="26">
        <v>0.78733635855403472</v>
      </c>
    </row>
    <row r="15" spans="1:14" ht="15" customHeight="1" x14ac:dyDescent="0.25">
      <c r="A15" s="1" t="s">
        <v>294</v>
      </c>
      <c r="B15" s="1" t="s">
        <v>18</v>
      </c>
      <c r="C15" s="1" t="s">
        <v>158</v>
      </c>
      <c r="D15" s="1" t="s">
        <v>28</v>
      </c>
      <c r="E15" s="1" t="s">
        <v>118</v>
      </c>
      <c r="F15" s="1" t="s">
        <v>159</v>
      </c>
      <c r="G15" s="1" t="s">
        <v>309</v>
      </c>
      <c r="H15" s="1" t="s">
        <v>30</v>
      </c>
      <c r="I15" s="1">
        <v>550</v>
      </c>
      <c r="J15" s="6">
        <v>44642</v>
      </c>
      <c r="K15" s="6" t="s">
        <v>173</v>
      </c>
      <c r="L15" s="26">
        <v>0.89950361143233248</v>
      </c>
    </row>
    <row r="16" spans="1:14" ht="15" customHeight="1" x14ac:dyDescent="0.25">
      <c r="A16" s="1" t="s">
        <v>295</v>
      </c>
      <c r="B16" s="1" t="s">
        <v>18</v>
      </c>
      <c r="C16" s="1" t="s">
        <v>158</v>
      </c>
      <c r="D16" s="1" t="s">
        <v>28</v>
      </c>
      <c r="E16" s="1" t="s">
        <v>118</v>
      </c>
      <c r="F16" s="1" t="s">
        <v>159</v>
      </c>
      <c r="G16" s="1" t="s">
        <v>309</v>
      </c>
      <c r="H16" s="1" t="s">
        <v>30</v>
      </c>
      <c r="I16" s="1">
        <v>550</v>
      </c>
      <c r="J16" s="6">
        <v>44720</v>
      </c>
      <c r="K16" s="6" t="s">
        <v>173</v>
      </c>
      <c r="L16" s="26">
        <v>0.8780680865614674</v>
      </c>
    </row>
    <row r="17" spans="1:12" ht="15" customHeight="1" x14ac:dyDescent="0.25">
      <c r="A17" s="1" t="s">
        <v>296</v>
      </c>
      <c r="B17" s="1" t="s">
        <v>18</v>
      </c>
      <c r="C17" s="1" t="s">
        <v>158</v>
      </c>
      <c r="D17" s="1" t="s">
        <v>28</v>
      </c>
      <c r="E17" s="1" t="s">
        <v>118</v>
      </c>
      <c r="F17" s="1" t="s">
        <v>159</v>
      </c>
      <c r="G17" s="1" t="s">
        <v>309</v>
      </c>
      <c r="H17" s="1" t="s">
        <v>30</v>
      </c>
      <c r="I17" s="1">
        <v>550</v>
      </c>
      <c r="J17" s="6">
        <v>44764</v>
      </c>
      <c r="K17" s="6" t="s">
        <v>173</v>
      </c>
      <c r="L17" s="26">
        <v>1</v>
      </c>
    </row>
    <row r="18" spans="1:12" ht="15" customHeight="1" x14ac:dyDescent="0.25">
      <c r="A18" s="1" t="s">
        <v>296</v>
      </c>
      <c r="B18" s="1" t="s">
        <v>18</v>
      </c>
      <c r="C18" s="1" t="s">
        <v>158</v>
      </c>
      <c r="D18" s="1" t="s">
        <v>28</v>
      </c>
      <c r="E18" s="1" t="s">
        <v>118</v>
      </c>
      <c r="F18" s="1" t="s">
        <v>159</v>
      </c>
      <c r="G18" s="1" t="s">
        <v>309</v>
      </c>
      <c r="H18" s="1" t="s">
        <v>30</v>
      </c>
      <c r="I18" s="1">
        <v>550</v>
      </c>
      <c r="J18" s="6">
        <v>44764</v>
      </c>
      <c r="K18" s="6" t="s">
        <v>175</v>
      </c>
      <c r="L18" s="26">
        <v>2.1444187967254818E-2</v>
      </c>
    </row>
    <row r="19" spans="1:12" ht="15" customHeight="1" x14ac:dyDescent="0.25">
      <c r="A19" s="1" t="s">
        <v>298</v>
      </c>
      <c r="B19" s="1" t="s">
        <v>21</v>
      </c>
      <c r="C19" s="1" t="s">
        <v>158</v>
      </c>
      <c r="D19" s="1" t="s">
        <v>28</v>
      </c>
      <c r="E19" s="1" t="s">
        <v>119</v>
      </c>
      <c r="F19" s="1" t="s">
        <v>159</v>
      </c>
      <c r="G19" s="1" t="s">
        <v>304</v>
      </c>
      <c r="H19" s="1" t="s">
        <v>30</v>
      </c>
      <c r="I19" s="1">
        <v>550</v>
      </c>
      <c r="J19" s="6">
        <v>44552</v>
      </c>
      <c r="K19" s="6" t="s">
        <v>173</v>
      </c>
      <c r="L19" s="26">
        <v>0.9255697418569333</v>
      </c>
    </row>
    <row r="20" spans="1:12" ht="15" customHeight="1" x14ac:dyDescent="0.25">
      <c r="A20" s="1" t="s">
        <v>299</v>
      </c>
      <c r="B20" s="1" t="s">
        <v>21</v>
      </c>
      <c r="C20" s="1" t="s">
        <v>158</v>
      </c>
      <c r="D20" s="1" t="s">
        <v>28</v>
      </c>
      <c r="E20" s="1" t="s">
        <v>118</v>
      </c>
      <c r="F20" s="1" t="s">
        <v>159</v>
      </c>
      <c r="G20" s="1" t="s">
        <v>309</v>
      </c>
      <c r="H20" s="1" t="s">
        <v>30</v>
      </c>
      <c r="I20" s="1">
        <v>550</v>
      </c>
      <c r="J20" s="6">
        <v>44531</v>
      </c>
      <c r="K20" s="6" t="s">
        <v>173</v>
      </c>
      <c r="L20" s="26">
        <v>0.8211594688855719</v>
      </c>
    </row>
    <row r="21" spans="1:12" ht="15" customHeight="1" x14ac:dyDescent="0.25">
      <c r="A21" s="1" t="s">
        <v>300</v>
      </c>
      <c r="B21" s="1" t="s">
        <v>18</v>
      </c>
      <c r="C21" s="1" t="s">
        <v>158</v>
      </c>
      <c r="D21" s="1" t="s">
        <v>28</v>
      </c>
      <c r="E21" s="1" t="s">
        <v>118</v>
      </c>
      <c r="F21" s="1" t="s">
        <v>159</v>
      </c>
      <c r="G21" s="1" t="s">
        <v>304</v>
      </c>
      <c r="H21" s="1" t="s">
        <v>30</v>
      </c>
      <c r="I21" s="1">
        <v>550</v>
      </c>
      <c r="J21" s="6"/>
      <c r="K21" s="6" t="s">
        <v>173</v>
      </c>
      <c r="L21" s="26">
        <v>0.80497521333811572</v>
      </c>
    </row>
    <row r="22" spans="1:12" ht="15" customHeight="1" x14ac:dyDescent="0.25">
      <c r="A22" s="1" t="s">
        <v>301</v>
      </c>
      <c r="B22" s="1" t="s">
        <v>21</v>
      </c>
      <c r="C22" s="1" t="s">
        <v>158</v>
      </c>
      <c r="D22" s="1" t="s">
        <v>113</v>
      </c>
      <c r="E22" s="1" t="s">
        <v>118</v>
      </c>
      <c r="F22" s="1" t="s">
        <v>159</v>
      </c>
      <c r="G22" s="1" t="s">
        <v>312</v>
      </c>
      <c r="H22" s="1" t="s">
        <v>30</v>
      </c>
      <c r="I22" s="1">
        <v>700</v>
      </c>
      <c r="J22" s="6">
        <v>44515</v>
      </c>
      <c r="K22" s="6" t="s">
        <v>173</v>
      </c>
      <c r="L22" s="26">
        <f>'Main Data'!AO30/'Main Data'!R30</f>
        <v>0.70448649247853057</v>
      </c>
    </row>
    <row r="23" spans="1:12" ht="15" customHeight="1" x14ac:dyDescent="0.25">
      <c r="A23" s="1" t="s">
        <v>302</v>
      </c>
      <c r="B23" s="1" t="s">
        <v>21</v>
      </c>
      <c r="C23" s="1" t="s">
        <v>158</v>
      </c>
      <c r="D23" s="1" t="s">
        <v>113</v>
      </c>
      <c r="E23" s="1" t="s">
        <v>119</v>
      </c>
      <c r="F23" s="1" t="s">
        <v>159</v>
      </c>
      <c r="G23" s="1" t="s">
        <v>308</v>
      </c>
      <c r="H23" s="1" t="s">
        <v>30</v>
      </c>
      <c r="I23" s="1">
        <v>1500</v>
      </c>
      <c r="J23" s="6">
        <v>44288</v>
      </c>
      <c r="K23" s="6" t="s">
        <v>173</v>
      </c>
      <c r="L23" s="26">
        <v>1</v>
      </c>
    </row>
    <row r="24" spans="1:12" ht="15" customHeight="1" x14ac:dyDescent="0.25">
      <c r="A24" s="1" t="s">
        <v>302</v>
      </c>
      <c r="B24" s="1" t="s">
        <v>21</v>
      </c>
      <c r="C24" s="1" t="s">
        <v>158</v>
      </c>
      <c r="D24" s="1" t="s">
        <v>113</v>
      </c>
      <c r="E24" s="1" t="s">
        <v>119</v>
      </c>
      <c r="F24" s="1" t="s">
        <v>159</v>
      </c>
      <c r="G24" s="1" t="s">
        <v>308</v>
      </c>
      <c r="H24" s="1" t="s">
        <v>30</v>
      </c>
      <c r="I24" s="1">
        <v>1500</v>
      </c>
      <c r="J24" s="6">
        <v>44288</v>
      </c>
      <c r="K24" s="6" t="s">
        <v>175</v>
      </c>
      <c r="L24" s="26">
        <v>1.024267773525513</v>
      </c>
    </row>
    <row r="25" spans="1:12" ht="15" customHeight="1" x14ac:dyDescent="0.25">
      <c r="A25" s="1" t="s">
        <v>303</v>
      </c>
      <c r="B25" s="1" t="s">
        <v>17</v>
      </c>
      <c r="C25" s="1" t="s">
        <v>158</v>
      </c>
      <c r="D25" s="1" t="s">
        <v>113</v>
      </c>
      <c r="E25" s="1" t="s">
        <v>118</v>
      </c>
      <c r="F25" s="1" t="s">
        <v>159</v>
      </c>
      <c r="G25" s="1" t="s">
        <v>305</v>
      </c>
      <c r="H25" s="1" t="s">
        <v>30</v>
      </c>
      <c r="I25" s="1">
        <v>1500</v>
      </c>
      <c r="J25" s="6">
        <v>44594</v>
      </c>
      <c r="K25" s="6" t="s">
        <v>173</v>
      </c>
      <c r="L25" s="26">
        <v>1</v>
      </c>
    </row>
    <row r="26" spans="1:12" ht="15" customHeight="1" x14ac:dyDescent="0.25">
      <c r="A26" s="1" t="s">
        <v>303</v>
      </c>
      <c r="B26" s="1" t="s">
        <v>17</v>
      </c>
      <c r="C26" s="1" t="s">
        <v>158</v>
      </c>
      <c r="D26" s="1" t="s">
        <v>113</v>
      </c>
      <c r="E26" s="1" t="s">
        <v>118</v>
      </c>
      <c r="F26" s="1" t="s">
        <v>159</v>
      </c>
      <c r="G26" s="1" t="s">
        <v>305</v>
      </c>
      <c r="H26" s="1" t="s">
        <v>30</v>
      </c>
      <c r="I26" s="1">
        <v>1500</v>
      </c>
      <c r="J26" s="6">
        <v>44594</v>
      </c>
      <c r="K26" s="6" t="s">
        <v>175</v>
      </c>
      <c r="L26" s="26">
        <v>0.90574570226442774</v>
      </c>
    </row>
    <row r="27" spans="1:12" ht="15" customHeight="1" x14ac:dyDescent="0.25">
      <c r="A27" s="1" t="s">
        <v>287</v>
      </c>
      <c r="B27" s="1" t="s">
        <v>18</v>
      </c>
      <c r="C27" s="1" t="s">
        <v>158</v>
      </c>
      <c r="D27" s="1" t="s">
        <v>28</v>
      </c>
      <c r="E27" s="1" t="s">
        <v>119</v>
      </c>
      <c r="F27" s="1" t="s">
        <v>159</v>
      </c>
      <c r="G27" s="1" t="s">
        <v>306</v>
      </c>
      <c r="H27" s="1" t="s">
        <v>30</v>
      </c>
      <c r="I27" s="1">
        <v>550</v>
      </c>
      <c r="J27" s="6">
        <v>44867</v>
      </c>
      <c r="K27" s="6" t="s">
        <v>173</v>
      </c>
      <c r="L27" s="26">
        <v>1</v>
      </c>
    </row>
    <row r="28" spans="1:12" ht="15" customHeight="1" x14ac:dyDescent="0.25">
      <c r="A28" s="1" t="s">
        <v>287</v>
      </c>
      <c r="B28" s="1" t="s">
        <v>18</v>
      </c>
      <c r="C28" s="1" t="s">
        <v>158</v>
      </c>
      <c r="D28" s="1" t="s">
        <v>28</v>
      </c>
      <c r="E28" s="1" t="s">
        <v>119</v>
      </c>
      <c r="F28" s="1" t="s">
        <v>159</v>
      </c>
      <c r="G28" s="1" t="s">
        <v>306</v>
      </c>
      <c r="H28" s="1" t="s">
        <v>30</v>
      </c>
      <c r="I28" s="1">
        <v>550</v>
      </c>
      <c r="J28" s="6">
        <v>44867</v>
      </c>
      <c r="K28" s="6" t="s">
        <v>175</v>
      </c>
      <c r="L28" s="26">
        <v>0.15487148398466399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 Data</vt:lpstr>
      <vt:lpstr>Graph</vt:lpstr>
      <vt:lpstr>Graph Center Gravity</vt:lpstr>
      <vt:lpstr>NPT Data</vt:lpstr>
      <vt:lpstr>Graph NPT</vt:lpstr>
      <vt:lpstr>NPT Data Edit</vt:lpstr>
      <vt:lpstr>Data Rig</vt:lpstr>
      <vt:lpstr>Graph NPT Edit</vt:lpstr>
      <vt:lpstr>Graph NPT Detail</vt:lpstr>
      <vt:lpstr>Graph NPT Detail Well</vt:lpstr>
      <vt:lpstr>Graph NPT Clustered Column</vt:lpstr>
      <vt:lpstr>Cost Data Edit</vt:lpstr>
      <vt:lpstr>Plan Actual Data Edit</vt:lpstr>
      <vt:lpstr>Cost Effectivity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2022-08-05T00:55:25Z</dcterms:created>
  <dcterms:modified xsi:type="dcterms:W3CDTF">2022-10-18T07:31:47Z</dcterms:modified>
</cp:coreProperties>
</file>