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66925"/>
  <mc:AlternateContent xmlns:mc="http://schemas.openxmlformats.org/markup-compatibility/2006">
    <mc:Choice Requires="x15">
      <x15ac:absPath xmlns:x15ac="http://schemas.microsoft.com/office/spreadsheetml/2010/11/ac" url="O:\Dasboard Folder\"/>
    </mc:Choice>
  </mc:AlternateContent>
  <xr:revisionPtr revIDLastSave="0" documentId="13_ncr:1_{967DFCDF-D8DF-42E0-881F-03B30234770F}" xr6:coauthVersionLast="47" xr6:coauthVersionMax="47" xr10:uidLastSave="{00000000-0000-0000-0000-000000000000}"/>
  <bookViews>
    <workbookView xWindow="-120" yWindow="-120" windowWidth="29040" windowHeight="15720" tabRatio="714" firstSheet="4" activeTab="5" xr2:uid="{F1FB4377-C200-C445-A12E-786CC3C8D538}"/>
  </bookViews>
  <sheets>
    <sheet name="Weekly Avl Seats Rev vs Cost" sheetId="136" state="hidden" r:id="rId1"/>
    <sheet name="Weekly Rotation Revenue" sheetId="130" state="hidden" r:id="rId2"/>
    <sheet name="For PNL Updates" sheetId="133" state="hidden" r:id="rId3"/>
    <sheet name="Summary" sheetId="117" state="hidden" r:id="rId4"/>
    <sheet name="Booking_Data" sheetId="118" r:id="rId5"/>
    <sheet name="PRL" sheetId="146" r:id="rId6"/>
    <sheet name="LookUp" sheetId="143" r:id="rId7"/>
    <sheet name="Flight Rotation Weeks" sheetId="94" r:id="rId8"/>
    <sheet name="Routes Taxes" sheetId="107" r:id="rId9"/>
    <sheet name="Flight Plan Budget" sheetId="113" r:id="rId10"/>
    <sheet name="Departure Date" sheetId="83" state="hidden" r:id="rId11"/>
  </sheets>
  <externalReferences>
    <externalReference r:id="rId12"/>
    <externalReference r:id="rId13"/>
  </externalReferences>
  <definedNames>
    <definedName name="_xlnm._FilterDatabase" localSheetId="7" hidden="1">'Flight Rotation Weeks'!$A$1:$Z$12</definedName>
    <definedName name="_xlnm._FilterDatabase" localSheetId="6" hidden="1">LookUp!$A$1:$AB$1024</definedName>
    <definedName name="_xlnm._FilterDatabase" localSheetId="8" hidden="1">'Routes Taxes'!$A$1:$O$77</definedName>
    <definedName name="E01_" localSheetId="10">'Departure Date'!#REF!</definedName>
    <definedName name="E01_" localSheetId="9">#REF!</definedName>
    <definedName name="E01_">#REF!</definedName>
    <definedName name="E02_" localSheetId="10">'Departure Date'!#REF!</definedName>
    <definedName name="E02_" localSheetId="9">#REF!</definedName>
    <definedName name="E02_">#REF!</definedName>
    <definedName name="E03_" localSheetId="10">'Departure Date'!#REF!</definedName>
    <definedName name="E03_" localSheetId="9">#REF!</definedName>
    <definedName name="E03_">#REF!</definedName>
    <definedName name="E04_" localSheetId="10">'Departure Date'!#REF!</definedName>
    <definedName name="E04_" localSheetId="9">#REF!</definedName>
    <definedName name="E04_">#REF!</definedName>
    <definedName name="Inventory" localSheetId="9">[1]!Table6[#All]</definedName>
    <definedName name="Inventory" localSheetId="3">#REF!</definedName>
    <definedName name="Inventory">#REF!</definedName>
    <definedName name="Route1" localSheetId="10">'Departure Date'!#REF!</definedName>
    <definedName name="Route1" localSheetId="9">#REF!</definedName>
    <definedName name="Route1">#REF!</definedName>
    <definedName name="Route2" localSheetId="10">'Departure Date'!#REF!</definedName>
    <definedName name="Route2" localSheetId="9">#REF!</definedName>
    <definedName name="Route2">#REF!</definedName>
    <definedName name="Route3" localSheetId="10">'Departure Date'!$A$34:$A$39</definedName>
    <definedName name="Route3" localSheetId="9">#REF!</definedName>
    <definedName name="Route3">#REF!</definedName>
    <definedName name="Routing" localSheetId="9">#REF!</definedName>
    <definedName name="Routing">#REF!</definedName>
    <definedName name="S01_" localSheetId="10">'Departure Date'!$B$4:$B$29</definedName>
    <definedName name="S01_" localSheetId="9">#REF!</definedName>
    <definedName name="S01_">#REF!</definedName>
    <definedName name="S02_" localSheetId="10">'Departure Date'!$F$4:$F$29</definedName>
    <definedName name="S02_" localSheetId="9">#REF!</definedName>
    <definedName name="S02_">#REF!</definedName>
    <definedName name="S03_" localSheetId="10">'Departure Date'!$I$4:$I$29</definedName>
    <definedName name="S03_" localSheetId="9">#REF!</definedName>
    <definedName name="S03_">#REF!</definedName>
    <definedName name="S04_" localSheetId="10">'Departure Date'!$J$4:$J$29</definedName>
    <definedName name="S04_" localSheetId="9">#REF!</definedName>
    <definedName name="S04_">#REF!</definedName>
    <definedName name="S05_" localSheetId="10">'Departure Date'!$K$4:$K$29</definedName>
    <definedName name="S05_" localSheetId="9">#REF!</definedName>
    <definedName name="S05_">#REF!</definedName>
    <definedName name="S06_" localSheetId="10">'Departure Date'!#REF!</definedName>
    <definedName name="S06_" localSheetId="9">#REF!</definedName>
    <definedName name="S06_">#REF!</definedName>
    <definedName name="S07_" localSheetId="10">'Departure Date'!#REF!</definedName>
    <definedName name="S07_" localSheetId="9">#REF!</definedName>
    <definedName name="S07_">#REF!</definedName>
    <definedName name="S08_" localSheetId="10">'Departure Date'!#REF!</definedName>
    <definedName name="S08_" localSheetId="9">#REF!</definedName>
    <definedName name="S08_">#REF!</definedName>
    <definedName name="S09_" localSheetId="10">'Departure Date'!#REF!</definedName>
    <definedName name="S09_" localSheetId="9">#REF!</definedName>
    <definedName name="S09_">#REF!</definedName>
    <definedName name="S10_" localSheetId="10">'Departure Date'!#REF!</definedName>
    <definedName name="S10_" localSheetId="9">#REF!</definedName>
    <definedName name="S10_">#REF!</definedName>
    <definedName name="S11_" localSheetId="10">'Departure Date'!#REF!</definedName>
    <definedName name="S11_" localSheetId="9">#REF!</definedName>
    <definedName name="S11_">#REF!</definedName>
    <definedName name="S12_" localSheetId="10">'Departure Date'!#REF!</definedName>
    <definedName name="S12_" localSheetId="9">#REF!</definedName>
    <definedName name="S12_">#REF!</definedName>
    <definedName name="S13_" localSheetId="10">'Departure Date'!#REF!</definedName>
    <definedName name="S13_" localSheetId="9">#REF!</definedName>
    <definedName name="S13_">#REF!</definedName>
    <definedName name="S14_" localSheetId="10">'Departure Date'!#REF!</definedName>
    <definedName name="S14_" localSheetId="9">#REF!</definedName>
    <definedName name="S14_">#REF!</definedName>
    <definedName name="S15_" localSheetId="10">'Departure Date'!#REF!</definedName>
    <definedName name="S15_" localSheetId="9">#REF!</definedName>
    <definedName name="S15_">#REF!</definedName>
    <definedName name="S16_" localSheetId="10">'Departure Date'!#REF!</definedName>
    <definedName name="S16_" localSheetId="9">#REF!</definedName>
    <definedName name="S16_">#REF!</definedName>
    <definedName name="S17_" localSheetId="10">'Departure Date'!#REF!</definedName>
    <definedName name="S17_" localSheetId="9">#REF!</definedName>
    <definedName name="S17_">#REF!</definedName>
    <definedName name="Slicer_BOOKING_STATUS11">#N/A</definedName>
    <definedName name="Slicer_BOOKING_STATUS2">#N/A</definedName>
    <definedName name="Slicer_CATEGORY2">#N/A</definedName>
    <definedName name="Slicer_CONTRACT_STATUS">#N/A</definedName>
    <definedName name="Slicer_CONTRIBUTOR2">#N/A</definedName>
    <definedName name="Slicer_DAY211">#N/A</definedName>
    <definedName name="Slicer_DAY3">#N/A</definedName>
    <definedName name="Slicer_FLIGHT_DATE1">#N/A</definedName>
    <definedName name="Slicer_FLT_NO11">#N/A</definedName>
    <definedName name="Slicer_FLT_NO2">#N/A</definedName>
    <definedName name="Slicer_ROUTE1">#N/A</definedName>
    <definedName name="Slicer_ROUTE21">#N/A</definedName>
    <definedName name="Slicer_SECTOR111">#N/A</definedName>
    <definedName name="Slicer_SECTOR2">#N/A</definedName>
  </definedNames>
  <calcPr calcId="191029"/>
  <pivotCaches>
    <pivotCache cacheId="348" r:id="rId14"/>
    <pivotCache cacheId="357"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146" l="1"/>
  <c r="L4" i="146"/>
  <c r="N4" i="146"/>
  <c r="O4" i="146"/>
  <c r="AD6" i="94" a="1"/>
  <c r="AD6" i="94" s="1"/>
  <c r="AF6" i="94"/>
  <c r="AG6" i="94" s="1"/>
  <c r="AK6" i="94" s="1"/>
  <c r="AH6" i="94"/>
  <c r="AI6" i="94" s="1"/>
  <c r="AM6" i="94"/>
  <c r="AD7" i="94" a="1"/>
  <c r="AD7" i="94" s="1"/>
  <c r="AF7" i="94"/>
  <c r="AG7" i="94" s="1"/>
  <c r="AK7" i="94" s="1"/>
  <c r="AH7" i="94"/>
  <c r="AI7" i="94"/>
  <c r="AM7" i="94"/>
  <c r="AD12" i="94" a="1"/>
  <c r="AD12" i="94" s="1"/>
  <c r="AF12" i="94"/>
  <c r="AG12" i="94" s="1"/>
  <c r="AK12" i="94" s="1"/>
  <c r="AH12" i="94"/>
  <c r="AI12" i="94" s="1"/>
  <c r="AM12" i="94"/>
  <c r="O3" i="146"/>
  <c r="N3" i="146"/>
  <c r="M3" i="146"/>
  <c r="L3" i="146"/>
  <c r="O2" i="146"/>
  <c r="N2" i="146"/>
  <c r="M2" i="146"/>
  <c r="L2" i="146"/>
  <c r="M12" i="113"/>
  <c r="L12" i="113"/>
  <c r="N12" i="113" s="1"/>
  <c r="I12" i="113"/>
  <c r="B12" i="113"/>
  <c r="A12" i="113"/>
  <c r="M11" i="113"/>
  <c r="L11" i="113"/>
  <c r="N11" i="113" s="1"/>
  <c r="I11" i="113"/>
  <c r="J11" i="113" s="1"/>
  <c r="R11" i="113" s="1"/>
  <c r="B11" i="113"/>
  <c r="A11" i="113"/>
  <c r="M10" i="113"/>
  <c r="L10" i="113"/>
  <c r="N10" i="113" s="1"/>
  <c r="I10" i="113"/>
  <c r="B10" i="113"/>
  <c r="A10" i="113"/>
  <c r="M9" i="113"/>
  <c r="L9" i="113"/>
  <c r="N9" i="113" s="1"/>
  <c r="I9" i="113"/>
  <c r="J9" i="113" s="1"/>
  <c r="R9" i="113" s="1"/>
  <c r="B9" i="113"/>
  <c r="A9" i="113"/>
  <c r="M8" i="113"/>
  <c r="L8" i="113"/>
  <c r="N8" i="113" s="1"/>
  <c r="I8" i="113"/>
  <c r="J8" i="113" s="1"/>
  <c r="R8" i="113" s="1"/>
  <c r="B8" i="113"/>
  <c r="A8" i="113"/>
  <c r="M7" i="113"/>
  <c r="L7" i="113"/>
  <c r="N7" i="113" s="1"/>
  <c r="I7" i="113"/>
  <c r="J7" i="113" s="1"/>
  <c r="R7" i="113" s="1"/>
  <c r="B7" i="113"/>
  <c r="A7" i="113"/>
  <c r="M6" i="113"/>
  <c r="L6" i="113"/>
  <c r="I6" i="113"/>
  <c r="J6" i="113" s="1"/>
  <c r="R6" i="113" s="1"/>
  <c r="B6" i="113"/>
  <c r="A6" i="113"/>
  <c r="M5" i="113"/>
  <c r="L5" i="113"/>
  <c r="N5" i="113" s="1"/>
  <c r="I5" i="113"/>
  <c r="J5" i="113" s="1"/>
  <c r="R5" i="113" s="1"/>
  <c r="B5" i="113"/>
  <c r="A5" i="113"/>
  <c r="N4" i="113"/>
  <c r="I4" i="113"/>
  <c r="J4" i="113" s="1"/>
  <c r="R4" i="113" s="1"/>
  <c r="M3" i="113"/>
  <c r="L3" i="113"/>
  <c r="N3" i="113" s="1"/>
  <c r="I3" i="113"/>
  <c r="J3" i="113" s="1"/>
  <c r="R3" i="113" s="1"/>
  <c r="B3" i="113"/>
  <c r="A3" i="113"/>
  <c r="N2" i="113"/>
  <c r="M2" i="113"/>
  <c r="I2" i="113"/>
  <c r="J2" i="113" s="1"/>
  <c r="R2" i="113" s="1"/>
  <c r="B2" i="113"/>
  <c r="A2" i="113"/>
  <c r="AE12" i="94" l="1"/>
  <c r="AE7" i="94"/>
  <c r="AE6" i="94"/>
  <c r="J12" i="113"/>
  <c r="R12" i="113" s="1"/>
  <c r="J10" i="113"/>
  <c r="R10" i="113" s="1"/>
  <c r="P51" i="118" l="1"/>
  <c r="S51" i="118"/>
  <c r="T51" i="118"/>
  <c r="V51" i="118"/>
  <c r="W51" i="118"/>
  <c r="U51" i="118" l="1"/>
  <c r="P50" i="118" l="1"/>
  <c r="S50" i="118"/>
  <c r="T50" i="118"/>
  <c r="V50" i="118"/>
  <c r="W50" i="118"/>
  <c r="P49" i="118"/>
  <c r="S49" i="118"/>
  <c r="T49" i="118"/>
  <c r="V49" i="118"/>
  <c r="W49" i="118"/>
  <c r="U50" i="118" l="1"/>
  <c r="U49" i="118"/>
  <c r="P45" i="118" l="1"/>
  <c r="P46" i="118"/>
  <c r="P47" i="118"/>
  <c r="P48" i="118"/>
  <c r="S45" i="118"/>
  <c r="S46" i="118"/>
  <c r="S47" i="118"/>
  <c r="S48" i="118"/>
  <c r="T45" i="118"/>
  <c r="T46" i="118"/>
  <c r="T47" i="118"/>
  <c r="T48" i="118"/>
  <c r="V45" i="118"/>
  <c r="V46" i="118"/>
  <c r="V47" i="118"/>
  <c r="V48" i="118"/>
  <c r="W45" i="118"/>
  <c r="W46" i="118"/>
  <c r="W47" i="118"/>
  <c r="W48" i="118"/>
  <c r="P44" i="118"/>
  <c r="S44" i="118"/>
  <c r="T44" i="118"/>
  <c r="V44" i="118"/>
  <c r="W44" i="118"/>
  <c r="U48" i="118" l="1"/>
  <c r="U47" i="118"/>
  <c r="U44" i="118"/>
  <c r="U46" i="118"/>
  <c r="U45" i="118"/>
  <c r="P42" i="118" l="1"/>
  <c r="P43" i="118"/>
  <c r="S42" i="118"/>
  <c r="S43" i="118"/>
  <c r="T42" i="118"/>
  <c r="T43" i="118"/>
  <c r="V42" i="118"/>
  <c r="V43" i="118"/>
  <c r="W42" i="118"/>
  <c r="W43" i="118"/>
  <c r="P38" i="118"/>
  <c r="P39" i="118"/>
  <c r="P40" i="118"/>
  <c r="P41" i="118"/>
  <c r="S38" i="118"/>
  <c r="S39" i="118"/>
  <c r="S40" i="118"/>
  <c r="S41" i="118"/>
  <c r="T38" i="118"/>
  <c r="T39" i="118"/>
  <c r="T40" i="118"/>
  <c r="T41" i="118"/>
  <c r="V38" i="118"/>
  <c r="V39" i="118"/>
  <c r="V40" i="118"/>
  <c r="V41" i="118"/>
  <c r="W38" i="118"/>
  <c r="W39" i="118"/>
  <c r="W40" i="118"/>
  <c r="W41" i="118"/>
  <c r="P37" i="118"/>
  <c r="S37" i="118"/>
  <c r="T37" i="118"/>
  <c r="V37" i="118"/>
  <c r="W37" i="118"/>
  <c r="U43" i="118" l="1"/>
  <c r="U42" i="118"/>
  <c r="U39" i="118"/>
  <c r="U38" i="118"/>
  <c r="U41" i="118"/>
  <c r="U40" i="118"/>
  <c r="AD11" i="94" a="1"/>
  <c r="AD11" i="94" s="1"/>
  <c r="AD9" i="94" a="1"/>
  <c r="AD9" i="94" s="1"/>
  <c r="U37" i="118"/>
  <c r="AD4" i="94" a="1"/>
  <c r="AD4" i="94" s="1"/>
  <c r="P29" i="118" l="1"/>
  <c r="P30" i="118"/>
  <c r="P31" i="118"/>
  <c r="P32" i="118"/>
  <c r="P33" i="118"/>
  <c r="P34" i="118"/>
  <c r="P35" i="118"/>
  <c r="P36" i="118"/>
  <c r="S29" i="118"/>
  <c r="S30" i="118"/>
  <c r="S31" i="118"/>
  <c r="S32" i="118"/>
  <c r="S33" i="118"/>
  <c r="S34" i="118"/>
  <c r="S35" i="118"/>
  <c r="S36" i="118"/>
  <c r="T29" i="118"/>
  <c r="T30" i="118"/>
  <c r="T31" i="118"/>
  <c r="T32" i="118"/>
  <c r="T33" i="118"/>
  <c r="T34" i="118"/>
  <c r="T35" i="118"/>
  <c r="T36" i="118"/>
  <c r="V29" i="118"/>
  <c r="V30" i="118"/>
  <c r="V31" i="118"/>
  <c r="V32" i="118"/>
  <c r="V33" i="118"/>
  <c r="V34" i="118"/>
  <c r="V35" i="118"/>
  <c r="V36" i="118"/>
  <c r="W29" i="118"/>
  <c r="W30" i="118"/>
  <c r="W31" i="118"/>
  <c r="W32" i="118"/>
  <c r="W33" i="118"/>
  <c r="W34" i="118"/>
  <c r="W35" i="118"/>
  <c r="W36" i="118"/>
  <c r="U31" i="118" l="1"/>
  <c r="U30" i="118"/>
  <c r="U32" i="118"/>
  <c r="U36" i="118"/>
  <c r="U29" i="118"/>
  <c r="U35" i="118"/>
  <c r="U34" i="118"/>
  <c r="U33" i="118"/>
  <c r="P27" i="118"/>
  <c r="S27" i="118"/>
  <c r="T27" i="118"/>
  <c r="V27" i="118"/>
  <c r="W27" i="118"/>
  <c r="U27" i="118" l="1"/>
  <c r="P28" i="118"/>
  <c r="S28" i="118"/>
  <c r="T28" i="118"/>
  <c r="V28" i="118"/>
  <c r="W28" i="118"/>
  <c r="U28" i="118" l="1"/>
  <c r="P25" i="118" l="1"/>
  <c r="P26" i="118"/>
  <c r="S25" i="118"/>
  <c r="S26" i="118"/>
  <c r="T25" i="118"/>
  <c r="T26" i="118"/>
  <c r="V25" i="118"/>
  <c r="V26" i="118"/>
  <c r="W25" i="118"/>
  <c r="W26" i="118"/>
  <c r="P24" i="118"/>
  <c r="S24" i="118"/>
  <c r="T24" i="118"/>
  <c r="V24" i="118"/>
  <c r="W24" i="118"/>
  <c r="P23" i="118"/>
  <c r="S23" i="118"/>
  <c r="T23" i="118"/>
  <c r="V23" i="118"/>
  <c r="W23" i="118"/>
  <c r="P22" i="118"/>
  <c r="S22" i="118"/>
  <c r="T22" i="118"/>
  <c r="V22" i="118"/>
  <c r="W22" i="118"/>
  <c r="W21" i="118"/>
  <c r="V21" i="118"/>
  <c r="T21" i="118"/>
  <c r="S21" i="118"/>
  <c r="P21" i="118"/>
  <c r="U26" i="118" l="1"/>
  <c r="U22" i="118"/>
  <c r="U24" i="118"/>
  <c r="U25" i="118"/>
  <c r="U23" i="118"/>
  <c r="U21" i="118"/>
  <c r="AC5" i="83" l="1"/>
  <c r="AC6" i="83" s="1"/>
  <c r="P20" i="118" l="1"/>
  <c r="S20" i="118"/>
  <c r="T20" i="118"/>
  <c r="V20" i="118"/>
  <c r="W20" i="118"/>
  <c r="P28" i="83"/>
  <c r="P29" i="83" s="1"/>
  <c r="AE5" i="83"/>
  <c r="AE6" i="83" s="1"/>
  <c r="AE7" i="83" s="1"/>
  <c r="AE8" i="83" s="1"/>
  <c r="AA5" i="83"/>
  <c r="AA6" i="83" s="1"/>
  <c r="AA7" i="83" s="1"/>
  <c r="AA8" i="83" s="1"/>
  <c r="AA9" i="83" s="1"/>
  <c r="AA10" i="83" s="1"/>
  <c r="Z5" i="83"/>
  <c r="Z6" i="83" s="1"/>
  <c r="Z7" i="83" s="1"/>
  <c r="Z8" i="83" s="1"/>
  <c r="Y5" i="83"/>
  <c r="Y6" i="83" s="1"/>
  <c r="Y7" i="83" s="1"/>
  <c r="Y8" i="83" s="1"/>
  <c r="Y9" i="83" s="1"/>
  <c r="Y10" i="83" s="1"/>
  <c r="X5" i="83"/>
  <c r="X6" i="83" s="1"/>
  <c r="X7" i="83" s="1"/>
  <c r="X8" i="83" s="1"/>
  <c r="X9" i="83" s="1"/>
  <c r="X10" i="83" s="1"/>
  <c r="W5" i="83"/>
  <c r="W6" i="83" s="1"/>
  <c r="W7" i="83" s="1"/>
  <c r="W8" i="83" s="1"/>
  <c r="W9" i="83" s="1"/>
  <c r="W10" i="83" s="1"/>
  <c r="V5" i="83"/>
  <c r="V6" i="83" s="1"/>
  <c r="V7" i="83" s="1"/>
  <c r="V8" i="83" s="1"/>
  <c r="V9" i="83" s="1"/>
  <c r="V10" i="83" s="1"/>
  <c r="U5" i="83"/>
  <c r="U6" i="83" s="1"/>
  <c r="U7" i="83" s="1"/>
  <c r="U8" i="83" s="1"/>
  <c r="U9" i="83" s="1"/>
  <c r="U10" i="83" s="1"/>
  <c r="U11" i="83" s="1"/>
  <c r="U12" i="83" s="1"/>
  <c r="U13" i="83" s="1"/>
  <c r="U14" i="83" s="1"/>
  <c r="U15" i="83" s="1"/>
  <c r="U16" i="83" s="1"/>
  <c r="U17" i="83" s="1"/>
  <c r="U18" i="83" s="1"/>
  <c r="U19" i="83" s="1"/>
  <c r="U20" i="83" s="1"/>
  <c r="U21" i="83" s="1"/>
  <c r="U22" i="83" s="1"/>
  <c r="T5" i="83"/>
  <c r="T6" i="83" s="1"/>
  <c r="T7" i="83" s="1"/>
  <c r="T8" i="83" s="1"/>
  <c r="T9" i="83" s="1"/>
  <c r="T10" i="83" s="1"/>
  <c r="T11" i="83" s="1"/>
  <c r="T12" i="83" s="1"/>
  <c r="T13" i="83" s="1"/>
  <c r="T14" i="83" s="1"/>
  <c r="T15" i="83" s="1"/>
  <c r="T16" i="83" s="1"/>
  <c r="T17" i="83" s="1"/>
  <c r="T18" i="83" s="1"/>
  <c r="T19" i="83" s="1"/>
  <c r="T20" i="83" s="1"/>
  <c r="T21" i="83" s="1"/>
  <c r="T22" i="83" s="1"/>
  <c r="S5" i="83"/>
  <c r="S6" i="83" s="1"/>
  <c r="S7" i="83" s="1"/>
  <c r="S8" i="83" s="1"/>
  <c r="S9" i="83" s="1"/>
  <c r="S10" i="83" s="1"/>
  <c r="S11" i="83" s="1"/>
  <c r="S12" i="83" s="1"/>
  <c r="S13" i="83" s="1"/>
  <c r="S14" i="83" s="1"/>
  <c r="S15" i="83" s="1"/>
  <c r="S16" i="83" s="1"/>
  <c r="S17" i="83" s="1"/>
  <c r="S18" i="83" s="1"/>
  <c r="S19" i="83" s="1"/>
  <c r="S20" i="83" s="1"/>
  <c r="S21" i="83" s="1"/>
  <c r="S22" i="83" s="1"/>
  <c r="R5" i="83"/>
  <c r="R6" i="83" s="1"/>
  <c r="R7" i="83" s="1"/>
  <c r="R8" i="83" s="1"/>
  <c r="R9" i="83" s="1"/>
  <c r="R10" i="83" s="1"/>
  <c r="Q5" i="83"/>
  <c r="Q6" i="83" s="1"/>
  <c r="Q7" i="83" s="1"/>
  <c r="Q8" i="83" s="1"/>
  <c r="Q9" i="83" s="1"/>
  <c r="Q10" i="83" s="1"/>
  <c r="P5" i="83"/>
  <c r="P6" i="83" s="1"/>
  <c r="P7" i="83" s="1"/>
  <c r="P8" i="83" s="1"/>
  <c r="P9" i="83" s="1"/>
  <c r="P10" i="83" s="1"/>
  <c r="P11" i="83" s="1"/>
  <c r="P12" i="83" s="1"/>
  <c r="P13" i="83" s="1"/>
  <c r="P14" i="83" s="1"/>
  <c r="P15" i="83" s="1"/>
  <c r="P16" i="83" s="1"/>
  <c r="P17" i="83" s="1"/>
  <c r="P18" i="83" s="1"/>
  <c r="P19" i="83" s="1"/>
  <c r="P20" i="83" s="1"/>
  <c r="P21" i="83" s="1"/>
  <c r="P22" i="83" s="1"/>
  <c r="P23" i="83" s="1"/>
  <c r="P24" i="83" s="1"/>
  <c r="P25" i="83" s="1"/>
  <c r="P26" i="83" s="1"/>
  <c r="O5" i="83"/>
  <c r="O6" i="83" s="1"/>
  <c r="N5" i="83"/>
  <c r="N6" i="83" s="1"/>
  <c r="M5" i="83"/>
  <c r="M6" i="83" s="1"/>
  <c r="M7" i="83" s="1"/>
  <c r="M8" i="83" s="1"/>
  <c r="L5" i="83"/>
  <c r="L6" i="83" s="1"/>
  <c r="L7" i="83" s="1"/>
  <c r="L8" i="83" s="1"/>
  <c r="K5" i="83"/>
  <c r="K6" i="83" s="1"/>
  <c r="I5" i="83"/>
  <c r="H5" i="83"/>
  <c r="H6" i="83" s="1"/>
  <c r="F5" i="83"/>
  <c r="F6" i="83" s="1"/>
  <c r="D5" i="83"/>
  <c r="D6" i="83" s="1"/>
  <c r="BQ10" i="136"/>
  <c r="AW48" i="136"/>
  <c r="AU48" i="136"/>
  <c r="BR47" i="136"/>
  <c r="BQ47" i="136"/>
  <c r="BP47" i="136"/>
  <c r="AN47" i="136"/>
  <c r="AM47" i="136"/>
  <c r="AV47" i="136" s="1"/>
  <c r="AL47" i="136"/>
  <c r="AK47" i="136"/>
  <c r="AJ47" i="136"/>
  <c r="AG47" i="136"/>
  <c r="AF47" i="136"/>
  <c r="AE47" i="136"/>
  <c r="AD47" i="136"/>
  <c r="AC47" i="136"/>
  <c r="BR46" i="136"/>
  <c r="BQ46" i="136"/>
  <c r="BP46" i="136"/>
  <c r="AN46" i="136"/>
  <c r="AM46" i="136"/>
  <c r="AL46" i="136"/>
  <c r="AK46" i="136"/>
  <c r="AJ46" i="136"/>
  <c r="AI46" i="136"/>
  <c r="BF46" i="136" s="1"/>
  <c r="AG46" i="136"/>
  <c r="AF46" i="136"/>
  <c r="AE46" i="136"/>
  <c r="AD46" i="136"/>
  <c r="AC46" i="136"/>
  <c r="AB46" i="136"/>
  <c r="BD46" i="136" s="1"/>
  <c r="AN40" i="136"/>
  <c r="AM40" i="136"/>
  <c r="AL40" i="136"/>
  <c r="AK40" i="136"/>
  <c r="AJ40" i="136"/>
  <c r="AN39" i="136"/>
  <c r="AM39" i="136"/>
  <c r="AL39" i="136"/>
  <c r="AK39" i="136"/>
  <c r="AJ39" i="136"/>
  <c r="AN38" i="136"/>
  <c r="AM38" i="136"/>
  <c r="AL38" i="136"/>
  <c r="AK38" i="136"/>
  <c r="AJ38" i="136"/>
  <c r="AN37" i="136"/>
  <c r="AM37" i="136"/>
  <c r="AL37" i="136"/>
  <c r="AK37" i="136"/>
  <c r="AJ37" i="136"/>
  <c r="AN36" i="136"/>
  <c r="AM36" i="136"/>
  <c r="AL36" i="136"/>
  <c r="AK36" i="136"/>
  <c r="AJ36" i="136"/>
  <c r="AN29" i="136"/>
  <c r="AM29" i="136"/>
  <c r="AL29" i="136"/>
  <c r="AK29" i="136"/>
  <c r="AJ29" i="136"/>
  <c r="AN28" i="136"/>
  <c r="AM28" i="136"/>
  <c r="AL28" i="136"/>
  <c r="AK28" i="136"/>
  <c r="AJ28" i="136"/>
  <c r="AN27" i="136"/>
  <c r="AM27" i="136"/>
  <c r="AL27" i="136"/>
  <c r="AK27" i="136"/>
  <c r="AJ27" i="136"/>
  <c r="AN26" i="136"/>
  <c r="AM26" i="136"/>
  <c r="AL26" i="136"/>
  <c r="AK26" i="136"/>
  <c r="AJ26" i="136"/>
  <c r="AN20" i="136"/>
  <c r="AM20" i="136"/>
  <c r="AL20" i="136"/>
  <c r="AK20" i="136"/>
  <c r="AJ20" i="136"/>
  <c r="AN19" i="136"/>
  <c r="AM19" i="136"/>
  <c r="AL19" i="136"/>
  <c r="AK19" i="136"/>
  <c r="AJ19" i="136"/>
  <c r="AN18" i="136"/>
  <c r="AM18" i="136"/>
  <c r="AL18" i="136"/>
  <c r="AK18" i="136"/>
  <c r="AJ18" i="136"/>
  <c r="AN17" i="136"/>
  <c r="AM17" i="136"/>
  <c r="AL17" i="136"/>
  <c r="AK17" i="136"/>
  <c r="AJ17" i="136"/>
  <c r="AN16" i="136"/>
  <c r="AM16" i="136"/>
  <c r="AL16" i="136"/>
  <c r="AK16" i="136"/>
  <c r="AJ16" i="136"/>
  <c r="AN9" i="136"/>
  <c r="AM9" i="136"/>
  <c r="AL9" i="136"/>
  <c r="AK9" i="136"/>
  <c r="AJ9" i="136"/>
  <c r="AN8" i="136"/>
  <c r="AM8" i="136"/>
  <c r="AL8" i="136"/>
  <c r="AK8" i="136"/>
  <c r="AJ8" i="136"/>
  <c r="AN7" i="136"/>
  <c r="AM7" i="136"/>
  <c r="AL7" i="136"/>
  <c r="AK7" i="136"/>
  <c r="AJ7" i="136"/>
  <c r="AG40" i="136"/>
  <c r="AF40" i="136"/>
  <c r="AE40" i="136"/>
  <c r="AD40" i="136"/>
  <c r="AC40" i="136"/>
  <c r="AG39" i="136"/>
  <c r="AF39" i="136"/>
  <c r="AE39" i="136"/>
  <c r="AD39" i="136"/>
  <c r="AC39" i="136"/>
  <c r="AG38" i="136"/>
  <c r="AF38" i="136"/>
  <c r="AE38" i="136"/>
  <c r="AD38" i="136"/>
  <c r="AC38" i="136"/>
  <c r="AG37" i="136"/>
  <c r="AF37" i="136"/>
  <c r="AE37" i="136"/>
  <c r="AD37" i="136"/>
  <c r="AC37" i="136"/>
  <c r="AG36" i="136"/>
  <c r="AF36" i="136"/>
  <c r="AE36" i="136"/>
  <c r="AD36" i="136"/>
  <c r="AC36" i="136"/>
  <c r="AG29" i="136"/>
  <c r="AF29" i="136"/>
  <c r="AE29" i="136"/>
  <c r="AD29" i="136"/>
  <c r="AC29" i="136"/>
  <c r="AG28" i="136"/>
  <c r="AF28" i="136"/>
  <c r="AE28" i="136"/>
  <c r="AD28" i="136"/>
  <c r="AC28" i="136"/>
  <c r="AG27" i="136"/>
  <c r="AF27" i="136"/>
  <c r="AE27" i="136"/>
  <c r="AD27" i="136"/>
  <c r="AC27" i="136"/>
  <c r="AG26" i="136"/>
  <c r="AF26" i="136"/>
  <c r="AE26" i="136"/>
  <c r="AD26" i="136"/>
  <c r="AC26" i="136"/>
  <c r="AG20" i="136"/>
  <c r="AF20" i="136"/>
  <c r="AE20" i="136"/>
  <c r="AD20" i="136"/>
  <c r="AC20" i="136"/>
  <c r="AG19" i="136"/>
  <c r="AF19" i="136"/>
  <c r="AE19" i="136"/>
  <c r="AD19" i="136"/>
  <c r="AC19" i="136"/>
  <c r="AG18" i="136"/>
  <c r="AF18" i="136"/>
  <c r="AE18" i="136"/>
  <c r="AD18" i="136"/>
  <c r="AC18" i="136"/>
  <c r="AG17" i="136"/>
  <c r="AF17" i="136"/>
  <c r="AE17" i="136"/>
  <c r="AD17" i="136"/>
  <c r="AC17" i="136"/>
  <c r="AG16" i="136"/>
  <c r="AF16" i="136"/>
  <c r="AE16" i="136"/>
  <c r="AD16" i="136"/>
  <c r="AC16" i="136"/>
  <c r="AG9" i="136"/>
  <c r="AF9" i="136"/>
  <c r="AE9" i="136"/>
  <c r="AD9" i="136"/>
  <c r="AC9" i="136"/>
  <c r="AG8" i="136"/>
  <c r="AF8" i="136"/>
  <c r="AE8" i="136"/>
  <c r="AD8" i="136"/>
  <c r="AC8" i="136"/>
  <c r="AG7" i="136"/>
  <c r="AF7" i="136"/>
  <c r="AE7" i="136"/>
  <c r="AD7" i="136"/>
  <c r="AC7" i="136"/>
  <c r="AG6" i="136"/>
  <c r="AB16" i="136"/>
  <c r="AB17" i="136" s="1"/>
  <c r="AB18" i="136" s="1"/>
  <c r="AB19" i="136" s="1"/>
  <c r="AB20" i="136" s="1"/>
  <c r="AI16" i="136"/>
  <c r="AI17" i="136" s="1"/>
  <c r="AI18" i="136" s="1"/>
  <c r="AI19" i="136" s="1"/>
  <c r="AI20" i="136" s="1"/>
  <c r="AN6" i="136"/>
  <c r="AM6" i="136"/>
  <c r="AV6" i="136" s="1"/>
  <c r="AL6" i="136"/>
  <c r="AK6" i="136"/>
  <c r="AE6" i="136"/>
  <c r="AF6" i="136"/>
  <c r="AD6" i="136"/>
  <c r="BP40" i="136"/>
  <c r="BQ40" i="136"/>
  <c r="BR40" i="136"/>
  <c r="BR39" i="136"/>
  <c r="BQ39" i="136"/>
  <c r="BP39" i="136"/>
  <c r="BR38" i="136"/>
  <c r="BQ38" i="136"/>
  <c r="BP38" i="136"/>
  <c r="BR37" i="136"/>
  <c r="BQ37" i="136"/>
  <c r="BP37" i="136"/>
  <c r="BR36" i="136"/>
  <c r="BQ36" i="136"/>
  <c r="BP36" i="136"/>
  <c r="AI36" i="136"/>
  <c r="AI37" i="136" s="1"/>
  <c r="AB36" i="136"/>
  <c r="AB37" i="136" s="1"/>
  <c r="BP20" i="136"/>
  <c r="BQ20" i="136"/>
  <c r="BR20" i="136"/>
  <c r="BR19" i="136"/>
  <c r="BQ19" i="136"/>
  <c r="BP19" i="136"/>
  <c r="BR18" i="136"/>
  <c r="BQ18" i="136"/>
  <c r="BP18" i="136"/>
  <c r="BR17" i="136"/>
  <c r="BQ17" i="136"/>
  <c r="BP17" i="136"/>
  <c r="BR16" i="136"/>
  <c r="BQ16" i="136"/>
  <c r="BQ21" i="136" s="1"/>
  <c r="BP16" i="136"/>
  <c r="BR29" i="136"/>
  <c r="BQ29" i="136"/>
  <c r="BP29" i="136"/>
  <c r="BR28" i="136"/>
  <c r="BQ28" i="136"/>
  <c r="BP28" i="136"/>
  <c r="BR27" i="136"/>
  <c r="BQ27" i="136"/>
  <c r="BP27" i="136"/>
  <c r="BR26" i="136"/>
  <c r="BQ26" i="136"/>
  <c r="BP26" i="136"/>
  <c r="AI26" i="136"/>
  <c r="AI27" i="136" s="1"/>
  <c r="AB26" i="136"/>
  <c r="AB27" i="136" s="1"/>
  <c r="BR7" i="136"/>
  <c r="BS7" i="136" s="1"/>
  <c r="BR8" i="136"/>
  <c r="BS8" i="136" s="1"/>
  <c r="BR9" i="136"/>
  <c r="BR6" i="136"/>
  <c r="BQ7" i="136"/>
  <c r="BQ8" i="136"/>
  <c r="BQ9" i="136"/>
  <c r="BQ6" i="136"/>
  <c r="BC10" i="136"/>
  <c r="AJ6" i="136"/>
  <c r="AI6" i="136"/>
  <c r="AR17" i="136" l="1"/>
  <c r="AL48" i="136"/>
  <c r="BP48" i="136"/>
  <c r="BS17" i="136"/>
  <c r="BT17" i="136" s="1"/>
  <c r="U20" i="118"/>
  <c r="BG46" i="136"/>
  <c r="BS39" i="136"/>
  <c r="BT39" i="136" s="1"/>
  <c r="BS28" i="136"/>
  <c r="BT28" i="136" s="1"/>
  <c r="AN48" i="136"/>
  <c r="BP41" i="136"/>
  <c r="BP30" i="136"/>
  <c r="BR21" i="136"/>
  <c r="BR10" i="136"/>
  <c r="BS36" i="136"/>
  <c r="BT36" i="136" s="1"/>
  <c r="AS17" i="136"/>
  <c r="AM48" i="136"/>
  <c r="BP21" i="136"/>
  <c r="BS29" i="136"/>
  <c r="BT29" i="136" s="1"/>
  <c r="AK48" i="136"/>
  <c r="AR19" i="136"/>
  <c r="AQ16" i="136"/>
  <c r="AF48" i="136"/>
  <c r="AD48" i="136"/>
  <c r="AG48" i="136"/>
  <c r="AE48" i="136"/>
  <c r="AR16" i="136"/>
  <c r="BS38" i="136"/>
  <c r="BT38" i="136" s="1"/>
  <c r="AP16" i="136"/>
  <c r="AB47" i="136"/>
  <c r="BD47" i="136" s="1"/>
  <c r="BE47" i="136" s="1"/>
  <c r="BS47" i="136"/>
  <c r="BT47" i="136" s="1"/>
  <c r="BS20" i="136"/>
  <c r="BT20" i="136" s="1"/>
  <c r="AS20" i="136"/>
  <c r="AS19" i="136"/>
  <c r="AS16" i="136"/>
  <c r="BS16" i="136"/>
  <c r="BS40" i="136"/>
  <c r="BT40" i="136" s="1"/>
  <c r="AR18" i="136"/>
  <c r="AQ47" i="136"/>
  <c r="AS47" i="136"/>
  <c r="AP19" i="136"/>
  <c r="AS18" i="136"/>
  <c r="AQ19" i="136"/>
  <c r="AR20" i="136"/>
  <c r="BS9" i="136"/>
  <c r="BQ41" i="136"/>
  <c r="AP20" i="136"/>
  <c r="AQ20" i="136"/>
  <c r="BQ30" i="136"/>
  <c r="BS19" i="136"/>
  <c r="BT19" i="136" s="1"/>
  <c r="AX47" i="136"/>
  <c r="AY47" i="136" s="1"/>
  <c r="AR47" i="136"/>
  <c r="AP47" i="136"/>
  <c r="AI47" i="136"/>
  <c r="BH46" i="136"/>
  <c r="BE46" i="136"/>
  <c r="BS46" i="136"/>
  <c r="AQ46" i="136"/>
  <c r="AS46" i="136"/>
  <c r="AV46" i="136"/>
  <c r="AV48" i="136" s="1"/>
  <c r="AX46" i="136"/>
  <c r="AP46" i="136"/>
  <c r="AR46" i="136"/>
  <c r="AP17" i="136"/>
  <c r="AP18" i="136"/>
  <c r="AQ17" i="136"/>
  <c r="AQ18" i="136"/>
  <c r="BS26" i="136"/>
  <c r="BT26" i="136" s="1"/>
  <c r="BS18" i="136"/>
  <c r="BT18" i="136" s="1"/>
  <c r="BS37" i="136"/>
  <c r="BT37" i="136" s="1"/>
  <c r="BR41" i="136"/>
  <c r="AI28" i="136"/>
  <c r="AI29" i="136" s="1"/>
  <c r="BF29" i="136" s="1"/>
  <c r="BG29" i="136" s="1"/>
  <c r="BF27" i="136"/>
  <c r="BG27" i="136" s="1"/>
  <c r="BF26" i="136"/>
  <c r="BG26" i="136" s="1"/>
  <c r="BR30" i="136"/>
  <c r="BS27" i="136"/>
  <c r="AL10" i="136"/>
  <c r="AP9" i="136"/>
  <c r="AM10" i="136"/>
  <c r="AV7" i="136"/>
  <c r="AV8" i="136"/>
  <c r="AP8" i="136"/>
  <c r="AV9" i="136"/>
  <c r="AF10" i="136"/>
  <c r="AE10" i="136"/>
  <c r="AP6" i="136"/>
  <c r="AK10" i="136"/>
  <c r="AD10" i="136"/>
  <c r="AP7" i="136"/>
  <c r="AI38" i="136"/>
  <c r="BF38" i="136" s="1"/>
  <c r="BG38" i="136" s="1"/>
  <c r="BF37" i="136"/>
  <c r="BG37" i="136" s="1"/>
  <c r="BF18" i="136"/>
  <c r="BG18" i="136" s="1"/>
  <c r="BF17" i="136"/>
  <c r="BG17" i="136" s="1"/>
  <c r="BF16" i="136"/>
  <c r="BG16" i="136" s="1"/>
  <c r="BF36" i="136"/>
  <c r="BG36" i="136" s="1"/>
  <c r="AD21" i="136"/>
  <c r="AX40" i="136"/>
  <c r="AV40" i="136"/>
  <c r="AS40" i="136"/>
  <c r="AR40" i="136"/>
  <c r="AQ40" i="136"/>
  <c r="AP40" i="136"/>
  <c r="AX38" i="136"/>
  <c r="AV38" i="136"/>
  <c r="AP37" i="136"/>
  <c r="AQ37" i="136"/>
  <c r="AR37" i="136"/>
  <c r="AS37" i="136"/>
  <c r="AP36" i="136"/>
  <c r="AQ36" i="136"/>
  <c r="AR36" i="136"/>
  <c r="AX37" i="136"/>
  <c r="AV37" i="136"/>
  <c r="AP39" i="136"/>
  <c r="AS36" i="136"/>
  <c r="AQ39" i="136"/>
  <c r="AR39" i="136"/>
  <c r="AS39" i="136"/>
  <c r="AX36" i="136"/>
  <c r="AV36" i="136"/>
  <c r="AP38" i="136"/>
  <c r="AQ38" i="136"/>
  <c r="AR38" i="136"/>
  <c r="AX39" i="136"/>
  <c r="AV39" i="136"/>
  <c r="AS38" i="136"/>
  <c r="BD37" i="136"/>
  <c r="AB38" i="136"/>
  <c r="BD36" i="136"/>
  <c r="AX20" i="136"/>
  <c r="AV20" i="136"/>
  <c r="AX18" i="136"/>
  <c r="AV18" i="136"/>
  <c r="AX17" i="136"/>
  <c r="AV17" i="136"/>
  <c r="AX16" i="136"/>
  <c r="AV16" i="136"/>
  <c r="AX19" i="136"/>
  <c r="AV19" i="136"/>
  <c r="BD17" i="136"/>
  <c r="BD16" i="136"/>
  <c r="AQ26" i="136"/>
  <c r="AR26" i="136"/>
  <c r="AX27" i="136"/>
  <c r="AV27" i="136"/>
  <c r="AP29" i="136"/>
  <c r="AS26" i="136"/>
  <c r="AQ29" i="136"/>
  <c r="AR29" i="136"/>
  <c r="AS29" i="136"/>
  <c r="AX28" i="136"/>
  <c r="AV28" i="136"/>
  <c r="AP28" i="136"/>
  <c r="AX29" i="136"/>
  <c r="AV29" i="136"/>
  <c r="AP27" i="136"/>
  <c r="AQ27" i="136"/>
  <c r="AR27" i="136"/>
  <c r="AS27" i="136"/>
  <c r="AP26" i="136"/>
  <c r="AV26" i="136"/>
  <c r="AX26" i="136"/>
  <c r="AQ28" i="136"/>
  <c r="AR28" i="136"/>
  <c r="AS28" i="136"/>
  <c r="BD27" i="136"/>
  <c r="BE27" i="136" s="1"/>
  <c r="AB28" i="136"/>
  <c r="BD26" i="136"/>
  <c r="AN10" i="136"/>
  <c r="AC10" i="136"/>
  <c r="AC6" i="136"/>
  <c r="AB6" i="136"/>
  <c r="AB7" i="136" s="1"/>
  <c r="AB8" i="136" s="1"/>
  <c r="AB9" i="136" s="1"/>
  <c r="BQ106" i="136"/>
  <c r="BR105" i="136"/>
  <c r="BS105" i="136" s="1"/>
  <c r="BP105" i="136"/>
  <c r="BR104" i="136"/>
  <c r="BS104" i="136" s="1"/>
  <c r="BP104" i="136"/>
  <c r="BR103" i="136"/>
  <c r="BS103" i="136" s="1"/>
  <c r="BP103" i="136"/>
  <c r="BR102" i="136"/>
  <c r="BS102" i="136" s="1"/>
  <c r="BP102" i="136"/>
  <c r="BR101" i="136"/>
  <c r="BS101" i="136" s="1"/>
  <c r="BP101" i="136"/>
  <c r="BR100" i="136"/>
  <c r="BS100" i="136" s="1"/>
  <c r="BP100" i="136"/>
  <c r="BR99" i="136"/>
  <c r="BP99" i="136"/>
  <c r="AY40" i="136" l="1"/>
  <c r="BA40" i="136" s="1"/>
  <c r="AY39" i="136"/>
  <c r="BA39" i="136" s="1"/>
  <c r="AY37" i="136"/>
  <c r="BA37" i="136" s="1"/>
  <c r="AY20" i="136"/>
  <c r="BA20" i="136" s="1"/>
  <c r="BT16" i="136"/>
  <c r="BT21" i="136" s="1"/>
  <c r="BS21" i="136"/>
  <c r="AR48" i="136"/>
  <c r="AX48" i="136"/>
  <c r="AS48" i="136"/>
  <c r="AQ48" i="136"/>
  <c r="AP48" i="136"/>
  <c r="BS41" i="136"/>
  <c r="AV10" i="136"/>
  <c r="AV21" i="136"/>
  <c r="BA47" i="136"/>
  <c r="AY28" i="136"/>
  <c r="BA28" i="136" s="1"/>
  <c r="BT46" i="136"/>
  <c r="BF47" i="136"/>
  <c r="BI46" i="136"/>
  <c r="AY46" i="136"/>
  <c r="AY48" i="136" s="1"/>
  <c r="AY17" i="136"/>
  <c r="BA17" i="136" s="1"/>
  <c r="AY18" i="136"/>
  <c r="BA18" i="136" s="1"/>
  <c r="AY19" i="136"/>
  <c r="BA19" i="136" s="1"/>
  <c r="BS30" i="136"/>
  <c r="AY27" i="136"/>
  <c r="BA27" i="136" s="1"/>
  <c r="BF28" i="136"/>
  <c r="BG28" i="136" s="1"/>
  <c r="BH26" i="136"/>
  <c r="BT41" i="136"/>
  <c r="AY29" i="136"/>
  <c r="BA29" i="136" s="1"/>
  <c r="BI27" i="136"/>
  <c r="BJ27" i="136" s="1"/>
  <c r="BH27" i="136"/>
  <c r="BT27" i="136"/>
  <c r="BT30" i="136" s="1"/>
  <c r="BH16" i="136"/>
  <c r="BH36" i="136"/>
  <c r="AY38" i="136"/>
  <c r="BA38" i="136" s="1"/>
  <c r="AG10" i="136"/>
  <c r="AP10" i="136"/>
  <c r="BP106" i="136"/>
  <c r="BR106" i="136"/>
  <c r="BH17" i="136"/>
  <c r="BH37" i="136"/>
  <c r="AI39" i="136"/>
  <c r="BT101" i="136"/>
  <c r="BD38" i="136"/>
  <c r="AB39" i="136"/>
  <c r="BE36" i="136"/>
  <c r="BI36" i="136" s="1"/>
  <c r="BJ36" i="136" s="1"/>
  <c r="BL36" i="136" s="1"/>
  <c r="BE37" i="136"/>
  <c r="BI37" i="136" s="1"/>
  <c r="BJ37" i="136" s="1"/>
  <c r="AY36" i="136"/>
  <c r="BD18" i="136"/>
  <c r="BE16" i="136"/>
  <c r="BI16" i="136" s="1"/>
  <c r="BJ16" i="136" s="1"/>
  <c r="BL16" i="136" s="1"/>
  <c r="BE17" i="136"/>
  <c r="BI17" i="136" s="1"/>
  <c r="BJ17" i="136" s="1"/>
  <c r="AY16" i="136"/>
  <c r="BD28" i="136"/>
  <c r="AB29" i="136"/>
  <c r="BD29" i="136" s="1"/>
  <c r="AY26" i="136"/>
  <c r="BA26" i="136" s="1"/>
  <c r="BE26" i="136"/>
  <c r="BI26" i="136" s="1"/>
  <c r="BJ26" i="136" s="1"/>
  <c r="BL26" i="136" s="1"/>
  <c r="BT103" i="136"/>
  <c r="BT100" i="136"/>
  <c r="BT104" i="136"/>
  <c r="BT105" i="136"/>
  <c r="BT102" i="136"/>
  <c r="BS99" i="136"/>
  <c r="BS106" i="136" s="1"/>
  <c r="BN37" i="136" l="1"/>
  <c r="BA30" i="136"/>
  <c r="BN27" i="136"/>
  <c r="BN36" i="136"/>
  <c r="BN17" i="136"/>
  <c r="BA46" i="136"/>
  <c r="BA48" i="136" s="1"/>
  <c r="BG47" i="136"/>
  <c r="BI47" i="136" s="1"/>
  <c r="BJ47" i="136" s="1"/>
  <c r="BH47" i="136"/>
  <c r="BJ46" i="136"/>
  <c r="BL27" i="136"/>
  <c r="BT99" i="136"/>
  <c r="BT106" i="136" s="1"/>
  <c r="BF19" i="136"/>
  <c r="BG19" i="136" s="1"/>
  <c r="BF20" i="136"/>
  <c r="BG20" i="136" s="1"/>
  <c r="BD19" i="136"/>
  <c r="BD20" i="136"/>
  <c r="BD39" i="136"/>
  <c r="AB40" i="136"/>
  <c r="BD40" i="136" s="1"/>
  <c r="BF39" i="136"/>
  <c r="BG39" i="136" s="1"/>
  <c r="AI40" i="136"/>
  <c r="BF40" i="136" s="1"/>
  <c r="BG40" i="136" s="1"/>
  <c r="BN16" i="136"/>
  <c r="BL37" i="136"/>
  <c r="BH38" i="136"/>
  <c r="BE38" i="136"/>
  <c r="BI38" i="136" s="1"/>
  <c r="BJ38" i="136" s="1"/>
  <c r="BA36" i="136"/>
  <c r="BA41" i="136" s="1"/>
  <c r="BL17" i="136"/>
  <c r="BH18" i="136"/>
  <c r="BE18" i="136"/>
  <c r="BI18" i="136" s="1"/>
  <c r="BJ18" i="136" s="1"/>
  <c r="BA16" i="136"/>
  <c r="BA21" i="136" s="1"/>
  <c r="BN26" i="136"/>
  <c r="BH29" i="136"/>
  <c r="BE29" i="136"/>
  <c r="BI29" i="136" s="1"/>
  <c r="BJ29" i="136" s="1"/>
  <c r="BH28" i="136"/>
  <c r="BE28" i="136"/>
  <c r="BI28" i="136" s="1"/>
  <c r="BJ28" i="136" s="1"/>
  <c r="BH19" i="136" l="1"/>
  <c r="BN47" i="136"/>
  <c r="BL47" i="136"/>
  <c r="BN46" i="136"/>
  <c r="BL46" i="136"/>
  <c r="BH39" i="136"/>
  <c r="BE40" i="136"/>
  <c r="BI40" i="136" s="1"/>
  <c r="BJ40" i="136" s="1"/>
  <c r="BH40" i="136"/>
  <c r="BE19" i="136"/>
  <c r="BI19" i="136" s="1"/>
  <c r="BJ19" i="136" s="1"/>
  <c r="BN19" i="136" s="1"/>
  <c r="BE39" i="136"/>
  <c r="BI39" i="136" s="1"/>
  <c r="BJ39" i="136" s="1"/>
  <c r="BN39" i="136" s="1"/>
  <c r="BE20" i="136"/>
  <c r="BI20" i="136" s="1"/>
  <c r="BJ20" i="136" s="1"/>
  <c r="BH20" i="136"/>
  <c r="BL38" i="136"/>
  <c r="BN38" i="136"/>
  <c r="BN18" i="136"/>
  <c r="BL18" i="136"/>
  <c r="BL28" i="136"/>
  <c r="BN28" i="136"/>
  <c r="BN29" i="136"/>
  <c r="BL29" i="136"/>
  <c r="P14" i="118"/>
  <c r="P15" i="118"/>
  <c r="P16" i="118"/>
  <c r="P17" i="118"/>
  <c r="P18" i="118"/>
  <c r="P19" i="118"/>
  <c r="S14" i="118"/>
  <c r="S15" i="118"/>
  <c r="S16" i="118"/>
  <c r="S17" i="118"/>
  <c r="S18" i="118"/>
  <c r="S19" i="118"/>
  <c r="T14" i="118"/>
  <c r="T15" i="118"/>
  <c r="T16" i="118"/>
  <c r="T17" i="118"/>
  <c r="T18" i="118"/>
  <c r="T19" i="118"/>
  <c r="V14" i="118"/>
  <c r="V15" i="118"/>
  <c r="V16" i="118"/>
  <c r="V17" i="118"/>
  <c r="V18" i="118"/>
  <c r="V19" i="118"/>
  <c r="W14" i="118"/>
  <c r="W15" i="118"/>
  <c r="W16" i="118"/>
  <c r="W17" i="118"/>
  <c r="W18" i="118"/>
  <c r="W19" i="118"/>
  <c r="P12" i="118"/>
  <c r="P13" i="118"/>
  <c r="S12" i="118"/>
  <c r="S13" i="118"/>
  <c r="T12" i="118"/>
  <c r="T13" i="118"/>
  <c r="V12" i="118"/>
  <c r="V13" i="118"/>
  <c r="W12" i="118"/>
  <c r="W13" i="118"/>
  <c r="BL48" i="136" l="1"/>
  <c r="BN48" i="136"/>
  <c r="BN30" i="136"/>
  <c r="BL30" i="136"/>
  <c r="BL39" i="136"/>
  <c r="BL19" i="136"/>
  <c r="BL20" i="136"/>
  <c r="BN20" i="136"/>
  <c r="BN21" i="136" s="1"/>
  <c r="BL40" i="136"/>
  <c r="BN40" i="136"/>
  <c r="BN41" i="136" s="1"/>
  <c r="U19" i="118"/>
  <c r="U15" i="118"/>
  <c r="U14" i="118"/>
  <c r="U18" i="118"/>
  <c r="U17" i="118"/>
  <c r="U16" i="118"/>
  <c r="U12" i="118"/>
  <c r="U13" i="118"/>
  <c r="BL41" i="136" l="1"/>
  <c r="BL21" i="136"/>
  <c r="P8" i="118"/>
  <c r="P9" i="118"/>
  <c r="P10" i="118"/>
  <c r="P11" i="118"/>
  <c r="S8" i="118"/>
  <c r="S9" i="118"/>
  <c r="S10" i="118"/>
  <c r="S11" i="118"/>
  <c r="T8" i="118"/>
  <c r="T9" i="118"/>
  <c r="T10" i="118"/>
  <c r="T11" i="118"/>
  <c r="V8" i="118"/>
  <c r="V9" i="118"/>
  <c r="V10" i="118"/>
  <c r="V11" i="118"/>
  <c r="W8" i="118"/>
  <c r="W9" i="118"/>
  <c r="W10" i="118"/>
  <c r="W11" i="118"/>
  <c r="U10" i="118" l="1"/>
  <c r="U9" i="118"/>
  <c r="U11" i="118"/>
  <c r="U8" i="118"/>
  <c r="P7" i="118" l="1"/>
  <c r="S7" i="118"/>
  <c r="T7" i="118"/>
  <c r="V7" i="118"/>
  <c r="W7" i="118"/>
  <c r="P4" i="118"/>
  <c r="P5" i="118"/>
  <c r="P6" i="118"/>
  <c r="S4" i="118"/>
  <c r="S5" i="118"/>
  <c r="S6" i="118"/>
  <c r="T4" i="118"/>
  <c r="T5" i="118"/>
  <c r="T6" i="118"/>
  <c r="V4" i="118"/>
  <c r="V5" i="118"/>
  <c r="V6" i="118"/>
  <c r="W4" i="118"/>
  <c r="W5" i="118"/>
  <c r="W6" i="118"/>
  <c r="U7" i="118" l="1"/>
  <c r="U6" i="118"/>
  <c r="U5" i="118"/>
  <c r="U4" i="118"/>
  <c r="P3" i="118" l="1"/>
  <c r="S3" i="118"/>
  <c r="T3" i="118"/>
  <c r="V3" i="118"/>
  <c r="W3" i="118"/>
  <c r="AD2" i="94" a="1"/>
  <c r="AD2" i="94" s="1"/>
  <c r="AD3" i="94" a="1"/>
  <c r="AD3" i="94" s="1"/>
  <c r="AD5" i="94" a="1"/>
  <c r="AD5" i="94" s="1"/>
  <c r="AD8" i="94" a="1"/>
  <c r="AD8" i="94" s="1"/>
  <c r="AD10" i="94" a="1"/>
  <c r="AD10" i="94" s="1"/>
  <c r="U3" i="118" l="1"/>
  <c r="P2" i="118" l="1"/>
  <c r="S2" i="118"/>
  <c r="T2" i="118"/>
  <c r="V2" i="118"/>
  <c r="W2" i="118"/>
  <c r="U2" i="118" l="1"/>
  <c r="AF9" i="94" l="1"/>
  <c r="AG9" i="94" s="1"/>
  <c r="AK9" i="94" s="1"/>
  <c r="AF11" i="94"/>
  <c r="AG11" i="94" s="1"/>
  <c r="AK11" i="94" s="1"/>
  <c r="AH11" i="94"/>
  <c r="AH9" i="94"/>
  <c r="AM11" i="94"/>
  <c r="AH2" i="94"/>
  <c r="AE2" i="94" s="1"/>
  <c r="AH8" i="94"/>
  <c r="AE8" i="94" s="1"/>
  <c r="AH5" i="94"/>
  <c r="AH3" i="94"/>
  <c r="AE3" i="94" s="1"/>
  <c r="AH4" i="94"/>
  <c r="AH10" i="94"/>
  <c r="AE10" i="94" s="1"/>
  <c r="AF2" i="94"/>
  <c r="AG2" i="94" s="1"/>
  <c r="AK2" i="94" s="1"/>
  <c r="AF3" i="94"/>
  <c r="AG3" i="94" s="1"/>
  <c r="AK3" i="94" s="1"/>
  <c r="AF4" i="94"/>
  <c r="AG4" i="94" s="1"/>
  <c r="AK4" i="94" s="1"/>
  <c r="AF5" i="94"/>
  <c r="AG5" i="94" s="1"/>
  <c r="AK5" i="94" s="1"/>
  <c r="AF8" i="94"/>
  <c r="AG8" i="94" s="1"/>
  <c r="AK8" i="94" s="1"/>
  <c r="AF10" i="94"/>
  <c r="AG10" i="94" s="1"/>
  <c r="AK10" i="94" s="1"/>
  <c r="AE9" i="94" l="1"/>
  <c r="AI9" i="94"/>
  <c r="AI11" i="94"/>
  <c r="AE11" i="94"/>
  <c r="AI5" i="94"/>
  <c r="AE5" i="94"/>
  <c r="AI4" i="94"/>
  <c r="AE4" i="94"/>
  <c r="AI8" i="94"/>
  <c r="AI10" i="94"/>
  <c r="AI3" i="94"/>
  <c r="AI2" i="94"/>
  <c r="AW41" i="136" l="1"/>
  <c r="AU41" i="136"/>
  <c r="AW30" i="136"/>
  <c r="AW21" i="136"/>
  <c r="AU30" i="136"/>
  <c r="AU21" i="136"/>
  <c r="BC30" i="136" l="1"/>
  <c r="BC41" i="136"/>
  <c r="BC21" i="136"/>
  <c r="BP6" i="136" l="1"/>
  <c r="BP7" i="136"/>
  <c r="BP8" i="136"/>
  <c r="BP9" i="136"/>
  <c r="BP56" i="136"/>
  <c r="BP57" i="136"/>
  <c r="BP58" i="136"/>
  <c r="BP59" i="136"/>
  <c r="BP60" i="136"/>
  <c r="BP61" i="136"/>
  <c r="BP62" i="136"/>
  <c r="BP63" i="136"/>
  <c r="BP64" i="136"/>
  <c r="BP65" i="136"/>
  <c r="BP66" i="136"/>
  <c r="BP67" i="136"/>
  <c r="BP68" i="136"/>
  <c r="BP69" i="136"/>
  <c r="BP70" i="136"/>
  <c r="BP71" i="136"/>
  <c r="BP72" i="136"/>
  <c r="BP73" i="136"/>
  <c r="BP74" i="136"/>
  <c r="BP75" i="136"/>
  <c r="BP76" i="136"/>
  <c r="BP77" i="136"/>
  <c r="BP78" i="136"/>
  <c r="BP79" i="136"/>
  <c r="BP80" i="136"/>
  <c r="BP81" i="136"/>
  <c r="BQ82" i="136"/>
  <c r="BP87" i="136"/>
  <c r="BP88" i="136"/>
  <c r="BP89" i="136"/>
  <c r="BP90" i="136"/>
  <c r="BP91" i="136"/>
  <c r="BP92" i="136"/>
  <c r="BP93" i="136"/>
  <c r="BQ94" i="136"/>
  <c r="BP111" i="136"/>
  <c r="BP112" i="136"/>
  <c r="BP113" i="136"/>
  <c r="BP114" i="136"/>
  <c r="BP115" i="136"/>
  <c r="BP116" i="136"/>
  <c r="BP117" i="136"/>
  <c r="BQ118" i="136"/>
  <c r="BR117" i="136"/>
  <c r="BS117" i="136" s="1"/>
  <c r="BR116" i="136"/>
  <c r="BS116" i="136" s="1"/>
  <c r="BR115" i="136"/>
  <c r="BS115" i="136" s="1"/>
  <c r="BR114" i="136"/>
  <c r="BS114" i="136" s="1"/>
  <c r="BR113" i="136"/>
  <c r="BS113" i="136" s="1"/>
  <c r="BR112" i="136"/>
  <c r="BS112" i="136" s="1"/>
  <c r="BR111" i="136"/>
  <c r="BS111" i="136" s="1"/>
  <c r="BR93" i="136"/>
  <c r="BS93" i="136" s="1"/>
  <c r="BR92" i="136"/>
  <c r="BS92" i="136" s="1"/>
  <c r="BR91" i="136"/>
  <c r="BS91" i="136" s="1"/>
  <c r="BR90" i="136"/>
  <c r="BS90" i="136" s="1"/>
  <c r="BR89" i="136"/>
  <c r="BS89" i="136" s="1"/>
  <c r="BR88" i="136"/>
  <c r="BS88" i="136" s="1"/>
  <c r="BR87" i="136"/>
  <c r="BS87" i="136" s="1"/>
  <c r="BR81" i="136"/>
  <c r="BS81" i="136" s="1"/>
  <c r="BR80" i="136"/>
  <c r="BS80" i="136" s="1"/>
  <c r="BR79" i="136"/>
  <c r="BS79" i="136" s="1"/>
  <c r="BR78" i="136"/>
  <c r="BS78" i="136" s="1"/>
  <c r="BR77" i="136"/>
  <c r="BS77" i="136" s="1"/>
  <c r="BR76" i="136"/>
  <c r="BS76" i="136" s="1"/>
  <c r="BR75" i="136"/>
  <c r="BS75" i="136" s="1"/>
  <c r="BR74" i="136"/>
  <c r="BS74" i="136" s="1"/>
  <c r="BR73" i="136"/>
  <c r="BS73" i="136" s="1"/>
  <c r="BR72" i="136"/>
  <c r="BS72" i="136" s="1"/>
  <c r="BR71" i="136"/>
  <c r="BS71" i="136" s="1"/>
  <c r="BR70" i="136"/>
  <c r="BS70" i="136" s="1"/>
  <c r="BR69" i="136"/>
  <c r="BS69" i="136" s="1"/>
  <c r="BR68" i="136"/>
  <c r="BS68" i="136" s="1"/>
  <c r="BR67" i="136"/>
  <c r="BS67" i="136" s="1"/>
  <c r="BR66" i="136"/>
  <c r="BS66" i="136" s="1"/>
  <c r="BR65" i="136"/>
  <c r="BS65" i="136" s="1"/>
  <c r="BR64" i="136"/>
  <c r="BS64" i="136" s="1"/>
  <c r="BR63" i="136"/>
  <c r="BS63" i="136" s="1"/>
  <c r="BR62" i="136"/>
  <c r="BS62" i="136" s="1"/>
  <c r="BR61" i="136"/>
  <c r="BS61" i="136" s="1"/>
  <c r="BR60" i="136"/>
  <c r="BS60" i="136" s="1"/>
  <c r="BR59" i="136"/>
  <c r="BS59" i="136" s="1"/>
  <c r="BR58" i="136"/>
  <c r="BS58" i="136" s="1"/>
  <c r="BR57" i="136"/>
  <c r="BS57" i="136" s="1"/>
  <c r="BR56" i="136"/>
  <c r="BS56" i="136" s="1"/>
  <c r="BS6" i="136"/>
  <c r="BS10" i="136" s="1"/>
  <c r="AA98" i="130"/>
  <c r="AA97" i="130"/>
  <c r="AA96" i="130"/>
  <c r="AA95" i="130"/>
  <c r="AA94" i="130"/>
  <c r="AA93" i="130"/>
  <c r="AA92" i="130"/>
  <c r="AA86" i="130"/>
  <c r="AA85" i="130"/>
  <c r="AA84" i="130"/>
  <c r="AA83" i="130"/>
  <c r="AA82" i="130"/>
  <c r="AA81" i="130"/>
  <c r="AA80" i="130"/>
  <c r="AC98" i="130"/>
  <c r="AD98" i="130" s="1"/>
  <c r="AC97" i="130"/>
  <c r="AD97" i="130" s="1"/>
  <c r="AC96" i="130"/>
  <c r="AD96" i="130" s="1"/>
  <c r="AC95" i="130"/>
  <c r="AD95" i="130" s="1"/>
  <c r="AC94" i="130"/>
  <c r="AD94" i="130" s="1"/>
  <c r="AC93" i="130"/>
  <c r="AD93" i="130" s="1"/>
  <c r="AC92" i="130"/>
  <c r="AD92" i="130" s="1"/>
  <c r="AC86" i="130"/>
  <c r="AD86" i="130" s="1"/>
  <c r="AC85" i="130"/>
  <c r="AD85" i="130" s="1"/>
  <c r="AC84" i="130"/>
  <c r="AD84" i="130" s="1"/>
  <c r="AC83" i="130"/>
  <c r="AD83" i="130" s="1"/>
  <c r="AC82" i="130"/>
  <c r="AD82" i="130" s="1"/>
  <c r="AC81" i="130"/>
  <c r="AD81" i="130" s="1"/>
  <c r="AC80" i="130"/>
  <c r="AD80" i="130" s="1"/>
  <c r="AC74" i="130"/>
  <c r="AD74" i="130" s="1"/>
  <c r="AC73" i="130"/>
  <c r="AD73" i="130" s="1"/>
  <c r="AC72" i="130"/>
  <c r="AD72" i="130" s="1"/>
  <c r="AC71" i="130"/>
  <c r="AD71" i="130" s="1"/>
  <c r="AC70" i="130"/>
  <c r="AD70" i="130" s="1"/>
  <c r="AC69" i="130"/>
  <c r="AD69" i="130" s="1"/>
  <c r="AC68" i="130"/>
  <c r="AD68" i="130" s="1"/>
  <c r="AC67" i="130"/>
  <c r="AD67" i="130" s="1"/>
  <c r="AC66" i="130"/>
  <c r="AD66" i="130" s="1"/>
  <c r="AC65" i="130"/>
  <c r="AD65" i="130" s="1"/>
  <c r="AC64" i="130"/>
  <c r="AD64" i="130" s="1"/>
  <c r="AC63" i="130"/>
  <c r="AD63" i="130" s="1"/>
  <c r="AC62" i="130"/>
  <c r="AD62" i="130" s="1"/>
  <c r="AC61" i="130"/>
  <c r="AD61" i="130" s="1"/>
  <c r="AC60" i="130"/>
  <c r="AD60" i="130" s="1"/>
  <c r="AC59" i="130"/>
  <c r="AD59" i="130" s="1"/>
  <c r="AC58" i="130"/>
  <c r="AD58" i="130" s="1"/>
  <c r="AC57" i="130"/>
  <c r="AD57" i="130" s="1"/>
  <c r="AC56" i="130"/>
  <c r="AD56" i="130" s="1"/>
  <c r="AC55" i="130"/>
  <c r="AD55" i="130" s="1"/>
  <c r="AC54" i="130"/>
  <c r="AD54" i="130" s="1"/>
  <c r="AC53" i="130"/>
  <c r="AD53" i="130" s="1"/>
  <c r="AC52" i="130"/>
  <c r="AD52" i="130" s="1"/>
  <c r="AC51" i="130"/>
  <c r="AD51" i="130" s="1"/>
  <c r="AC50" i="130"/>
  <c r="AD50" i="130" s="1"/>
  <c r="AC49" i="130"/>
  <c r="AD49" i="130" s="1"/>
  <c r="AA74" i="130"/>
  <c r="AA73" i="130"/>
  <c r="AA72" i="130"/>
  <c r="AA71" i="130"/>
  <c r="AA70" i="130"/>
  <c r="AA69" i="130"/>
  <c r="AA68" i="130"/>
  <c r="AA67" i="130"/>
  <c r="AA66" i="130"/>
  <c r="AA65" i="130"/>
  <c r="AA64" i="130"/>
  <c r="AA63" i="130"/>
  <c r="AA62" i="130"/>
  <c r="AA61" i="130"/>
  <c r="AA60" i="130"/>
  <c r="AA59" i="130"/>
  <c r="AA58" i="130"/>
  <c r="AA57" i="130"/>
  <c r="AA56" i="130"/>
  <c r="AA55" i="130"/>
  <c r="AA54" i="130"/>
  <c r="AA53" i="130"/>
  <c r="AA52" i="130"/>
  <c r="AA51" i="130"/>
  <c r="AA50" i="130"/>
  <c r="AA49" i="130"/>
  <c r="AC41" i="130"/>
  <c r="AD41" i="130" s="1"/>
  <c r="AC40" i="130"/>
  <c r="AD40" i="130" s="1"/>
  <c r="AC39" i="130"/>
  <c r="AD39" i="130" s="1"/>
  <c r="AC38" i="130"/>
  <c r="AD38" i="130" s="1"/>
  <c r="AC37" i="130"/>
  <c r="AD37" i="130" s="1"/>
  <c r="AC36" i="130"/>
  <c r="AD36" i="130" s="1"/>
  <c r="AA41" i="130"/>
  <c r="AA40" i="130"/>
  <c r="AA39" i="130"/>
  <c r="AA38" i="130"/>
  <c r="AA37" i="130"/>
  <c r="AA36" i="130"/>
  <c r="AC30" i="130"/>
  <c r="AD30" i="130" s="1"/>
  <c r="AC29" i="130"/>
  <c r="AD29" i="130" s="1"/>
  <c r="AC28" i="130"/>
  <c r="AD28" i="130" s="1"/>
  <c r="AC27" i="130"/>
  <c r="AD27" i="130" s="1"/>
  <c r="AC26" i="130"/>
  <c r="AD26" i="130" s="1"/>
  <c r="AA30" i="130"/>
  <c r="AA29" i="130"/>
  <c r="AA28" i="130"/>
  <c r="AA27" i="130"/>
  <c r="AA26" i="130"/>
  <c r="AC21" i="130"/>
  <c r="AD21" i="130" s="1"/>
  <c r="AA21" i="130"/>
  <c r="AC20" i="130"/>
  <c r="AD20" i="130" s="1"/>
  <c r="AA20" i="130"/>
  <c r="AC19" i="130"/>
  <c r="AD19" i="130" s="1"/>
  <c r="AA19" i="130"/>
  <c r="AC18" i="130"/>
  <c r="AD18" i="130" s="1"/>
  <c r="AA18" i="130"/>
  <c r="AC17" i="130"/>
  <c r="AD17" i="130" s="1"/>
  <c r="AA17" i="130"/>
  <c r="AC16" i="130"/>
  <c r="AD16" i="130" s="1"/>
  <c r="AA16" i="130"/>
  <c r="AA11" i="130"/>
  <c r="AA10" i="130"/>
  <c r="AA9" i="130"/>
  <c r="AA8" i="130"/>
  <c r="AA7" i="130"/>
  <c r="AA6" i="130"/>
  <c r="BP10" i="136" l="1"/>
  <c r="AE53" i="130"/>
  <c r="AE36" i="130"/>
  <c r="AE38" i="130"/>
  <c r="AE17" i="130"/>
  <c r="AE68" i="130"/>
  <c r="AE20" i="130"/>
  <c r="AE21" i="130"/>
  <c r="AE41" i="130"/>
  <c r="AE27" i="130"/>
  <c r="AD42" i="130"/>
  <c r="AE39" i="130"/>
  <c r="AE18" i="130"/>
  <c r="AE19" i="130"/>
  <c r="AE70" i="130"/>
  <c r="AE37" i="130"/>
  <c r="AE71" i="130"/>
  <c r="AE26" i="130"/>
  <c r="AE40" i="130"/>
  <c r="AE28" i="130"/>
  <c r="AE16" i="130"/>
  <c r="AE54" i="130"/>
  <c r="AE67" i="130"/>
  <c r="AE69" i="130"/>
  <c r="AE62" i="130"/>
  <c r="AE65" i="130"/>
  <c r="BD6" i="136"/>
  <c r="BE6" i="136" s="1"/>
  <c r="AI7" i="136"/>
  <c r="BF6" i="136"/>
  <c r="AX7" i="136"/>
  <c r="AX8" i="136"/>
  <c r="AX6" i="136"/>
  <c r="AX9" i="136"/>
  <c r="AM30" i="136"/>
  <c r="AK30" i="136"/>
  <c r="AD41" i="136"/>
  <c r="AL30" i="136"/>
  <c r="AN30" i="136"/>
  <c r="AD30" i="136"/>
  <c r="AN21" i="136"/>
  <c r="AG21" i="136"/>
  <c r="AN41" i="136"/>
  <c r="AG30" i="136"/>
  <c r="AE41" i="136"/>
  <c r="AM21" i="136"/>
  <c r="AL21" i="136"/>
  <c r="AK41" i="136"/>
  <c r="AE21" i="136"/>
  <c r="AL41" i="136"/>
  <c r="AE60" i="130"/>
  <c r="AE29" i="130"/>
  <c r="AE50" i="130"/>
  <c r="AE30" i="130"/>
  <c r="AE66" i="130"/>
  <c r="AE51" i="130"/>
  <c r="AE55" i="130"/>
  <c r="AE52" i="130"/>
  <c r="AE63" i="130"/>
  <c r="AE74" i="130"/>
  <c r="AM41" i="136"/>
  <c r="AE30" i="136"/>
  <c r="AF30" i="136"/>
  <c r="AE61" i="130"/>
  <c r="AE56" i="130"/>
  <c r="AK21" i="136"/>
  <c r="AF41" i="136"/>
  <c r="AG41" i="136"/>
  <c r="AF21" i="136"/>
  <c r="AR9" i="136"/>
  <c r="AQ6" i="136"/>
  <c r="AQ8" i="136"/>
  <c r="AR8" i="136"/>
  <c r="AS9" i="136"/>
  <c r="AR7" i="136"/>
  <c r="AQ9" i="136"/>
  <c r="AS6" i="136"/>
  <c r="AR6" i="136"/>
  <c r="AQ7" i="136"/>
  <c r="AS8" i="136"/>
  <c r="AS7" i="136"/>
  <c r="BP94" i="136"/>
  <c r="BP118" i="136"/>
  <c r="BT70" i="136"/>
  <c r="BT7" i="136"/>
  <c r="BP82" i="136"/>
  <c r="BT112" i="136"/>
  <c r="BT114" i="136"/>
  <c r="BT58" i="136"/>
  <c r="BT89" i="136"/>
  <c r="BT74" i="136"/>
  <c r="BT92" i="136"/>
  <c r="BT68" i="136"/>
  <c r="BT62" i="136"/>
  <c r="BT64" i="136"/>
  <c r="BT76" i="136"/>
  <c r="BT80" i="136"/>
  <c r="BT117" i="136"/>
  <c r="BS94" i="136"/>
  <c r="BT8" i="136"/>
  <c r="BT91" i="136"/>
  <c r="BT59" i="136"/>
  <c r="BT88" i="136"/>
  <c r="BT60" i="136"/>
  <c r="BT66" i="136"/>
  <c r="BT72" i="136"/>
  <c r="BT78" i="136"/>
  <c r="BT93" i="136"/>
  <c r="BT115" i="136"/>
  <c r="BT61" i="136"/>
  <c r="BT67" i="136"/>
  <c r="BT73" i="136"/>
  <c r="BT79" i="136"/>
  <c r="BT65" i="136"/>
  <c r="BT9" i="136"/>
  <c r="BT116" i="136"/>
  <c r="BT87" i="136"/>
  <c r="BT77" i="136"/>
  <c r="BT90" i="136"/>
  <c r="BT113" i="136"/>
  <c r="BT71" i="136"/>
  <c r="BT57" i="136"/>
  <c r="BT63" i="136"/>
  <c r="BT69" i="136"/>
  <c r="BT75" i="136"/>
  <c r="BT81" i="136"/>
  <c r="BS82" i="136"/>
  <c r="BT56" i="136"/>
  <c r="BT6" i="136"/>
  <c r="BS118" i="136"/>
  <c r="BR118" i="136"/>
  <c r="BR94" i="136"/>
  <c r="BR82" i="136"/>
  <c r="BT111" i="136"/>
  <c r="AE64" i="130"/>
  <c r="AE72" i="130"/>
  <c r="AE49" i="130"/>
  <c r="AE57" i="130"/>
  <c r="AE73" i="130"/>
  <c r="AE58" i="130"/>
  <c r="AE59" i="130"/>
  <c r="AC75" i="130"/>
  <c r="AC22" i="130"/>
  <c r="AD22" i="130"/>
  <c r="AC42" i="130"/>
  <c r="AC99" i="130"/>
  <c r="AD99" i="130"/>
  <c r="AD75" i="130"/>
  <c r="AE82" i="130"/>
  <c r="AE83" i="130"/>
  <c r="AD87" i="130"/>
  <c r="AE84" i="130"/>
  <c r="AE86" i="130"/>
  <c r="AC87" i="130"/>
  <c r="AE80" i="130"/>
  <c r="AE81" i="130"/>
  <c r="AE85" i="130"/>
  <c r="AD31" i="130"/>
  <c r="AC31" i="130"/>
  <c r="AA12" i="130"/>
  <c r="AC11" i="130"/>
  <c r="AD11" i="130" s="1"/>
  <c r="AE11" i="130" s="1"/>
  <c r="AC10" i="130"/>
  <c r="AD10" i="130" s="1"/>
  <c r="AE10" i="130" s="1"/>
  <c r="AC9" i="130"/>
  <c r="AD9" i="130" s="1"/>
  <c r="AE9" i="130" s="1"/>
  <c r="AC8" i="130"/>
  <c r="AD8" i="130" s="1"/>
  <c r="AE8" i="130" s="1"/>
  <c r="AC7" i="130"/>
  <c r="AD7" i="130" s="1"/>
  <c r="AE7" i="130" s="1"/>
  <c r="AC6" i="130"/>
  <c r="AD6" i="130" s="1"/>
  <c r="BT10" i="136" l="1"/>
  <c r="AR10" i="136"/>
  <c r="AX10" i="136"/>
  <c r="AQ10" i="136"/>
  <c r="AS10" i="136"/>
  <c r="BH6" i="136"/>
  <c r="AX21" i="136"/>
  <c r="AV30" i="136"/>
  <c r="AX30" i="136"/>
  <c r="BD7" i="136"/>
  <c r="AV41" i="136"/>
  <c r="AX41" i="136"/>
  <c r="BG6" i="136"/>
  <c r="AI8" i="136"/>
  <c r="BF7" i="136"/>
  <c r="BG7" i="136" s="1"/>
  <c r="AY8" i="136"/>
  <c r="BA8" i="136" s="1"/>
  <c r="AY7" i="136"/>
  <c r="BA7" i="136" s="1"/>
  <c r="AY6" i="136"/>
  <c r="AY9" i="136"/>
  <c r="BA9" i="136" s="1"/>
  <c r="AS41" i="136"/>
  <c r="AR41" i="136"/>
  <c r="AQ30" i="136"/>
  <c r="AS30" i="136"/>
  <c r="AR21" i="136"/>
  <c r="AR30" i="136"/>
  <c r="AQ41" i="136"/>
  <c r="AP41" i="136"/>
  <c r="AP30" i="136"/>
  <c r="AP21" i="136"/>
  <c r="AS21" i="136"/>
  <c r="AQ21" i="136"/>
  <c r="BT118" i="136"/>
  <c r="BT94" i="136"/>
  <c r="BT82" i="136"/>
  <c r="AD12" i="130"/>
  <c r="AD102" i="130" s="1"/>
  <c r="AD103" i="130" s="1"/>
  <c r="AE6" i="130"/>
  <c r="AC12" i="130"/>
  <c r="AC102" i="130" s="1"/>
  <c r="AC103" i="130" s="1"/>
  <c r="AS50" i="136" l="1"/>
  <c r="AQ50" i="136"/>
  <c r="AR50" i="136"/>
  <c r="BA6" i="136"/>
  <c r="BA10" i="136" s="1"/>
  <c r="AY10" i="136"/>
  <c r="BH7" i="136"/>
  <c r="BE7" i="136"/>
  <c r="AY41" i="136"/>
  <c r="BD8" i="136"/>
  <c r="AI9" i="136"/>
  <c r="BF8" i="136"/>
  <c r="BG8" i="136" s="1"/>
  <c r="AY21" i="136"/>
  <c r="AY30" i="136"/>
  <c r="BI6" i="136"/>
  <c r="AB99" i="130"/>
  <c r="AE98" i="130"/>
  <c r="AE97" i="130"/>
  <c r="AE96" i="130"/>
  <c r="AE95" i="130"/>
  <c r="AE94" i="130"/>
  <c r="AE93" i="130"/>
  <c r="AE92" i="130"/>
  <c r="AB87" i="130"/>
  <c r="AB75" i="130"/>
  <c r="AB31" i="130"/>
  <c r="AB42" i="130"/>
  <c r="AB22" i="130"/>
  <c r="AB12" i="130"/>
  <c r="AY50" i="136" l="1"/>
  <c r="BF9" i="136"/>
  <c r="BG9" i="136" s="1"/>
  <c r="BG10" i="136" s="1"/>
  <c r="BJ6" i="136"/>
  <c r="BI7" i="136"/>
  <c r="BJ7" i="136" s="1"/>
  <c r="BH8" i="136"/>
  <c r="BE8" i="136"/>
  <c r="BI8" i="136" s="1"/>
  <c r="BJ8" i="136" s="1"/>
  <c r="BD9" i="136"/>
  <c r="BG30" i="136"/>
  <c r="AB102" i="130"/>
  <c r="AB103" i="130" s="1"/>
  <c r="AA99" i="130"/>
  <c r="AE99" i="130"/>
  <c r="AA87" i="130"/>
  <c r="AE75" i="130"/>
  <c r="AA75" i="130"/>
  <c r="AE87" i="130"/>
  <c r="AE31" i="130"/>
  <c r="AA31" i="130"/>
  <c r="AA42" i="130"/>
  <c r="AE22" i="130"/>
  <c r="AE42" i="130"/>
  <c r="AA22" i="130"/>
  <c r="BE30" i="136" l="1"/>
  <c r="BG21" i="136"/>
  <c r="BG41" i="136"/>
  <c r="BH9" i="136"/>
  <c r="BE9" i="136"/>
  <c r="BE10" i="136" s="1"/>
  <c r="BL7" i="136"/>
  <c r="BN7" i="136"/>
  <c r="BL6" i="136"/>
  <c r="BN6" i="136"/>
  <c r="BL8" i="136"/>
  <c r="BN8" i="136"/>
  <c r="AA102" i="130"/>
  <c r="AA103" i="130" s="1"/>
  <c r="AE103" i="130" s="1"/>
  <c r="BI30" i="136" l="1"/>
  <c r="BE41" i="136"/>
  <c r="BI21" i="136"/>
  <c r="BI9" i="136"/>
  <c r="BI10" i="136" s="1"/>
  <c r="BE21" i="136"/>
  <c r="BI41" i="136" l="1"/>
  <c r="BJ30" i="136"/>
  <c r="BJ9" i="136"/>
  <c r="BJ10" i="136" s="1"/>
  <c r="BJ21" i="136"/>
  <c r="BL9" i="136" l="1"/>
  <c r="BL10" i="136" s="1"/>
  <c r="BN9" i="136"/>
  <c r="BN10" i="136" s="1"/>
  <c r="BJ41" i="136"/>
  <c r="AM9" i="94" l="1"/>
  <c r="AM8" i="94" l="1"/>
  <c r="AM5" i="94"/>
  <c r="AM10" i="94"/>
  <c r="AM3" i="94"/>
  <c r="AM2" i="94"/>
  <c r="AM4" i="94"/>
  <c r="A1" i="143" l="1" a="1"/>
  <c r="A1" i="143" s="1"/>
  <c r="AE12" i="130" l="1"/>
  <c r="AE102" i="130" s="1"/>
  <c r="BR121" i="136" l="1"/>
  <c r="BR122" i="136" s="1"/>
  <c r="BS121" i="136"/>
  <c r="BS122" i="136" s="1"/>
  <c r="BT121" i="136"/>
  <c r="BQ121" i="136"/>
  <c r="BQ122" i="136" s="1"/>
  <c r="AP50" i="136"/>
  <c r="BA50" i="136"/>
  <c r="BL50" i="136"/>
  <c r="BN50" i="136"/>
  <c r="BP121" i="136"/>
  <c r="BP122" i="136" s="1"/>
  <c r="BP50" i="136"/>
  <c r="BT122" i="136" l="1"/>
  <c r="BJ48" i="136" l="1"/>
  <c r="BG48" i="136"/>
  <c r="BI48" i="136"/>
  <c r="BE48" i="136" l="1"/>
  <c r="AU10" i="136"/>
  <c r="BC48" i="136"/>
  <c r="BR50" i="136"/>
  <c r="BR48" i="136"/>
  <c r="AW10" i="136"/>
  <c r="BQ50" i="136"/>
  <c r="BQ48" i="136"/>
  <c r="BS50" i="136"/>
  <c r="BS48" i="136"/>
  <c r="BT48" i="136"/>
  <c r="BT50" i="1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tc={23FAB6D1-0A69-496C-AF10-B8A87519B340}</author>
    <author>tc={5E74945C-07AF-400C-AA62-0D239F07F9F5}</author>
  </authors>
  <commentList>
    <comment ref="L2" authorId="0" shapeId="0" xr:uid="{23FAB6D1-0A69-496C-AF10-B8A87519B340}">
      <text>
        <t>[Threaded comment]
Your version of Excel allows you to read this threaded comment; however, any edits to it will get removed if the file is opened in a newer version of Excel. Learn more: https://go.microsoft.com/fwlink/?linkid=870924
Comment:
    Reprotection for 30MAR &amp; 06APR cancellations.</t>
      </text>
    </comment>
    <comment ref="L4" authorId="1" shapeId="0" xr:uid="{5E74945C-07AF-400C-AA62-0D239F07F9F5}">
      <text>
        <t>[Threaded comment]
Your version of Excel allows you to read this threaded comment; however, any edits to it will get removed if the file is opened in a newer version of Excel. Learn more: https://go.microsoft.com/fwlink/?linkid=870924
Comment:
    50Y for SI Travel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<sst xmlns="http://schemas.openxmlformats.org/spreadsheetml/2006/main" count="2339" uniqueCount="301">
  <si>
    <t>DAY</t>
  </si>
  <si>
    <t>SSH</t>
  </si>
  <si>
    <t>NAP</t>
  </si>
  <si>
    <t>WEEKS</t>
  </si>
  <si>
    <t>DEP_DATE</t>
  </si>
  <si>
    <t>Grand Total</t>
  </si>
  <si>
    <t>DIRECTION</t>
  </si>
  <si>
    <t>Outbound</t>
  </si>
  <si>
    <t>Inbound</t>
  </si>
  <si>
    <t>ORGN</t>
  </si>
  <si>
    <t>DEST</t>
  </si>
  <si>
    <t>SECTOR</t>
  </si>
  <si>
    <t>Aircraft</t>
  </si>
  <si>
    <t>Charter Cost</t>
  </si>
  <si>
    <t>Add-on</t>
  </si>
  <si>
    <t>Selling</t>
  </si>
  <si>
    <t>FS_NO</t>
  </si>
  <si>
    <t>Sub-Total</t>
  </si>
  <si>
    <t>Rotation-Divisor</t>
  </si>
  <si>
    <t>WEEK_NO</t>
  </si>
  <si>
    <t>FLT_WK</t>
  </si>
  <si>
    <t>Cost/Sector</t>
  </si>
  <si>
    <t>FSCODE</t>
  </si>
  <si>
    <t>NAP-SSH</t>
  </si>
  <si>
    <t>SSH-NAP</t>
  </si>
  <si>
    <t>ROUTING</t>
  </si>
  <si>
    <t>S01</t>
  </si>
  <si>
    <t>S04</t>
  </si>
  <si>
    <t>SCHED_ID</t>
  </si>
  <si>
    <t>Weeks</t>
  </si>
  <si>
    <t>Airline</t>
  </si>
  <si>
    <t>Flt_No.</t>
  </si>
  <si>
    <t>Named</t>
  </si>
  <si>
    <t>Unnamed</t>
  </si>
  <si>
    <t>ORGN_Country</t>
  </si>
  <si>
    <t>DEST_Country</t>
  </si>
  <si>
    <t>Fare Basis</t>
  </si>
  <si>
    <t>Trip</t>
  </si>
  <si>
    <t>Journey</t>
  </si>
  <si>
    <t>Ex-Egypt</t>
  </si>
  <si>
    <t>Ex-Italy</t>
  </si>
  <si>
    <t>ADT Tax (EUR)</t>
  </si>
  <si>
    <t>Chd Tax Diff</t>
  </si>
  <si>
    <t>CHD Tax (EUR)</t>
  </si>
  <si>
    <t>Inf Tax Diff</t>
  </si>
  <si>
    <t>INF Tax (EUR)</t>
  </si>
  <si>
    <t>EGRT</t>
  </si>
  <si>
    <t>RT</t>
  </si>
  <si>
    <t>EGOW</t>
  </si>
  <si>
    <t>OW</t>
  </si>
  <si>
    <t>ITRT</t>
  </si>
  <si>
    <t>ITOW</t>
  </si>
  <si>
    <t>Egypt</t>
  </si>
  <si>
    <t>Italy</t>
  </si>
  <si>
    <t>SSH-NAP-SSH</t>
  </si>
  <si>
    <t>RT SSH-NAP-SSH</t>
  </si>
  <si>
    <t>OW SSH-NAP</t>
  </si>
  <si>
    <t>NAP-SSH-NAP</t>
  </si>
  <si>
    <t>RT NAP-SSH-NAP</t>
  </si>
  <si>
    <t>OW NAP-SSH</t>
  </si>
  <si>
    <t>Taxes</t>
  </si>
  <si>
    <t>Sector Tax</t>
  </si>
  <si>
    <t>Total Taxes</t>
  </si>
  <si>
    <t xml:space="preserve">Total Taxes </t>
  </si>
  <si>
    <t>A320</t>
  </si>
  <si>
    <t>B738</t>
  </si>
  <si>
    <t>(All)</t>
  </si>
  <si>
    <t>Routing2</t>
  </si>
  <si>
    <t>Add-on3</t>
  </si>
  <si>
    <t>Y Capacity</t>
  </si>
  <si>
    <t>Y Seats_Sale</t>
  </si>
  <si>
    <t>OVERALL PAX BOOKED &amp; REVENUE</t>
  </si>
  <si>
    <t>4S</t>
  </si>
  <si>
    <t>Remarks</t>
  </si>
  <si>
    <t>OB DOW</t>
  </si>
  <si>
    <t>IB DOW</t>
  </si>
  <si>
    <t>START</t>
  </si>
  <si>
    <t>END</t>
  </si>
  <si>
    <t>Divisor</t>
  </si>
  <si>
    <t>SELLING</t>
  </si>
  <si>
    <t>ROTATION</t>
  </si>
  <si>
    <t>Net Cost</t>
  </si>
  <si>
    <t>S12</t>
  </si>
  <si>
    <t>W02</t>
  </si>
  <si>
    <t>W03</t>
  </si>
  <si>
    <t>S01A</t>
  </si>
  <si>
    <t>Route</t>
  </si>
  <si>
    <t>W06</t>
  </si>
  <si>
    <t>DISTRIBUTOR_PNR</t>
  </si>
  <si>
    <t>JOURNEY</t>
  </si>
  <si>
    <t>DATE_BOOKED</t>
  </si>
  <si>
    <t>CONTRIBUTOR</t>
  </si>
  <si>
    <t>FLIGHT_DATE</t>
  </si>
  <si>
    <t>REQUESTED_SEATS</t>
  </si>
  <si>
    <t>SEATS_BOOKED</t>
  </si>
  <si>
    <t>BASE_FARE</t>
  </si>
  <si>
    <t>TAXES</t>
  </si>
  <si>
    <t>SURCHARGES</t>
  </si>
  <si>
    <t>NET_REVENUE</t>
  </si>
  <si>
    <t>CATEGORY</t>
  </si>
  <si>
    <t xml:space="preserve">SEATS_BOOKED </t>
  </si>
  <si>
    <t xml:space="preserve">NET_REVENUE </t>
  </si>
  <si>
    <t>Requested_Seats</t>
  </si>
  <si>
    <t>Seats_Block_by_Cap</t>
  </si>
  <si>
    <t>Seats_Booked</t>
  </si>
  <si>
    <t>Avl_Seats_by_Cap</t>
  </si>
  <si>
    <t xml:space="preserve">Seats_Booked </t>
  </si>
  <si>
    <t>ROUTE</t>
  </si>
  <si>
    <t>FLT_NO</t>
  </si>
  <si>
    <t>DAYS_PRIOR</t>
  </si>
  <si>
    <t xml:space="preserve">Avl_Seats_by_Cap </t>
  </si>
  <si>
    <t>BOOKING_STATUS</t>
  </si>
  <si>
    <t>CONTRACT_STATUS</t>
  </si>
  <si>
    <t xml:space="preserve">AVG_FARE_PER_SEAT </t>
  </si>
  <si>
    <t xml:space="preserve">REQUESTED_SEATS </t>
  </si>
  <si>
    <t>W07</t>
  </si>
  <si>
    <t>Tour Operator</t>
  </si>
  <si>
    <t>Confirmed</t>
  </si>
  <si>
    <t>HRG</t>
  </si>
  <si>
    <t>08</t>
  </si>
  <si>
    <t>VIE-JED-VIE</t>
  </si>
  <si>
    <t>W13</t>
  </si>
  <si>
    <t>GRAND TOTAL</t>
  </si>
  <si>
    <t>TOTAL REVENUE</t>
  </si>
  <si>
    <t>4S6032</t>
  </si>
  <si>
    <t>4S6031</t>
  </si>
  <si>
    <t>E25-01</t>
  </si>
  <si>
    <t>E25-04</t>
  </si>
  <si>
    <t>E25-06</t>
  </si>
  <si>
    <t>E25-07A</t>
  </si>
  <si>
    <t>E25-07B</t>
  </si>
  <si>
    <t>S25-01</t>
  </si>
  <si>
    <t>S25-02</t>
  </si>
  <si>
    <t>S25-03</t>
  </si>
  <si>
    <t>UJ</t>
  </si>
  <si>
    <t>S25-04</t>
  </si>
  <si>
    <t>S25-05</t>
  </si>
  <si>
    <t>S25-06</t>
  </si>
  <si>
    <t>S25-07</t>
  </si>
  <si>
    <t>S25-08</t>
  </si>
  <si>
    <t>S25-09</t>
  </si>
  <si>
    <t>S25-10</t>
  </si>
  <si>
    <t>S25-11</t>
  </si>
  <si>
    <t>SSH-MXP-SSH</t>
  </si>
  <si>
    <t>SSH-CAG-SSH</t>
  </si>
  <si>
    <t>Enzo Viaggi</t>
  </si>
  <si>
    <t>E25-08</t>
  </si>
  <si>
    <t>SSH-BRI-SSH2</t>
  </si>
  <si>
    <t>SSH-BRI-SSH3</t>
  </si>
  <si>
    <t>SSH-NAP-SSH4</t>
  </si>
  <si>
    <t>SSH-VRN-SSH3</t>
  </si>
  <si>
    <t>SSH-NAP-SSH6</t>
  </si>
  <si>
    <t>SSH-BRI-SSH10</t>
  </si>
  <si>
    <t>SSH-MXP-SSH11</t>
  </si>
  <si>
    <t>SSH-VRN-SSH13</t>
  </si>
  <si>
    <t>SSH-NAP-SSH15</t>
  </si>
  <si>
    <t>SSH-NAP-SSH16</t>
  </si>
  <si>
    <t>SSH-NAP-SSH17</t>
  </si>
  <si>
    <t>RMF-MXP-RMF2</t>
  </si>
  <si>
    <t>E25-08-3</t>
  </si>
  <si>
    <t>Carrier</t>
  </si>
  <si>
    <t>Genius</t>
  </si>
  <si>
    <t>Distributor</t>
  </si>
  <si>
    <t>Closed Deal</t>
  </si>
  <si>
    <t>Genius Total</t>
  </si>
  <si>
    <t>Benchmark</t>
  </si>
  <si>
    <t>U25-01</t>
  </si>
  <si>
    <t>SUMMER-WINTER</t>
  </si>
  <si>
    <t>EASTER PERIOD</t>
  </si>
  <si>
    <t>Sum of Total Taxes</t>
  </si>
  <si>
    <t xml:space="preserve">Bookload </t>
  </si>
  <si>
    <t>TOTAL NET COST</t>
  </si>
  <si>
    <t>`</t>
  </si>
  <si>
    <t>CHARTER COST</t>
  </si>
  <si>
    <t>REVENUE vs COSTS</t>
  </si>
  <si>
    <t>DATE</t>
  </si>
  <si>
    <t>CAP</t>
  </si>
  <si>
    <t>BKD</t>
  </si>
  <si>
    <t>AVL</t>
  </si>
  <si>
    <t>TTL CAP</t>
  </si>
  <si>
    <t>TTL BKD</t>
  </si>
  <si>
    <t>TTL AVL</t>
  </si>
  <si>
    <t>REVENUE</t>
  </si>
  <si>
    <t>TTL REVENUE</t>
  </si>
  <si>
    <t>OUTBOUND</t>
  </si>
  <si>
    <t>INBOUND</t>
  </si>
  <si>
    <t>OB Taxes</t>
  </si>
  <si>
    <t>IB Taxes</t>
  </si>
  <si>
    <t>TTL TAXES</t>
  </si>
  <si>
    <t>TTL OB Taxes</t>
  </si>
  <si>
    <t>TTL IB Taxes</t>
  </si>
  <si>
    <t>TTL NET COST</t>
  </si>
  <si>
    <t>REVENUE vs NET COST</t>
  </si>
  <si>
    <t>OB Proposed Fare</t>
  </si>
  <si>
    <t>OB Rev Fcst</t>
  </si>
  <si>
    <t>IB Proposed Fare</t>
  </si>
  <si>
    <t>IB Rev Fcst</t>
  </si>
  <si>
    <t>TTL Rev Fcst</t>
  </si>
  <si>
    <t>EXPECTED REVENUE</t>
  </si>
  <si>
    <t>Expected Revenue</t>
  </si>
  <si>
    <t>ETD (UTC)</t>
  </si>
  <si>
    <t>ETA (UTC)</t>
  </si>
  <si>
    <t>ETD (Local Time)</t>
  </si>
  <si>
    <t>ETA (Local Time)</t>
  </si>
  <si>
    <t>Countersigned</t>
  </si>
  <si>
    <t>EuroAirlines</t>
  </si>
  <si>
    <t>EuroAirlines Total</t>
  </si>
  <si>
    <t>Signed</t>
  </si>
  <si>
    <t>S25-12</t>
  </si>
  <si>
    <t>S25-13</t>
  </si>
  <si>
    <t>HRG-NAP-HRG</t>
  </si>
  <si>
    <t>Y_Capacity</t>
  </si>
  <si>
    <t>4S6018</t>
  </si>
  <si>
    <t>6018</t>
  </si>
  <si>
    <t>E25</t>
  </si>
  <si>
    <t>S25</t>
  </si>
  <si>
    <t>Atelier Vacanze SRL</t>
  </si>
  <si>
    <t>SE5447</t>
  </si>
  <si>
    <t>SSH-FCO-SSH6</t>
  </si>
  <si>
    <t>SSH-BRI-SSH8</t>
  </si>
  <si>
    <t>SSH-CTA_SSH</t>
  </si>
  <si>
    <t>SSH-BRI-SSH12</t>
  </si>
  <si>
    <t>SSH-FCO-SSH14</t>
  </si>
  <si>
    <t>SSH-MXP-SSH18</t>
  </si>
  <si>
    <t>SSH-CAG-SSH20</t>
  </si>
  <si>
    <t>SSH-NAP-SSH152</t>
  </si>
  <si>
    <t>E25-09</t>
  </si>
  <si>
    <t>SE</t>
  </si>
  <si>
    <t>5447</t>
  </si>
  <si>
    <t>Y_Cap</t>
  </si>
  <si>
    <t>Sum of Y_Capacity</t>
  </si>
  <si>
    <t>SSH-BRI-SSH22</t>
  </si>
  <si>
    <t>SSH-VRN-SSH32</t>
  </si>
  <si>
    <t>E25-02A</t>
  </si>
  <si>
    <t>E25-05A</t>
  </si>
  <si>
    <t>E25-05B</t>
  </si>
  <si>
    <t>E25-02B</t>
  </si>
  <si>
    <t>UJ3902</t>
  </si>
  <si>
    <t>S25-14</t>
  </si>
  <si>
    <t>S25-14-2</t>
  </si>
  <si>
    <t>3902</t>
  </si>
  <si>
    <t>DISTRIBUTION_CHANNEL</t>
  </si>
  <si>
    <t>J Capacity</t>
  </si>
  <si>
    <t>SSH-BRI-SSH4</t>
  </si>
  <si>
    <t>E25-02C</t>
  </si>
  <si>
    <t>Email</t>
  </si>
  <si>
    <t>SSH-NAP-SSH5</t>
  </si>
  <si>
    <t>E25-03A</t>
  </si>
  <si>
    <t>E25-03B</t>
  </si>
  <si>
    <t>SS-FCO-SSH</t>
  </si>
  <si>
    <t>S25-15</t>
  </si>
  <si>
    <t>03A</t>
  </si>
  <si>
    <t>03B</t>
  </si>
  <si>
    <t>SM820</t>
  </si>
  <si>
    <t>SM819</t>
  </si>
  <si>
    <t>SM</t>
  </si>
  <si>
    <t>819</t>
  </si>
  <si>
    <t>APG</t>
  </si>
  <si>
    <t>820</t>
  </si>
  <si>
    <t>E25-09B</t>
  </si>
  <si>
    <t>09B</t>
  </si>
  <si>
    <t>E25-03A-2</t>
  </si>
  <si>
    <t>E25-03A-3</t>
  </si>
  <si>
    <t>E25-03B-4</t>
  </si>
  <si>
    <t>6031</t>
  </si>
  <si>
    <t>E25-03B-5</t>
  </si>
  <si>
    <t>E25-03B-6</t>
  </si>
  <si>
    <t>E25-03A-1</t>
  </si>
  <si>
    <t>E25-03B-3</t>
  </si>
  <si>
    <t>6032</t>
  </si>
  <si>
    <t>E25-09B-1</t>
  </si>
  <si>
    <t>E25-03C</t>
  </si>
  <si>
    <t>Lastname</t>
  </si>
  <si>
    <t>Firstname</t>
  </si>
  <si>
    <t>Title</t>
  </si>
  <si>
    <t>Contributors</t>
  </si>
  <si>
    <t>Coupon Status</t>
  </si>
  <si>
    <t>Passenger Reconcillation List (PRL)</t>
  </si>
  <si>
    <t>Travel Date</t>
  </si>
  <si>
    <t>Orgn</t>
  </si>
  <si>
    <t>Dest</t>
  </si>
  <si>
    <t>Sector</t>
  </si>
  <si>
    <t>Pax Type</t>
  </si>
  <si>
    <t>Day</t>
  </si>
  <si>
    <t>MR</t>
  </si>
  <si>
    <t>Flown</t>
  </si>
  <si>
    <t>No Show</t>
  </si>
  <si>
    <t>MS</t>
  </si>
  <si>
    <t>PAX_COUNT</t>
  </si>
  <si>
    <t>…..................</t>
  </si>
  <si>
    <t>Camacho</t>
  </si>
  <si>
    <t>Sfeef</t>
  </si>
  <si>
    <t>Rogelio</t>
  </si>
  <si>
    <t>Laila</t>
  </si>
  <si>
    <t>Abdulbast</t>
  </si>
  <si>
    <t>NE6125</t>
  </si>
  <si>
    <t>NE6124</t>
  </si>
  <si>
    <t>IT</t>
  </si>
  <si>
    <t>Searcharter</t>
  </si>
  <si>
    <t>Euroairlines</t>
  </si>
  <si>
    <t>Enzo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</si>
</sst>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 [$€-1]"/>
    <numFmt numFmtId="165" formatCode="[$-409]dd\-mmm\-yy;@"/>
    <numFmt numFmtId="166" formatCode="[$-409]d\-mmm\-yy;@"/>
    <numFmt numFmtId="167" formatCode="#,##0.00\ [$€-1]"/>
    <numFmt numFmtId="168" formatCode="0;\-0;;@"/>
  </numFmts>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1"/>
      <color rgb="FFFFFFFF"/>
      <name val="Tahoma"/>
      <family val="2"/>
    </font>
    <font>
      <b/>
      <sz val="11"/>
      <name val="Tahoma"/>
      <family val="2"/>
    </font>
    <font>
      <sz val="11"/>
      <color rgb="FF000000"/>
      <name val="Tahoma"/>
      <family val="2"/>
    </font>
    <font>
      <sz val="11"/>
      <name val="Tahoma"/>
      <family val="2"/>
    </font>
    <font>
      <sz val="11"/>
      <color theme="1"/>
      <name val="Tahoma"/>
      <family val="2"/>
    </font>
    <font>
      <b/>
      <sz val="11"/>
      <color theme="1"/>
      <name val="Tahoma"/>
      <family val="2"/>
    </font>
    <font>
      <sz val="11"/>
      <color rgb="FF000000"/>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sz val="11"/>
      <color theme="0"/>
      <name val="Calibri"/>
      <family val="2"/>
      <scheme val="minor"/>
    </font>
    <font>
      <sz val="11"/>
      <color theme="0"/>
      <name val="Tahoma"/>
      <family val="2"/>
    </font>
    <font>
      <sz val="11"/>
      <color rgb="FF000000"/>
      <name val="Calibri"/>
      <family val="2"/>
    </font>
    <font>
      <b/>
      <sz val="11"/>
      <color rgb="FFFFFFFF"/>
      <name val="Calibri"/>
      <family val="2"/>
      <scheme val="minor"/>
    </font>
    <font>
      <b/>
      <sz val="11"/>
      <color rgb="FFFFFFFF"/>
      <name val="Arial"/>
      <family val="2"/>
    </font>
    <font>
      <sz val="11"/>
      <name val="Calibri"/>
      <family val="2"/>
      <scheme val="minor"/>
    </font>
    <font>
      <b/>
      <sz val="14"/>
      <color theme="0"/>
      <name val="Calibri"/>
      <family val="2"/>
      <scheme val="minor"/>
    </font>
    <font>
      <b/>
      <sz val="11"/>
      <color theme="0"/>
      <name val="Tahoma"/>
      <family val="2"/>
    </font>
    <font>
      <sz val="8"/>
      <color theme="0"/>
      <name val="Calibri"/>
      <family val="2"/>
      <scheme val="minor"/>
    </font>
    <font>
      <sz val="12"/>
      <color theme="0"/>
      <name val="Calibri"/>
      <family val="2"/>
      <scheme val="minor"/>
    </font>
    <font>
      <b/>
      <sz val="10"/>
      <color indexed="8"/>
      <name val="Calibri"/>
      <family val="2"/>
    </font>
    <font>
      <sz val="10"/>
      <color indexed="8"/>
      <name val="Calibri"/>
      <family val="2"/>
    </font>
    <font>
      <sz val="12"/>
      <color rgb="FF7D353B"/>
      <name val="Source Sans Pro"/>
      <family val="2"/>
    </font>
  </fonts>
  <fills count="40">
    <fill>
      <patternFill patternType="none"/>
    </fill>
    <fill>
      <patternFill patternType="gray125"/>
    </fill>
    <fill>
      <patternFill patternType="solid">
        <fgColor rgb="FF000000"/>
        <bgColor rgb="FF000000"/>
      </patternFill>
    </fill>
    <fill>
      <patternFill patternType="solid">
        <fgColor rgb="FFFFFF00"/>
        <bgColor indexed="64"/>
      </patternFill>
    </fill>
    <fill>
      <patternFill patternType="solid">
        <fgColor rgb="FFFFC000"/>
        <bgColor indexed="64"/>
      </patternFill>
    </fill>
    <fill>
      <patternFill patternType="solid">
        <fgColor rgb="FF65D7FF"/>
        <bgColor indexed="64"/>
      </patternFill>
    </fill>
    <fill>
      <patternFill patternType="solid">
        <fgColor rgb="FF00FF99"/>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4" tint="-0.499984740745262"/>
        <bgColor indexed="64"/>
      </patternFill>
    </fill>
    <fill>
      <patternFill patternType="solid">
        <fgColor rgb="FF0000FF"/>
        <bgColor rgb="FF000000"/>
      </patternFill>
    </fill>
    <fill>
      <patternFill patternType="solid">
        <fgColor theme="7" tint="-0.249977111117893"/>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59999389629810485"/>
        <bgColor indexed="64"/>
      </patternFill>
    </fill>
    <fill>
      <patternFill patternType="lightGray"/>
    </fill>
    <fill>
      <patternFill patternType="solid">
        <fgColor theme="1"/>
        <bgColor indexed="64"/>
      </patternFill>
    </fill>
    <fill>
      <patternFill patternType="solid">
        <fgColor rgb="FF00B050"/>
        <bgColor indexed="64"/>
      </patternFill>
    </fill>
    <fill>
      <patternFill patternType="solid">
        <fgColor rgb="FFCC00CC"/>
        <bgColor indexed="64"/>
      </patternFill>
    </fill>
    <fill>
      <patternFill patternType="solid">
        <fgColor rgb="FF0000FF"/>
        <bgColor indexed="64"/>
      </patternFill>
    </fill>
    <fill>
      <patternFill patternType="solid">
        <fgColor rgb="FF0070C0"/>
        <bgColor indexed="64"/>
      </patternFill>
    </fill>
    <fill>
      <patternFill patternType="solid">
        <fgColor theme="8" tint="-0.249977111117893"/>
        <bgColor indexed="64"/>
      </patternFill>
    </fill>
    <fill>
      <patternFill patternType="solid">
        <fgColor rgb="FF66FFFF"/>
        <bgColor indexed="64"/>
      </patternFill>
    </fill>
    <fill>
      <patternFill patternType="solid">
        <fgColor theme="9" tint="0.59999389629810485"/>
        <bgColor theme="9" tint="0.59999389629810485"/>
      </patternFill>
    </fill>
    <fill>
      <patternFill patternType="solid">
        <fgColor theme="7" tint="0.79998168889431442"/>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B0AC"/>
        <bgColor theme="9"/>
      </patternFill>
    </fill>
    <fill>
      <patternFill patternType="solid">
        <fgColor theme="8" tint="-0.499984740745262"/>
        <bgColor theme="9" tint="0.59999389629810485"/>
      </patternFill>
    </fill>
    <fill>
      <patternFill patternType="solid">
        <fgColor rgb="FF0000FF"/>
        <bgColor theme="9" tint="0.59999389629810485"/>
      </patternFill>
    </fill>
    <fill>
      <patternFill patternType="solid">
        <fgColor theme="4" tint="-0.249977111117893"/>
        <bgColor indexed="64"/>
      </patternFill>
    </fill>
    <fill>
      <patternFill patternType="solid">
        <fgColor rgb="FF99FFCC"/>
        <bgColor indexed="64"/>
      </patternFill>
    </fill>
    <fill>
      <patternFill patternType="solid">
        <fgColor rgb="FFFF99FF"/>
        <bgColor indexed="64"/>
      </patternFill>
    </fill>
    <fill>
      <patternFill patternType="solid">
        <fgColor rgb="FF66FF33"/>
        <bgColor indexed="64"/>
      </patternFill>
    </fill>
    <fill>
      <patternFill patternType="solid">
        <fgColor theme="9" tint="-0.249977111117893"/>
        <bgColor indexed="64"/>
      </patternFill>
    </fill>
    <fill>
      <patternFill patternType="solid">
        <fgColor theme="4"/>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indexed="31"/>
        <bgColor indexed="22"/>
      </patternFill>
    </fill>
  </fills>
  <borders count="24">
    <border>
      <left/>
      <right/>
      <top/>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theme="9" tint="-0.249977111117893"/>
      </top>
      <bottom/>
      <diagonal/>
    </border>
    <border>
      <left style="medium">
        <color indexed="64"/>
      </left>
      <right style="medium">
        <color indexed="64"/>
      </right>
      <top style="medium">
        <color indexed="64"/>
      </top>
      <bottom style="medium">
        <color indexed="64"/>
      </bottom>
      <diagonal/>
    </border>
    <border>
      <left style="thin">
        <color auto="1"/>
      </left>
      <right/>
      <top/>
      <bottom style="thin">
        <color auto="1"/>
      </bottom>
      <diagonal/>
    </border>
    <border>
      <left/>
      <right style="thin">
        <color auto="1"/>
      </right>
      <top/>
      <bottom style="thin">
        <color auto="1"/>
      </bottom>
      <diagonal/>
    </border>
    <border>
      <left/>
      <right style="thin">
        <color theme="8" tint="0.39997558519241921"/>
      </right>
      <top style="thin">
        <color theme="8" tint="0.39997558519241921"/>
      </top>
      <bottom style="thin">
        <color theme="8" tint="0.39997558519241921"/>
      </bottom>
      <diagonal/>
    </border>
    <border>
      <left/>
      <right style="medium">
        <color indexed="64"/>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
      <left style="hair">
        <color indexed="8"/>
      </left>
      <right/>
      <top style="hair">
        <color indexed="8"/>
      </top>
      <bottom/>
      <diagonal/>
    </border>
    <border>
      <left/>
      <right/>
      <top style="hair">
        <color indexed="8"/>
      </top>
      <bottom/>
      <diagonal/>
    </border>
  </borders>
  <cellStyleXfs count="62">
    <xf numFmtId="0" fontId="0" fillId="0" borderId="0"/>
    <xf numFmtId="0" fontId="56" fillId="0" borderId="0"/>
    <xf numFmtId="0" fontId="55" fillId="0" borderId="0"/>
    <xf numFmtId="9" fontId="55" fillId="0" borderId="0" applyFont="0" applyFill="0" applyBorder="0" applyAlignment="0" applyProtection="0"/>
    <xf numFmtId="0" fontId="54" fillId="0" borderId="0"/>
    <xf numFmtId="0" fontId="65" fillId="0" borderId="0"/>
    <xf numFmtId="0" fontId="53" fillId="0" borderId="0"/>
    <xf numFmtId="0" fontId="52" fillId="0" borderId="0"/>
    <xf numFmtId="44" fontId="52" fillId="0" borderId="0" applyFont="0" applyFill="0" applyBorder="0" applyAlignment="0" applyProtection="0"/>
    <xf numFmtId="9" fontId="52" fillId="0" borderId="0" applyFont="0" applyFill="0" applyBorder="0" applyAlignment="0" applyProtection="0"/>
    <xf numFmtId="0" fontId="51" fillId="0" borderId="0"/>
    <xf numFmtId="9" fontId="51" fillId="0" borderId="0" applyFont="0" applyFill="0" applyBorder="0" applyAlignment="0" applyProtection="0"/>
    <xf numFmtId="44" fontId="51" fillId="0" borderId="0" applyFont="0" applyFill="0" applyBorder="0" applyAlignment="0" applyProtection="0"/>
    <xf numFmtId="0" fontId="50" fillId="0" borderId="0"/>
    <xf numFmtId="0" fontId="49" fillId="0" borderId="0"/>
    <xf numFmtId="0" fontId="70" fillId="0" borderId="0" applyBorder="0"/>
    <xf numFmtId="0" fontId="70" fillId="0" borderId="0" applyBorder="0"/>
    <xf numFmtId="0" fontId="48" fillId="0" borderId="0"/>
    <xf numFmtId="0" fontId="47" fillId="0" borderId="0"/>
    <xf numFmtId="0" fontId="47" fillId="0" borderId="0"/>
    <xf numFmtId="9" fontId="47" fillId="0" borderId="0" applyFont="0" applyFill="0" applyBorder="0" applyAlignment="0" applyProtection="0"/>
    <xf numFmtId="0" fontId="47" fillId="0" borderId="0"/>
    <xf numFmtId="0" fontId="47" fillId="0" borderId="0"/>
    <xf numFmtId="0" fontId="47" fillId="0" borderId="0"/>
    <xf numFmtId="44" fontId="47" fillId="0" borderId="0" applyFont="0" applyFill="0" applyBorder="0" applyAlignment="0" applyProtection="0"/>
    <xf numFmtId="9" fontId="47" fillId="0" borderId="0" applyFont="0" applyFill="0" applyBorder="0" applyAlignment="0" applyProtection="0"/>
    <xf numFmtId="0" fontId="47" fillId="0" borderId="0"/>
    <xf numFmtId="9" fontId="47" fillId="0" borderId="0" applyFont="0" applyFill="0" applyBorder="0" applyAlignment="0" applyProtection="0"/>
    <xf numFmtId="44" fontId="47" fillId="0" borderId="0" applyFont="0" applyFill="0" applyBorder="0" applyAlignment="0" applyProtection="0"/>
    <xf numFmtId="0" fontId="47" fillId="0" borderId="0"/>
    <xf numFmtId="0" fontId="46" fillId="0" borderId="0"/>
    <xf numFmtId="0" fontId="46" fillId="0" borderId="0"/>
    <xf numFmtId="9" fontId="46" fillId="0" borderId="0" applyFont="0" applyFill="0" applyBorder="0" applyAlignment="0" applyProtection="0"/>
    <xf numFmtId="0" fontId="46" fillId="0" borderId="0"/>
    <xf numFmtId="0" fontId="46" fillId="0" borderId="0"/>
    <xf numFmtId="0" fontId="46" fillId="0" borderId="0"/>
    <xf numFmtId="44" fontId="46" fillId="0" borderId="0" applyFont="0" applyFill="0" applyBorder="0" applyAlignment="0" applyProtection="0"/>
    <xf numFmtId="9" fontId="46" fillId="0" borderId="0" applyFont="0" applyFill="0" applyBorder="0" applyAlignment="0" applyProtection="0"/>
    <xf numFmtId="0" fontId="46" fillId="0" borderId="0"/>
    <xf numFmtId="9" fontId="46" fillId="0" borderId="0" applyFont="0" applyFill="0" applyBorder="0" applyAlignment="0" applyProtection="0"/>
    <xf numFmtId="44" fontId="46" fillId="0" borderId="0" applyFont="0" applyFill="0" applyBorder="0" applyAlignment="0" applyProtection="0"/>
    <xf numFmtId="0" fontId="46" fillId="0" borderId="0"/>
    <xf numFmtId="0" fontId="45" fillId="0" borderId="0"/>
    <xf numFmtId="0" fontId="45" fillId="0" borderId="0"/>
    <xf numFmtId="0" fontId="45" fillId="0" borderId="0"/>
    <xf numFmtId="0" fontId="65" fillId="0" borderId="0"/>
    <xf numFmtId="0" fontId="45" fillId="0" borderId="0"/>
    <xf numFmtId="44" fontId="45" fillId="0" borderId="0" applyFont="0" applyFill="0" applyBorder="0" applyAlignment="0" applyProtection="0"/>
    <xf numFmtId="0" fontId="45" fillId="0" borderId="0"/>
    <xf numFmtId="0" fontId="44" fillId="0" borderId="0"/>
    <xf numFmtId="0" fontId="42" fillId="0" borderId="0"/>
    <xf numFmtId="0" fontId="42" fillId="0" borderId="0"/>
    <xf numFmtId="9" fontId="42" fillId="0" borderId="0" applyFont="0" applyFill="0" applyBorder="0" applyAlignment="0" applyProtection="0"/>
    <xf numFmtId="0" fontId="42" fillId="0" borderId="0"/>
    <xf numFmtId="0" fontId="42" fillId="0" borderId="0"/>
    <xf numFmtId="0" fontId="42" fillId="0" borderId="0"/>
    <xf numFmtId="44" fontId="42" fillId="0" borderId="0" applyFont="0" applyFill="0" applyBorder="0" applyAlignment="0" applyProtection="0"/>
    <xf numFmtId="9" fontId="42" fillId="0" borderId="0" applyFont="0" applyFill="0" applyBorder="0" applyAlignment="0" applyProtection="0"/>
    <xf numFmtId="0" fontId="42" fillId="0" borderId="0"/>
    <xf numFmtId="9" fontId="42" fillId="0" borderId="0" applyFont="0" applyFill="0" applyBorder="0" applyAlignment="0" applyProtection="0"/>
    <xf numFmtId="44" fontId="42" fillId="0" borderId="0" applyFont="0" applyFill="0" applyBorder="0" applyAlignment="0" applyProtection="0"/>
    <xf numFmtId="0" fontId="42" fillId="0" borderId="0"/>
  </cellStyleXfs>
  <cellXfs count="389">
    <xf numFmtId="0" fontId="0" fillId="0" borderId="0" xfId="0"/>
    <xf numFmtId="0" fontId="58" fillId="2" borderId="0" xfId="0" applyFont="1" applyFill="1" applyAlignment="1">
      <alignment horizontal="center" vertical="center"/>
    </xf>
    <xf numFmtId="164" fontId="62" fillId="0" borderId="3" xfId="0" applyNumberFormat="1" applyFont="1" applyBorder="1" applyAlignment="1">
      <alignment horizontal="center" vertical="center"/>
    </xf>
    <xf numFmtId="0" fontId="62" fillId="0" borderId="3" xfId="0" applyFont="1" applyBorder="1" applyAlignment="1">
      <alignment horizontal="center" vertical="center"/>
    </xf>
    <xf numFmtId="0" fontId="62" fillId="0" borderId="0" xfId="0" applyFont="1" applyAlignment="1">
      <alignment horizontal="center" vertical="center"/>
    </xf>
    <xf numFmtId="0" fontId="63" fillId="0" borderId="0" xfId="0" applyFont="1" applyAlignment="1">
      <alignment horizontal="center" vertical="center"/>
    </xf>
    <xf numFmtId="0" fontId="59" fillId="4" borderId="3" xfId="0" applyFont="1" applyFill="1" applyBorder="1" applyAlignment="1">
      <alignment horizontal="center" vertical="center"/>
    </xf>
    <xf numFmtId="20" fontId="60" fillId="5" borderId="3" xfId="0" applyNumberFormat="1" applyFont="1" applyFill="1" applyBorder="1" applyAlignment="1">
      <alignment horizontal="center" vertical="center"/>
    </xf>
    <xf numFmtId="0" fontId="62" fillId="6" borderId="3" xfId="0" applyFont="1" applyFill="1" applyBorder="1" applyAlignment="1">
      <alignment horizontal="center" vertical="center"/>
    </xf>
    <xf numFmtId="3" fontId="0" fillId="0" borderId="0" xfId="0" applyNumberFormat="1"/>
    <xf numFmtId="0" fontId="62" fillId="0" borderId="1" xfId="0" applyFont="1" applyBorder="1" applyAlignment="1">
      <alignment horizontal="center" vertical="center"/>
    </xf>
    <xf numFmtId="0" fontId="62" fillId="0" borderId="6" xfId="0" applyFont="1" applyBorder="1" applyAlignment="1">
      <alignment horizontal="center" vertical="center"/>
    </xf>
    <xf numFmtId="0" fontId="65" fillId="0" borderId="0" xfId="5"/>
    <xf numFmtId="0" fontId="53" fillId="8" borderId="0" xfId="6" applyFill="1" applyAlignment="1">
      <alignment horizontal="center"/>
    </xf>
    <xf numFmtId="0" fontId="65" fillId="0" borderId="0" xfId="5" applyAlignment="1">
      <alignment horizontal="center"/>
    </xf>
    <xf numFmtId="0" fontId="0" fillId="0" borderId="0" xfId="0" applyAlignment="1">
      <alignment horizontal="center"/>
    </xf>
    <xf numFmtId="0" fontId="0" fillId="0" borderId="3" xfId="0" applyBorder="1" applyAlignment="1">
      <alignment horizontal="center"/>
    </xf>
    <xf numFmtId="0" fontId="59" fillId="4" borderId="5" xfId="0" applyFont="1" applyFill="1" applyBorder="1" applyAlignment="1">
      <alignment horizontal="center" vertical="center"/>
    </xf>
    <xf numFmtId="0" fontId="60" fillId="0" borderId="7" xfId="0" applyFont="1" applyBorder="1" applyAlignment="1">
      <alignment horizontal="center" vertical="center"/>
    </xf>
    <xf numFmtId="0" fontId="63" fillId="0" borderId="6" xfId="0" applyFont="1" applyBorder="1" applyAlignment="1">
      <alignment horizontal="center" vertical="center"/>
    </xf>
    <xf numFmtId="164" fontId="62" fillId="0" borderId="6" xfId="0" applyNumberFormat="1" applyFont="1" applyBorder="1" applyAlignment="1">
      <alignment horizontal="center" vertical="center"/>
    </xf>
    <xf numFmtId="0" fontId="0" fillId="0" borderId="5" xfId="0" applyBorder="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0" fontId="58" fillId="11" borderId="0" xfId="0" applyFont="1" applyFill="1" applyAlignment="1">
      <alignment horizontal="center" vertical="center"/>
    </xf>
    <xf numFmtId="166" fontId="58" fillId="2" borderId="0" xfId="0" applyNumberFormat="1" applyFont="1" applyFill="1" applyAlignment="1">
      <alignment horizontal="center" vertical="center"/>
    </xf>
    <xf numFmtId="166" fontId="61" fillId="0" borderId="3" xfId="0" applyNumberFormat="1" applyFont="1" applyBorder="1" applyAlignment="1">
      <alignment horizontal="center" vertical="center"/>
    </xf>
    <xf numFmtId="166" fontId="61" fillId="0" borderId="6" xfId="0" applyNumberFormat="1" applyFont="1" applyBorder="1" applyAlignment="1">
      <alignment horizontal="center" vertical="center"/>
    </xf>
    <xf numFmtId="166" fontId="62" fillId="0" borderId="0" xfId="0" applyNumberFormat="1" applyFont="1" applyAlignment="1">
      <alignment horizontal="center" vertical="center"/>
    </xf>
    <xf numFmtId="9" fontId="0" fillId="0" borderId="0" xfId="0" applyNumberFormat="1"/>
    <xf numFmtId="0" fontId="50" fillId="0" borderId="0" xfId="0" applyFont="1"/>
    <xf numFmtId="0" fontId="50" fillId="0" borderId="0" xfId="0" applyFont="1" applyAlignment="1">
      <alignment horizontal="center" vertical="center"/>
    </xf>
    <xf numFmtId="3" fontId="64" fillId="0" borderId="3" xfId="0" applyNumberFormat="1" applyFont="1" applyBorder="1" applyAlignment="1">
      <alignment horizontal="center" vertical="center"/>
    </xf>
    <xf numFmtId="4" fontId="64" fillId="0" borderId="3" xfId="0" applyNumberFormat="1" applyFont="1" applyBorder="1" applyAlignment="1">
      <alignment horizontal="center" vertical="center"/>
    </xf>
    <xf numFmtId="4" fontId="64" fillId="15" borderId="3" xfId="0" applyNumberFormat="1" applyFont="1" applyFill="1" applyBorder="1" applyAlignment="1">
      <alignment horizontal="center" vertical="center"/>
    </xf>
    <xf numFmtId="4" fontId="64" fillId="16" borderId="3" xfId="0" applyNumberFormat="1" applyFont="1" applyFill="1" applyBorder="1" applyAlignment="1">
      <alignment horizontal="center" vertical="center"/>
    </xf>
    <xf numFmtId="4" fontId="0" fillId="0" borderId="0" xfId="0" applyNumberFormat="1" applyAlignment="1">
      <alignment horizontal="center"/>
    </xf>
    <xf numFmtId="164" fontId="0" fillId="0" borderId="0" xfId="0" applyNumberFormat="1"/>
    <xf numFmtId="0" fontId="66" fillId="3" borderId="0" xfId="0" applyFont="1" applyFill="1"/>
    <xf numFmtId="164" fontId="0" fillId="0" borderId="0" xfId="0" applyNumberFormat="1" applyAlignment="1">
      <alignment horizontal="right"/>
    </xf>
    <xf numFmtId="3" fontId="0" fillId="0" borderId="0" xfId="0" applyNumberFormat="1" applyAlignment="1">
      <alignment horizontal="right"/>
    </xf>
    <xf numFmtId="3" fontId="62" fillId="0" borderId="5" xfId="0" applyNumberFormat="1" applyFont="1" applyBorder="1" applyAlignment="1">
      <alignment horizontal="center" vertical="center"/>
    </xf>
    <xf numFmtId="0" fontId="0" fillId="0" borderId="0" xfId="0" applyAlignment="1">
      <alignment horizontal="right"/>
    </xf>
    <xf numFmtId="4" fontId="59" fillId="6" borderId="8" xfId="0" applyNumberFormat="1" applyFont="1" applyFill="1" applyBorder="1" applyAlignment="1">
      <alignment horizontal="center" vertical="center"/>
    </xf>
    <xf numFmtId="3" fontId="59" fillId="6" borderId="8" xfId="0" applyNumberFormat="1" applyFont="1" applyFill="1" applyBorder="1" applyAlignment="1">
      <alignment horizontal="center" vertical="center"/>
    </xf>
    <xf numFmtId="20" fontId="69" fillId="17" borderId="3" xfId="0" applyNumberFormat="1" applyFont="1" applyFill="1" applyBorder="1" applyAlignment="1">
      <alignment horizontal="center" vertical="center"/>
    </xf>
    <xf numFmtId="20" fontId="60" fillId="0" borderId="0" xfId="0" applyNumberFormat="1" applyFont="1" applyAlignment="1">
      <alignment horizontal="center" vertical="center"/>
    </xf>
    <xf numFmtId="0" fontId="56" fillId="6" borderId="3" xfId="1" applyFill="1" applyBorder="1" applyAlignment="1">
      <alignment horizontal="center"/>
    </xf>
    <xf numFmtId="0" fontId="56" fillId="7" borderId="3" xfId="1" applyFill="1" applyBorder="1" applyAlignment="1">
      <alignment horizontal="center"/>
    </xf>
    <xf numFmtId="0" fontId="66" fillId="6" borderId="0" xfId="0" applyFont="1" applyFill="1"/>
    <xf numFmtId="0" fontId="0" fillId="6" borderId="0" xfId="0" applyFill="1"/>
    <xf numFmtId="20" fontId="64" fillId="5" borderId="3" xfId="4" applyNumberFormat="1" applyFont="1" applyFill="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xf>
    <xf numFmtId="0" fontId="0" fillId="0" borderId="0" xfId="0" pivotButton="1"/>
    <xf numFmtId="3" fontId="64" fillId="0" borderId="6" xfId="0" applyNumberFormat="1" applyFont="1" applyBorder="1" applyAlignment="1">
      <alignment horizontal="center" vertical="center"/>
    </xf>
    <xf numFmtId="166" fontId="73" fillId="0" borderId="0" xfId="6" applyNumberFormat="1" applyFont="1" applyAlignment="1">
      <alignment horizontal="center"/>
    </xf>
    <xf numFmtId="0" fontId="62" fillId="6" borderId="6" xfId="0" applyFont="1" applyFill="1" applyBorder="1" applyAlignment="1">
      <alignment horizontal="center" vertical="center"/>
    </xf>
    <xf numFmtId="4" fontId="62" fillId="0" borderId="0" xfId="0" applyNumberFormat="1" applyFont="1" applyAlignment="1">
      <alignment horizontal="center" vertical="center"/>
    </xf>
    <xf numFmtId="3" fontId="62" fillId="0" borderId="0" xfId="0" applyNumberFormat="1" applyFont="1" applyAlignment="1">
      <alignment horizontal="center"/>
    </xf>
    <xf numFmtId="166" fontId="0" fillId="0" borderId="0" xfId="0" applyNumberFormat="1"/>
    <xf numFmtId="0" fontId="44" fillId="0" borderId="0" xfId="49"/>
    <xf numFmtId="167" fontId="0" fillId="0" borderId="0" xfId="0" applyNumberFormat="1"/>
    <xf numFmtId="0" fontId="59" fillId="4" borderId="8" xfId="0" applyFont="1" applyFill="1" applyBorder="1" applyAlignment="1">
      <alignment horizontal="center" vertical="center"/>
    </xf>
    <xf numFmtId="165" fontId="43" fillId="0" borderId="0" xfId="49" applyNumberFormat="1" applyFont="1" applyAlignment="1">
      <alignment horizontal="center" vertical="center"/>
    </xf>
    <xf numFmtId="0" fontId="43" fillId="0" borderId="0" xfId="49" applyFont="1" applyAlignment="1">
      <alignment horizontal="center" vertical="center"/>
    </xf>
    <xf numFmtId="0" fontId="43" fillId="0" borderId="0" xfId="0" applyFont="1" applyAlignment="1">
      <alignment horizontal="center" vertical="center"/>
    </xf>
    <xf numFmtId="3" fontId="43" fillId="0" borderId="0" xfId="49" applyNumberFormat="1" applyFont="1" applyAlignment="1">
      <alignment horizontal="center" vertical="center"/>
    </xf>
    <xf numFmtId="0" fontId="43" fillId="21" borderId="0" xfId="49" applyFont="1" applyFill="1" applyAlignment="1">
      <alignment horizontal="center" vertical="center"/>
    </xf>
    <xf numFmtId="0" fontId="43" fillId="22" borderId="0" xfId="49" applyFont="1" applyFill="1" applyAlignment="1">
      <alignment horizontal="center" vertical="center"/>
    </xf>
    <xf numFmtId="3" fontId="43" fillId="21" borderId="0" xfId="49" applyNumberFormat="1" applyFont="1" applyFill="1" applyAlignment="1">
      <alignment horizontal="center" vertical="center"/>
    </xf>
    <xf numFmtId="4" fontId="43" fillId="21" borderId="0" xfId="49" applyNumberFormat="1" applyFont="1" applyFill="1" applyAlignment="1">
      <alignment horizontal="center" vertical="center"/>
    </xf>
    <xf numFmtId="4" fontId="43" fillId="4" borderId="0" xfId="49" applyNumberFormat="1" applyFont="1" applyFill="1" applyAlignment="1">
      <alignment horizontal="center" vertical="center"/>
    </xf>
    <xf numFmtId="0" fontId="43" fillId="4" borderId="0" xfId="49" applyFont="1" applyFill="1" applyAlignment="1">
      <alignment horizontal="center" vertical="center"/>
    </xf>
    <xf numFmtId="4" fontId="43" fillId="0" borderId="0" xfId="49" applyNumberFormat="1" applyFont="1" applyAlignment="1">
      <alignment horizontal="center" vertical="center"/>
    </xf>
    <xf numFmtId="166" fontId="43" fillId="0" borderId="0" xfId="49" applyNumberFormat="1" applyFont="1" applyAlignment="1">
      <alignment horizontal="center" vertical="center"/>
    </xf>
    <xf numFmtId="0" fontId="59" fillId="18" borderId="8" xfId="0" applyFont="1" applyFill="1" applyBorder="1" applyAlignment="1">
      <alignment horizontal="center" vertical="center"/>
    </xf>
    <xf numFmtId="166" fontId="0" fillId="0" borderId="0" xfId="0" applyNumberFormat="1" applyAlignment="1">
      <alignment horizontal="center"/>
    </xf>
    <xf numFmtId="167" fontId="66" fillId="0" borderId="0" xfId="0" applyNumberFormat="1" applyFont="1"/>
    <xf numFmtId="165" fontId="43" fillId="21" borderId="0" xfId="49" applyNumberFormat="1" applyFont="1" applyFill="1" applyAlignment="1">
      <alignment horizontal="center" vertical="center"/>
    </xf>
    <xf numFmtId="166" fontId="41" fillId="21" borderId="0" xfId="49" applyNumberFormat="1" applyFont="1" applyFill="1" applyAlignment="1">
      <alignment horizontal="center" vertical="center"/>
    </xf>
    <xf numFmtId="0" fontId="62" fillId="0" borderId="5" xfId="0" applyFont="1" applyBorder="1" applyAlignment="1">
      <alignment horizontal="center" vertical="center"/>
    </xf>
    <xf numFmtId="4" fontId="64" fillId="15" borderId="5" xfId="0" applyNumberFormat="1" applyFont="1" applyFill="1" applyBorder="1" applyAlignment="1">
      <alignment horizontal="center" vertical="center"/>
    </xf>
    <xf numFmtId="166" fontId="73" fillId="3" borderId="0" xfId="6" applyNumberFormat="1" applyFont="1" applyFill="1" applyAlignment="1">
      <alignment horizontal="center"/>
    </xf>
    <xf numFmtId="20" fontId="64" fillId="5" borderId="6" xfId="4" applyNumberFormat="1" applyFont="1" applyFill="1" applyBorder="1" applyAlignment="1">
      <alignment horizontal="center" vertical="center"/>
    </xf>
    <xf numFmtId="0" fontId="67" fillId="28" borderId="14" xfId="0" applyFont="1" applyFill="1" applyBorder="1" applyAlignment="1">
      <alignment horizontal="right"/>
    </xf>
    <xf numFmtId="0" fontId="0" fillId="3" borderId="0" xfId="0" applyFill="1"/>
    <xf numFmtId="164" fontId="66" fillId="0" borderId="0" xfId="0" applyNumberFormat="1" applyFont="1"/>
    <xf numFmtId="164" fontId="66" fillId="24" borderId="0" xfId="0" applyNumberFormat="1" applyFont="1" applyFill="1"/>
    <xf numFmtId="164" fontId="74" fillId="29" borderId="0" xfId="0" applyNumberFormat="1" applyFont="1" applyFill="1"/>
    <xf numFmtId="164" fontId="74" fillId="30" borderId="0" xfId="0" applyNumberFormat="1" applyFont="1" applyFill="1"/>
    <xf numFmtId="0" fontId="74" fillId="29" borderId="0" xfId="0" applyFont="1" applyFill="1"/>
    <xf numFmtId="0" fontId="74" fillId="30" borderId="0" xfId="0" applyFont="1" applyFill="1"/>
    <xf numFmtId="0" fontId="74" fillId="29" borderId="0" xfId="0" applyFont="1" applyFill="1" applyAlignment="1">
      <alignment horizontal="center"/>
    </xf>
    <xf numFmtId="0" fontId="74" fillId="30" borderId="0" xfId="0" applyFont="1" applyFill="1" applyAlignment="1">
      <alignment horizontal="center"/>
    </xf>
    <xf numFmtId="0" fontId="67" fillId="31" borderId="0" xfId="0" applyFont="1" applyFill="1" applyAlignment="1">
      <alignment horizontal="center"/>
    </xf>
    <xf numFmtId="164" fontId="67" fillId="31" borderId="0" xfId="0" applyNumberFormat="1" applyFont="1" applyFill="1" applyAlignment="1">
      <alignment horizontal="center"/>
    </xf>
    <xf numFmtId="164" fontId="67" fillId="31" borderId="0" xfId="0" applyNumberFormat="1" applyFont="1" applyFill="1" applyAlignment="1">
      <alignment horizontal="right"/>
    </xf>
    <xf numFmtId="167" fontId="0" fillId="0" borderId="0" xfId="0" applyNumberFormat="1" applyAlignment="1">
      <alignment horizontal="right"/>
    </xf>
    <xf numFmtId="164" fontId="74" fillId="29" borderId="0" xfId="0" applyNumberFormat="1" applyFont="1" applyFill="1" applyAlignment="1">
      <alignment horizontal="right"/>
    </xf>
    <xf numFmtId="164" fontId="74" fillId="30" borderId="0" xfId="0" applyNumberFormat="1" applyFont="1" applyFill="1" applyAlignment="1">
      <alignment horizontal="right"/>
    </xf>
    <xf numFmtId="164" fontId="67" fillId="0" borderId="0" xfId="0" applyNumberFormat="1" applyFont="1" applyAlignment="1">
      <alignment horizontal="center"/>
    </xf>
    <xf numFmtId="0" fontId="74" fillId="0" borderId="0" xfId="0" applyFont="1"/>
    <xf numFmtId="0" fontId="66" fillId="23" borderId="12" xfId="0" applyFont="1" applyFill="1" applyBorder="1" applyAlignment="1">
      <alignment horizontal="center"/>
    </xf>
    <xf numFmtId="164" fontId="66" fillId="23" borderId="13" xfId="0" applyNumberFormat="1" applyFont="1" applyFill="1" applyBorder="1" applyAlignment="1">
      <alignment horizontal="right"/>
    </xf>
    <xf numFmtId="164" fontId="66" fillId="0" borderId="0" xfId="0" applyNumberFormat="1" applyFont="1" applyAlignment="1">
      <alignment horizontal="center"/>
    </xf>
    <xf numFmtId="164" fontId="74" fillId="0" borderId="0" xfId="0" applyNumberFormat="1" applyFont="1"/>
    <xf numFmtId="0" fontId="66" fillId="23" borderId="11" xfId="0" applyFont="1" applyFill="1" applyBorder="1" applyAlignment="1">
      <alignment horizontal="center"/>
    </xf>
    <xf numFmtId="0" fontId="66" fillId="32" borderId="11" xfId="0" applyFont="1" applyFill="1" applyBorder="1" applyAlignment="1">
      <alignment horizontal="center"/>
    </xf>
    <xf numFmtId="0" fontId="66" fillId="32" borderId="12" xfId="0" applyFont="1" applyFill="1" applyBorder="1" applyAlignment="1">
      <alignment horizontal="center"/>
    </xf>
    <xf numFmtId="164" fontId="66" fillId="32" borderId="13" xfId="0" applyNumberFormat="1" applyFont="1" applyFill="1" applyBorder="1" applyAlignment="1">
      <alignment horizontal="center"/>
    </xf>
    <xf numFmtId="0" fontId="68" fillId="12" borderId="17" xfId="0" applyFont="1" applyFill="1" applyBorder="1" applyAlignment="1">
      <alignment horizontal="center" vertical="center" wrapText="1"/>
    </xf>
    <xf numFmtId="0" fontId="68" fillId="10" borderId="4" xfId="0" applyFont="1" applyFill="1" applyBorder="1" applyAlignment="1">
      <alignment horizontal="center" vertical="center" wrapText="1"/>
    </xf>
    <xf numFmtId="0" fontId="68" fillId="13" borderId="4" xfId="0" applyFont="1" applyFill="1" applyBorder="1" applyAlignment="1">
      <alignment horizontal="center" vertical="center" wrapText="1"/>
    </xf>
    <xf numFmtId="0" fontId="68" fillId="13" borderId="16" xfId="0" applyFont="1" applyFill="1" applyBorder="1" applyAlignment="1">
      <alignment horizontal="center" vertical="center" wrapText="1"/>
    </xf>
    <xf numFmtId="0" fontId="62" fillId="14" borderId="9" xfId="1" applyFont="1" applyFill="1" applyBorder="1" applyAlignment="1">
      <alignment horizontal="center" vertical="center"/>
    </xf>
    <xf numFmtId="0" fontId="40" fillId="0" borderId="3" xfId="0" applyFont="1" applyBorder="1" applyAlignment="1">
      <alignment horizontal="center"/>
    </xf>
    <xf numFmtId="0" fontId="62" fillId="3" borderId="9" xfId="1" applyFont="1" applyFill="1" applyBorder="1" applyAlignment="1">
      <alignment horizontal="center" vertical="center"/>
    </xf>
    <xf numFmtId="0" fontId="62" fillId="3" borderId="7" xfId="1" applyFont="1" applyFill="1" applyBorder="1" applyAlignment="1">
      <alignment horizontal="center" vertical="center"/>
    </xf>
    <xf numFmtId="0" fontId="56" fillId="7" borderId="6" xfId="1" applyFill="1" applyBorder="1" applyAlignment="1">
      <alignment horizontal="center"/>
    </xf>
    <xf numFmtId="0" fontId="40" fillId="0" borderId="6" xfId="0" applyFont="1" applyBorder="1" applyAlignment="1">
      <alignment horizontal="center"/>
    </xf>
    <xf numFmtId="164" fontId="67" fillId="19" borderId="0" xfId="0" applyNumberFormat="1" applyFont="1" applyFill="1" applyAlignment="1">
      <alignment horizontal="right"/>
    </xf>
    <xf numFmtId="164" fontId="66" fillId="33" borderId="13" xfId="0" applyNumberFormat="1" applyFont="1" applyFill="1" applyBorder="1" applyAlignment="1">
      <alignment horizontal="right"/>
    </xf>
    <xf numFmtId="164" fontId="66" fillId="33" borderId="15" xfId="0" applyNumberFormat="1" applyFont="1" applyFill="1" applyBorder="1" applyAlignment="1">
      <alignment horizontal="right"/>
    </xf>
    <xf numFmtId="164" fontId="66" fillId="33" borderId="11" xfId="0" applyNumberFormat="1" applyFont="1" applyFill="1" applyBorder="1" applyAlignment="1">
      <alignment horizontal="right"/>
    </xf>
    <xf numFmtId="164" fontId="66" fillId="33" borderId="12" xfId="0" applyNumberFormat="1" applyFont="1" applyFill="1" applyBorder="1" applyAlignment="1">
      <alignment horizontal="right"/>
    </xf>
    <xf numFmtId="164" fontId="66" fillId="23" borderId="15" xfId="0" applyNumberFormat="1" applyFont="1" applyFill="1" applyBorder="1" applyAlignment="1">
      <alignment horizontal="right"/>
    </xf>
    <xf numFmtId="164" fontId="66" fillId="34" borderId="15" xfId="0" applyNumberFormat="1" applyFont="1" applyFill="1" applyBorder="1" applyAlignment="1">
      <alignment horizontal="right"/>
    </xf>
    <xf numFmtId="0" fontId="66" fillId="34" borderId="11" xfId="0" applyFont="1" applyFill="1" applyBorder="1" applyAlignment="1">
      <alignment horizontal="center"/>
    </xf>
    <xf numFmtId="0" fontId="66" fillId="34" borderId="12" xfId="0" applyFont="1" applyFill="1" applyBorder="1" applyAlignment="1">
      <alignment horizontal="center"/>
    </xf>
    <xf numFmtId="164" fontId="66" fillId="34" borderId="13" xfId="0" applyNumberFormat="1" applyFont="1" applyFill="1" applyBorder="1" applyAlignment="1">
      <alignment horizontal="right"/>
    </xf>
    <xf numFmtId="166" fontId="62" fillId="0" borderId="0" xfId="49" applyNumberFormat="1" applyFont="1" applyAlignment="1">
      <alignment horizontal="center" vertical="center"/>
    </xf>
    <xf numFmtId="0" fontId="39" fillId="0" borderId="3" xfId="0" applyFont="1" applyBorder="1" applyAlignment="1">
      <alignment horizontal="center"/>
    </xf>
    <xf numFmtId="0" fontId="39" fillId="0" borderId="6" xfId="0" applyFont="1" applyBorder="1" applyAlignment="1">
      <alignment horizontal="center"/>
    </xf>
    <xf numFmtId="0" fontId="38" fillId="21" borderId="0" xfId="49" applyFont="1" applyFill="1" applyAlignment="1">
      <alignment horizontal="center" vertical="center"/>
    </xf>
    <xf numFmtId="3" fontId="37" fillId="0" borderId="0" xfId="49" applyNumberFormat="1" applyFont="1" applyAlignment="1">
      <alignment horizontal="center" vertical="center"/>
    </xf>
    <xf numFmtId="0" fontId="76" fillId="20" borderId="10" xfId="5" applyFont="1" applyFill="1" applyBorder="1" applyAlignment="1">
      <alignment horizontal="center"/>
    </xf>
    <xf numFmtId="0" fontId="75" fillId="35" borderId="2" xfId="1" applyFont="1" applyFill="1" applyBorder="1" applyAlignment="1">
      <alignment horizontal="center" vertical="center"/>
    </xf>
    <xf numFmtId="0" fontId="75" fillId="26" borderId="2" xfId="1" applyFont="1" applyFill="1" applyBorder="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66" fontId="67" fillId="36" borderId="0" xfId="0" applyNumberFormat="1" applyFont="1" applyFill="1" applyAlignment="1">
      <alignment horizontal="center" vertical="center"/>
    </xf>
    <xf numFmtId="0" fontId="67" fillId="36" borderId="0" xfId="0" applyFont="1" applyFill="1" applyAlignment="1">
      <alignment horizontal="center" vertical="center"/>
    </xf>
    <xf numFmtId="0" fontId="36" fillId="0" borderId="0" xfId="49" applyFont="1" applyAlignment="1">
      <alignment horizontal="center" vertical="center"/>
    </xf>
    <xf numFmtId="165" fontId="35" fillId="0" borderId="0" xfId="49" applyNumberFormat="1" applyFont="1" applyAlignment="1">
      <alignment horizontal="center" vertical="center"/>
    </xf>
    <xf numFmtId="0" fontId="35" fillId="0" borderId="0" xfId="49" applyFont="1" applyAlignment="1">
      <alignment horizontal="center" vertical="center"/>
    </xf>
    <xf numFmtId="0" fontId="35" fillId="0" borderId="0" xfId="0" applyFont="1" applyAlignment="1">
      <alignment horizontal="center" vertical="center"/>
    </xf>
    <xf numFmtId="3" fontId="35" fillId="0" borderId="0" xfId="49" applyNumberFormat="1" applyFont="1" applyAlignment="1">
      <alignment horizontal="center" vertical="center"/>
    </xf>
    <xf numFmtId="3" fontId="35" fillId="0" borderId="0" xfId="0" applyNumberFormat="1" applyFont="1" applyAlignment="1">
      <alignment horizontal="center" vertical="center"/>
    </xf>
    <xf numFmtId="2" fontId="35" fillId="0" borderId="0" xfId="49" applyNumberFormat="1" applyFont="1" applyAlignment="1">
      <alignment horizontal="center" vertical="center"/>
    </xf>
    <xf numFmtId="2" fontId="35" fillId="0" borderId="0" xfId="0" applyNumberFormat="1" applyFont="1" applyAlignment="1">
      <alignment horizontal="center" vertical="center"/>
    </xf>
    <xf numFmtId="4" fontId="35" fillId="0" borderId="0" xfId="0" applyNumberFormat="1" applyFont="1" applyAlignment="1">
      <alignment horizontal="center" vertical="center"/>
    </xf>
    <xf numFmtId="165" fontId="34" fillId="0" borderId="0" xfId="49" applyNumberFormat="1" applyFont="1" applyAlignment="1">
      <alignment horizontal="center" vertical="center"/>
    </xf>
    <xf numFmtId="0" fontId="34" fillId="0" borderId="0" xfId="49" applyFont="1" applyAlignment="1">
      <alignment horizontal="center" vertical="center"/>
    </xf>
    <xf numFmtId="0" fontId="34" fillId="0" borderId="0" xfId="0" applyFont="1" applyAlignment="1">
      <alignment horizontal="center" vertical="center"/>
    </xf>
    <xf numFmtId="3" fontId="34" fillId="0" borderId="0" xfId="49" applyNumberFormat="1" applyFont="1" applyAlignment="1">
      <alignment horizontal="center" vertical="center"/>
    </xf>
    <xf numFmtId="3" fontId="34" fillId="0" borderId="0" xfId="0" applyNumberFormat="1" applyFont="1" applyAlignment="1">
      <alignment horizontal="center" vertical="center"/>
    </xf>
    <xf numFmtId="2" fontId="34" fillId="0" borderId="0" xfId="49" applyNumberFormat="1" applyFont="1" applyAlignment="1">
      <alignment horizontal="center" vertical="center"/>
    </xf>
    <xf numFmtId="2" fontId="34" fillId="0" borderId="0" xfId="0" applyNumberFormat="1" applyFont="1" applyAlignment="1">
      <alignment horizontal="center" vertical="center"/>
    </xf>
    <xf numFmtId="4" fontId="34" fillId="0" borderId="0" xfId="0" applyNumberFormat="1" applyFont="1" applyAlignment="1">
      <alignment horizontal="center" vertical="center"/>
    </xf>
    <xf numFmtId="0" fontId="0" fillId="0" borderId="0" xfId="0" pivotButton="1" applyAlignment="1">
      <alignment horizontal="center"/>
    </xf>
    <xf numFmtId="3" fontId="33" fillId="0" borderId="0" xfId="49" applyNumberFormat="1" applyFont="1" applyAlignment="1">
      <alignment horizontal="center" vertical="center"/>
    </xf>
    <xf numFmtId="0" fontId="32" fillId="0" borderId="0" xfId="49" applyFont="1" applyAlignment="1">
      <alignment horizontal="center" vertical="center"/>
    </xf>
    <xf numFmtId="3" fontId="32" fillId="0" borderId="0" xfId="49" applyNumberFormat="1" applyFont="1" applyAlignment="1">
      <alignment horizontal="center" vertical="center"/>
    </xf>
    <xf numFmtId="165" fontId="31" fillId="0" borderId="0" xfId="49" applyNumberFormat="1" applyFont="1" applyAlignment="1">
      <alignment horizontal="center" vertical="center"/>
    </xf>
    <xf numFmtId="0" fontId="31" fillId="0" borderId="0" xfId="49" applyFont="1" applyAlignment="1">
      <alignment horizontal="center" vertical="center"/>
    </xf>
    <xf numFmtId="0" fontId="31" fillId="0" borderId="0" xfId="0" applyFont="1" applyAlignment="1">
      <alignment horizontal="center" vertical="center"/>
    </xf>
    <xf numFmtId="3" fontId="31" fillId="0" borderId="0" xfId="49" applyNumberFormat="1" applyFont="1" applyAlignment="1">
      <alignment horizontal="center" vertical="center"/>
    </xf>
    <xf numFmtId="3" fontId="31" fillId="0" borderId="0" xfId="0" applyNumberFormat="1" applyFont="1" applyAlignment="1">
      <alignment horizontal="center" vertical="center"/>
    </xf>
    <xf numFmtId="2" fontId="31" fillId="0" borderId="0" xfId="49" applyNumberFormat="1" applyFont="1" applyAlignment="1">
      <alignment horizontal="center" vertical="center"/>
    </xf>
    <xf numFmtId="2" fontId="31" fillId="0" borderId="0" xfId="0" applyNumberFormat="1" applyFont="1" applyAlignment="1">
      <alignment horizontal="center" vertical="center"/>
    </xf>
    <xf numFmtId="4" fontId="31" fillId="0" borderId="0" xfId="0" applyNumberFormat="1" applyFont="1" applyAlignment="1">
      <alignment horizontal="center" vertical="center"/>
    </xf>
    <xf numFmtId="165" fontId="30" fillId="0" borderId="0" xfId="49" applyNumberFormat="1" applyFont="1" applyAlignment="1">
      <alignment horizontal="center" vertical="center"/>
    </xf>
    <xf numFmtId="0" fontId="30" fillId="0" borderId="0" xfId="49" applyFont="1" applyAlignment="1">
      <alignment horizontal="center" vertical="center"/>
    </xf>
    <xf numFmtId="0" fontId="30" fillId="0" borderId="0" xfId="0" applyFont="1" applyAlignment="1">
      <alignment horizontal="center" vertical="center"/>
    </xf>
    <xf numFmtId="3" fontId="30" fillId="0" borderId="0" xfId="49" applyNumberFormat="1" applyFont="1" applyAlignment="1">
      <alignment horizontal="center" vertical="center"/>
    </xf>
    <xf numFmtId="3" fontId="30" fillId="0" borderId="0" xfId="0" applyNumberFormat="1" applyFont="1" applyAlignment="1">
      <alignment horizontal="center" vertical="center"/>
    </xf>
    <xf numFmtId="2" fontId="30" fillId="0" borderId="0" xfId="49" applyNumberFormat="1" applyFont="1" applyAlignment="1">
      <alignment horizontal="center" vertical="center"/>
    </xf>
    <xf numFmtId="2" fontId="30" fillId="0" borderId="0" xfId="0" applyNumberFormat="1" applyFont="1" applyAlignment="1">
      <alignment horizontal="center" vertical="center"/>
    </xf>
    <xf numFmtId="4" fontId="30" fillId="0" borderId="0" xfId="0" applyNumberFormat="1" applyFont="1" applyAlignment="1">
      <alignment horizontal="center" vertical="center"/>
    </xf>
    <xf numFmtId="0" fontId="29" fillId="0" borderId="0" xfId="49" applyFont="1" applyAlignment="1">
      <alignment horizontal="center" vertical="center"/>
    </xf>
    <xf numFmtId="0" fontId="77" fillId="20" borderId="0" xfId="5" applyFont="1" applyFill="1" applyAlignment="1">
      <alignment horizontal="center"/>
    </xf>
    <xf numFmtId="0" fontId="59" fillId="4" borderId="4" xfId="5" applyFont="1" applyFill="1" applyBorder="1" applyAlignment="1">
      <alignment horizontal="center" vertical="center"/>
    </xf>
    <xf numFmtId="0" fontId="75" fillId="27" borderId="4" xfId="1" applyFont="1" applyFill="1" applyBorder="1" applyAlignment="1">
      <alignment horizontal="center" vertical="center"/>
    </xf>
    <xf numFmtId="166" fontId="73" fillId="37" borderId="0" xfId="6" applyNumberFormat="1" applyFont="1" applyFill="1" applyAlignment="1">
      <alignment horizontal="center"/>
    </xf>
    <xf numFmtId="20" fontId="60" fillId="9" borderId="3" xfId="0" applyNumberFormat="1" applyFont="1" applyFill="1" applyBorder="1" applyAlignment="1">
      <alignment horizontal="center" vertical="center"/>
    </xf>
    <xf numFmtId="20" fontId="60" fillId="7" borderId="3" xfId="0" applyNumberFormat="1" applyFont="1" applyFill="1" applyBorder="1" applyAlignment="1">
      <alignment horizontal="center" vertical="center"/>
    </xf>
    <xf numFmtId="0" fontId="62" fillId="0" borderId="3" xfId="0" quotePrefix="1" applyFont="1" applyBorder="1" applyAlignment="1">
      <alignment horizontal="center" vertical="center"/>
    </xf>
    <xf numFmtId="0" fontId="62" fillId="6" borderId="8" xfId="0" applyFont="1" applyFill="1" applyBorder="1" applyAlignment="1">
      <alignment horizontal="center" vertical="center"/>
    </xf>
    <xf numFmtId="168" fontId="0" fillId="0" borderId="6" xfId="0" applyNumberFormat="1" applyBorder="1" applyAlignment="1">
      <alignment horizontal="center"/>
    </xf>
    <xf numFmtId="165" fontId="28" fillId="0" borderId="0" xfId="49" applyNumberFormat="1" applyFont="1" applyAlignment="1">
      <alignment horizontal="center" vertical="center"/>
    </xf>
    <xf numFmtId="0" fontId="28" fillId="0" borderId="0" xfId="49" applyFont="1" applyAlignment="1">
      <alignment horizontal="center" vertical="center"/>
    </xf>
    <xf numFmtId="0" fontId="28" fillId="0" borderId="0" xfId="0" applyFont="1" applyAlignment="1">
      <alignment horizontal="center" vertical="center"/>
    </xf>
    <xf numFmtId="3" fontId="28" fillId="0" borderId="0" xfId="49" applyNumberFormat="1" applyFont="1" applyAlignment="1">
      <alignment horizontal="center" vertical="center"/>
    </xf>
    <xf numFmtId="3" fontId="28" fillId="0" borderId="0" xfId="0" applyNumberFormat="1" applyFont="1" applyAlignment="1">
      <alignment horizontal="center" vertical="center"/>
    </xf>
    <xf numFmtId="2" fontId="28" fillId="0" borderId="0" xfId="49" applyNumberFormat="1" applyFont="1" applyAlignment="1">
      <alignment horizontal="center" vertical="center"/>
    </xf>
    <xf numFmtId="2" fontId="28" fillId="0" borderId="0" xfId="0" applyNumberFormat="1" applyFont="1" applyAlignment="1">
      <alignment horizontal="center" vertical="center"/>
    </xf>
    <xf numFmtId="4" fontId="28" fillId="0" borderId="0" xfId="0" applyNumberFormat="1" applyFont="1" applyAlignment="1">
      <alignment horizontal="center" vertical="center"/>
    </xf>
    <xf numFmtId="0" fontId="27" fillId="0" borderId="0" xfId="49" applyFont="1" applyAlignment="1">
      <alignment horizontal="center" vertical="center"/>
    </xf>
    <xf numFmtId="3" fontId="27" fillId="0" borderId="0" xfId="49" applyNumberFormat="1" applyFont="1" applyAlignment="1">
      <alignment horizontal="center" vertical="center"/>
    </xf>
    <xf numFmtId="165" fontId="26" fillId="0" borderId="0" xfId="49" applyNumberFormat="1" applyFont="1" applyAlignment="1">
      <alignment horizontal="center" vertical="center"/>
    </xf>
    <xf numFmtId="0" fontId="26" fillId="0" borderId="0" xfId="49" applyFont="1" applyAlignment="1">
      <alignment horizontal="center" vertical="center"/>
    </xf>
    <xf numFmtId="2" fontId="26" fillId="0" borderId="0" xfId="0" applyNumberFormat="1" applyFont="1" applyAlignment="1">
      <alignment horizontal="center" vertical="center"/>
    </xf>
    <xf numFmtId="4" fontId="26" fillId="0" borderId="0" xfId="0" applyNumberFormat="1" applyFont="1" applyAlignment="1">
      <alignment horizontal="center" vertical="center"/>
    </xf>
    <xf numFmtId="3" fontId="26" fillId="0" borderId="0" xfId="49" applyNumberFormat="1" applyFont="1" applyAlignment="1">
      <alignment horizontal="center" vertical="center"/>
    </xf>
    <xf numFmtId="0" fontId="26" fillId="0" borderId="0" xfId="0" applyFont="1" applyAlignment="1">
      <alignment horizontal="center" vertical="center"/>
    </xf>
    <xf numFmtId="3" fontId="26" fillId="0" borderId="0" xfId="0" applyNumberFormat="1" applyFont="1" applyAlignment="1">
      <alignment horizontal="center" vertical="center"/>
    </xf>
    <xf numFmtId="2" fontId="26" fillId="0" borderId="0" xfId="49" applyNumberFormat="1" applyFont="1" applyAlignment="1">
      <alignment horizontal="center" vertical="center"/>
    </xf>
    <xf numFmtId="165" fontId="25" fillId="0" borderId="0" xfId="49" applyNumberFormat="1" applyFont="1" applyAlignment="1">
      <alignment horizontal="center" vertical="center"/>
    </xf>
    <xf numFmtId="0" fontId="25" fillId="0" borderId="0" xfId="49" applyFont="1" applyAlignment="1">
      <alignment horizontal="center" vertical="center"/>
    </xf>
    <xf numFmtId="0" fontId="25" fillId="0" borderId="0" xfId="0" applyFont="1" applyAlignment="1">
      <alignment horizontal="center" vertical="center"/>
    </xf>
    <xf numFmtId="3" fontId="25" fillId="0" borderId="0" xfId="49" applyNumberFormat="1" applyFont="1" applyAlignment="1">
      <alignment horizontal="center" vertical="center"/>
    </xf>
    <xf numFmtId="3" fontId="25" fillId="0" borderId="0" xfId="0" applyNumberFormat="1" applyFont="1" applyAlignment="1">
      <alignment horizontal="center" vertical="center"/>
    </xf>
    <xf numFmtId="2" fontId="25" fillId="0" borderId="0" xfId="49" applyNumberFormat="1" applyFont="1" applyAlignment="1">
      <alignment horizontal="center" vertical="center"/>
    </xf>
    <xf numFmtId="2" fontId="25" fillId="0" borderId="0" xfId="0" applyNumberFormat="1" applyFont="1" applyAlignment="1">
      <alignment horizontal="center" vertical="center"/>
    </xf>
    <xf numFmtId="4" fontId="25" fillId="0" borderId="0" xfId="0" applyNumberFormat="1" applyFont="1" applyAlignment="1">
      <alignment horizontal="center" vertical="center"/>
    </xf>
    <xf numFmtId="3" fontId="24" fillId="0" borderId="0" xfId="49" applyNumberFormat="1" applyFont="1" applyAlignment="1">
      <alignment horizontal="center" vertical="center"/>
    </xf>
    <xf numFmtId="0" fontId="0" fillId="3" borderId="0" xfId="0" applyFill="1" applyAlignment="1">
      <alignment horizontal="center"/>
    </xf>
    <xf numFmtId="166" fontId="73" fillId="0" borderId="18" xfId="6" applyNumberFormat="1" applyFont="1" applyBorder="1" applyAlignment="1">
      <alignment horizontal="center"/>
    </xf>
    <xf numFmtId="166" fontId="73" fillId="38" borderId="18" xfId="6" applyNumberFormat="1" applyFont="1" applyFill="1" applyBorder="1" applyAlignment="1">
      <alignment horizontal="center"/>
    </xf>
    <xf numFmtId="166" fontId="73" fillId="38" borderId="0" xfId="6" applyNumberFormat="1" applyFont="1" applyFill="1" applyAlignment="1">
      <alignment horizontal="center"/>
    </xf>
    <xf numFmtId="0" fontId="64" fillId="0" borderId="7" xfId="4" applyFont="1" applyBorder="1" applyAlignment="1">
      <alignment horizontal="center" vertical="center"/>
    </xf>
    <xf numFmtId="0" fontId="60" fillId="0" borderId="9" xfId="0" applyFont="1" applyBorder="1" applyAlignment="1">
      <alignment horizontal="center" vertical="center"/>
    </xf>
    <xf numFmtId="0" fontId="63" fillId="0" borderId="3" xfId="0" applyFont="1" applyBorder="1" applyAlignment="1">
      <alignment horizontal="center" vertical="center"/>
    </xf>
    <xf numFmtId="168" fontId="0" fillId="0" borderId="3" xfId="0" applyNumberFormat="1" applyBorder="1" applyAlignment="1">
      <alignment horizontal="center"/>
    </xf>
    <xf numFmtId="0" fontId="23" fillId="0" borderId="0" xfId="49" applyFont="1" applyAlignment="1">
      <alignment horizontal="center" vertical="center"/>
    </xf>
    <xf numFmtId="3" fontId="23" fillId="0" borderId="0" xfId="49" applyNumberFormat="1" applyFont="1" applyAlignment="1">
      <alignment horizontal="center" vertical="center"/>
    </xf>
    <xf numFmtId="2" fontId="23" fillId="0" borderId="0" xfId="0" applyNumberFormat="1" applyFont="1" applyAlignment="1">
      <alignment horizontal="center" vertical="center"/>
    </xf>
    <xf numFmtId="165" fontId="22" fillId="0" borderId="0" xfId="49" applyNumberFormat="1" applyFont="1" applyAlignment="1">
      <alignment horizontal="center" vertical="center"/>
    </xf>
    <xf numFmtId="0" fontId="22" fillId="0" borderId="0" xfId="49" applyFont="1" applyAlignment="1">
      <alignment horizontal="center" vertical="center"/>
    </xf>
    <xf numFmtId="0" fontId="22" fillId="0" borderId="0" xfId="0" applyFont="1" applyAlignment="1">
      <alignment horizontal="center" vertical="center"/>
    </xf>
    <xf numFmtId="3" fontId="22" fillId="0" borderId="0" xfId="49" applyNumberFormat="1" applyFont="1" applyAlignment="1">
      <alignment horizontal="center" vertical="center"/>
    </xf>
    <xf numFmtId="3" fontId="22" fillId="0" borderId="0" xfId="0" applyNumberFormat="1" applyFont="1" applyAlignment="1">
      <alignment horizontal="center" vertical="center"/>
    </xf>
    <xf numFmtId="2" fontId="22" fillId="0" borderId="0" xfId="49" applyNumberFormat="1" applyFont="1" applyAlignment="1">
      <alignment horizontal="center" vertical="center"/>
    </xf>
    <xf numFmtId="4" fontId="22" fillId="0" borderId="0" xfId="0" applyNumberFormat="1" applyFont="1" applyAlignment="1">
      <alignment horizontal="center" vertical="center"/>
    </xf>
    <xf numFmtId="0" fontId="21" fillId="0" borderId="0" xfId="49" applyFont="1" applyAlignment="1">
      <alignment horizontal="center" vertical="center"/>
    </xf>
    <xf numFmtId="3" fontId="20" fillId="0" borderId="0" xfId="49" applyNumberFormat="1" applyFont="1" applyAlignment="1">
      <alignment horizontal="center" vertical="center"/>
    </xf>
    <xf numFmtId="0" fontId="19" fillId="0" borderId="0" xfId="0" applyFont="1" applyAlignment="1">
      <alignment horizontal="center" vertical="center"/>
    </xf>
    <xf numFmtId="165" fontId="19" fillId="0" borderId="0" xfId="49" applyNumberFormat="1" applyFont="1" applyAlignment="1">
      <alignment horizontal="center" vertical="center"/>
    </xf>
    <xf numFmtId="0" fontId="19" fillId="0" borderId="0" xfId="49" applyFont="1" applyAlignment="1">
      <alignment horizontal="center" vertical="center"/>
    </xf>
    <xf numFmtId="3" fontId="19" fillId="0" borderId="0" xfId="49" applyNumberFormat="1" applyFont="1" applyAlignment="1">
      <alignment horizontal="center" vertical="center"/>
    </xf>
    <xf numFmtId="3" fontId="19" fillId="0" borderId="0" xfId="0" applyNumberFormat="1" applyFont="1" applyAlignment="1">
      <alignment horizontal="center" vertical="center"/>
    </xf>
    <xf numFmtId="2" fontId="19" fillId="0" borderId="0" xfId="49" applyNumberFormat="1" applyFont="1" applyAlignment="1">
      <alignment horizontal="center" vertical="center"/>
    </xf>
    <xf numFmtId="2" fontId="19" fillId="0" borderId="0" xfId="0" applyNumberFormat="1" applyFont="1" applyAlignment="1">
      <alignment horizontal="center" vertical="center"/>
    </xf>
    <xf numFmtId="4" fontId="19" fillId="0" borderId="0" xfId="0" applyNumberFormat="1" applyFont="1" applyAlignment="1">
      <alignment horizontal="center" vertical="center"/>
    </xf>
    <xf numFmtId="0" fontId="19" fillId="21" borderId="0" xfId="49" applyFont="1" applyFill="1" applyAlignment="1">
      <alignment horizontal="center" vertical="center"/>
    </xf>
    <xf numFmtId="165" fontId="18" fillId="0" borderId="0" xfId="49" applyNumberFormat="1" applyFont="1" applyAlignment="1">
      <alignment horizontal="center" vertical="center"/>
    </xf>
    <xf numFmtId="0" fontId="18" fillId="0" borderId="0" xfId="49" applyFont="1" applyAlignment="1">
      <alignment horizontal="center" vertical="center"/>
    </xf>
    <xf numFmtId="0" fontId="18" fillId="0" borderId="0" xfId="0" applyFont="1" applyAlignment="1">
      <alignment horizontal="center" vertical="center"/>
    </xf>
    <xf numFmtId="3" fontId="18" fillId="0" borderId="0" xfId="49" applyNumberFormat="1" applyFont="1" applyAlignment="1">
      <alignment horizontal="center" vertical="center"/>
    </xf>
    <xf numFmtId="3" fontId="18" fillId="0" borderId="0" xfId="0" applyNumberFormat="1" applyFont="1" applyAlignment="1">
      <alignment horizontal="center" vertical="center"/>
    </xf>
    <xf numFmtId="2" fontId="18" fillId="0" borderId="0" xfId="49" applyNumberFormat="1" applyFont="1" applyAlignment="1">
      <alignment horizontal="center" vertical="center"/>
    </xf>
    <xf numFmtId="2" fontId="18" fillId="0" borderId="0" xfId="0" applyNumberFormat="1" applyFont="1" applyAlignment="1">
      <alignment horizontal="center" vertical="center"/>
    </xf>
    <xf numFmtId="4" fontId="18" fillId="0" borderId="0" xfId="0" applyNumberFormat="1" applyFont="1" applyAlignment="1">
      <alignment horizontal="center" vertical="center"/>
    </xf>
    <xf numFmtId="165" fontId="17" fillId="0" borderId="0" xfId="49" applyNumberFormat="1" applyFont="1" applyAlignment="1">
      <alignment horizontal="center" vertical="center"/>
    </xf>
    <xf numFmtId="0" fontId="17" fillId="0" borderId="0" xfId="49" applyFont="1" applyAlignment="1">
      <alignment horizontal="center" vertical="center"/>
    </xf>
    <xf numFmtId="0" fontId="17" fillId="0" borderId="0" xfId="0" applyFont="1" applyAlignment="1">
      <alignment horizontal="center" vertical="center"/>
    </xf>
    <xf numFmtId="3" fontId="17" fillId="0" borderId="0" xfId="49" applyNumberFormat="1" applyFont="1" applyAlignment="1">
      <alignment horizontal="center" vertical="center"/>
    </xf>
    <xf numFmtId="3" fontId="17" fillId="0" borderId="0" xfId="0" applyNumberFormat="1" applyFont="1" applyAlignment="1">
      <alignment horizontal="center" vertical="center"/>
    </xf>
    <xf numFmtId="2" fontId="17" fillId="0" borderId="0" xfId="49" applyNumberFormat="1" applyFont="1" applyAlignment="1">
      <alignment horizontal="center" vertical="center"/>
    </xf>
    <xf numFmtId="2" fontId="17" fillId="0" borderId="0" xfId="0" applyNumberFormat="1" applyFont="1" applyAlignment="1">
      <alignment horizontal="center" vertical="center"/>
    </xf>
    <xf numFmtId="4" fontId="17" fillId="0" borderId="0" xfId="0" applyNumberFormat="1" applyFont="1" applyAlignment="1">
      <alignment horizontal="center" vertical="center"/>
    </xf>
    <xf numFmtId="0" fontId="71" fillId="2" borderId="17" xfId="4" applyFont="1" applyFill="1" applyBorder="1" applyAlignment="1">
      <alignment horizontal="center" vertical="center"/>
    </xf>
    <xf numFmtId="0" fontId="71" fillId="2" borderId="4" xfId="4" applyFont="1" applyFill="1" applyBorder="1" applyAlignment="1">
      <alignment horizontal="center" vertical="center"/>
    </xf>
    <xf numFmtId="166" fontId="71" fillId="2" borderId="4" xfId="4" applyNumberFormat="1" applyFont="1" applyFill="1" applyBorder="1" applyAlignment="1">
      <alignment horizontal="center" vertical="center"/>
    </xf>
    <xf numFmtId="0" fontId="72" fillId="2" borderId="4" xfId="0" applyFont="1" applyFill="1" applyBorder="1" applyAlignment="1">
      <alignment horizontal="center"/>
    </xf>
    <xf numFmtId="0" fontId="71" fillId="2" borderId="4" xfId="17" applyFont="1" applyFill="1" applyBorder="1" applyAlignment="1">
      <alignment horizontal="center" vertical="center"/>
    </xf>
    <xf numFmtId="0" fontId="71" fillId="2" borderId="16" xfId="4" applyFont="1" applyFill="1" applyBorder="1" applyAlignment="1">
      <alignment horizontal="center" vertical="center"/>
    </xf>
    <xf numFmtId="0" fontId="64" fillId="0" borderId="9" xfId="4" applyFont="1" applyBorder="1" applyAlignment="1">
      <alignment horizontal="center" vertical="center"/>
    </xf>
    <xf numFmtId="0" fontId="64" fillId="0" borderId="3" xfId="4" applyFont="1" applyBorder="1" applyAlignment="1">
      <alignment horizontal="center" vertical="center"/>
    </xf>
    <xf numFmtId="0" fontId="64" fillId="3" borderId="9" xfId="4" applyFont="1" applyFill="1" applyBorder="1" applyAlignment="1">
      <alignment horizontal="center" vertical="center"/>
    </xf>
    <xf numFmtId="0" fontId="64" fillId="3" borderId="3" xfId="4" applyFont="1" applyFill="1" applyBorder="1" applyAlignment="1">
      <alignment horizontal="center" vertical="center"/>
    </xf>
    <xf numFmtId="165" fontId="67" fillId="36" borderId="0" xfId="0" applyNumberFormat="1" applyFont="1" applyFill="1" applyAlignment="1">
      <alignment horizontal="center" vertical="center"/>
    </xf>
    <xf numFmtId="165" fontId="0" fillId="0" borderId="0" xfId="0" applyNumberFormat="1" applyAlignment="1">
      <alignment horizontal="center" vertical="center"/>
    </xf>
    <xf numFmtId="165" fontId="16" fillId="0" borderId="0" xfId="49" applyNumberFormat="1" applyFont="1" applyAlignment="1">
      <alignment horizontal="center" vertical="center"/>
    </xf>
    <xf numFmtId="0" fontId="16" fillId="0" borderId="0" xfId="49" applyFont="1" applyAlignment="1">
      <alignment horizontal="center" vertical="center"/>
    </xf>
    <xf numFmtId="0" fontId="16" fillId="0" borderId="0" xfId="0" applyFont="1" applyAlignment="1">
      <alignment horizontal="center" vertical="center"/>
    </xf>
    <xf numFmtId="3" fontId="16" fillId="0" borderId="0" xfId="49" applyNumberFormat="1" applyFont="1" applyAlignment="1">
      <alignment horizontal="center" vertical="center"/>
    </xf>
    <xf numFmtId="3" fontId="16" fillId="0" borderId="0" xfId="0" applyNumberFormat="1" applyFont="1" applyAlignment="1">
      <alignment horizontal="center" vertical="center"/>
    </xf>
    <xf numFmtId="2" fontId="16" fillId="0" borderId="0" xfId="49" applyNumberFormat="1" applyFont="1" applyAlignment="1">
      <alignment horizontal="center" vertical="center"/>
    </xf>
    <xf numFmtId="2" fontId="16" fillId="0" borderId="0" xfId="0" applyNumberFormat="1" applyFont="1" applyAlignment="1">
      <alignment horizontal="center" vertical="center"/>
    </xf>
    <xf numFmtId="4" fontId="16" fillId="0" borderId="0" xfId="0" applyNumberFormat="1" applyFont="1" applyAlignment="1">
      <alignment horizontal="center" vertical="center"/>
    </xf>
    <xf numFmtId="165" fontId="15" fillId="0" borderId="0" xfId="49" applyNumberFormat="1" applyFont="1" applyAlignment="1">
      <alignment horizontal="center" vertical="center"/>
    </xf>
    <xf numFmtId="0" fontId="15" fillId="0" borderId="0" xfId="49" applyFont="1" applyAlignment="1">
      <alignment horizontal="center" vertical="center"/>
    </xf>
    <xf numFmtId="0" fontId="15" fillId="0" borderId="0" xfId="0" applyFont="1" applyAlignment="1">
      <alignment horizontal="center" vertical="center"/>
    </xf>
    <xf numFmtId="3" fontId="15" fillId="0" borderId="0" xfId="49" applyNumberFormat="1" applyFont="1" applyAlignment="1">
      <alignment horizontal="center" vertical="center"/>
    </xf>
    <xf numFmtId="3" fontId="15" fillId="0" borderId="0" xfId="0" applyNumberFormat="1" applyFont="1" applyAlignment="1">
      <alignment horizontal="center" vertical="center"/>
    </xf>
    <xf numFmtId="2" fontId="15" fillId="0" borderId="0" xfId="49" applyNumberFormat="1" applyFont="1" applyAlignment="1">
      <alignment horizontal="center" vertical="center"/>
    </xf>
    <xf numFmtId="2" fontId="15" fillId="0" borderId="0" xfId="0" applyNumberFormat="1" applyFont="1" applyAlignment="1">
      <alignment horizontal="center" vertical="center"/>
    </xf>
    <xf numFmtId="4" fontId="15" fillId="0" borderId="0" xfId="0" applyNumberFormat="1" applyFont="1" applyAlignment="1">
      <alignment horizontal="center" vertical="center"/>
    </xf>
    <xf numFmtId="165" fontId="14" fillId="0" borderId="0" xfId="49" applyNumberFormat="1" applyFont="1" applyAlignment="1">
      <alignment horizontal="center" vertical="center"/>
    </xf>
    <xf numFmtId="0" fontId="14" fillId="0" borderId="0" xfId="49" applyFont="1" applyAlignment="1">
      <alignment horizontal="center" vertical="center"/>
    </xf>
    <xf numFmtId="0" fontId="14" fillId="0" borderId="0" xfId="0" applyFont="1" applyAlignment="1">
      <alignment horizontal="center" vertical="center"/>
    </xf>
    <xf numFmtId="3" fontId="14" fillId="0" borderId="0" xfId="49" applyNumberFormat="1" applyFont="1" applyAlignment="1">
      <alignment horizontal="center" vertical="center"/>
    </xf>
    <xf numFmtId="3" fontId="14" fillId="0" borderId="0" xfId="0" applyNumberFormat="1" applyFont="1" applyAlignment="1">
      <alignment horizontal="center" vertical="center"/>
    </xf>
    <xf numFmtId="2" fontId="14" fillId="0" borderId="0" xfId="49" applyNumberFormat="1" applyFont="1" applyAlignment="1">
      <alignment horizontal="center" vertical="center"/>
    </xf>
    <xf numFmtId="2" fontId="14" fillId="0" borderId="0" xfId="0" applyNumberFormat="1" applyFont="1" applyAlignment="1">
      <alignment horizontal="center" vertical="center"/>
    </xf>
    <xf numFmtId="4" fontId="14" fillId="0" borderId="0" xfId="0" applyNumberFormat="1" applyFont="1" applyAlignment="1">
      <alignment horizontal="center" vertical="center"/>
    </xf>
    <xf numFmtId="0" fontId="13" fillId="0" borderId="0" xfId="49" applyFont="1" applyAlignment="1">
      <alignment horizontal="center" vertical="center"/>
    </xf>
    <xf numFmtId="165" fontId="12" fillId="0" borderId="0" xfId="49" applyNumberFormat="1" applyFont="1" applyAlignment="1">
      <alignment horizontal="center" vertical="center"/>
    </xf>
    <xf numFmtId="0" fontId="12" fillId="0" borderId="0" xfId="49" applyFont="1" applyAlignment="1">
      <alignment horizontal="center" vertical="center"/>
    </xf>
    <xf numFmtId="0" fontId="12" fillId="0" borderId="0" xfId="0" applyFont="1" applyAlignment="1">
      <alignment horizontal="center" vertical="center"/>
    </xf>
    <xf numFmtId="3" fontId="12" fillId="0" borderId="0" xfId="49" applyNumberFormat="1" applyFont="1" applyAlignment="1">
      <alignment horizontal="center" vertical="center"/>
    </xf>
    <xf numFmtId="3" fontId="12" fillId="0" borderId="0" xfId="0" applyNumberFormat="1" applyFont="1" applyAlignment="1">
      <alignment horizontal="center" vertical="center"/>
    </xf>
    <xf numFmtId="2" fontId="12" fillId="0" borderId="0" xfId="49" applyNumberFormat="1" applyFont="1" applyAlignment="1">
      <alignment horizontal="center" vertical="center"/>
    </xf>
    <xf numFmtId="2" fontId="12" fillId="0" borderId="0" xfId="0" applyNumberFormat="1" applyFont="1" applyAlignment="1">
      <alignment horizontal="center" vertical="center"/>
    </xf>
    <xf numFmtId="4" fontId="12" fillId="0" borderId="0" xfId="0" applyNumberFormat="1" applyFont="1" applyAlignment="1">
      <alignment horizontal="center" vertical="center"/>
    </xf>
    <xf numFmtId="165" fontId="11" fillId="0" borderId="0" xfId="49" applyNumberFormat="1" applyFont="1" applyAlignment="1">
      <alignment horizontal="center" vertical="center"/>
    </xf>
    <xf numFmtId="0" fontId="11" fillId="0" borderId="0" xfId="49" applyFont="1" applyAlignment="1">
      <alignment horizontal="center" vertical="center"/>
    </xf>
    <xf numFmtId="0" fontId="11" fillId="0" borderId="0" xfId="0" applyFont="1" applyAlignment="1">
      <alignment horizontal="center" vertical="center"/>
    </xf>
    <xf numFmtId="3" fontId="11" fillId="0" borderId="0" xfId="49" applyNumberFormat="1" applyFont="1" applyAlignment="1">
      <alignment horizontal="center" vertical="center"/>
    </xf>
    <xf numFmtId="3" fontId="11" fillId="0" borderId="0" xfId="0" applyNumberFormat="1" applyFont="1" applyAlignment="1">
      <alignment horizontal="center" vertical="center"/>
    </xf>
    <xf numFmtId="2" fontId="11" fillId="0" borderId="0" xfId="49" applyNumberFormat="1" applyFont="1" applyAlignment="1">
      <alignment horizontal="center" vertical="center"/>
    </xf>
    <xf numFmtId="2" fontId="11" fillId="0" borderId="0" xfId="0" applyNumberFormat="1" applyFont="1" applyAlignment="1">
      <alignment horizontal="center" vertical="center"/>
    </xf>
    <xf numFmtId="4" fontId="11" fillId="0" borderId="0" xfId="0" applyNumberFormat="1" applyFont="1" applyAlignment="1">
      <alignment horizontal="center" vertical="center"/>
    </xf>
    <xf numFmtId="0" fontId="10" fillId="0" borderId="0" xfId="49" applyFont="1" applyAlignment="1">
      <alignment horizontal="center" vertical="center"/>
    </xf>
    <xf numFmtId="165" fontId="9" fillId="0" borderId="0" xfId="49" applyNumberFormat="1" applyFont="1" applyAlignment="1">
      <alignment horizontal="center" vertical="center"/>
    </xf>
    <xf numFmtId="0" fontId="9" fillId="0" borderId="0" xfId="49" applyFont="1" applyAlignment="1">
      <alignment horizontal="center" vertical="center"/>
    </xf>
    <xf numFmtId="0" fontId="9" fillId="0" borderId="0" xfId="0" applyFont="1" applyAlignment="1">
      <alignment horizontal="center" vertical="center"/>
    </xf>
    <xf numFmtId="3" fontId="9" fillId="0" borderId="0" xfId="49" applyNumberFormat="1" applyFont="1" applyAlignment="1">
      <alignment horizontal="center" vertical="center"/>
    </xf>
    <xf numFmtId="3" fontId="9" fillId="0" borderId="0" xfId="0" applyNumberFormat="1" applyFont="1" applyAlignment="1">
      <alignment horizontal="center" vertical="center"/>
    </xf>
    <xf numFmtId="2" fontId="9" fillId="0" borderId="0" xfId="49" applyNumberFormat="1" applyFont="1" applyAlignment="1">
      <alignment horizontal="center" vertical="center"/>
    </xf>
    <xf numFmtId="2" fontId="9" fillId="0" borderId="0" xfId="0" applyNumberFormat="1" applyFont="1" applyAlignment="1">
      <alignment horizontal="center" vertical="center"/>
    </xf>
    <xf numFmtId="4" fontId="9" fillId="0" borderId="0" xfId="0" applyNumberFormat="1" applyFont="1" applyAlignment="1">
      <alignment horizontal="center" vertical="center"/>
    </xf>
    <xf numFmtId="165" fontId="8" fillId="0" borderId="0" xfId="49" applyNumberFormat="1" applyFont="1" applyAlignment="1">
      <alignment horizontal="center" vertical="center"/>
    </xf>
    <xf numFmtId="0" fontId="8" fillId="0" borderId="0" xfId="49" applyFont="1" applyAlignment="1">
      <alignment horizontal="center" vertical="center"/>
    </xf>
    <xf numFmtId="0" fontId="8" fillId="0" borderId="0" xfId="0" applyFont="1" applyAlignment="1">
      <alignment horizontal="center" vertical="center"/>
    </xf>
    <xf numFmtId="3" fontId="8" fillId="0" borderId="0" xfId="49" applyNumberFormat="1" applyFont="1" applyAlignment="1">
      <alignment horizontal="center" vertical="center"/>
    </xf>
    <xf numFmtId="3" fontId="8" fillId="0" borderId="0" xfId="0" applyNumberFormat="1" applyFont="1" applyAlignment="1">
      <alignment horizontal="center" vertical="center"/>
    </xf>
    <xf numFmtId="2" fontId="8" fillId="0" borderId="0" xfId="49" applyNumberFormat="1" applyFont="1" applyAlignment="1">
      <alignment horizontal="center" vertical="center"/>
    </xf>
    <xf numFmtId="2" fontId="8" fillId="0" borderId="0" xfId="0" applyNumberFormat="1" applyFont="1" applyAlignment="1">
      <alignment horizontal="center" vertical="center"/>
    </xf>
    <xf numFmtId="4" fontId="8" fillId="0" borderId="0" xfId="0" applyNumberFormat="1" applyFont="1" applyAlignment="1">
      <alignment horizontal="center" vertical="center"/>
    </xf>
    <xf numFmtId="165" fontId="7" fillId="0" borderId="0" xfId="49" applyNumberFormat="1" applyFont="1" applyAlignment="1">
      <alignment horizontal="center" vertical="center"/>
    </xf>
    <xf numFmtId="0" fontId="7" fillId="0" borderId="0" xfId="49" applyFont="1" applyAlignment="1">
      <alignment horizontal="center" vertical="center"/>
    </xf>
    <xf numFmtId="0" fontId="7" fillId="0" borderId="0" xfId="0" applyFont="1" applyAlignment="1">
      <alignment horizontal="center" vertical="center"/>
    </xf>
    <xf numFmtId="3" fontId="7" fillId="0" borderId="0" xfId="49" applyNumberFormat="1" applyFont="1" applyAlignment="1">
      <alignment horizontal="center" vertical="center"/>
    </xf>
    <xf numFmtId="3" fontId="7" fillId="0" borderId="0" xfId="0" applyNumberFormat="1" applyFont="1" applyAlignment="1">
      <alignment horizontal="center" vertical="center"/>
    </xf>
    <xf numFmtId="2" fontId="7" fillId="0" borderId="0" xfId="49" applyNumberFormat="1" applyFont="1" applyAlignment="1">
      <alignment horizontal="center" vertical="center"/>
    </xf>
    <xf numFmtId="2" fontId="7" fillId="0" borderId="0" xfId="0" applyNumberFormat="1" applyFont="1" applyAlignment="1">
      <alignment horizontal="center" vertical="center"/>
    </xf>
    <xf numFmtId="4" fontId="7" fillId="0" borderId="0" xfId="0" applyNumberFormat="1" applyFont="1" applyAlignment="1">
      <alignment horizontal="center" vertical="center"/>
    </xf>
    <xf numFmtId="0" fontId="6" fillId="0" borderId="0" xfId="49" applyFont="1" applyAlignment="1">
      <alignment horizontal="center" vertical="center"/>
    </xf>
    <xf numFmtId="165" fontId="5" fillId="0" borderId="0" xfId="49" applyNumberFormat="1" applyFont="1" applyAlignment="1">
      <alignment horizontal="center" vertical="center"/>
    </xf>
    <xf numFmtId="0" fontId="5" fillId="0" borderId="0" xfId="49" applyFont="1" applyAlignment="1">
      <alignment horizontal="center" vertical="center"/>
    </xf>
    <xf numFmtId="0" fontId="5" fillId="0" borderId="0" xfId="0" applyFont="1" applyAlignment="1">
      <alignment horizontal="center" vertical="center"/>
    </xf>
    <xf numFmtId="3" fontId="5" fillId="0" borderId="0" xfId="49" applyNumberFormat="1" applyFont="1" applyAlignment="1">
      <alignment horizontal="center" vertical="center"/>
    </xf>
    <xf numFmtId="3" fontId="5" fillId="0" borderId="0" xfId="0" applyNumberFormat="1" applyFont="1" applyAlignment="1">
      <alignment horizontal="center" vertical="center"/>
    </xf>
    <xf numFmtId="2" fontId="5" fillId="0" borderId="0" xfId="49" applyNumberFormat="1" applyFont="1" applyAlignment="1">
      <alignment horizontal="center" vertical="center"/>
    </xf>
    <xf numFmtId="2" fontId="5" fillId="0" borderId="0" xfId="0" applyNumberFormat="1" applyFont="1" applyAlignment="1">
      <alignment horizontal="center" vertical="center"/>
    </xf>
    <xf numFmtId="4" fontId="5" fillId="0" borderId="0" xfId="0" applyNumberFormat="1" applyFont="1" applyAlignment="1">
      <alignment horizontal="center" vertical="center"/>
    </xf>
    <xf numFmtId="3" fontId="4" fillId="0" borderId="0" xfId="49" applyNumberFormat="1" applyFont="1" applyAlignment="1">
      <alignment horizontal="center" vertical="center"/>
    </xf>
    <xf numFmtId="3" fontId="3" fillId="0" borderId="0" xfId="49" applyNumberFormat="1" applyFont="1" applyAlignment="1">
      <alignment horizontal="center" vertical="center"/>
    </xf>
    <xf numFmtId="4" fontId="2" fillId="21" borderId="0" xfId="49" applyNumberFormat="1" applyFont="1" applyFill="1" applyAlignment="1">
      <alignment horizontal="center" vertical="center"/>
    </xf>
    <xf numFmtId="166" fontId="1" fillId="0" borderId="3" xfId="4" applyNumberFormat="1" applyFont="1" applyBorder="1" applyAlignment="1">
      <alignment horizontal="center" vertical="center"/>
    </xf>
    <xf numFmtId="164" fontId="1" fillId="0" borderId="3" xfId="0" applyNumberFormat="1" applyFont="1" applyBorder="1" applyAlignment="1">
      <alignment horizontal="center"/>
    </xf>
    <xf numFmtId="0" fontId="1" fillId="0" borderId="3" xfId="4" applyFont="1" applyBorder="1" applyAlignment="1">
      <alignment horizontal="center" vertical="center"/>
    </xf>
    <xf numFmtId="164" fontId="1" fillId="7" borderId="3" xfId="4" applyNumberFormat="1" applyFont="1" applyFill="1" applyBorder="1" applyAlignment="1">
      <alignment horizontal="center" vertical="center"/>
    </xf>
    <xf numFmtId="164" fontId="1" fillId="3" borderId="3" xfId="4" applyNumberFormat="1" applyFont="1" applyFill="1" applyBorder="1" applyAlignment="1">
      <alignment horizontal="center" vertical="center"/>
    </xf>
    <xf numFmtId="0" fontId="1" fillId="25" borderId="3" xfId="4" applyFont="1" applyFill="1" applyBorder="1" applyAlignment="1">
      <alignment horizontal="center" vertical="center"/>
    </xf>
    <xf numFmtId="164" fontId="1" fillId="8" borderId="3" xfId="0" applyNumberFormat="1" applyFont="1" applyFill="1" applyBorder="1" applyAlignment="1">
      <alignment horizontal="center"/>
    </xf>
    <xf numFmtId="0" fontId="1" fillId="0" borderId="3" xfId="0" applyFont="1" applyBorder="1" applyAlignment="1">
      <alignment horizontal="center"/>
    </xf>
    <xf numFmtId="166" fontId="1" fillId="3" borderId="3" xfId="4" applyNumberFormat="1" applyFont="1" applyFill="1" applyBorder="1" applyAlignment="1">
      <alignment horizontal="center" vertical="center"/>
    </xf>
    <xf numFmtId="0" fontId="1" fillId="4" borderId="3" xfId="4" applyFont="1" applyFill="1" applyBorder="1" applyAlignment="1">
      <alignment horizontal="center" vertical="center"/>
    </xf>
    <xf numFmtId="0" fontId="1" fillId="3" borderId="3" xfId="0" applyFont="1" applyFill="1" applyBorder="1" applyAlignment="1">
      <alignment horizontal="center"/>
    </xf>
    <xf numFmtId="166" fontId="1" fillId="0" borderId="6" xfId="4" applyNumberFormat="1" applyFont="1" applyBorder="1" applyAlignment="1">
      <alignment horizontal="center" vertical="center"/>
    </xf>
    <xf numFmtId="164" fontId="1" fillId="0" borderId="6" xfId="0" applyNumberFormat="1" applyFont="1" applyBorder="1" applyAlignment="1">
      <alignment horizontal="center"/>
    </xf>
    <xf numFmtId="164" fontId="1" fillId="3" borderId="6" xfId="4" applyNumberFormat="1" applyFont="1" applyFill="1" applyBorder="1" applyAlignment="1">
      <alignment horizontal="center" vertical="center"/>
    </xf>
    <xf numFmtId="0" fontId="1" fillId="25" borderId="6" xfId="4" applyFont="1" applyFill="1" applyBorder="1" applyAlignment="1">
      <alignment horizontal="center" vertical="center"/>
    </xf>
    <xf numFmtId="0" fontId="1" fillId="0" borderId="6" xfId="4" applyFont="1" applyBorder="1" applyAlignment="1">
      <alignment horizontal="center" vertical="center"/>
    </xf>
    <xf numFmtId="0" fontId="1" fillId="3" borderId="0" xfId="0" applyFont="1" applyFill="1" applyAlignment="1">
      <alignment horizontal="center"/>
    </xf>
    <xf numFmtId="0" fontId="1" fillId="0" borderId="19" xfId="0" applyFont="1" applyBorder="1" applyAlignment="1">
      <alignment horizontal="center"/>
    </xf>
    <xf numFmtId="0" fontId="78" fillId="39" borderId="0" xfId="2" applyFont="1" applyFill="1" applyAlignment="1" applyProtection="1">
      <alignment horizontal="left"/>
      <protection hidden="1"/>
    </xf>
    <xf numFmtId="14" fontId="78" fillId="39" borderId="0" xfId="2" applyNumberFormat="1" applyFont="1" applyFill="1" applyAlignment="1" applyProtection="1">
      <alignment horizontal="left"/>
      <protection hidden="1"/>
    </xf>
    <xf numFmtId="0" fontId="78" fillId="39" borderId="0" xfId="2" applyFont="1" applyFill="1" applyProtection="1">
      <protection hidden="1"/>
    </xf>
    <xf numFmtId="14" fontId="78" fillId="39" borderId="0" xfId="2" applyNumberFormat="1" applyFont="1" applyFill="1" applyAlignment="1" applyProtection="1">
      <alignment horizontal="center"/>
      <protection hidden="1"/>
    </xf>
    <xf numFmtId="166" fontId="78" fillId="39" borderId="0" xfId="2" applyNumberFormat="1" applyFont="1" applyFill="1" applyAlignment="1" applyProtection="1">
      <alignment horizontal="center"/>
      <protection hidden="1"/>
    </xf>
    <xf numFmtId="166" fontId="0" fillId="4" borderId="0" xfId="0" applyNumberFormat="1" applyFill="1" applyAlignment="1">
      <alignment horizontal="center"/>
    </xf>
    <xf numFmtId="0" fontId="0" fillId="4" borderId="0" xfId="0" applyFill="1" applyAlignment="1">
      <alignment horizontal="center"/>
    </xf>
    <xf numFmtId="0" fontId="79" fillId="0" borderId="20" xfId="2" applyFont="1" applyBorder="1" applyAlignment="1" applyProtection="1">
      <alignment horizontal="left"/>
      <protection locked="0"/>
    </xf>
    <xf numFmtId="0" fontId="79" fillId="0" borderId="21" xfId="2" applyFont="1" applyBorder="1" applyAlignment="1" applyProtection="1">
      <alignment horizontal="center"/>
      <protection locked="0" hidden="1"/>
    </xf>
    <xf numFmtId="0" fontId="79" fillId="0" borderId="20" xfId="2" applyFont="1" applyBorder="1" applyAlignment="1" applyProtection="1">
      <alignment horizontal="left"/>
      <protection locked="0" hidden="1"/>
    </xf>
    <xf numFmtId="0" fontId="80" fillId="0" borderId="0" xfId="0" applyFont="1"/>
    <xf numFmtId="0" fontId="79" fillId="0" borderId="22" xfId="2" applyFont="1" applyBorder="1" applyAlignment="1" applyProtection="1">
      <alignment horizontal="left"/>
      <protection locked="0" hidden="1"/>
    </xf>
    <xf numFmtId="0" fontId="79" fillId="0" borderId="23" xfId="2" applyFont="1" applyBorder="1" applyAlignment="1" applyProtection="1">
      <alignment horizontal="left"/>
      <protection locked="0" hidden="1"/>
    </xf>
    <xf numFmtId="0" fontId="79" fillId="0" borderId="0" xfId="2" applyFont="1" applyAlignment="1" applyProtection="1">
      <alignment horizontal="center"/>
      <protection locked="0" hidden="1"/>
    </xf>
    <xf numFmtId="0" fontId="0" fillId="0" borderId="0" xfId="0" applyFill="1" applyBorder="1"/>
    <xf numFmtId="3" fontId="0" fillId="0" borderId="0" xfId="0" applyNumberFormat="1" applyFill="1" applyBorder="1"/>
    <xf numFmtId="167" fontId="0" fillId="0" borderId="0" xfId="0" applyNumberFormat="1" applyFill="1" applyBorder="1"/>
    <xf numFmtId="0" fontId="0" fillId="0" borderId="0" xfId="0" applyNumberFormat="1"/>
    <xf numFmtId="0" fontId="0" fillId="0" borderId="0" xfId="0" applyNumberFormat="1" applyAlignment="1">
      <alignment horizontal="center"/>
    </xf>
  </cellXfs>
  <cellStyles count="62">
    <cellStyle name="Currency 2" xfId="8" xr:uid="{486D2120-DA07-49CC-87A0-636ED64EEEFC}"/>
    <cellStyle name="Currency 2 2" xfId="24" xr:uid="{3090795C-3773-4A70-893C-F250B7071EAD}"/>
    <cellStyle name="Currency 2 3" xfId="36" xr:uid="{25A45FDB-EC2E-439B-BD40-A4C75A6E42FF}"/>
    <cellStyle name="Currency 2 4" xfId="56" xr:uid="{A6958E24-5DC0-4B97-84DD-338F9292C453}"/>
    <cellStyle name="Currency 3" xfId="12" xr:uid="{7B4FAE28-F90B-4FF3-8560-60CC4316A33D}"/>
    <cellStyle name="Currency 3 2" xfId="28" xr:uid="{7ACDCD2D-D528-4FA1-A7B0-9906B7B99771}"/>
    <cellStyle name="Currency 3 3" xfId="40" xr:uid="{ECCA270A-1CC5-4FE9-BA01-E3AC68E19234}"/>
    <cellStyle name="Currency 3 4" xfId="60" xr:uid="{223353B9-8D75-4975-99DE-118B3D3584C7}"/>
    <cellStyle name="Currency 4" xfId="47" xr:uid="{2EFC9FD2-C109-4C05-9AA5-09B31435DD79}"/>
    <cellStyle name="Normal" xfId="0" builtinId="0"/>
    <cellStyle name="Normal 2" xfId="1" xr:uid="{2AE7C44E-C2F6-43D5-B1D4-03A8796BCC54}"/>
    <cellStyle name="Normal 2 10" xfId="10" xr:uid="{F4747B29-0D58-482D-8B77-F6BB928C8AB4}"/>
    <cellStyle name="Normal 2 10 2" xfId="26" xr:uid="{1FBB9A92-5430-400B-957B-08D82D892BFF}"/>
    <cellStyle name="Normal 2 10 3" xfId="38" xr:uid="{B07B456B-BE47-4356-ADAA-BCD1CBAAA3E2}"/>
    <cellStyle name="Normal 2 10 4" xfId="58" xr:uid="{7FA04761-4165-43DF-8915-89678DD1B6C3}"/>
    <cellStyle name="Normal 2 2" xfId="4" xr:uid="{65F98B05-00F2-4DF4-92BB-E4A5E3C64D36}"/>
    <cellStyle name="Normal 2 2 2" xfId="14" xr:uid="{401CD454-6FA9-46A3-AC68-FFD2BF279CB6}"/>
    <cellStyle name="Normal 2 2 3" xfId="17" xr:uid="{74CC8951-27AF-45AF-96F5-491772605AE6}"/>
    <cellStyle name="Normal 2 2 4" xfId="21" xr:uid="{50B8DF6B-99F5-4F40-A3B2-525A151A3100}"/>
    <cellStyle name="Normal 2 2 5" xfId="33" xr:uid="{568312FA-CDBB-4983-915D-689C3BB275F1}"/>
    <cellStyle name="Normal 2 2 6" xfId="45" xr:uid="{4948B66B-C070-42B8-B3DF-A7D855ED1AE0}"/>
    <cellStyle name="Normal 2 2 7" xfId="53" xr:uid="{900B66FA-F827-42B6-836F-79DA24AA2D7A}"/>
    <cellStyle name="Normal 2 3" xfId="5" xr:uid="{29760F4E-2349-4052-A4F7-028B6FEDD75C}"/>
    <cellStyle name="Normal 2 4" xfId="13" xr:uid="{6AAED9ED-B8C3-4F32-87D4-E9E9DA690DB9}"/>
    <cellStyle name="Normal 2 4 2" xfId="29" xr:uid="{A13958FE-C6F8-4CBE-9959-AA369CCF7EB3}"/>
    <cellStyle name="Normal 2 4 3" xfId="41" xr:uid="{B2014065-A967-4757-BFF9-63DAB5AEB2AB}"/>
    <cellStyle name="Normal 2 4 4" xfId="61" xr:uid="{58BE68B4-0EA3-48A6-B800-73B101DCA10C}"/>
    <cellStyle name="Normal 2 5" xfId="16" xr:uid="{082C2845-E36E-4B18-9978-E3D035DCF4D1}"/>
    <cellStyle name="Normal 2 6" xfId="18" xr:uid="{DEBB059C-F0F2-4FA3-9F48-C2ECE16CBB91}"/>
    <cellStyle name="Normal 2 7" xfId="30" xr:uid="{34BBCB04-4B21-454C-B012-DE575AD19A76}"/>
    <cellStyle name="Normal 2 8" xfId="46" xr:uid="{ACCA21B4-BD5A-4862-A156-0709826FA166}"/>
    <cellStyle name="Normal 2 9" xfId="50" xr:uid="{B40EA708-1773-4A84-9575-53581D967ABD}"/>
    <cellStyle name="Normal 3" xfId="2" xr:uid="{7B743045-6A44-4A31-AA35-4E7DDDD0ED22}"/>
    <cellStyle name="Normal 3 2" xfId="19" xr:uid="{A3B954A4-596E-4349-BACA-B44E84EDD335}"/>
    <cellStyle name="Normal 3 3" xfId="31" xr:uid="{1F90086C-0815-4E70-9FB9-53D7FEE9A1F2}"/>
    <cellStyle name="Normal 3 4" xfId="51" xr:uid="{F695B04A-12F8-44B0-B7EE-CF9D29416D34}"/>
    <cellStyle name="Normal 4" xfId="6" xr:uid="{2D9CB60F-2261-44BB-BD24-52B27D0539DC}"/>
    <cellStyle name="Normal 4 2" xfId="22" xr:uid="{78C2753D-E0AA-4715-9C11-FE5E02DBD392}"/>
    <cellStyle name="Normal 4 3" xfId="34" xr:uid="{C50A53D7-C69E-4D9D-A6A4-E1702498C69F}"/>
    <cellStyle name="Normal 4 4" xfId="48" xr:uid="{FCCF2CEE-7E33-42EF-B942-6A33BD9C87F7}"/>
    <cellStyle name="Normal 4 5" xfId="54" xr:uid="{91B6632A-059A-4FED-B239-1129B29E2C2F}"/>
    <cellStyle name="Normal 5" xfId="7" xr:uid="{89420B86-0CDB-487F-8C32-C3182CC7A7CE}"/>
    <cellStyle name="Normal 5 2" xfId="23" xr:uid="{CD572200-6DCF-4EBE-A24B-113E592790FB}"/>
    <cellStyle name="Normal 5 2 2" xfId="44" xr:uid="{E4DF54E4-D092-4939-961D-55D5F77D32B9}"/>
    <cellStyle name="Normal 5 3" xfId="35" xr:uid="{C0D4AA7C-45C9-4F48-876D-6ECD1D8F566A}"/>
    <cellStyle name="Normal 5 4" xfId="55" xr:uid="{CBD70D40-BFD3-4D97-8A63-8D3CA34309F9}"/>
    <cellStyle name="Normal 6" xfId="15" xr:uid="{A79F99D3-AFF4-424F-BC53-B7C2B2A5296B}"/>
    <cellStyle name="Normal 7" xfId="42" xr:uid="{4F73DA37-7FC8-4A19-9387-708F487605F6}"/>
    <cellStyle name="Normal 8" xfId="49" xr:uid="{7E8ADD7F-D7B2-4F8E-8E05-C1319B58913D}"/>
    <cellStyle name="Normal 8 2" xfId="43" xr:uid="{4B96B85B-7E07-457E-8F5E-477794087CDC}"/>
    <cellStyle name="Percent 2" xfId="3" xr:uid="{67B13F6A-FF92-4215-B6A9-D0306EA49A8A}"/>
    <cellStyle name="Percent 2 2" xfId="20" xr:uid="{3A416F3C-A532-497A-8CE7-D5C7D2BA90D5}"/>
    <cellStyle name="Percent 2 3" xfId="32" xr:uid="{5248B49F-56D5-4572-89A5-7768C4060E0C}"/>
    <cellStyle name="Percent 2 4" xfId="52" xr:uid="{050DD298-952F-4849-A0CE-CE513E8BDCE5}"/>
    <cellStyle name="Percent 3" xfId="9" xr:uid="{3015C86A-19D9-45E1-86A4-C100EA90B39C}"/>
    <cellStyle name="Percent 3 2" xfId="25" xr:uid="{88D7345D-EFD1-4876-9E90-25EDC8C79CE2}"/>
    <cellStyle name="Percent 3 3" xfId="37" xr:uid="{1C1EF0DD-295C-424C-8F26-DA0F726556D0}"/>
    <cellStyle name="Percent 3 4" xfId="57" xr:uid="{5C478677-C466-4940-962A-0499BE186DFB}"/>
    <cellStyle name="Percent 4" xfId="11" xr:uid="{52ABB17B-44B9-467E-8E17-E72C85064E4F}"/>
    <cellStyle name="Percent 4 2" xfId="27" xr:uid="{ECE1BD32-A3C8-473F-8333-0B8BF8AD3C5E}"/>
    <cellStyle name="Percent 4 3" xfId="39" xr:uid="{DDAF78E0-0CEA-4807-BA15-608AEFA116E1}"/>
    <cellStyle name="Percent 4 4" xfId="59" xr:uid="{72690AB5-14F3-40E1-BC9A-246A287E7EE0}"/>
  </cellStyles>
  <dxfs count="371">
    <dxf>
      <font>
        <color rgb="FFFFFF00"/>
      </font>
      <fill>
        <patternFill>
          <bgColor rgb="FF92D050"/>
        </patternFill>
      </fill>
    </dxf>
    <dxf>
      <font>
        <color rgb="FFFFFF00"/>
      </font>
      <fill>
        <patternFill>
          <bgColor rgb="FFFF0000"/>
        </patternFill>
      </fill>
    </dxf>
    <dxf>
      <font>
        <color rgb="FFFFFF00"/>
      </font>
      <fill>
        <patternFill>
          <bgColor rgb="FFFF0000"/>
        </patternFill>
      </fill>
    </dxf>
    <dxf>
      <fill>
        <patternFill>
          <bgColor theme="9" tint="0.59996337778862885"/>
        </patternFill>
      </fill>
    </dxf>
    <dxf>
      <fill>
        <patternFill>
          <bgColor theme="9" tint="0.59996337778862885"/>
        </patternFill>
      </fill>
    </dxf>
    <dxf>
      <fill>
        <patternFill>
          <bgColor rgb="FFFFFF00"/>
        </patternFill>
      </fill>
    </dxf>
    <dxf>
      <fill>
        <patternFill>
          <bgColor theme="9" tint="0.59996337778862885"/>
        </patternFill>
      </fill>
    </dxf>
    <dxf>
      <font>
        <color rgb="FFFF0000"/>
      </font>
    </dxf>
    <dxf>
      <fill>
        <patternFill>
          <bgColor rgb="FFFFFF00"/>
        </patternFill>
      </fill>
    </dxf>
    <dxf>
      <fill>
        <patternFill>
          <bgColor theme="9" tint="0.59996337778862885"/>
        </patternFill>
      </fill>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fill>
        <patternFill patternType="solid">
          <fgColor theme="8" tint="0.79998168889431442"/>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fill>
        <patternFill patternType="solid">
          <fgColor theme="8" tint="0.79998168889431442"/>
          <bgColor theme="8" tint="0.79998168889431442"/>
        </patternFill>
      </fill>
      <alignment horizontal="center" vertical="bottom" textRotation="0" wrapText="0" indent="0" justifyLastLine="0" shrinkToFit="0" readingOrder="0"/>
      <border diagonalUp="0" diagonalDown="0">
        <left/>
        <right style="thin">
          <color theme="8" tint="0.39997558519241921"/>
        </right>
        <top style="thin">
          <color theme="8" tint="0.39997558519241921"/>
        </top>
        <bottom style="thin">
          <color theme="8" tint="0.39997558519241921"/>
        </bottom>
        <vertical/>
        <horizontal/>
      </border>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6" formatCode="[$-409]d\-mmm\-yy;@"/>
      <alignment horizontal="center" vertical="bottom" textRotation="0" wrapText="0" indent="0" justifyLastLine="0" shrinkToFit="0" readingOrder="0"/>
    </dxf>
    <dxf>
      <font>
        <sz val="11"/>
        <color auto="1"/>
      </font>
      <numFmt numFmtId="166" formatCode="[$-409]d\-mmm\-yy;@"/>
      <fill>
        <patternFill patternType="solid">
          <fgColor indexed="64"/>
          <bgColor theme="8" tint="0.79998168889431442"/>
        </patternFill>
      </fill>
      <alignment horizontal="center" vertical="bottom" textRotation="0" wrapText="0" indent="0" justifyLastLine="0" shrinkToFit="0" readingOrder="0"/>
    </dxf>
    <dxf>
      <fill>
        <patternFill patternType="solid">
          <fgColor indexed="64"/>
          <bgColor theme="5" tint="0.79998168889431442"/>
        </patternFill>
      </fill>
      <alignment horizontal="center" vertical="bottom" textRotation="0" wrapText="0" indent="0" justifyLastLine="0" shrinkToFit="0" readingOrder="0"/>
    </dxf>
    <dxf>
      <border outline="0">
        <top style="thin">
          <color indexed="64"/>
        </top>
      </border>
    </dxf>
    <dxf>
      <fill>
        <patternFill patternType="solid">
          <fgColor indexed="64"/>
          <bgColor theme="8" tint="0.79998168889431442"/>
        </patternFill>
      </fill>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Tahoma"/>
        <family val="2"/>
        <scheme val="none"/>
      </font>
      <fill>
        <patternFill patternType="solid">
          <fgColor indexed="64"/>
          <bgColor theme="8" tint="-0.249977111117893"/>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0\ [$€-1]"/>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theme="5"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rgb="FFFFFF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numFmt numFmtId="164" formatCode="#,##0\ [$€-1]"/>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4" formatCode="#,##0\ [$€-1]"/>
      <fill>
        <patternFill patternType="solid">
          <fgColor indexed="64"/>
          <bgColor rgb="FFFFFF99"/>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6" formatCode="[$-409]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1"/>
      </font>
      <numFmt numFmtId="166" formatCode="[$-409]d\-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0" formatCode="General"/>
      <fill>
        <patternFill patternType="solid">
          <fgColor indexed="64"/>
          <bgColor rgb="FF00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fill>
        <patternFill patternType="solid">
          <fgColor indexed="64"/>
          <bgColor rgb="FF00FFFF"/>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rgb="FFFFFFFF"/>
        <name val="Calibri"/>
        <family val="2"/>
        <scheme val="minor"/>
      </font>
      <fill>
        <patternFill patternType="solid">
          <fgColor rgb="FF000000"/>
          <bgColor rgb="FF00000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fill>
        <patternFill patternType="solid">
          <fgColor indexed="64"/>
          <bgColor theme="8"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4" formatCode="#,##0.0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minor"/>
      </font>
      <numFmt numFmtId="3"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val="0"/>
        <i val="0"/>
        <strike val="0"/>
        <condense val="0"/>
        <extend val="0"/>
        <outline val="0"/>
        <shadow val="0"/>
        <u val="none"/>
        <vertAlign val="baseline"/>
        <sz val="11"/>
        <color theme="0"/>
        <name val="Calibri"/>
        <family val="2"/>
        <scheme val="minor"/>
      </font>
      <fill>
        <patternFill patternType="solid">
          <fgColor indexed="64"/>
          <bgColor theme="5"/>
        </patternFill>
      </fill>
      <alignment horizontal="center" vertical="center"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3" formatCode="#,##0"/>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numFmt numFmtId="3" formatCode="#,##0"/>
      <alignment horizontal="center" vertical="bottom" textRotation="0" wrapText="0" indent="0" justifyLastLine="0" shrinkToFit="0" readingOrder="0"/>
    </dxf>
    <dxf>
      <numFmt numFmtId="4" formatCode="#,##0.00"/>
      <alignment horizontal="center" textRotation="0" wrapText="0" indent="0" justifyLastLine="0" shrinkToFit="0" readingOrder="0"/>
    </dxf>
    <dxf>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68" formatCode="0;\-0;;@"/>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0" formatCode="General"/>
      <fill>
        <patternFill patternType="solid">
          <fgColor indexed="64"/>
          <bgColor rgb="FF00FF99"/>
        </patternFill>
      </fill>
      <alignment horizontal="center" vertical="center"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1"/>
        <color theme="1"/>
        <name val="Tahoma"/>
        <family val="2"/>
        <scheme val="none"/>
      </font>
      <fill>
        <patternFill patternType="solid">
          <fgColor indexed="64"/>
          <bgColor rgb="FF00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ahoma"/>
        <family val="2"/>
        <scheme val="none"/>
      </font>
      <numFmt numFmtId="164" formatCode="#,##0\ [$€-1]"/>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Tahoma"/>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theme="9" tint="0.59999389629810485"/>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rgb="FFFF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169" formatCode="hh:mm"/>
      <fill>
        <patternFill patternType="solid">
          <fgColor indexed="64"/>
          <bgColor rgb="FFFFFF99"/>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numFmt numFmtId="25" formatCode="h:mm"/>
      <fill>
        <patternFill patternType="solid">
          <fgColor indexed="64"/>
          <bgColor rgb="FF65D7FF"/>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ahoma"/>
        <family val="2"/>
        <scheme val="none"/>
      </font>
      <numFmt numFmtId="166" formatCode="[$-409]d\-mmm\-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Tahoma"/>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right style="thin">
          <color auto="1"/>
        </right>
        <bottom style="thin">
          <color auto="1"/>
        </bottom>
      </border>
    </dxf>
    <dxf>
      <font>
        <b/>
        <i val="0"/>
        <strike val="0"/>
        <condense val="0"/>
        <extend val="0"/>
        <outline val="0"/>
        <shadow val="0"/>
        <u val="none"/>
        <vertAlign val="baseline"/>
        <sz val="11"/>
        <color auto="1"/>
        <name val="Tahoma"/>
        <family val="2"/>
        <scheme val="none"/>
      </font>
      <fill>
        <patternFill patternType="solid">
          <fgColor indexed="64"/>
          <bgColor rgb="FFFFC000"/>
        </patternFill>
      </fill>
      <alignment horizontal="center" vertical="center" textRotation="0" wrapText="0" indent="0" justifyLastLine="0" shrinkToFit="0" readingOrder="0"/>
      <border diagonalUp="0" diagonalDown="0" outline="0">
        <left style="thin">
          <color auto="1"/>
        </left>
        <right style="thin">
          <color auto="1"/>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409]d\-mmm\-yy;@"/>
      <alignment horizontal="center" vertical="bottom" textRotation="0" wrapText="0" indent="0" justifyLastLine="0" shrinkToFit="0" readingOrder="0"/>
    </dxf>
    <dxf>
      <numFmt numFmtId="166" formatCode="[$-409]d\-mmm\-yy;@"/>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center" vertical="bottom" textRotation="0" wrapText="0" indent="0" justifyLastLine="0" shrinkToFit="0" readingOrder="0"/>
      <protection locked="0" hidden="1"/>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left" vertical="bottom" textRotation="0" wrapText="0" indent="0" justifyLastLine="0" shrinkToFit="0" readingOrder="0"/>
      <border diagonalUp="0" diagonalDown="0">
        <left/>
        <right/>
        <top style="hair">
          <color indexed="8"/>
        </top>
        <bottom style="hair">
          <color indexed="8"/>
        </bottom>
        <vertical/>
        <horizontal/>
      </border>
      <protection locked="0" hidden="1"/>
    </dxf>
    <dxf>
      <font>
        <b val="0"/>
        <i val="0"/>
        <strike val="0"/>
        <condense val="0"/>
        <extend val="0"/>
        <outline val="0"/>
        <shadow val="0"/>
        <u val="none"/>
        <vertAlign val="baseline"/>
        <sz val="10"/>
        <color indexed="8"/>
        <name val="Calibri"/>
        <family val="2"/>
        <scheme val="none"/>
      </font>
      <alignment horizontal="left" vertical="bottom" textRotation="0" wrapText="0" indent="0" justifyLastLine="0" shrinkToFit="0" readingOrder="0"/>
      <border diagonalUp="0" diagonalDown="0">
        <left/>
        <right/>
        <top style="hair">
          <color indexed="8"/>
        </top>
        <bottom style="hair">
          <color indexed="8"/>
        </bottom>
        <vertical/>
        <horizontal/>
      </border>
      <protection locked="0" hidden="1"/>
    </dxf>
    <dxf>
      <font>
        <b val="0"/>
        <i val="0"/>
        <strike val="0"/>
        <condense val="0"/>
        <extend val="0"/>
        <outline val="0"/>
        <shadow val="0"/>
        <u val="none"/>
        <vertAlign val="baseline"/>
        <sz val="10"/>
        <color indexed="8"/>
        <name val="Calibri"/>
        <family val="2"/>
        <scheme val="none"/>
      </font>
      <alignment horizontal="left" vertical="bottom" textRotation="0" wrapText="0" indent="0" justifyLastLine="0" shrinkToFit="0" readingOrder="0"/>
      <border diagonalUp="0" diagonalDown="0">
        <left style="hair">
          <color indexed="8"/>
        </left>
        <right/>
        <top style="hair">
          <color indexed="8"/>
        </top>
        <bottom style="hair">
          <color indexed="8"/>
        </bottom>
        <vertical/>
        <horizontal/>
      </border>
      <protection locked="0" hidden="1"/>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alignment horizontal="center" vertical="center" textRotation="0" wrapText="0" indent="0" justifyLastLine="0" shrinkToFit="0" readingOrder="0"/>
    </dxf>
    <dxf>
      <font>
        <strike val="0"/>
        <outline val="0"/>
        <shadow val="0"/>
        <u val="none"/>
        <vertAlign val="baseline"/>
        <sz val="11"/>
        <color theme="1"/>
      </font>
      <numFmt numFmtId="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dxf>
    <dxf>
      <font>
        <strike val="0"/>
        <outline val="0"/>
        <shadow val="0"/>
        <u val="none"/>
        <vertAlign val="baseline"/>
        <sz val="11"/>
        <color theme="1"/>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alignment horizontal="center" vertical="center" textRotation="0" wrapText="0" indent="0" justifyLastLine="0" shrinkToFit="0" readingOrder="0"/>
    </dxf>
    <dxf>
      <font>
        <strike val="0"/>
        <outline val="0"/>
        <shadow val="0"/>
        <u val="none"/>
        <vertAlign val="baseline"/>
        <sz val="11"/>
        <color theme="1"/>
      </font>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409]dd\-mmm\-yy;@"/>
      <alignment horizontal="center" vertical="center" textRotation="0" wrapText="0" indent="0" justifyLastLine="0" shrinkToFit="0" readingOrder="0"/>
    </dxf>
    <dxf>
      <font>
        <strike val="0"/>
        <outline val="0"/>
        <shadow val="0"/>
        <u val="none"/>
        <vertAlign val="baseline"/>
        <sz val="11"/>
        <color theme="1"/>
      </font>
      <numFmt numFmtId="165" formatCode="[$-409]dd\-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strike val="0"/>
        <outline val="0"/>
        <shadow val="0"/>
        <u val="none"/>
        <vertAlign val="baseline"/>
        <sz val="11"/>
        <color theme="1"/>
        <name val="Tahoma"/>
        <family val="2"/>
        <scheme val="none"/>
      </font>
      <numFmt numFmtId="166" formatCode="[$-409]d\-mmm\-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409]dd\-mmm\-yy;@"/>
      <alignment horizontal="center" vertical="center" textRotation="0" wrapText="0" indent="0" justifyLastLine="0" shrinkToFit="0" readingOrder="0"/>
    </dxf>
    <dxf>
      <font>
        <strike val="0"/>
        <outline val="0"/>
        <shadow val="0"/>
        <u val="none"/>
        <vertAlign val="baseline"/>
        <sz val="11"/>
        <color theme="1"/>
      </font>
      <numFmt numFmtId="165" formatCode="[$-409]dd\-mmm\-yy;@"/>
      <alignment horizontal="center" vertical="center" textRotation="0" wrapText="0" indent="0" justifyLastLine="0" shrinkToFit="0" readingOrder="0"/>
    </dxf>
    <dxf>
      <font>
        <strike val="0"/>
        <outline val="0"/>
        <shadow val="0"/>
        <u val="none"/>
        <vertAlign val="baseline"/>
        <sz val="11"/>
        <color theme="1"/>
      </font>
      <alignment horizontal="center" vertical="center" textRotation="0" wrapText="0" indent="0" justifyLastLine="0" shrinkToFit="0" readingOrder="0"/>
    </dxf>
    <dxf>
      <font>
        <strike val="0"/>
        <outline val="0"/>
        <shadow val="0"/>
        <u val="none"/>
        <vertAlign val="baseline"/>
        <sz val="11"/>
        <color theme="1"/>
      </font>
      <fill>
        <patternFill>
          <fgColor indexed="64"/>
          <bgColor rgb="FF0070C0"/>
        </patternFill>
      </fill>
      <alignment horizontal="center" vertical="center" textRotation="0" wrapText="0" indent="0" justifyLastLine="0" shrinkToFit="0" readingOrder="0"/>
    </dxf>
    <dxf>
      <numFmt numFmtId="167" formatCode="#,##0.00\ [$€-1]"/>
    </dxf>
    <dxf>
      <numFmt numFmtId="3" formatCode="#,##0"/>
    </dxf>
    <dxf>
      <numFmt numFmtId="3" formatCode="#,##0"/>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fill>
        <patternFill patternType="none">
          <bgColor auto="1"/>
        </patternFill>
      </fill>
    </dxf>
    <dxf>
      <fill>
        <patternFill patternType="none">
          <bgColor auto="1"/>
        </patternFill>
      </fill>
    </dxf>
    <dxf>
      <fill>
        <patternFill patternType="none">
          <bgColor auto="1"/>
        </patternFill>
      </fill>
    </dxf>
    <dxf>
      <alignment horizontal="center"/>
    </dxf>
    <dxf>
      <numFmt numFmtId="167" formatCode="#,##0.00\ [$€-1]"/>
    </dxf>
    <dxf>
      <alignment horizontal="right"/>
    </dxf>
    <dxf>
      <alignment horizontal="general"/>
    </dxf>
    <dxf>
      <numFmt numFmtId="13" formatCode="0%"/>
    </dxf>
    <dxf>
      <alignment horizontal="center"/>
    </dxf>
    <dxf>
      <alignment horizontal="center"/>
    </dxf>
    <dxf>
      <alignment horizontal="center"/>
    </dxf>
    <dxf>
      <numFmt numFmtId="164" formatCode="#,##0\ [$€-1]"/>
    </dxf>
    <dxf>
      <numFmt numFmtId="13" formatCode="0%"/>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64" formatCode="#,##0\ [$€-1]"/>
    </dxf>
    <dxf>
      <alignment horizontal="center"/>
    </dxf>
    <dxf>
      <alignment horizontal="center"/>
    </dxf>
    <dxf>
      <numFmt numFmtId="13" formatCode="0%"/>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alignment horizontal="center"/>
    </dxf>
    <dxf>
      <alignment horizontal="center"/>
    </dxf>
    <dxf>
      <numFmt numFmtId="13" formatCode="0%"/>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numFmt numFmtId="13" formatCode="0%"/>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 [$€-1]"/>
    </dxf>
    <dxf>
      <numFmt numFmtId="13" formatCode="0%"/>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3" formatCode="0%"/>
    </dxf>
    <dxf>
      <numFmt numFmtId="164" formatCode="#,##0\ [$€-1]"/>
    </dxf>
    <dxf>
      <alignment horizontal="center"/>
    </dxf>
    <dxf>
      <alignment horizontal="center"/>
    </dxf>
    <dxf>
      <alignment horizontal="center"/>
    </dxf>
    <dxf>
      <numFmt numFmtId="164" formatCode="#,##0\ [$€-1]"/>
    </dxf>
    <dxf>
      <alignment horizontal="center"/>
    </dxf>
    <dxf>
      <alignment horizontal="center"/>
    </dxf>
    <dxf>
      <alignment horizontal="center"/>
    </dxf>
    <dxf>
      <font>
        <b/>
        <i val="0"/>
        <color theme="0"/>
      </font>
      <fill>
        <patternFill>
          <bgColor rgb="FF7030A0"/>
        </patternFill>
      </fill>
    </dxf>
    <dxf>
      <fill>
        <patternFill>
          <bgColor rgb="FFDDDDFF"/>
        </patternFill>
      </fill>
    </dxf>
    <dxf>
      <font>
        <b/>
        <i val="0"/>
      </font>
    </dxf>
    <dxf>
      <font>
        <b/>
        <i val="0"/>
        <strike val="0"/>
      </font>
      <fill>
        <patternFill>
          <bgColor rgb="FFCBA9E5"/>
        </patternFill>
      </fill>
    </dxf>
    <dxf>
      <font>
        <b/>
        <i val="0"/>
        <color theme="0"/>
      </font>
      <fill>
        <patternFill>
          <bgColor rgb="FF7030A0"/>
        </patternFill>
      </fill>
    </dxf>
    <dxf>
      <border>
        <left style="thin">
          <color rgb="FF7030A0"/>
        </left>
        <right style="thin">
          <color rgb="FF7030A0"/>
        </right>
        <top style="thin">
          <color rgb="FF7030A0"/>
        </top>
        <bottom style="thin">
          <color rgb="FF7030A0"/>
        </bottom>
        <vertical style="thin">
          <color rgb="FF7030A0"/>
        </vertical>
        <horizontal style="thin">
          <color rgb="FF7030A0"/>
        </horizontal>
      </border>
    </dxf>
  </dxfs>
  <tableStyles count="2" defaultTableStyle="TableStyleMedium2" defaultPivotStyle="PivotStyleLight16">
    <tableStyle name="Invisible" pivot="0" table="0" count="0" xr9:uid="{48836D36-12DF-444F-BE5B-41810B3E7B70}"/>
    <tableStyle name="MFJ Table Style 1" table="0" count="6" xr9:uid="{1EB4AE2C-4AC4-44DF-A33D-77B06129175C}">
      <tableStyleElement type="wholeTable" dxfId="370"/>
      <tableStyleElement type="headerRow" dxfId="369"/>
      <tableStyleElement type="totalRow" dxfId="368"/>
      <tableStyleElement type="lastColumn" dxfId="367"/>
      <tableStyleElement type="firstSubtotalRow" dxfId="366"/>
      <tableStyleElement type="pageFieldLabels" dxfId="365"/>
    </tableStyle>
  </tableStyles>
  <colors>
    <mruColors>
      <color rgb="FF0000FF"/>
      <color rgb="FFFF99FF"/>
      <color rgb="FFDDDDFF"/>
      <color rgb="FFCBA9E5"/>
      <color rgb="FFCCCCFF"/>
      <color rgb="FFFF0000"/>
      <color rgb="FFCC00CC"/>
      <color rgb="FF66FF33"/>
      <color rgb="FF99FF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2.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07/relationships/slicerCache" Target="slicerCaches/slicerCache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8.xml"/><Relationship Id="rId28" Type="http://schemas.microsoft.com/office/2007/relationships/slicerCache" Target="slicerCaches/slicerCache13.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microsoft.com/office/2007/relationships/slicerCache" Target="slicerCaches/slicerCache12.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oneCell">
    <xdr:from>
      <xdr:col>0</xdr:col>
      <xdr:colOff>343647</xdr:colOff>
      <xdr:row>22</xdr:row>
      <xdr:rowOff>201144</xdr:rowOff>
    </xdr:from>
    <xdr:to>
      <xdr:col>2</xdr:col>
      <xdr:colOff>436656</xdr:colOff>
      <xdr:row>51</xdr:row>
      <xdr:rowOff>163233</xdr:rowOff>
    </xdr:to>
    <mc:AlternateContent xmlns:mc="http://schemas.openxmlformats.org/markup-compatibility/2006" xmlns:a14="http://schemas.microsoft.com/office/drawing/2010/main">
      <mc:Choice Requires="a14">
        <xdr:graphicFrame macro="">
          <xdr:nvGraphicFramePr>
            <xdr:cNvPr id="2" name="FLT_NO 3">
              <a:extLst>
                <a:ext uri="{FF2B5EF4-FFF2-40B4-BE49-F238E27FC236}">
                  <a16:creationId xmlns:a16="http://schemas.microsoft.com/office/drawing/2014/main" id="{44AD8AD8-F33C-4FAF-94CE-9837E1A34B4B}"/>
                </a:ext>
              </a:extLst>
            </xdr:cNvPr>
            <xdr:cNvGraphicFramePr/>
          </xdr:nvGraphicFramePr>
          <xdr:xfrm>
            <a:off x="0" y="0"/>
            <a:ext cx="0" cy="0"/>
          </xdr:xfrm>
          <a:graphic>
            <a:graphicData uri="http://schemas.microsoft.com/office/drawing/2010/slicer">
              <sle:slicer xmlns:sle="http://schemas.microsoft.com/office/drawing/2010/slicer" name="FLT_NO 3"/>
            </a:graphicData>
          </a:graphic>
        </xdr:graphicFrame>
      </mc:Choice>
      <mc:Fallback xmlns="">
        <xdr:sp macro="" textlink="">
          <xdr:nvSpPr>
            <xdr:cNvPr id="0" name=""/>
            <xdr:cNvSpPr>
              <a:spLocks noTextEdit="1"/>
            </xdr:cNvSpPr>
          </xdr:nvSpPr>
          <xdr:spPr>
            <a:xfrm>
              <a:off x="343647" y="4635498"/>
              <a:ext cx="1415303" cy="5811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507068</xdr:colOff>
      <xdr:row>2</xdr:row>
      <xdr:rowOff>45757</xdr:rowOff>
    </xdr:from>
    <xdr:to>
      <xdr:col>4</xdr:col>
      <xdr:colOff>507441</xdr:colOff>
      <xdr:row>17</xdr:row>
      <xdr:rowOff>56029</xdr:rowOff>
    </xdr:to>
    <mc:AlternateContent xmlns:mc="http://schemas.openxmlformats.org/markup-compatibility/2006" xmlns:a14="http://schemas.microsoft.com/office/drawing/2010/main">
      <mc:Choice Requires="a14">
        <xdr:graphicFrame macro="">
          <xdr:nvGraphicFramePr>
            <xdr:cNvPr id="3" name="SECTOR 4">
              <a:extLst>
                <a:ext uri="{FF2B5EF4-FFF2-40B4-BE49-F238E27FC236}">
                  <a16:creationId xmlns:a16="http://schemas.microsoft.com/office/drawing/2014/main" id="{701D8C57-8BFB-4B6E-BCF1-F469F785017F}"/>
                </a:ext>
              </a:extLst>
            </xdr:cNvPr>
            <xdr:cNvGraphicFramePr/>
          </xdr:nvGraphicFramePr>
          <xdr:xfrm>
            <a:off x="0" y="0"/>
            <a:ext cx="0" cy="0"/>
          </xdr:xfrm>
          <a:graphic>
            <a:graphicData uri="http://schemas.microsoft.com/office/drawing/2010/slicer">
              <sle:slicer xmlns:sle="http://schemas.microsoft.com/office/drawing/2010/slicer" name="SECTOR 4"/>
            </a:graphicData>
          </a:graphic>
        </xdr:graphicFrame>
      </mc:Choice>
      <mc:Fallback xmlns="">
        <xdr:sp macro="" textlink="">
          <xdr:nvSpPr>
            <xdr:cNvPr id="0" name=""/>
            <xdr:cNvSpPr>
              <a:spLocks noTextEdit="1"/>
            </xdr:cNvSpPr>
          </xdr:nvSpPr>
          <xdr:spPr>
            <a:xfrm>
              <a:off x="1826187" y="452344"/>
              <a:ext cx="1322667" cy="30326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495675</xdr:colOff>
      <xdr:row>13</xdr:row>
      <xdr:rowOff>183030</xdr:rowOff>
    </xdr:from>
    <xdr:to>
      <xdr:col>9</xdr:col>
      <xdr:colOff>200557</xdr:colOff>
      <xdr:row>17</xdr:row>
      <xdr:rowOff>112059</xdr:rowOff>
    </xdr:to>
    <mc:AlternateContent xmlns:mc="http://schemas.openxmlformats.org/markup-compatibility/2006" xmlns:a14="http://schemas.microsoft.com/office/drawing/2010/main">
      <mc:Choice Requires="a14">
        <xdr:graphicFrame macro="">
          <xdr:nvGraphicFramePr>
            <xdr:cNvPr id="4" name="DAY 5">
              <a:extLst>
                <a:ext uri="{FF2B5EF4-FFF2-40B4-BE49-F238E27FC236}">
                  <a16:creationId xmlns:a16="http://schemas.microsoft.com/office/drawing/2014/main" id="{1AC381C3-1BF4-4A12-BD1A-6A148D55C7BC}"/>
                </a:ext>
              </a:extLst>
            </xdr:cNvPr>
            <xdr:cNvGraphicFramePr/>
          </xdr:nvGraphicFramePr>
          <xdr:xfrm>
            <a:off x="0" y="0"/>
            <a:ext cx="0" cy="0"/>
          </xdr:xfrm>
          <a:graphic>
            <a:graphicData uri="http://schemas.microsoft.com/office/drawing/2010/slicer">
              <sle:slicer xmlns:sle="http://schemas.microsoft.com/office/drawing/2010/slicer" name="DAY 5"/>
            </a:graphicData>
          </a:graphic>
        </xdr:graphicFrame>
      </mc:Choice>
      <mc:Fallback xmlns="">
        <xdr:sp macro="" textlink="">
          <xdr:nvSpPr>
            <xdr:cNvPr id="0" name=""/>
            <xdr:cNvSpPr>
              <a:spLocks noTextEdit="1"/>
            </xdr:cNvSpPr>
          </xdr:nvSpPr>
          <xdr:spPr>
            <a:xfrm>
              <a:off x="6714940" y="2802031"/>
              <a:ext cx="2445309" cy="739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386791</xdr:colOff>
      <xdr:row>14</xdr:row>
      <xdr:rowOff>10460</xdr:rowOff>
    </xdr:from>
    <xdr:to>
      <xdr:col>14</xdr:col>
      <xdr:colOff>828302</xdr:colOff>
      <xdr:row>17</xdr:row>
      <xdr:rowOff>123266</xdr:rowOff>
    </xdr:to>
    <mc:AlternateContent xmlns:mc="http://schemas.openxmlformats.org/markup-compatibility/2006" xmlns:a14="http://schemas.microsoft.com/office/drawing/2010/main">
      <mc:Choice Requires="a14">
        <xdr:graphicFrame macro="">
          <xdr:nvGraphicFramePr>
            <xdr:cNvPr id="5" name="BOOKING_STATUS 3">
              <a:extLst>
                <a:ext uri="{FF2B5EF4-FFF2-40B4-BE49-F238E27FC236}">
                  <a16:creationId xmlns:a16="http://schemas.microsoft.com/office/drawing/2014/main" id="{4347745D-FD34-4BD9-8F59-201045F0C392}"/>
                </a:ext>
              </a:extLst>
            </xdr:cNvPr>
            <xdr:cNvGraphicFramePr/>
          </xdr:nvGraphicFramePr>
          <xdr:xfrm>
            <a:off x="0" y="0"/>
            <a:ext cx="0" cy="0"/>
          </xdr:xfrm>
          <a:graphic>
            <a:graphicData uri="http://schemas.microsoft.com/office/drawing/2010/slicer">
              <sle:slicer xmlns:sle="http://schemas.microsoft.com/office/drawing/2010/slicer" name="BOOKING_STATUS 3"/>
            </a:graphicData>
          </a:graphic>
        </xdr:graphicFrame>
      </mc:Choice>
      <mc:Fallback xmlns="">
        <xdr:sp macro="" textlink="">
          <xdr:nvSpPr>
            <xdr:cNvPr id="0" name=""/>
            <xdr:cNvSpPr>
              <a:spLocks noTextEdit="1"/>
            </xdr:cNvSpPr>
          </xdr:nvSpPr>
          <xdr:spPr>
            <a:xfrm>
              <a:off x="10430437" y="2831167"/>
              <a:ext cx="4995395" cy="724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549459</xdr:colOff>
      <xdr:row>2</xdr:row>
      <xdr:rowOff>84230</xdr:rowOff>
    </xdr:from>
    <xdr:to>
      <xdr:col>20</xdr:col>
      <xdr:colOff>619653</xdr:colOff>
      <xdr:row>12</xdr:row>
      <xdr:rowOff>179292</xdr:rowOff>
    </xdr:to>
    <mc:AlternateContent xmlns:mc="http://schemas.openxmlformats.org/markup-compatibility/2006" xmlns:a14="http://schemas.microsoft.com/office/drawing/2010/main">
      <mc:Choice Requires="a14">
        <xdr:graphicFrame macro="">
          <xdr:nvGraphicFramePr>
            <xdr:cNvPr id="6" name="CONTRIBUTOR 2">
              <a:extLst>
                <a:ext uri="{FF2B5EF4-FFF2-40B4-BE49-F238E27FC236}">
                  <a16:creationId xmlns:a16="http://schemas.microsoft.com/office/drawing/2014/main" id="{E3CB7EF3-FBD2-4C43-9AE4-E2EFE0C0B7F8}"/>
                </a:ext>
              </a:extLst>
            </xdr:cNvPr>
            <xdr:cNvGraphicFramePr/>
          </xdr:nvGraphicFramePr>
          <xdr:xfrm>
            <a:off x="0" y="0"/>
            <a:ext cx="0" cy="0"/>
          </xdr:xfrm>
          <a:graphic>
            <a:graphicData uri="http://schemas.microsoft.com/office/drawing/2010/slicer">
              <sle:slicer xmlns:sle="http://schemas.microsoft.com/office/drawing/2010/slicer" name="CONTRIBUTOR 2"/>
            </a:graphicData>
          </a:graphic>
        </xdr:graphicFrame>
      </mc:Choice>
      <mc:Fallback xmlns="">
        <xdr:sp macro="" textlink="">
          <xdr:nvSpPr>
            <xdr:cNvPr id="0" name=""/>
            <xdr:cNvSpPr>
              <a:spLocks noTextEdit="1"/>
            </xdr:cNvSpPr>
          </xdr:nvSpPr>
          <xdr:spPr>
            <a:xfrm>
              <a:off x="12741459" y="490817"/>
              <a:ext cx="8863668" cy="21121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686734</xdr:colOff>
      <xdr:row>13</xdr:row>
      <xdr:rowOff>163980</xdr:rowOff>
    </xdr:from>
    <xdr:to>
      <xdr:col>7</xdr:col>
      <xdr:colOff>333001</xdr:colOff>
      <xdr:row>17</xdr:row>
      <xdr:rowOff>107204</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58C57E10-1104-4F61-A39D-2CBE94FE69B2}"/>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3331322" y="2782981"/>
              <a:ext cx="3224119" cy="7500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683559</xdr:colOff>
      <xdr:row>2</xdr:row>
      <xdr:rowOff>76200</xdr:rowOff>
    </xdr:from>
    <xdr:to>
      <xdr:col>10</xdr:col>
      <xdr:colOff>895517</xdr:colOff>
      <xdr:row>12</xdr:row>
      <xdr:rowOff>160057</xdr:rowOff>
    </xdr:to>
    <mc:AlternateContent xmlns:mc="http://schemas.openxmlformats.org/markup-compatibility/2006" xmlns:a14="http://schemas.microsoft.com/office/drawing/2010/main">
      <mc:Choice Requires="a14">
        <xdr:graphicFrame macro="">
          <xdr:nvGraphicFramePr>
            <xdr:cNvPr id="8" name="FLIGHT_DATE 1">
              <a:extLst>
                <a:ext uri="{FF2B5EF4-FFF2-40B4-BE49-F238E27FC236}">
                  <a16:creationId xmlns:a16="http://schemas.microsoft.com/office/drawing/2014/main" id="{411A659F-6F6A-474F-A23B-145F7C380042}"/>
                </a:ext>
              </a:extLst>
            </xdr:cNvPr>
            <xdr:cNvGraphicFramePr/>
          </xdr:nvGraphicFramePr>
          <xdr:xfrm>
            <a:off x="0" y="0"/>
            <a:ext cx="0" cy="0"/>
          </xdr:xfrm>
          <a:graphic>
            <a:graphicData uri="http://schemas.microsoft.com/office/drawing/2010/slicer">
              <sle:slicer xmlns:sle="http://schemas.microsoft.com/office/drawing/2010/slicer" name="FLIGHT_DATE 1"/>
            </a:graphicData>
          </a:graphic>
        </xdr:graphicFrame>
      </mc:Choice>
      <mc:Fallback xmlns="">
        <xdr:sp macro="" textlink="">
          <xdr:nvSpPr>
            <xdr:cNvPr id="0" name=""/>
            <xdr:cNvSpPr>
              <a:spLocks noTextEdit="1"/>
            </xdr:cNvSpPr>
          </xdr:nvSpPr>
          <xdr:spPr>
            <a:xfrm>
              <a:off x="3328147" y="479612"/>
              <a:ext cx="8333627" cy="21040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296209</xdr:colOff>
      <xdr:row>2</xdr:row>
      <xdr:rowOff>31375</xdr:rowOff>
    </xdr:from>
    <xdr:to>
      <xdr:col>2</xdr:col>
      <xdr:colOff>411443</xdr:colOff>
      <xdr:row>17</xdr:row>
      <xdr:rowOff>47999</xdr:rowOff>
    </xdr:to>
    <mc:AlternateContent xmlns:mc="http://schemas.openxmlformats.org/markup-compatibility/2006" xmlns:a14="http://schemas.microsoft.com/office/drawing/2010/main">
      <mc:Choice Requires="a14">
        <xdr:graphicFrame macro="">
          <xdr:nvGraphicFramePr>
            <xdr:cNvPr id="10" name="ROUTE 4">
              <a:extLst>
                <a:ext uri="{FF2B5EF4-FFF2-40B4-BE49-F238E27FC236}">
                  <a16:creationId xmlns:a16="http://schemas.microsoft.com/office/drawing/2014/main" id="{AC3AC667-8DFE-436D-BF2F-4984397D5EF1}"/>
                </a:ext>
              </a:extLst>
            </xdr:cNvPr>
            <xdr:cNvGraphicFramePr/>
          </xdr:nvGraphicFramePr>
          <xdr:xfrm>
            <a:off x="0" y="0"/>
            <a:ext cx="0" cy="0"/>
          </xdr:xfrm>
          <a:graphic>
            <a:graphicData uri="http://schemas.microsoft.com/office/drawing/2010/slicer">
              <sle:slicer xmlns:sle="http://schemas.microsoft.com/office/drawing/2010/slicer" name="ROUTE 4"/>
            </a:graphicData>
          </a:graphic>
        </xdr:graphicFrame>
      </mc:Choice>
      <mc:Fallback xmlns="">
        <xdr:sp macro="" textlink="">
          <xdr:nvSpPr>
            <xdr:cNvPr id="0" name=""/>
            <xdr:cNvSpPr>
              <a:spLocks noTextEdit="1"/>
            </xdr:cNvSpPr>
          </xdr:nvSpPr>
          <xdr:spPr>
            <a:xfrm>
              <a:off x="293034" y="431612"/>
              <a:ext cx="1437528" cy="3042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10318</xdr:colOff>
      <xdr:row>2</xdr:row>
      <xdr:rowOff>9525</xdr:rowOff>
    </xdr:from>
    <xdr:to>
      <xdr:col>3</xdr:col>
      <xdr:colOff>304006</xdr:colOff>
      <xdr:row>8</xdr:row>
      <xdr:rowOff>35719</xdr:rowOff>
    </xdr:to>
    <mc:AlternateContent xmlns:mc="http://schemas.openxmlformats.org/markup-compatibility/2006" xmlns:a14="http://schemas.microsoft.com/office/drawing/2010/main">
      <mc:Choice Requires="a14">
        <xdr:graphicFrame macro="">
          <xdr:nvGraphicFramePr>
            <xdr:cNvPr id="2" name="BOOKING_STATUS 2">
              <a:extLst>
                <a:ext uri="{FF2B5EF4-FFF2-40B4-BE49-F238E27FC236}">
                  <a16:creationId xmlns:a16="http://schemas.microsoft.com/office/drawing/2014/main" id="{DE905556-161B-6BD9-1506-BB56DEF8707F}"/>
                </a:ext>
              </a:extLst>
            </xdr:cNvPr>
            <xdr:cNvGraphicFramePr/>
          </xdr:nvGraphicFramePr>
          <xdr:xfrm>
            <a:off x="0" y="0"/>
            <a:ext cx="0" cy="0"/>
          </xdr:xfrm>
          <a:graphic>
            <a:graphicData uri="http://schemas.microsoft.com/office/drawing/2010/slicer">
              <sle:slicer xmlns:sle="http://schemas.microsoft.com/office/drawing/2010/slicer" name="BOOKING_STATUS 2"/>
            </a:graphicData>
          </a:graphic>
        </xdr:graphicFrame>
      </mc:Choice>
      <mc:Fallback xmlns="">
        <xdr:sp macro="" textlink="">
          <xdr:nvSpPr>
            <xdr:cNvPr id="0" name=""/>
            <xdr:cNvSpPr>
              <a:spLocks noTextEdit="1"/>
            </xdr:cNvSpPr>
          </xdr:nvSpPr>
          <xdr:spPr>
            <a:xfrm>
              <a:off x="2091437" y="409762"/>
              <a:ext cx="1843275" cy="1239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457994</xdr:colOff>
      <xdr:row>1</xdr:row>
      <xdr:rowOff>190501</xdr:rowOff>
    </xdr:from>
    <xdr:to>
      <xdr:col>4</xdr:col>
      <xdr:colOff>313090</xdr:colOff>
      <xdr:row>8</xdr:row>
      <xdr:rowOff>45244</xdr:rowOff>
    </xdr:to>
    <mc:AlternateContent xmlns:mc="http://schemas.openxmlformats.org/markup-compatibility/2006" xmlns:a14="http://schemas.microsoft.com/office/drawing/2010/main">
      <mc:Choice Requires="a14">
        <xdr:graphicFrame macro="">
          <xdr:nvGraphicFramePr>
            <xdr:cNvPr id="3" name="CONTRACT_STATUS">
              <a:extLst>
                <a:ext uri="{FF2B5EF4-FFF2-40B4-BE49-F238E27FC236}">
                  <a16:creationId xmlns:a16="http://schemas.microsoft.com/office/drawing/2014/main" id="{2E8AE946-033B-DCF7-C52C-6933CAD8340C}"/>
                </a:ext>
              </a:extLst>
            </xdr:cNvPr>
            <xdr:cNvGraphicFramePr/>
          </xdr:nvGraphicFramePr>
          <xdr:xfrm>
            <a:off x="0" y="0"/>
            <a:ext cx="0" cy="0"/>
          </xdr:xfrm>
          <a:graphic>
            <a:graphicData uri="http://schemas.microsoft.com/office/drawing/2010/slicer">
              <sle:slicer xmlns:sle="http://schemas.microsoft.com/office/drawing/2010/slicer" name="CONTRACT_STATUS"/>
            </a:graphicData>
          </a:graphic>
        </xdr:graphicFrame>
      </mc:Choice>
      <mc:Fallback xmlns="">
        <xdr:sp macro="" textlink="">
          <xdr:nvSpPr>
            <xdr:cNvPr id="0" name=""/>
            <xdr:cNvSpPr>
              <a:spLocks noTextEdit="1"/>
            </xdr:cNvSpPr>
          </xdr:nvSpPr>
          <xdr:spPr>
            <a:xfrm>
              <a:off x="4088700" y="392207"/>
              <a:ext cx="3193348" cy="12666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124199</xdr:colOff>
      <xdr:row>29</xdr:row>
      <xdr:rowOff>25634</xdr:rowOff>
    </xdr:from>
    <xdr:to>
      <xdr:col>1</xdr:col>
      <xdr:colOff>294855</xdr:colOff>
      <xdr:row>42</xdr:row>
      <xdr:rowOff>124846</xdr:rowOff>
    </xdr:to>
    <mc:AlternateContent xmlns:mc="http://schemas.openxmlformats.org/markup-compatibility/2006" xmlns:a14="http://schemas.microsoft.com/office/drawing/2010/main">
      <mc:Choice Requires="a14">
        <xdr:graphicFrame macro="">
          <xdr:nvGraphicFramePr>
            <xdr:cNvPr id="4" name="FLT_NO 2">
              <a:extLst>
                <a:ext uri="{FF2B5EF4-FFF2-40B4-BE49-F238E27FC236}">
                  <a16:creationId xmlns:a16="http://schemas.microsoft.com/office/drawing/2014/main" id="{B24336F5-4AA9-4FAF-A858-09F71BA2CBD2}"/>
                </a:ext>
              </a:extLst>
            </xdr:cNvPr>
            <xdr:cNvGraphicFramePr/>
          </xdr:nvGraphicFramePr>
          <xdr:xfrm>
            <a:off x="0" y="0"/>
            <a:ext cx="0" cy="0"/>
          </xdr:xfrm>
          <a:graphic>
            <a:graphicData uri="http://schemas.microsoft.com/office/drawing/2010/slicer">
              <sle:slicer xmlns:sle="http://schemas.microsoft.com/office/drawing/2010/slicer" name="FLT_NO 2"/>
            </a:graphicData>
          </a:graphic>
        </xdr:graphicFrame>
      </mc:Choice>
      <mc:Fallback xmlns="">
        <xdr:sp macro="" textlink="">
          <xdr:nvSpPr>
            <xdr:cNvPr id="0" name=""/>
            <xdr:cNvSpPr>
              <a:spLocks noTextEdit="1"/>
            </xdr:cNvSpPr>
          </xdr:nvSpPr>
          <xdr:spPr>
            <a:xfrm>
              <a:off x="121024" y="5878280"/>
              <a:ext cx="1518537" cy="2718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151466</xdr:colOff>
      <xdr:row>15</xdr:row>
      <xdr:rowOff>107854</xdr:rowOff>
    </xdr:from>
    <xdr:to>
      <xdr:col>1</xdr:col>
      <xdr:colOff>316566</xdr:colOff>
      <xdr:row>29</xdr:row>
      <xdr:rowOff>7836</xdr:rowOff>
    </xdr:to>
    <mc:AlternateContent xmlns:mc="http://schemas.openxmlformats.org/markup-compatibility/2006" xmlns:a14="http://schemas.microsoft.com/office/drawing/2010/main">
      <mc:Choice Requires="a14">
        <xdr:graphicFrame macro="">
          <xdr:nvGraphicFramePr>
            <xdr:cNvPr id="5" name="SECTOR 3">
              <a:extLst>
                <a:ext uri="{FF2B5EF4-FFF2-40B4-BE49-F238E27FC236}">
                  <a16:creationId xmlns:a16="http://schemas.microsoft.com/office/drawing/2014/main" id="{B8FB29A9-D49B-FDA4-F5E4-B763B3FBA3D6}"/>
                </a:ext>
              </a:extLst>
            </xdr:cNvPr>
            <xdr:cNvGraphicFramePr/>
          </xdr:nvGraphicFramePr>
          <xdr:xfrm>
            <a:off x="0" y="0"/>
            <a:ext cx="0" cy="0"/>
          </xdr:xfrm>
          <a:graphic>
            <a:graphicData uri="http://schemas.microsoft.com/office/drawing/2010/slicer">
              <sle:slicer xmlns:sle="http://schemas.microsoft.com/office/drawing/2010/slicer" name="SECTOR 3"/>
            </a:graphicData>
          </a:graphic>
        </xdr:graphicFrame>
      </mc:Choice>
      <mc:Fallback xmlns="">
        <xdr:sp macro="" textlink="">
          <xdr:nvSpPr>
            <xdr:cNvPr id="0" name=""/>
            <xdr:cNvSpPr>
              <a:spLocks noTextEdit="1"/>
            </xdr:cNvSpPr>
          </xdr:nvSpPr>
          <xdr:spPr>
            <a:xfrm>
              <a:off x="151466" y="3130267"/>
              <a:ext cx="1509806" cy="2727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143996</xdr:colOff>
      <xdr:row>1</xdr:row>
      <xdr:rowOff>85725</xdr:rowOff>
    </xdr:from>
    <xdr:to>
      <xdr:col>1</xdr:col>
      <xdr:colOff>316940</xdr:colOff>
      <xdr:row>14</xdr:row>
      <xdr:rowOff>168643</xdr:rowOff>
    </xdr:to>
    <mc:AlternateContent xmlns:mc="http://schemas.openxmlformats.org/markup-compatibility/2006" xmlns:a14="http://schemas.microsoft.com/office/drawing/2010/main">
      <mc:Choice Requires="a14">
        <xdr:graphicFrame macro="">
          <xdr:nvGraphicFramePr>
            <xdr:cNvPr id="7" name="ROUTE 1">
              <a:extLst>
                <a:ext uri="{FF2B5EF4-FFF2-40B4-BE49-F238E27FC236}">
                  <a16:creationId xmlns:a16="http://schemas.microsoft.com/office/drawing/2014/main" id="{180DD444-3536-9694-8E66-437E9A5CE4CE}"/>
                </a:ext>
              </a:extLst>
            </xdr:cNvPr>
            <xdr:cNvGraphicFramePr/>
          </xdr:nvGraphicFramePr>
          <xdr:xfrm>
            <a:off x="0" y="0"/>
            <a:ext cx="0" cy="0"/>
          </xdr:xfrm>
          <a:graphic>
            <a:graphicData uri="http://schemas.microsoft.com/office/drawing/2010/slicer">
              <sle:slicer xmlns:sle="http://schemas.microsoft.com/office/drawing/2010/slicer" name="ROUTE 1"/>
            </a:graphicData>
          </a:graphic>
        </xdr:graphicFrame>
      </mc:Choice>
      <mc:Fallback xmlns="">
        <xdr:sp macro="" textlink="">
          <xdr:nvSpPr>
            <xdr:cNvPr id="0" name=""/>
            <xdr:cNvSpPr>
              <a:spLocks noTextEdit="1"/>
            </xdr:cNvSpPr>
          </xdr:nvSpPr>
          <xdr:spPr>
            <a:xfrm>
              <a:off x="140821" y="284256"/>
              <a:ext cx="1520825" cy="27082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25587</xdr:colOff>
      <xdr:row>8</xdr:row>
      <xdr:rowOff>124197</xdr:rowOff>
    </xdr:from>
    <xdr:to>
      <xdr:col>3</xdr:col>
      <xdr:colOff>1362262</xdr:colOff>
      <xdr:row>12</xdr:row>
      <xdr:rowOff>25585</xdr:rowOff>
    </xdr:to>
    <mc:AlternateContent xmlns:mc="http://schemas.openxmlformats.org/markup-compatibility/2006" xmlns:a14="http://schemas.microsoft.com/office/drawing/2010/main">
      <mc:Choice Requires="a14">
        <xdr:graphicFrame macro="">
          <xdr:nvGraphicFramePr>
            <xdr:cNvPr id="8" name="DAY 4">
              <a:extLst>
                <a:ext uri="{FF2B5EF4-FFF2-40B4-BE49-F238E27FC236}">
                  <a16:creationId xmlns:a16="http://schemas.microsoft.com/office/drawing/2014/main" id="{C09B641E-49E0-399D-69D6-B5C8832627B1}"/>
                </a:ext>
              </a:extLst>
            </xdr:cNvPr>
            <xdr:cNvGraphicFramePr/>
          </xdr:nvGraphicFramePr>
          <xdr:xfrm>
            <a:off x="0" y="0"/>
            <a:ext cx="0" cy="0"/>
          </xdr:xfrm>
          <a:graphic>
            <a:graphicData uri="http://schemas.microsoft.com/office/drawing/2010/slicer">
              <sle:slicer xmlns:sle="http://schemas.microsoft.com/office/drawing/2010/slicer" name="DAY 4"/>
            </a:graphicData>
          </a:graphic>
        </xdr:graphicFrame>
      </mc:Choice>
      <mc:Fallback xmlns="">
        <xdr:sp macro="" textlink="">
          <xdr:nvSpPr>
            <xdr:cNvPr id="0" name=""/>
            <xdr:cNvSpPr>
              <a:spLocks noTextEdit="1"/>
            </xdr:cNvSpPr>
          </xdr:nvSpPr>
          <xdr:spPr>
            <a:xfrm>
              <a:off x="2113056" y="1734669"/>
              <a:ext cx="2879912" cy="711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ocuments\Gel\Scheduling%20and%20Planning\Revenue%20and%20Inventory%20Tracker\Revenue%20and%20Inventory%20Tracker\Revenue%20&amp;%20Inventory%20Tracker%20E01-S11_16MAY24%20-%20New.xlsx" TargetMode="External"/><Relationship Id="rId1" Type="http://schemas.openxmlformats.org/officeDocument/2006/relationships/externalLinkPath" Target="file:///P:\Scheduling%20and%20Planning\Revenue%20and%20Inventory%20Tracker\Revenue%20and%20Inventory%20Tracker\Revenue%20&amp;%20Inventory%20Tracker%20E01-S11_16MAY24%20-%20New.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P:\Scheduling%20and%20Planning\Flight%20Rotation\020725%20Flight%20Rotation%20Summary%202025.xlsx" TargetMode="External"/><Relationship Id="rId1" Type="http://schemas.openxmlformats.org/officeDocument/2006/relationships/externalLinkPath" Target="file:///P:\Scheduling%20and%20Planning\Flight%20Rotation\020725%20Flight%20Rotation%20Summary%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Inventory Summary"/>
      <sheetName val="Transaction Summary"/>
      <sheetName val="Revenue Summary"/>
      <sheetName val="Consolidated Inventory"/>
      <sheetName val="Inventory (TO)"/>
      <sheetName val="Inventory (Distributor)"/>
      <sheetName val="Flight Rotation Weeks"/>
      <sheetName val="Flight Paired Data"/>
      <sheetName val="Routes Taxes"/>
      <sheetName val="Directional"/>
      <sheetName val="Flight Plan Budget"/>
      <sheetName val="Departure Date"/>
      <sheetName val="S24 Sched &amp; Budget"/>
      <sheetName val="Revenue &amp; Inventory Tracker E01"/>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light Sched Summary"/>
      <sheetName val="Flight Rotation Weeks"/>
      <sheetName val="Flight Paired Data"/>
      <sheetName val="Directional"/>
      <sheetName val="Flight Plan Budget"/>
      <sheetName val="Departure Date"/>
      <sheetName val="S24 Sched &amp; Budget"/>
      <sheetName val="020725 Flight Rotation Summary "/>
    </sheetNames>
    <sheetDataSet>
      <sheetData sheetId="0"/>
      <sheetData sheetId="1"/>
      <sheetData sheetId="2"/>
      <sheetData sheetId="3">
        <row r="1">
          <cell r="C1" t="str">
            <v>SECTOR</v>
          </cell>
        </row>
      </sheetData>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Rogelio Camacho" id="{84C02806-B629-4F2E-BB86-0051D99E2C64}" userId="S::rogelio.camacho@mayfairjets.com::f1f8a777-2e20-45a6-bb4b-8cda2ed267e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FJ Donia" refreshedDate="45733.493318171299" createdVersion="8" refreshedVersion="8" minRefreshableVersion="3" recordCount="50" xr:uid="{D5D9707B-506D-4F85-A644-2807AEB549E7}">
  <cacheSource type="worksheet">
    <worksheetSource name="Table1"/>
  </cacheSource>
  <cacheFields count="24">
    <cacheField name="DATE_BOOKED" numFmtId="165">
      <sharedItems containsSemiMixedTypes="0" containsNonDate="0" containsDate="1" containsString="0" minDate="2024-10-04T00:00:00" maxDate="2025-05-05T00:00:00" count="74">
        <d v="2025-01-24T00:00:00"/>
        <d v="2025-01-27T00:00:00"/>
        <d v="2025-01-29T00:00:00"/>
        <d v="2025-01-30T00:00:00"/>
        <d v="2025-01-31T00:00:00"/>
        <d v="2025-02-02T00:00:00"/>
        <d v="2025-02-10T00:00:00"/>
        <d v="2025-02-12T00:00:00"/>
        <d v="2025-02-18T00:00:00"/>
        <d v="2025-02-11T00:00:00"/>
        <d v="2025-02-19T00:00:00"/>
        <d v="2025-02-15T00:00:00"/>
        <d v="2025-02-17T00:00:00"/>
        <d v="2025-02-24T00:00:00"/>
        <d v="2025-02-23T00:00:00"/>
        <d v="2025-02-26T00:00:00"/>
        <d v="2025-02-28T00:00:00"/>
        <d v="2024-10-04T00:00:00" u="1"/>
        <d v="2024-10-23T00:00:00" u="1"/>
        <d v="2024-11-28T00:00:00" u="1"/>
        <d v="2024-12-04T00:00:00" u="1"/>
        <d v="2024-11-29T00:00:00" u="1"/>
        <d v="2024-11-30T00:00:00" u="1"/>
        <d v="2024-11-12T00:00:00" u="1"/>
        <d v="2024-12-23T00:00:00" u="1"/>
        <d v="2024-11-21T00:00:00" u="1"/>
        <d v="2025-01-10T00:00:00" u="1"/>
        <d v="2024-12-24T00:00:00" u="1"/>
        <d v="2025-01-11T00:00:00" u="1"/>
        <d v="2025-01-12T00:00:00" u="1"/>
        <d v="2025-01-14T00:00:00" u="1"/>
        <d v="2025-01-15T00:00:00" u="1"/>
        <d v="2025-01-17T00:00:00" u="1"/>
        <d v="2025-01-19T00:00:00" u="1"/>
        <d v="2025-01-20T00:00:00" u="1"/>
        <d v="2025-01-21T00:00:00" u="1"/>
        <d v="2025-01-22T00:00:00" u="1"/>
        <d v="2025-01-23T00:00:00" u="1"/>
        <d v="2025-01-25T00:00:00" u="1"/>
        <d v="2025-01-26T00:00:00" u="1"/>
        <d v="2025-01-28T00:00:00" u="1"/>
        <d v="2025-02-01T00:00:00" u="1"/>
        <d v="2025-02-03T00:00:00" u="1"/>
        <d v="2025-02-04T00:00:00" u="1"/>
        <d v="2025-02-05T00:00:00" u="1"/>
        <d v="2025-02-04T12:00:00" u="1"/>
        <d v="2025-02-06T00:00:00" u="1"/>
        <d v="2025-02-07T00:00:00" u="1"/>
        <d v="2025-02-08T00:00:00" u="1"/>
        <d v="2025-02-09T00:00:00" u="1"/>
        <d v="2025-02-13T00:00:00" u="1"/>
        <d v="2025-02-14T00:00:00" u="1"/>
        <d v="2025-02-16T00:00:00" u="1"/>
        <d v="2025-02-17T12:00:00" u="1"/>
        <d v="2025-02-21T00:00:00" u="1"/>
        <d v="2025-02-20T00:00:00" u="1"/>
        <d v="2025-02-22T00:00:00" u="1"/>
        <d v="2025-02-25T00:00:00" u="1"/>
        <d v="2025-02-27T00:00:00" u="1"/>
        <d v="2025-03-01T00:00:00" u="1"/>
        <d v="2025-03-03T00:00:00" u="1"/>
        <d v="2025-03-04T00:00:00" u="1"/>
        <d v="2025-03-05T00:00:00" u="1"/>
        <d v="2025-03-06T00:00:00" u="1"/>
        <d v="2025-03-07T00:00:00" u="1"/>
        <d v="2025-03-08T00:00:00" u="1"/>
        <d v="2025-03-09T00:00:00" u="1"/>
        <d v="2025-03-10T00:00:00" u="1"/>
        <d v="2025-03-11T00:00:00" u="1"/>
        <d v="2025-03-12T00:00:00" u="1"/>
        <d v="2025-03-13T00:00:00" u="1"/>
        <d v="2025-05-04T00:00:00" u="1"/>
        <d v="2024-10-22T00:00:00" u="1"/>
        <d v="2025-01-10T23:00:00" u="1"/>
      </sharedItems>
    </cacheField>
    <cacheField name="CONTRIBUTOR" numFmtId="0">
      <sharedItems containsBlank="1" count="33">
        <s v="Enzo Viaggi"/>
        <s v="Genius"/>
        <s v="EuroAirlines"/>
        <s v="Atelier Vacanze SRL"/>
        <s v="APG"/>
        <s v="World Network Srl" u="1"/>
        <s v="SI Travel" u="1"/>
        <s v="Veratour" u="1"/>
        <s v="Iscla Maior" u="1"/>
        <s v="JSV-Partyamo" u="1"/>
        <s v="Miti Viaggi" u="1"/>
        <s v="Searcharter" u="1"/>
        <s v="GO7" u="1"/>
        <s v="Fruit Viaggi" u="1"/>
        <s v="Mamas Travel" u="1"/>
        <s v="Nicolaus S.P.A" u="1"/>
        <s v="Good Days" u="1"/>
        <s v="Present Viaggi" u="1"/>
        <s v="Ahotsun Tour Operator srls" u="1"/>
        <s v="Italgsa" u="1"/>
        <s v="May Fair Jets Dubai" u="1"/>
        <s v="SAND SRL" u="1"/>
        <s v="Goingit" u="1"/>
        <s v="Alpitour" u="1"/>
        <s v="ItalGSA-Syrius-Iscla" u="1"/>
        <s v="ItalGSA-Syrius-Go4Sea" u="1"/>
        <s v="FLR-Domina" u="1"/>
        <s v="Italgsa-Azura" u="1"/>
        <s v="JSV SRL" u="1"/>
        <m u="1"/>
        <s v="FLR-Charter" u="1"/>
        <s v="Mayfair Jets Dubai" u="1"/>
        <s v="Atelier Vacanze " u="1"/>
      </sharedItems>
    </cacheField>
    <cacheField name="CATEGORY" numFmtId="166">
      <sharedItems containsBlank="1" count="4">
        <s v="Tour Operator"/>
        <s v="Distributor"/>
        <s v="Website" u="1"/>
        <m u="1"/>
      </sharedItems>
    </cacheField>
    <cacheField name="DISTRIBUTION_CHANNEL" numFmtId="166">
      <sharedItems containsBlank="1"/>
    </cacheField>
    <cacheField name="DISTRIBUTOR_PNR" numFmtId="0">
      <sharedItems containsNonDate="0" containsString="0" containsBlank="1"/>
    </cacheField>
    <cacheField name="JOURNEY" numFmtId="0">
      <sharedItems containsBlank="1" count="3">
        <s v="RT"/>
        <s v="OW"/>
        <m u="1"/>
      </sharedItems>
    </cacheField>
    <cacheField name="DIRECTION" numFmtId="0">
      <sharedItems containsBlank="1" count="3">
        <s v="Outbound"/>
        <s v="Inbound"/>
        <m u="1"/>
      </sharedItems>
    </cacheField>
    <cacheField name="FLT_NO" numFmtId="0">
      <sharedItems containsBlank="1" count="44">
        <s v="4S6018"/>
        <s v="4S6032"/>
        <s v="SM820"/>
        <s v="SM819"/>
        <s v="SE5447"/>
        <s v="4S6006" u="1"/>
        <s v="4S6005" u="1"/>
        <s v="UJ1121" u="1"/>
        <s v="UJ1120" u="1"/>
        <s v="4S6016" u="1"/>
        <s v="4S6004" u="1"/>
        <s v="4S6015" u="1"/>
        <s v="4S6003" u="1"/>
        <s v="4S6031" u="1"/>
        <s v="W42987" u="1"/>
        <s v="W42988" u="1"/>
        <s v="UJ6006" u="1"/>
        <s v="UJ6005" u="1"/>
        <s v="NP8102" u="1"/>
        <s v="NP8101" u="1"/>
        <s v="4S6017" u="1"/>
        <s v="UJ6390" u="1"/>
        <s v="SE5448" u="1"/>
        <s v="SE5446" u="1"/>
        <s v="UJ6391" u="1"/>
        <s v="UJ3902" u="1"/>
        <s v="UJ3901" u="1"/>
        <s v="UJ5126" u="1"/>
        <s v="UJ5125" u="1"/>
        <s v="UJ1124" u="1"/>
        <s v="UJ1123" u="1"/>
        <s v="UJ7001" u="1"/>
        <s v="UJ7000" u="1"/>
        <s v="SE1792" u="1"/>
        <s v="SE1791" u="1"/>
        <s v="SE6446" u="1"/>
        <s v="4S6446" u="1"/>
        <m u="1"/>
        <s v="XX0001" u="1"/>
        <s v="XX0002" u="1"/>
        <s v="UJ1391" u="1"/>
        <s v="UJ1390" u="1"/>
        <s v="NE7310" u="1"/>
        <s v="NE7311" u="1"/>
      </sharedItems>
    </cacheField>
    <cacheField name="SECTOR" numFmtId="0">
      <sharedItems containsBlank="1" count="22">
        <s v="NAP-SSH"/>
        <s v="SSH-NAP"/>
        <s v="BRI-SSH" u="1"/>
        <s v="SSH-BRI" u="1"/>
        <s v="MXP-SSH" u="1"/>
        <s v="SSH-MXP" u="1"/>
        <s v="VRN-SSH" u="1"/>
        <s v="SSH-VRN" u="1"/>
        <s v="VIE-JED" u="1"/>
        <s v="JED-VIE" u="1"/>
        <s v="MXP-RMF" u="1"/>
        <s v="RMF-MXP" u="1"/>
        <s v="NAP-HRG" u="1"/>
        <s v="HRG-NAP" u="1"/>
        <s v="CAG-SSH" u="1"/>
        <s v="SSH-CAG" u="1"/>
        <s v="FCO-SSH" u="1"/>
        <s v="SSH-FCO" u="1"/>
        <s v="SSHNAP" u="1"/>
        <s v="PMO-SSH" u="1"/>
        <s v="SSH-PMO" u="1"/>
        <m u="1"/>
      </sharedItems>
    </cacheField>
    <cacheField name="FLIGHT_DATE" numFmtId="165">
      <sharedItems containsSemiMixedTypes="0" containsNonDate="0" containsDate="1" containsString="0" minDate="2000-08-22T00:00:00" maxDate="2026-01-06T00:00:00" count="101">
        <d v="2025-04-18T00:00:00"/>
        <d v="2025-04-13T00:00:00"/>
        <d v="2025-04-06T00:00:00"/>
        <d v="2025-07-28T00:00:00" u="1"/>
        <d v="2025-08-04T00:00:00" u="1"/>
        <d v="2025-08-11T00:00:00" u="1"/>
        <d v="2025-08-18T00:00:00" u="1"/>
        <d v="2025-08-25T00:00:00" u="1"/>
        <d v="2025-09-01T00:00:00" u="1"/>
        <d v="2025-09-08T00:00:00" u="1"/>
        <d v="2025-04-05T00:00:00" u="1"/>
        <d v="2025-04-12T00:00:00" u="1"/>
        <d v="2025-04-19T00:00:00" u="1"/>
        <d v="2025-04-26T00:00:00" u="1"/>
        <d v="2025-05-03T00:00:00" u="1"/>
        <d v="2025-08-30T00:00:00" u="1"/>
        <d v="2025-09-06T00:00:00" u="1"/>
        <d v="2025-09-13T00:00:00" u="1"/>
        <d v="2025-09-20T00:00:00" u="1"/>
        <d v="2025-09-27T00:00:00" u="1"/>
        <d v="2025-10-04T00:00:00" u="1"/>
        <d v="2025-10-11T00:00:00" u="1"/>
        <d v="2025-10-18T00:00:00" u="1"/>
        <d v="2025-10-25T00:00:00" u="1"/>
        <d v="2025-11-01T00:00:00" u="1"/>
        <d v="2025-03-30T00:00:00" u="1"/>
        <d v="2025-04-20T00:00:00" u="1"/>
        <d v="2025-04-27T00:00:00" u="1"/>
        <d v="2025-05-04T00:00:00" u="1"/>
        <d v="2025-04-25T00:00:00" u="1"/>
        <d v="2025-05-02T00:00:00" u="1"/>
        <d v="2025-03-01T00:00:00" u="1"/>
        <d v="2025-03-08T00:00:00" u="1"/>
        <d v="2025-03-29T00:00:00" u="1"/>
        <d v="2025-03-22T00:00:00" u="1"/>
        <d v="2025-06-28T00:00:00" u="1"/>
        <d v="2025-07-05T00:00:00" u="1"/>
        <d v="2025-07-12T00:00:00" u="1"/>
        <d v="2025-07-19T00:00:00" u="1"/>
        <d v="2025-07-26T00:00:00" u="1"/>
        <d v="2025-08-02T00:00:00" u="1"/>
        <d v="2025-08-09T00:00:00" u="1"/>
        <d v="2025-08-16T00:00:00" u="1"/>
        <d v="2025-08-23T00:00:00" u="1"/>
        <d v="2025-11-08T00:00:00" u="1"/>
        <d v="2025-11-15T00:00:00" u="1"/>
        <d v="2025-11-22T00:00:00" u="1"/>
        <d v="2025-12-20T00:00:00" u="1"/>
        <d v="2025-12-27T00:00:00" u="1"/>
        <d v="2025-11-29T00:00:00" u="1"/>
        <d v="2026-01-03T00:00:00" u="1"/>
        <d v="2025-07-27T00:00:00" u="1"/>
        <d v="2025-08-03T00:00:00" u="1"/>
        <d v="2025-08-10T00:00:00" u="1"/>
        <d v="2025-08-17T00:00:00" u="1"/>
        <d v="2025-08-24T00:00:00" u="1"/>
        <d v="2025-08-31T00:00:00" u="1"/>
        <d v="2025-09-07T00:00:00" u="1"/>
        <d v="2025-09-14T00:00:00" u="1"/>
        <d v="2025-09-21T00:00:00" u="1"/>
        <d v="2025-09-28T00:00:00" u="1"/>
        <d v="2025-10-05T00:00:00" u="1"/>
        <d v="2025-10-12T00:00:00" u="1"/>
        <d v="2025-10-19T00:00:00" u="1"/>
        <d v="2025-10-26T00:00:00" u="1"/>
        <d v="2025-11-02T00:00:00" u="1"/>
        <d v="2025-07-25T00:00:00" u="1"/>
        <d v="2025-08-01T00:00:00" u="1"/>
        <d v="2025-08-08T00:00:00" u="1"/>
        <d v="2025-08-15T00:00:00" u="1"/>
        <d v="2025-08-22T00:00:00" u="1"/>
        <d v="2025-08-29T00:00:00" u="1"/>
        <d v="2025-09-05T00:00:00" u="1"/>
        <d v="2025-07-30T00:00:00" u="1"/>
        <d v="2025-08-06T00:00:00" u="1"/>
        <d v="2025-08-13T00:00:00" u="1"/>
        <d v="2025-08-20T00:00:00" u="1"/>
        <d v="2025-08-27T00:00:00" u="1"/>
        <d v="2025-09-03T00:00:00" u="1"/>
        <d v="2025-07-21T00:00:00" u="1"/>
        <d v="2025-12-22T00:00:00" u="1"/>
        <d v="2025-12-29T00:00:00" u="1"/>
        <d v="2026-01-05T00:00:00" u="1"/>
        <d v="2025-05-10T00:00:00" u="1"/>
        <d v="2025-05-11T00:00:00" u="1"/>
        <d v="2025-07-18T00:00:00" u="1"/>
        <d v="2025-09-12T00:00:00" u="1"/>
        <d v="2025-07-20T00:00:00" u="1"/>
        <d v="2000-08-22T00:00:00" u="1"/>
        <d v="2025-07-29T00:00:00" u="1"/>
        <d v="2025-08-05T00:00:00" u="1"/>
        <d v="2025-08-12T00:00:00" u="1"/>
        <d v="2025-08-19T00:00:00" u="1"/>
        <d v="2025-08-26T00:00:00" u="1"/>
        <d v="2025-09-02T00:00:00" u="1"/>
        <d v="2025-05-31T00:00:00" u="1"/>
        <d v="2025-06-07T00:00:00" u="1"/>
        <d v="2025-11-09T00:00:00" u="1"/>
        <d v="2025-11-16T00:00:00" u="1"/>
        <d v="2025-11-23T00:00:00" u="1"/>
        <d v="2025-11-30T00:00:00" u="1"/>
      </sharedItems>
    </cacheField>
    <cacheField name="REQUESTED_SEATS" numFmtId="3">
      <sharedItems containsSemiMixedTypes="0" containsString="0" containsNumber="1" containsInteger="1" minValue="1" maxValue="60"/>
    </cacheField>
    <cacheField name="SEATS_BOOKED" numFmtId="3">
      <sharedItems containsSemiMixedTypes="0" containsString="0" containsNumber="1" containsInteger="1" minValue="1" maxValue="60"/>
    </cacheField>
    <cacheField name="BASE_FARE" numFmtId="2">
      <sharedItems containsSemiMixedTypes="0" containsString="0" containsNumber="1" minValue="75" maxValue="290"/>
    </cacheField>
    <cacheField name="TAXES" numFmtId="2">
      <sharedItems containsSemiMixedTypes="0" containsString="0" containsNumber="1" minValue="0" maxValue="38.92"/>
    </cacheField>
    <cacheField name="SURCHARGES" numFmtId="2">
      <sharedItems containsSemiMixedTypes="0" containsString="0" containsNumber="1" containsInteger="1" minValue="0" maxValue="30"/>
    </cacheField>
    <cacheField name="NET_REVENUE" numFmtId="4">
      <sharedItems containsSemiMixedTypes="0" containsString="0" containsNumber="1" minValue="125.23" maxValue="15600"/>
    </cacheField>
    <cacheField name="BOOKING_STATUS" numFmtId="0">
      <sharedItems containsBlank="1" count="4">
        <s v="Confirmed"/>
        <s v="Cancelled" u="1"/>
        <s v="Reissued" u="1"/>
        <m u="1"/>
      </sharedItems>
    </cacheField>
    <cacheField name="CONTRACT_STATUS" numFmtId="3">
      <sharedItems containsBlank="1" count="7">
        <s v="Countersigned"/>
        <s v="Closed Deal"/>
        <s v="Signed"/>
        <s v="Cancelled" u="1"/>
        <s v="On Review" u="1"/>
        <s v="Reissued" u="1"/>
        <m u="1"/>
      </sharedItems>
    </cacheField>
    <cacheField name="ORGN" numFmtId="0">
      <sharedItems/>
    </cacheField>
    <cacheField name="DEST" numFmtId="0">
      <sharedItems/>
    </cacheField>
    <cacheField name="ROUTE" numFmtId="0">
      <sharedItems count="9">
        <s v="NAP"/>
        <s v="BRI" u="1"/>
        <s v="MXP" u="1"/>
        <s v="VRN" u="1"/>
        <s v="VIE" u="1"/>
        <s v="CAG" u="1"/>
        <s v="FCO" u="1"/>
        <s v="PMO" u="1"/>
        <s v="" u="1"/>
      </sharedItems>
    </cacheField>
    <cacheField name="DAY" numFmtId="0">
      <sharedItems containsSemiMixedTypes="0" containsString="0" containsNumber="1" containsInteger="1" minValue="1" maxValue="7" count="6">
        <n v="5"/>
        <n v="7"/>
        <n v="1" u="1"/>
        <n v="6" u="1"/>
        <n v="3" u="1"/>
        <n v="2" u="1"/>
      </sharedItems>
    </cacheField>
    <cacheField name="DAYS_PRIOR" numFmtId="0">
      <sharedItems containsSemiMixedTypes="0" containsString="0" containsNumber="1" containsInteger="1" minValue="44" maxValue="84" count="15">
        <n v="84"/>
        <n v="81"/>
        <n v="79"/>
        <n v="78"/>
        <n v="77"/>
        <n v="75"/>
        <n v="62"/>
        <n v="55"/>
        <n v="53"/>
        <n v="54"/>
        <n v="61"/>
        <n v="57"/>
        <n v="49"/>
        <n v="51"/>
        <n v="44"/>
      </sharedItems>
      <fieldGroup base="22">
        <rangePr autoStart="0" startNum="0" endNum="84" groupInterval="31"/>
        <groupItems count="5">
          <s v="&lt;0"/>
          <s v="0-30"/>
          <s v="31-61"/>
          <s v="62-92"/>
          <s v="&gt;93"/>
        </groupItems>
      </fieldGroup>
    </cacheField>
    <cacheField name="AVG_FARE_PER_SEAT" numFmtId="0" formula="IF(SEATS_BOOKED=0,0,NET_REVENUE/SEATS_BOOKED)" databaseField="0"/>
  </cacheFields>
  <extLst>
    <ext xmlns:x14="http://schemas.microsoft.com/office/spreadsheetml/2009/9/main" uri="{725AE2AE-9491-48be-B2B4-4EB974FC3084}">
      <x14:pivotCacheDefinition pivotCacheId="1562172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FJ Donia" refreshedDate="45733.493318402776" missingItemsLimit="0" createdVersion="8" refreshedVersion="8" minRefreshableVersion="3" recordCount="11" xr:uid="{50480781-6D4F-4020-A68A-3F6D35732A6E}">
  <cacheSource type="worksheet">
    <worksheetSource name="Table36"/>
  </cacheSource>
  <cacheFields count="45">
    <cacheField name="DAY" numFmtId="0">
      <sharedItems containsSemiMixedTypes="0" containsString="0" containsNumber="1" containsInteger="1" minValue="1" maxValue="7"/>
    </cacheField>
    <cacheField name="DEP_DATE" numFmtId="166">
      <sharedItems containsSemiMixedTypes="0" containsNonDate="0" containsDate="1" containsString="0" minDate="2025-03-30T00:00:00" maxDate="2025-12-30T00:00:00" count="8">
        <d v="2025-04-06T00:00:00"/>
        <d v="2025-04-13T00:00:00"/>
        <d v="2025-04-20T00:00:00"/>
        <d v="2025-04-27T00:00:00"/>
        <d v="2025-05-04T00:00:00"/>
        <d v="2025-03-30T00:00:00"/>
        <d v="2025-04-18T00:00:00"/>
        <d v="2025-12-29T00:00:00"/>
      </sharedItems>
      <fieldGroup par="41"/>
    </cacheField>
    <cacheField name="ORGN" numFmtId="20">
      <sharedItems/>
    </cacheField>
    <cacheField name="DEST" numFmtId="20">
      <sharedItems/>
    </cacheField>
    <cacheField name="ETD (UTC)" numFmtId="20">
      <sharedItems containsSemiMixedTypes="0" containsNonDate="0" containsDate="1" containsString="0" minDate="1899-12-30T00:00:00" maxDate="1899-12-31T00:00:00"/>
    </cacheField>
    <cacheField name="ETA (UTC)" numFmtId="20">
      <sharedItems containsSemiMixedTypes="0" containsNonDate="0" containsDate="1" containsString="0" minDate="1899-12-30T00:00:00" maxDate="1899-12-31T00:00:00"/>
    </cacheField>
    <cacheField name="ETD (Local Time)" numFmtId="20">
      <sharedItems containsSemiMixedTypes="0" containsNonDate="0" containsDate="1" containsString="0" minDate="1899-12-30T00:00:00" maxDate="1899-12-31T00:00:00"/>
    </cacheField>
    <cacheField name="ETA (Local Time)" numFmtId="20">
      <sharedItems containsSemiMixedTypes="0" containsNonDate="0" containsDate="1" containsString="0" minDate="1899-12-30T00:00:00" maxDate="1899-12-31T00:00:00"/>
    </cacheField>
    <cacheField name="WEEKS" numFmtId="0">
      <sharedItems containsSemiMixedTypes="0" containsString="0" containsNumber="1" containsInteger="1" minValue="3" maxValue="4"/>
    </cacheField>
    <cacheField name="Charter Cost" numFmtId="164">
      <sharedItems containsSemiMixedTypes="0" containsString="0" containsNumber="1" containsInteger="1" minValue="0" maxValue="46700"/>
    </cacheField>
    <cacheField name="Add-on" numFmtId="164">
      <sharedItems containsSemiMixedTypes="0" containsString="0" containsNumber="1" containsInteger="1" minValue="0" maxValue="0"/>
    </cacheField>
    <cacheField name="Sub-Total" numFmtId="164">
      <sharedItems containsSemiMixedTypes="0" containsString="0" containsNumber="1" containsInteger="1" minValue="0" maxValue="46700"/>
    </cacheField>
    <cacheField name="Rotation-Divisor" numFmtId="0">
      <sharedItems containsSemiMixedTypes="0" containsString="0" containsNumber="1" containsInteger="1" minValue="3" maxValue="4"/>
    </cacheField>
    <cacheField name="Selling" numFmtId="164">
      <sharedItems containsSemiMixedTypes="0" containsString="0" containsNumber="1" containsInteger="1" minValue="0" maxValue="46700"/>
    </cacheField>
    <cacheField name="Cost/Sector" numFmtId="164">
      <sharedItems containsSemiMixedTypes="0" containsString="0" containsNumber="1" containsInteger="1" minValue="0" maxValue="23350"/>
    </cacheField>
    <cacheField name="Aircraft" numFmtId="0">
      <sharedItems/>
    </cacheField>
    <cacheField name="Y_Capacity" numFmtId="0">
      <sharedItems containsSemiMixedTypes="0" containsString="0" containsNumber="1" containsInteger="1" minValue="30" maxValue="186"/>
    </cacheField>
    <cacheField name="Y Seats_Sale" numFmtId="0">
      <sharedItems containsSemiMixedTypes="0" containsString="0" containsNumber="1" containsInteger="1" minValue="30" maxValue="186"/>
    </cacheField>
    <cacheField name="FSCODE" numFmtId="0">
      <sharedItems/>
    </cacheField>
    <cacheField name="FS_NO" numFmtId="0">
      <sharedItems containsMixedTypes="1" containsNumber="1" containsInteger="1" minValue="14" maxValue="14"/>
    </cacheField>
    <cacheField name="WEEK_NO" numFmtId="0">
      <sharedItems containsSemiMixedTypes="0" containsString="0" containsNumber="1" containsInteger="1" minValue="1" maxValue="6"/>
    </cacheField>
    <cacheField name="SCHED_ID" numFmtId="0">
      <sharedItems count="5">
        <s v="E25-03A"/>
        <s v="E25-03B"/>
        <s v="E25-08"/>
        <s v="E25-09B"/>
        <s v="S25-14"/>
      </sharedItems>
    </cacheField>
    <cacheField name="FLT_WK" numFmtId="0">
      <sharedItems count="10">
        <s v="E25-03A-2"/>
        <s v="E25-03A-3"/>
        <s v="E25-03B-4"/>
        <s v="E25-03B-5"/>
        <s v="E25-03B-6"/>
        <s v="E25-03A-1"/>
        <s v="E25-03B-3"/>
        <s v="E25-08-3"/>
        <s v="E25-09B-1"/>
        <s v="S25-14-2"/>
      </sharedItems>
    </cacheField>
    <cacheField name="ROUTE" numFmtId="0">
      <sharedItems/>
    </cacheField>
    <cacheField name="SECTOR" numFmtId="0">
      <sharedItems count="2">
        <s v="SSH-NAP"/>
        <s v="NAP-SSH"/>
      </sharedItems>
    </cacheField>
    <cacheField name="DIRECTION" numFmtId="0">
      <sharedItems count="2">
        <s v="Inbound"/>
        <s v="Outbound"/>
      </sharedItems>
    </cacheField>
    <cacheField name="FLT_NO" numFmtId="168">
      <sharedItems count="7">
        <s v="SM819"/>
        <s v="4S6031"/>
        <s v="SM820"/>
        <s v="4S6032"/>
        <s v="4S6018"/>
        <s v="SE5447"/>
        <s v="UJ3902"/>
      </sharedItems>
    </cacheField>
    <cacheField name="Airline" numFmtId="0">
      <sharedItems/>
    </cacheField>
    <cacheField name="Flt_No." numFmtId="0">
      <sharedItems/>
    </cacheField>
    <cacheField name="Sector Tax" numFmtId="4">
      <sharedItems containsSemiMixedTypes="0" containsString="0" containsNumber="1" containsInteger="1" minValue="0" maxValue="0"/>
    </cacheField>
    <cacheField name="Total Taxes" numFmtId="3">
      <sharedItems containsSemiMixedTypes="0" containsString="0" containsNumber="1" containsInteger="1" minValue="0" maxValue="0"/>
    </cacheField>
    <cacheField name="Requested_Seats" numFmtId="0">
      <sharedItems containsSemiMixedTypes="0" containsString="0" containsNumber="1" containsInteger="1" minValue="0" maxValue="88"/>
    </cacheField>
    <cacheField name="Seats_Block_by_Cap" numFmtId="3">
      <sharedItems containsSemiMixedTypes="0" containsString="0" containsNumber="1" containsInteger="1" minValue="30" maxValue="186"/>
    </cacheField>
    <cacheField name="Seats_Booked" numFmtId="0">
      <sharedItems containsSemiMixedTypes="0" containsString="0" containsNumber="1" containsInteger="1" minValue="0" maxValue="88"/>
    </cacheField>
    <cacheField name="Avl_Seats_by_Cap" numFmtId="3">
      <sharedItems containsSemiMixedTypes="0" containsString="0" containsNumber="1" containsInteger="1" minValue="30" maxValue="186"/>
    </cacheField>
    <cacheField name="Named" numFmtId="3">
      <sharedItems containsNonDate="0" containsString="0" containsBlank="1"/>
    </cacheField>
    <cacheField name="Unnamed" numFmtId="3">
      <sharedItems containsSemiMixedTypes="0" containsString="0" containsNumber="1" containsInteger="1" minValue="30" maxValue="186"/>
    </cacheField>
    <cacheField name="Remarks" numFmtId="3">
      <sharedItems containsNonDate="0" containsString="0" containsBlank="1"/>
    </cacheField>
    <cacheField name="NET_REVENUE" numFmtId="3">
      <sharedItems containsSemiMixedTypes="0" containsString="0" containsNumber="1" minValue="0" maxValue="24004.350000000009"/>
    </cacheField>
    <cacheField name="Months (DEP_DATE)" numFmtId="0" databaseField="0">
      <fieldGroup base="1">
        <rangePr groupBy="months" startDate="2025-03-30T00:00:00" endDate="2025-12-30T00:00:00"/>
        <groupItems count="14">
          <s v="&lt;3/30/2025"/>
          <s v="Jan"/>
          <s v="Feb"/>
          <s v="Mar"/>
          <s v="Apr"/>
          <s v="May"/>
          <s v="Jun"/>
          <s v="Jul"/>
          <s v="Aug"/>
          <s v="Sep"/>
          <s v="Oct"/>
          <s v="Nov"/>
          <s v="Dec"/>
          <s v="&gt;12/30/2025"/>
        </groupItems>
      </fieldGroup>
    </cacheField>
    <cacheField name="Quarters (DEP_DATE)" numFmtId="0" databaseField="0">
      <fieldGroup base="1">
        <rangePr groupBy="quarters" startDate="2025-03-30T00:00:00" endDate="2025-12-30T00:00:00"/>
        <groupItems count="6">
          <s v="&lt;3/30/2025"/>
          <s v="Qtr1"/>
          <s v="Qtr2"/>
          <s v="Qtr3"/>
          <s v="Qtr4"/>
          <s v="&gt;12/30/2025"/>
        </groupItems>
      </fieldGroup>
    </cacheField>
    <cacheField name="Years (DEP_DATE)" numFmtId="0" databaseField="0">
      <fieldGroup base="1">
        <rangePr groupBy="years" startDate="2025-03-30T00:00:00" endDate="2025-12-30T00:00:00"/>
        <groupItems count="3">
          <s v="&lt;3/30/2025"/>
          <s v="2025"/>
          <s v="&gt;12/30/2025"/>
        </groupItems>
      </fieldGroup>
    </cacheField>
    <cacheField name="Variance" numFmtId="0" formula="#NAME?/#NAME?-1" databaseField="0"/>
    <cacheField name="Seat Block %" numFmtId="0" formula="#NAME?/#NAME?" databaseField="0"/>
    <cacheField name="Bookload" numFmtId="0" formula="Seats_Booked/'Y Seats_Sale'" databaseField="0"/>
  </cacheFields>
  <extLst>
    <ext xmlns:x14="http://schemas.microsoft.com/office/spreadsheetml/2009/9/main" uri="{725AE2AE-9491-48be-B2B4-4EB974FC3084}">
      <x14:pivotCacheDefinition pivotCacheId="15633370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m/>
    <m/>
    <x v="0"/>
    <x v="0"/>
    <x v="0"/>
    <x v="0"/>
    <x v="0"/>
    <n v="10"/>
    <n v="10"/>
    <n v="275"/>
    <n v="0"/>
    <n v="0"/>
    <n v="2750"/>
    <x v="0"/>
    <x v="0"/>
    <s v="NAP"/>
    <s v="SSH"/>
    <x v="0"/>
    <x v="0"/>
    <x v="0"/>
  </r>
  <r>
    <x v="1"/>
    <x v="1"/>
    <x v="1"/>
    <m/>
    <m/>
    <x v="1"/>
    <x v="0"/>
    <x v="0"/>
    <x v="0"/>
    <x v="0"/>
    <n v="2"/>
    <n v="2"/>
    <n v="275"/>
    <n v="0"/>
    <n v="0"/>
    <n v="550"/>
    <x v="0"/>
    <x v="1"/>
    <s v="NAP"/>
    <s v="SSH"/>
    <x v="0"/>
    <x v="0"/>
    <x v="1"/>
  </r>
  <r>
    <x v="2"/>
    <x v="2"/>
    <x v="1"/>
    <m/>
    <m/>
    <x v="1"/>
    <x v="0"/>
    <x v="0"/>
    <x v="0"/>
    <x v="0"/>
    <n v="1"/>
    <n v="1"/>
    <n v="206.25"/>
    <n v="34.04"/>
    <n v="30"/>
    <n v="270.28999999999996"/>
    <x v="0"/>
    <x v="1"/>
    <s v="NAP"/>
    <s v="SSH"/>
    <x v="0"/>
    <x v="0"/>
    <x v="2"/>
  </r>
  <r>
    <x v="2"/>
    <x v="2"/>
    <x v="1"/>
    <m/>
    <m/>
    <x v="1"/>
    <x v="0"/>
    <x v="0"/>
    <x v="0"/>
    <x v="0"/>
    <n v="1"/>
    <n v="1"/>
    <n v="275"/>
    <n v="34.04"/>
    <n v="30"/>
    <n v="339.04"/>
    <x v="0"/>
    <x v="1"/>
    <s v="NAP"/>
    <s v="SSH"/>
    <x v="0"/>
    <x v="0"/>
    <x v="2"/>
  </r>
  <r>
    <x v="2"/>
    <x v="2"/>
    <x v="1"/>
    <m/>
    <m/>
    <x v="1"/>
    <x v="0"/>
    <x v="0"/>
    <x v="0"/>
    <x v="0"/>
    <n v="1"/>
    <n v="1"/>
    <n v="275"/>
    <n v="34.04"/>
    <n v="30"/>
    <n v="339.04"/>
    <x v="0"/>
    <x v="1"/>
    <s v="NAP"/>
    <s v="SSH"/>
    <x v="0"/>
    <x v="0"/>
    <x v="2"/>
  </r>
  <r>
    <x v="3"/>
    <x v="3"/>
    <x v="0"/>
    <m/>
    <m/>
    <x v="0"/>
    <x v="0"/>
    <x v="0"/>
    <x v="0"/>
    <x v="0"/>
    <n v="60"/>
    <n v="60"/>
    <n v="260"/>
    <n v="0"/>
    <n v="0"/>
    <n v="15600"/>
    <x v="0"/>
    <x v="0"/>
    <s v="NAP"/>
    <s v="SSH"/>
    <x v="0"/>
    <x v="0"/>
    <x v="3"/>
  </r>
  <r>
    <x v="3"/>
    <x v="2"/>
    <x v="1"/>
    <m/>
    <m/>
    <x v="0"/>
    <x v="0"/>
    <x v="0"/>
    <x v="0"/>
    <x v="0"/>
    <n v="1"/>
    <n v="1"/>
    <n v="275"/>
    <n v="34.04"/>
    <n v="30"/>
    <n v="339.04"/>
    <x v="0"/>
    <x v="1"/>
    <s v="NAP"/>
    <s v="SSH"/>
    <x v="0"/>
    <x v="0"/>
    <x v="3"/>
  </r>
  <r>
    <x v="3"/>
    <x v="2"/>
    <x v="1"/>
    <m/>
    <m/>
    <x v="0"/>
    <x v="0"/>
    <x v="0"/>
    <x v="0"/>
    <x v="0"/>
    <n v="1"/>
    <n v="1"/>
    <n v="275"/>
    <n v="34.04"/>
    <n v="30"/>
    <n v="339.04"/>
    <x v="0"/>
    <x v="1"/>
    <s v="NAP"/>
    <s v="SSH"/>
    <x v="0"/>
    <x v="0"/>
    <x v="3"/>
  </r>
  <r>
    <x v="3"/>
    <x v="2"/>
    <x v="1"/>
    <m/>
    <m/>
    <x v="0"/>
    <x v="0"/>
    <x v="0"/>
    <x v="0"/>
    <x v="0"/>
    <n v="1"/>
    <n v="1"/>
    <n v="206.25"/>
    <n v="34.04"/>
    <n v="30"/>
    <n v="270.28999999999996"/>
    <x v="0"/>
    <x v="1"/>
    <s v="NAP"/>
    <s v="SSH"/>
    <x v="0"/>
    <x v="0"/>
    <x v="3"/>
  </r>
  <r>
    <x v="3"/>
    <x v="2"/>
    <x v="1"/>
    <m/>
    <m/>
    <x v="0"/>
    <x v="0"/>
    <x v="0"/>
    <x v="0"/>
    <x v="0"/>
    <n v="1"/>
    <n v="1"/>
    <n v="206.25"/>
    <n v="34.04"/>
    <n v="30"/>
    <n v="270.28999999999996"/>
    <x v="0"/>
    <x v="1"/>
    <s v="NAP"/>
    <s v="SSH"/>
    <x v="0"/>
    <x v="0"/>
    <x v="3"/>
  </r>
  <r>
    <x v="4"/>
    <x v="2"/>
    <x v="1"/>
    <m/>
    <m/>
    <x v="1"/>
    <x v="0"/>
    <x v="0"/>
    <x v="0"/>
    <x v="0"/>
    <n v="1"/>
    <n v="1"/>
    <n v="230"/>
    <n v="34.04"/>
    <n v="30"/>
    <n v="294.04000000000002"/>
    <x v="0"/>
    <x v="1"/>
    <s v="NAP"/>
    <s v="SSH"/>
    <x v="0"/>
    <x v="0"/>
    <x v="4"/>
  </r>
  <r>
    <x v="4"/>
    <x v="2"/>
    <x v="1"/>
    <m/>
    <m/>
    <x v="1"/>
    <x v="0"/>
    <x v="0"/>
    <x v="0"/>
    <x v="0"/>
    <n v="1"/>
    <n v="1"/>
    <n v="230"/>
    <n v="34.04"/>
    <n v="30"/>
    <n v="294.04000000000002"/>
    <x v="0"/>
    <x v="1"/>
    <s v="NAP"/>
    <s v="SSH"/>
    <x v="0"/>
    <x v="0"/>
    <x v="4"/>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5"/>
    <x v="2"/>
    <x v="1"/>
    <m/>
    <m/>
    <x v="1"/>
    <x v="0"/>
    <x v="0"/>
    <x v="0"/>
    <x v="0"/>
    <n v="1"/>
    <n v="1"/>
    <n v="280"/>
    <n v="34.04"/>
    <n v="30"/>
    <n v="344.04"/>
    <x v="0"/>
    <x v="1"/>
    <s v="NAP"/>
    <s v="SSH"/>
    <x v="0"/>
    <x v="0"/>
    <x v="5"/>
  </r>
  <r>
    <x v="6"/>
    <x v="1"/>
    <x v="1"/>
    <m/>
    <m/>
    <x v="1"/>
    <x v="0"/>
    <x v="1"/>
    <x v="0"/>
    <x v="1"/>
    <n v="4"/>
    <n v="4"/>
    <n v="150"/>
    <n v="0"/>
    <n v="0"/>
    <n v="600"/>
    <x v="0"/>
    <x v="1"/>
    <s v="NAP"/>
    <s v="SSH"/>
    <x v="0"/>
    <x v="1"/>
    <x v="6"/>
  </r>
  <r>
    <x v="6"/>
    <x v="2"/>
    <x v="1"/>
    <m/>
    <m/>
    <x v="0"/>
    <x v="0"/>
    <x v="2"/>
    <x v="0"/>
    <x v="2"/>
    <n v="1"/>
    <n v="1"/>
    <n v="75"/>
    <n v="34.04"/>
    <n v="30"/>
    <n v="139.04"/>
    <x v="0"/>
    <x v="1"/>
    <s v="NAP"/>
    <s v="SSH"/>
    <x v="0"/>
    <x v="1"/>
    <x v="7"/>
  </r>
  <r>
    <x v="6"/>
    <x v="2"/>
    <x v="1"/>
    <m/>
    <m/>
    <x v="0"/>
    <x v="1"/>
    <x v="3"/>
    <x v="1"/>
    <x v="1"/>
    <n v="1"/>
    <n v="1"/>
    <n v="75"/>
    <n v="38.92"/>
    <n v="30"/>
    <n v="143.92000000000002"/>
    <x v="0"/>
    <x v="1"/>
    <s v="SSH"/>
    <s v="NAP"/>
    <x v="0"/>
    <x v="1"/>
    <x v="6"/>
  </r>
  <r>
    <x v="6"/>
    <x v="2"/>
    <x v="1"/>
    <m/>
    <m/>
    <x v="0"/>
    <x v="0"/>
    <x v="2"/>
    <x v="0"/>
    <x v="2"/>
    <n v="1"/>
    <n v="1"/>
    <n v="100"/>
    <n v="34.04"/>
    <n v="30"/>
    <n v="164.04"/>
    <x v="0"/>
    <x v="1"/>
    <s v="NAP"/>
    <s v="SSH"/>
    <x v="0"/>
    <x v="1"/>
    <x v="7"/>
  </r>
  <r>
    <x v="6"/>
    <x v="2"/>
    <x v="1"/>
    <m/>
    <m/>
    <x v="0"/>
    <x v="1"/>
    <x v="3"/>
    <x v="1"/>
    <x v="1"/>
    <n v="1"/>
    <n v="1"/>
    <n v="100"/>
    <n v="38.92"/>
    <n v="30"/>
    <n v="168.92000000000002"/>
    <x v="0"/>
    <x v="1"/>
    <s v="SSH"/>
    <s v="NAP"/>
    <x v="0"/>
    <x v="1"/>
    <x v="6"/>
  </r>
  <r>
    <x v="6"/>
    <x v="2"/>
    <x v="1"/>
    <m/>
    <m/>
    <x v="0"/>
    <x v="0"/>
    <x v="2"/>
    <x v="0"/>
    <x v="2"/>
    <n v="1"/>
    <n v="1"/>
    <n v="100"/>
    <n v="34.04"/>
    <n v="30"/>
    <n v="164.04"/>
    <x v="0"/>
    <x v="1"/>
    <s v="NAP"/>
    <s v="SSH"/>
    <x v="0"/>
    <x v="1"/>
    <x v="7"/>
  </r>
  <r>
    <x v="6"/>
    <x v="2"/>
    <x v="1"/>
    <m/>
    <m/>
    <x v="0"/>
    <x v="1"/>
    <x v="3"/>
    <x v="1"/>
    <x v="1"/>
    <n v="1"/>
    <n v="1"/>
    <n v="100"/>
    <n v="38.92"/>
    <n v="30"/>
    <n v="168.92000000000002"/>
    <x v="0"/>
    <x v="1"/>
    <s v="SSH"/>
    <s v="NAP"/>
    <x v="0"/>
    <x v="1"/>
    <x v="6"/>
  </r>
  <r>
    <x v="7"/>
    <x v="2"/>
    <x v="1"/>
    <s v="Email"/>
    <m/>
    <x v="1"/>
    <x v="0"/>
    <x v="2"/>
    <x v="0"/>
    <x v="2"/>
    <n v="1"/>
    <n v="1"/>
    <n v="100"/>
    <n v="34.04"/>
    <n v="30"/>
    <n v="164.04"/>
    <x v="0"/>
    <x v="1"/>
    <s v="NAP"/>
    <s v="SSH"/>
    <x v="0"/>
    <x v="1"/>
    <x v="8"/>
  </r>
  <r>
    <x v="8"/>
    <x v="1"/>
    <x v="1"/>
    <m/>
    <m/>
    <x v="1"/>
    <x v="0"/>
    <x v="1"/>
    <x v="0"/>
    <x v="1"/>
    <n v="1"/>
    <n v="1"/>
    <n v="150"/>
    <n v="0"/>
    <n v="0"/>
    <n v="150"/>
    <x v="0"/>
    <x v="1"/>
    <s v="NAP"/>
    <s v="SSH"/>
    <x v="0"/>
    <x v="1"/>
    <x v="9"/>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9"/>
    <x v="2"/>
    <x v="1"/>
    <s v="Email"/>
    <m/>
    <x v="0"/>
    <x v="0"/>
    <x v="2"/>
    <x v="0"/>
    <x v="2"/>
    <n v="1"/>
    <n v="1"/>
    <n v="100"/>
    <n v="34.04"/>
    <n v="30"/>
    <n v="164.04"/>
    <x v="0"/>
    <x v="1"/>
    <s v="NAP"/>
    <s v="SSH"/>
    <x v="0"/>
    <x v="1"/>
    <x v="9"/>
  </r>
  <r>
    <x v="9"/>
    <x v="2"/>
    <x v="1"/>
    <s v="Email"/>
    <m/>
    <x v="0"/>
    <x v="1"/>
    <x v="3"/>
    <x v="1"/>
    <x v="1"/>
    <n v="1"/>
    <n v="1"/>
    <n v="100"/>
    <n v="38.92"/>
    <n v="30"/>
    <n v="168.92000000000002"/>
    <x v="0"/>
    <x v="1"/>
    <s v="SSH"/>
    <s v="NAP"/>
    <x v="0"/>
    <x v="1"/>
    <x v="10"/>
  </r>
  <r>
    <x v="10"/>
    <x v="1"/>
    <x v="1"/>
    <m/>
    <m/>
    <x v="1"/>
    <x v="0"/>
    <x v="1"/>
    <x v="0"/>
    <x v="1"/>
    <n v="3"/>
    <n v="3"/>
    <n v="150"/>
    <n v="0"/>
    <n v="0"/>
    <n v="450"/>
    <x v="0"/>
    <x v="1"/>
    <s v="NAP"/>
    <s v="SSH"/>
    <x v="0"/>
    <x v="1"/>
    <x v="8"/>
  </r>
  <r>
    <x v="11"/>
    <x v="4"/>
    <x v="1"/>
    <m/>
    <m/>
    <x v="0"/>
    <x v="0"/>
    <x v="1"/>
    <x v="0"/>
    <x v="1"/>
    <n v="1"/>
    <n v="1"/>
    <n v="100"/>
    <n v="24.82"/>
    <n v="30"/>
    <n v="154.82"/>
    <x v="0"/>
    <x v="1"/>
    <s v="NAP"/>
    <s v="SSH"/>
    <x v="0"/>
    <x v="1"/>
    <x v="11"/>
  </r>
  <r>
    <x v="11"/>
    <x v="4"/>
    <x v="1"/>
    <m/>
    <m/>
    <x v="0"/>
    <x v="0"/>
    <x v="1"/>
    <x v="0"/>
    <x v="1"/>
    <n v="1"/>
    <n v="1"/>
    <n v="100"/>
    <n v="24.82"/>
    <n v="30"/>
    <n v="154.82"/>
    <x v="0"/>
    <x v="1"/>
    <s v="NAP"/>
    <s v="SSH"/>
    <x v="0"/>
    <x v="1"/>
    <x v="11"/>
  </r>
  <r>
    <x v="11"/>
    <x v="4"/>
    <x v="1"/>
    <m/>
    <m/>
    <x v="0"/>
    <x v="0"/>
    <x v="1"/>
    <x v="0"/>
    <x v="1"/>
    <n v="1"/>
    <n v="1"/>
    <n v="75"/>
    <n v="20.23"/>
    <n v="30"/>
    <n v="125.23"/>
    <x v="0"/>
    <x v="1"/>
    <s v="NAP"/>
    <s v="SSH"/>
    <x v="0"/>
    <x v="1"/>
    <x v="11"/>
  </r>
  <r>
    <x v="12"/>
    <x v="4"/>
    <x v="1"/>
    <m/>
    <m/>
    <x v="0"/>
    <x v="0"/>
    <x v="1"/>
    <x v="0"/>
    <x v="1"/>
    <n v="1"/>
    <n v="1"/>
    <n v="100"/>
    <n v="24.82"/>
    <n v="30"/>
    <n v="154.82"/>
    <x v="0"/>
    <x v="1"/>
    <s v="NAP"/>
    <s v="SSH"/>
    <x v="0"/>
    <x v="1"/>
    <x v="7"/>
  </r>
  <r>
    <x v="10"/>
    <x v="2"/>
    <x v="1"/>
    <s v="Email"/>
    <m/>
    <x v="1"/>
    <x v="0"/>
    <x v="1"/>
    <x v="0"/>
    <x v="1"/>
    <n v="1"/>
    <n v="1"/>
    <n v="100"/>
    <n v="34.04"/>
    <n v="30"/>
    <n v="164.04"/>
    <x v="0"/>
    <x v="1"/>
    <s v="NAP"/>
    <s v="SSH"/>
    <x v="0"/>
    <x v="1"/>
    <x v="8"/>
  </r>
  <r>
    <x v="10"/>
    <x v="2"/>
    <x v="1"/>
    <s v="Email"/>
    <m/>
    <x v="1"/>
    <x v="0"/>
    <x v="1"/>
    <x v="0"/>
    <x v="1"/>
    <n v="1"/>
    <n v="1"/>
    <n v="100"/>
    <n v="34.04"/>
    <n v="30"/>
    <n v="164.04"/>
    <x v="0"/>
    <x v="1"/>
    <s v="NAP"/>
    <s v="SSH"/>
    <x v="0"/>
    <x v="1"/>
    <x v="8"/>
  </r>
  <r>
    <x v="13"/>
    <x v="0"/>
    <x v="0"/>
    <m/>
    <m/>
    <x v="0"/>
    <x v="0"/>
    <x v="4"/>
    <x v="0"/>
    <x v="0"/>
    <n v="15"/>
    <n v="15"/>
    <n v="290"/>
    <n v="0"/>
    <n v="0"/>
    <n v="4350"/>
    <x v="0"/>
    <x v="0"/>
    <s v="NAP"/>
    <s v="SSH"/>
    <x v="0"/>
    <x v="0"/>
    <x v="8"/>
  </r>
  <r>
    <x v="14"/>
    <x v="2"/>
    <x v="1"/>
    <s v="Email"/>
    <m/>
    <x v="1"/>
    <x v="0"/>
    <x v="1"/>
    <x v="0"/>
    <x v="1"/>
    <n v="1"/>
    <n v="1"/>
    <n v="100"/>
    <n v="34.04"/>
    <n v="30"/>
    <n v="164.04"/>
    <x v="0"/>
    <x v="1"/>
    <s v="NAP"/>
    <s v="SSH"/>
    <x v="0"/>
    <x v="1"/>
    <x v="12"/>
  </r>
  <r>
    <x v="14"/>
    <x v="2"/>
    <x v="1"/>
    <s v="Email"/>
    <m/>
    <x v="1"/>
    <x v="0"/>
    <x v="1"/>
    <x v="0"/>
    <x v="1"/>
    <n v="1"/>
    <n v="1"/>
    <n v="75"/>
    <n v="34.04"/>
    <n v="30"/>
    <n v="139.04"/>
    <x v="0"/>
    <x v="1"/>
    <s v="NAP"/>
    <s v="SSH"/>
    <x v="0"/>
    <x v="1"/>
    <x v="12"/>
  </r>
  <r>
    <x v="14"/>
    <x v="2"/>
    <x v="1"/>
    <s v="Email"/>
    <m/>
    <x v="1"/>
    <x v="0"/>
    <x v="1"/>
    <x v="0"/>
    <x v="1"/>
    <n v="1"/>
    <n v="1"/>
    <n v="75"/>
    <n v="34.04"/>
    <n v="30"/>
    <n v="139.04"/>
    <x v="0"/>
    <x v="1"/>
    <s v="NAP"/>
    <s v="SSH"/>
    <x v="0"/>
    <x v="1"/>
    <x v="12"/>
  </r>
  <r>
    <x v="14"/>
    <x v="2"/>
    <x v="1"/>
    <s v="Email"/>
    <m/>
    <x v="1"/>
    <x v="0"/>
    <x v="1"/>
    <x v="0"/>
    <x v="1"/>
    <n v="1"/>
    <n v="1"/>
    <n v="100"/>
    <n v="34.04"/>
    <n v="30"/>
    <n v="164.04"/>
    <x v="0"/>
    <x v="1"/>
    <s v="NAP"/>
    <s v="SSH"/>
    <x v="0"/>
    <x v="1"/>
    <x v="12"/>
  </r>
  <r>
    <x v="15"/>
    <x v="3"/>
    <x v="0"/>
    <m/>
    <m/>
    <x v="0"/>
    <x v="0"/>
    <x v="0"/>
    <x v="0"/>
    <x v="0"/>
    <n v="1"/>
    <n v="1"/>
    <n v="285"/>
    <n v="0"/>
    <n v="0"/>
    <n v="285"/>
    <x v="0"/>
    <x v="2"/>
    <s v="NAP"/>
    <s v="SSH"/>
    <x v="0"/>
    <x v="0"/>
    <x v="13"/>
  </r>
  <r>
    <x v="15"/>
    <x v="3"/>
    <x v="0"/>
    <m/>
    <m/>
    <x v="0"/>
    <x v="0"/>
    <x v="4"/>
    <x v="0"/>
    <x v="0"/>
    <n v="40"/>
    <n v="40"/>
    <n v="285"/>
    <n v="0"/>
    <n v="0"/>
    <n v="11400"/>
    <x v="0"/>
    <x v="2"/>
    <s v="NAP"/>
    <s v="SSH"/>
    <x v="0"/>
    <x v="0"/>
    <x v="13"/>
  </r>
  <r>
    <x v="16"/>
    <x v="1"/>
    <x v="1"/>
    <m/>
    <m/>
    <x v="1"/>
    <x v="0"/>
    <x v="1"/>
    <x v="0"/>
    <x v="1"/>
    <n v="4"/>
    <n v="4"/>
    <n v="140"/>
    <n v="0"/>
    <n v="0"/>
    <n v="560"/>
    <x v="0"/>
    <x v="1"/>
    <s v="NAP"/>
    <s v="SSH"/>
    <x v="0"/>
    <x v="1"/>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n v="7"/>
    <x v="0"/>
    <s v="SSH"/>
    <s v="NAP"/>
    <d v="1899-12-30T00:00:00"/>
    <d v="1899-12-30T00:00:00"/>
    <d v="1899-12-30T00:00:00"/>
    <d v="1899-12-30T00:00:00"/>
    <n v="3"/>
    <n v="39700"/>
    <n v="0"/>
    <n v="39700"/>
    <n v="3"/>
    <n v="39700"/>
    <n v="19850"/>
    <s v="A320"/>
    <n v="30"/>
    <n v="30"/>
    <s v="E25"/>
    <s v="03A"/>
    <n v="2"/>
    <x v="0"/>
    <x v="0"/>
    <s v="NAP"/>
    <x v="0"/>
    <x v="0"/>
    <x v="0"/>
    <s v="SM"/>
    <s v="819"/>
    <n v="0"/>
    <n v="0"/>
    <n v="0"/>
    <n v="30"/>
    <n v="0"/>
    <n v="30"/>
    <m/>
    <n v="30"/>
    <m/>
    <n v="0"/>
  </r>
  <r>
    <n v="7"/>
    <x v="1"/>
    <s v="SSH"/>
    <s v="NAP"/>
    <d v="1899-12-30T00:00:00"/>
    <d v="1899-12-30T00:00:00"/>
    <d v="1899-12-30T00:00:00"/>
    <d v="1899-12-30T00:00:00"/>
    <n v="3"/>
    <n v="39700"/>
    <n v="0"/>
    <n v="39700"/>
    <n v="3"/>
    <n v="39700"/>
    <n v="19850"/>
    <s v="A320"/>
    <n v="85"/>
    <n v="85"/>
    <s v="E25"/>
    <s v="03A"/>
    <n v="3"/>
    <x v="0"/>
    <x v="1"/>
    <s v="NAP"/>
    <x v="0"/>
    <x v="0"/>
    <x v="0"/>
    <s v="SM"/>
    <s v="819"/>
    <n v="0"/>
    <n v="0"/>
    <n v="7"/>
    <n v="78"/>
    <n v="7"/>
    <n v="78"/>
    <m/>
    <n v="78"/>
    <m/>
    <n v="1157.4400000000003"/>
  </r>
  <r>
    <n v="7"/>
    <x v="2"/>
    <s v="SSH"/>
    <s v="NAP"/>
    <d v="1899-12-30T00:00:00"/>
    <d v="1899-12-30T00:00:00"/>
    <d v="1899-12-30T00:00:00"/>
    <d v="1899-12-30T00:00:00"/>
    <n v="4"/>
    <n v="45000"/>
    <n v="0"/>
    <n v="45000"/>
    <n v="4"/>
    <n v="45000"/>
    <n v="22500"/>
    <s v="B738"/>
    <n v="186"/>
    <n v="186"/>
    <s v="E25"/>
    <s v="03B"/>
    <n v="4"/>
    <x v="1"/>
    <x v="2"/>
    <s v="NAP"/>
    <x v="0"/>
    <x v="0"/>
    <x v="1"/>
    <s v="4S"/>
    <s v="6031"/>
    <n v="0"/>
    <n v="0"/>
    <n v="0"/>
    <n v="186"/>
    <n v="0"/>
    <n v="186"/>
    <m/>
    <n v="186"/>
    <m/>
    <n v="0"/>
  </r>
  <r>
    <n v="7"/>
    <x v="3"/>
    <s v="SSH"/>
    <s v="NAP"/>
    <d v="1899-12-30T00:00:00"/>
    <d v="1899-12-30T00:00:00"/>
    <d v="1899-12-30T00:00:00"/>
    <d v="1899-12-30T00:00:00"/>
    <n v="4"/>
    <n v="45000"/>
    <n v="0"/>
    <n v="45000"/>
    <n v="4"/>
    <n v="45000"/>
    <n v="22500"/>
    <s v="B738"/>
    <n v="186"/>
    <n v="186"/>
    <s v="E25"/>
    <s v="03B"/>
    <n v="5"/>
    <x v="1"/>
    <x v="3"/>
    <s v="NAP"/>
    <x v="0"/>
    <x v="0"/>
    <x v="1"/>
    <s v="4S"/>
    <s v="6031"/>
    <n v="0"/>
    <n v="0"/>
    <n v="0"/>
    <n v="186"/>
    <n v="0"/>
    <n v="186"/>
    <m/>
    <n v="186"/>
    <m/>
    <n v="0"/>
  </r>
  <r>
    <n v="7"/>
    <x v="4"/>
    <s v="SSH"/>
    <s v="NAP"/>
    <d v="1899-12-30T00:00:00"/>
    <d v="1899-12-30T00:00:00"/>
    <d v="1899-12-30T00:00:00"/>
    <d v="1899-12-30T00:00:00"/>
    <n v="4"/>
    <n v="45000"/>
    <n v="0"/>
    <n v="45000"/>
    <n v="4"/>
    <n v="45000"/>
    <n v="22500"/>
    <s v="B738"/>
    <n v="186"/>
    <n v="186"/>
    <s v="E25"/>
    <s v="03B"/>
    <n v="6"/>
    <x v="1"/>
    <x v="4"/>
    <s v="NAP"/>
    <x v="0"/>
    <x v="0"/>
    <x v="1"/>
    <s v="4S"/>
    <s v="6031"/>
    <n v="0"/>
    <n v="0"/>
    <n v="0"/>
    <n v="186"/>
    <n v="0"/>
    <n v="186"/>
    <m/>
    <n v="186"/>
    <m/>
    <n v="0"/>
  </r>
  <r>
    <n v="7"/>
    <x v="5"/>
    <s v="NAP"/>
    <s v="SSH"/>
    <d v="1899-12-30T00:00:00"/>
    <d v="1899-12-30T00:00:00"/>
    <d v="1899-12-30T00:00:00"/>
    <d v="1899-12-30T00:00:00"/>
    <n v="3"/>
    <n v="39700"/>
    <n v="0"/>
    <n v="39700"/>
    <n v="3"/>
    <n v="39700"/>
    <n v="19850"/>
    <s v="A320"/>
    <n v="30"/>
    <n v="30"/>
    <s v="E25"/>
    <s v="03A"/>
    <n v="1"/>
    <x v="0"/>
    <x v="5"/>
    <s v="NAP"/>
    <x v="1"/>
    <x v="1"/>
    <x v="2"/>
    <s v="SM"/>
    <s v="820"/>
    <n v="0"/>
    <n v="0"/>
    <n v="0"/>
    <n v="30"/>
    <n v="0"/>
    <n v="30"/>
    <m/>
    <n v="30"/>
    <m/>
    <n v="0"/>
  </r>
  <r>
    <n v="7"/>
    <x v="0"/>
    <s v="NAP"/>
    <s v="SSH"/>
    <d v="1899-12-30T00:00:00"/>
    <d v="1899-12-30T00:00:00"/>
    <d v="1899-12-30T00:00:00"/>
    <d v="1899-12-30T00:00:00"/>
    <n v="3"/>
    <n v="39700"/>
    <n v="0"/>
    <n v="39700"/>
    <n v="3"/>
    <n v="39700"/>
    <n v="19850"/>
    <s v="A320"/>
    <n v="85"/>
    <n v="85"/>
    <s v="E25"/>
    <s v="03A"/>
    <n v="2"/>
    <x v="0"/>
    <x v="0"/>
    <s v="NAP"/>
    <x v="1"/>
    <x v="1"/>
    <x v="2"/>
    <s v="SM"/>
    <s v="820"/>
    <n v="0"/>
    <n v="0"/>
    <n v="8"/>
    <n v="77"/>
    <n v="8"/>
    <n v="77"/>
    <m/>
    <n v="77"/>
    <m/>
    <n v="1287.32"/>
  </r>
  <r>
    <n v="7"/>
    <x v="1"/>
    <s v="NAP"/>
    <s v="SSH"/>
    <d v="1899-12-30T00:00:00"/>
    <d v="1899-12-30T00:00:00"/>
    <d v="1899-12-30T00:00:00"/>
    <d v="1899-12-30T00:00:00"/>
    <n v="4"/>
    <n v="45000"/>
    <n v="0"/>
    <n v="45000"/>
    <n v="4"/>
    <n v="45000"/>
    <n v="22500"/>
    <s v="B738"/>
    <n v="186"/>
    <n v="186"/>
    <s v="E25"/>
    <s v="03B"/>
    <n v="3"/>
    <x v="1"/>
    <x v="6"/>
    <s v="NAP"/>
    <x v="1"/>
    <x v="1"/>
    <x v="3"/>
    <s v="4S"/>
    <s v="6032"/>
    <n v="0"/>
    <n v="0"/>
    <n v="22"/>
    <n v="164"/>
    <n v="22"/>
    <n v="164"/>
    <m/>
    <n v="164"/>
    <m/>
    <n v="3283.93"/>
  </r>
  <r>
    <n v="5"/>
    <x v="6"/>
    <s v="NAP"/>
    <s v="SSH"/>
    <d v="1899-12-30T00:00:00"/>
    <d v="1899-12-30T00:00:00"/>
    <d v="1899-12-30T00:00:00"/>
    <d v="1899-12-30T00:00:00"/>
    <n v="3"/>
    <n v="46700"/>
    <n v="0"/>
    <n v="46700"/>
    <n v="3"/>
    <n v="46700"/>
    <n v="23350"/>
    <s v="B738"/>
    <n v="186"/>
    <n v="186"/>
    <s v="E25"/>
    <s v="08"/>
    <n v="3"/>
    <x v="2"/>
    <x v="7"/>
    <s v="NAP"/>
    <x v="1"/>
    <x v="1"/>
    <x v="4"/>
    <s v="4S"/>
    <s v="6018"/>
    <n v="0"/>
    <n v="0"/>
    <n v="88"/>
    <n v="98"/>
    <n v="88"/>
    <n v="98"/>
    <m/>
    <n v="98"/>
    <m/>
    <n v="24004.350000000009"/>
  </r>
  <r>
    <n v="5"/>
    <x v="6"/>
    <s v="NAP"/>
    <s v="SSH"/>
    <d v="1899-12-30T00:00:00"/>
    <d v="1899-12-30T00:00:00"/>
    <d v="1899-12-30T00:00:00"/>
    <d v="1899-12-30T00:00:00"/>
    <n v="3"/>
    <n v="0"/>
    <n v="0"/>
    <n v="0"/>
    <n v="3"/>
    <n v="0"/>
    <n v="0"/>
    <s v="A320"/>
    <n v="95"/>
    <n v="95"/>
    <s v="E25"/>
    <s v="09B"/>
    <n v="1"/>
    <x v="3"/>
    <x v="8"/>
    <s v="NAP"/>
    <x v="1"/>
    <x v="1"/>
    <x v="5"/>
    <s v="SE"/>
    <s v="5447"/>
    <n v="0"/>
    <n v="0"/>
    <n v="55"/>
    <n v="40"/>
    <n v="55"/>
    <n v="40"/>
    <m/>
    <n v="40"/>
    <m/>
    <n v="15750"/>
  </r>
  <r>
    <n v="1"/>
    <x v="7"/>
    <s v="NAP"/>
    <s v="SSH"/>
    <d v="1899-12-30T00:00:00"/>
    <d v="1899-12-30T00:00:00"/>
    <d v="1899-12-30T00:00:00"/>
    <d v="1899-12-30T00:00:00"/>
    <n v="3"/>
    <n v="0"/>
    <n v="0"/>
    <n v="0"/>
    <n v="3"/>
    <n v="0"/>
    <n v="0"/>
    <s v="A320"/>
    <n v="174"/>
    <n v="174"/>
    <s v="S25"/>
    <n v="14"/>
    <n v="2"/>
    <x v="4"/>
    <x v="9"/>
    <s v="NAP"/>
    <x v="1"/>
    <x v="1"/>
    <x v="6"/>
    <s v="UJ"/>
    <s v="3902"/>
    <n v="0"/>
    <n v="0"/>
    <n v="0"/>
    <n v="174"/>
    <n v="0"/>
    <n v="174"/>
    <m/>
    <n v="174"/>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FB97C5-1D70-4374-B0B4-4F77D1921260}" name="PivotTable96"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5:Y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4"/>
    <dataField name="Seats_Booked " fld="33" baseField="1" baseItem="8" numFmtId="3"/>
    <dataField name="Avl_Seats_by_Cap " fld="34" baseField="0" baseItem="0"/>
    <dataField name="Bookload " fld="44" baseField="22" baseItem="2" numFmtId="9"/>
    <dataField name="NET_REVENUE " fld="38" baseField="22" baseItem="0" numFmtId="164"/>
    <dataField name="Total Taxes " fld="30" baseField="0" baseItem="0" numFmtId="3"/>
  </dataFields>
  <formats count="5">
    <format dxfId="277">
      <pivotArea dataOnly="0" labelOnly="1" outline="0" fieldPosition="0">
        <references count="1">
          <reference field="4294967294" count="3">
            <x v="1"/>
            <x v="2"/>
            <x v="4"/>
          </reference>
        </references>
      </pivotArea>
    </format>
    <format dxfId="276">
      <pivotArea outline="0" fieldPosition="0">
        <references count="1">
          <reference field="4294967294" count="2" selected="0">
            <x v="1"/>
            <x v="2"/>
          </reference>
        </references>
      </pivotArea>
    </format>
    <format dxfId="275">
      <pivotArea dataOnly="0" labelOnly="1" outline="0" fieldPosition="0">
        <references count="1">
          <reference field="4294967294" count="2">
            <x v="1"/>
            <x v="2"/>
          </reference>
        </references>
      </pivotArea>
    </format>
    <format dxfId="274">
      <pivotArea outline="0" fieldPosition="0">
        <references count="1">
          <reference field="4294967294" count="1">
            <x v="4"/>
          </reference>
        </references>
      </pivotArea>
    </format>
    <format dxfId="273">
      <pivotArea outline="0" fieldPosition="0">
        <references count="1">
          <reference field="4294967294" count="1">
            <x v="3"/>
          </reference>
        </references>
      </pivotArea>
    </format>
  </formats>
  <conditionalFormats count="1">
    <conditionalFormat priority="18">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748EB0-0BED-40B4-B8F1-63949E211F8B}" name="PivotTable18"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55:Y5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29"/>
    <dataField name="Seats_Booked " fld="33" baseField="1" baseItem="8" numFmtId="3"/>
    <dataField name="Avl_Seats_by_Cap " fld="34" baseField="0" baseItem="0"/>
    <dataField name="Bookload " fld="44" baseField="22" baseItem="37" numFmtId="9"/>
    <dataField name="NET_REVENUE " fld="38" baseField="22" baseItem="9" numFmtId="167"/>
    <dataField name="Sum of Total Taxes" fld="30" baseField="0" baseItem="0" numFmtId="3"/>
  </dataFields>
  <formats count="6">
    <format dxfId="283">
      <pivotArea dataOnly="0" labelOnly="1" outline="0" fieldPosition="0">
        <references count="1">
          <reference field="4294967294" count="3">
            <x v="1"/>
            <x v="2"/>
            <x v="4"/>
          </reference>
        </references>
      </pivotArea>
    </format>
    <format dxfId="282">
      <pivotArea outline="0" fieldPosition="0">
        <references count="1">
          <reference field="4294967294" count="2" selected="0">
            <x v="1"/>
            <x v="2"/>
          </reference>
        </references>
      </pivotArea>
    </format>
    <format dxfId="281">
      <pivotArea dataOnly="0" labelOnly="1" outline="0" fieldPosition="0">
        <references count="1">
          <reference field="4294967294" count="2">
            <x v="1"/>
            <x v="2"/>
          </reference>
        </references>
      </pivotArea>
    </format>
    <format dxfId="280">
      <pivotArea outline="0" fieldPosition="0">
        <references count="1">
          <reference field="4294967294" count="1" selected="0">
            <x v="3"/>
          </reference>
        </references>
      </pivotArea>
    </format>
    <format dxfId="279">
      <pivotArea field="1" type="button" dataOnly="0" labelOnly="1" outline="0" axis="axisRow" fieldPosition="3"/>
    </format>
    <format dxfId="278">
      <pivotArea field="22" type="button" dataOnly="0" labelOnly="1" outline="0" axis="axisRow" fieldPosition="4"/>
    </format>
  </formats>
  <conditionalFormats count="1">
    <conditionalFormat priority="16">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6748BE-3E03-4F5D-97DA-BAD8EAB5824E}" name="PivotTable1"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5:K4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6"/>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288">
      <pivotArea dataOnly="0" labelOnly="1" outline="0" fieldPosition="0">
        <references count="1">
          <reference field="4294967294" count="3">
            <x v="1"/>
            <x v="2"/>
            <x v="4"/>
          </reference>
        </references>
      </pivotArea>
    </format>
    <format dxfId="287">
      <pivotArea outline="0" fieldPosition="0">
        <references count="1">
          <reference field="4294967294" count="2" selected="0">
            <x v="1"/>
            <x v="2"/>
          </reference>
        </references>
      </pivotArea>
    </format>
    <format dxfId="286">
      <pivotArea dataOnly="0" labelOnly="1" outline="0" fieldPosition="0">
        <references count="1">
          <reference field="4294967294" count="2">
            <x v="1"/>
            <x v="2"/>
          </reference>
        </references>
      </pivotArea>
    </format>
    <format dxfId="285">
      <pivotArea outline="0" fieldPosition="0">
        <references count="1">
          <reference field="4294967294" count="1">
            <x v="4"/>
          </reference>
        </references>
      </pivotArea>
    </format>
    <format dxfId="284">
      <pivotArea outline="0" fieldPosition="0">
        <references count="1">
          <reference field="4294967294" count="1" selected="0">
            <x v="3"/>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5920CA-8260-4BE8-A121-3F259DF141BA}" name="PivotTable17"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5:K5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27"/>
    <dataField name="Seats_Booked " fld="33" baseField="1" baseItem="8" numFmtId="3"/>
    <dataField name="Avl_Seats_by_Cap " fld="34" baseField="0" baseItem="0"/>
    <dataField name="Bookload " fld="44" baseField="22" baseItem="41" numFmtId="9"/>
    <dataField name="NET_REVENUE " fld="38" baseField="22" baseItem="37" numFmtId="164"/>
    <dataField name="Total Taxes " fld="30" baseField="0" baseItem="0" numFmtId="3"/>
  </dataFields>
  <formats count="5">
    <format dxfId="293">
      <pivotArea dataOnly="0" labelOnly="1" outline="0" fieldPosition="0">
        <references count="1">
          <reference field="4294967294" count="3">
            <x v="1"/>
            <x v="2"/>
            <x v="4"/>
          </reference>
        </references>
      </pivotArea>
    </format>
    <format dxfId="292">
      <pivotArea outline="0" fieldPosition="0">
        <references count="1">
          <reference field="4294967294" count="2" selected="0">
            <x v="1"/>
            <x v="2"/>
          </reference>
        </references>
      </pivotArea>
    </format>
    <format dxfId="291">
      <pivotArea dataOnly="0" labelOnly="1" outline="0" fieldPosition="0">
        <references count="1">
          <reference field="4294967294" count="2">
            <x v="1"/>
            <x v="2"/>
          </reference>
        </references>
      </pivotArea>
    </format>
    <format dxfId="290">
      <pivotArea outline="0" fieldPosition="0">
        <references count="1">
          <reference field="4294967294" count="1">
            <x v="4"/>
          </reference>
        </references>
      </pivotArea>
    </format>
    <format dxfId="289">
      <pivotArea outline="0" fieldPosition="0">
        <references count="1">
          <reference field="4294967294" count="1" selected="0">
            <x v="3"/>
          </reference>
        </references>
      </pivotArea>
    </format>
  </formats>
  <conditionalFormats count="1">
    <conditionalFormat priority="6">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EF3422-4E8C-4E4E-A129-6E5678988CF9}" name="PivotTable94"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K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
    <dataField name="Seats_Booked " fld="33" baseField="1" baseItem="8" numFmtId="3"/>
    <dataField name="Avl_Seats_by_Cap " fld="34" baseField="0" baseItem="0"/>
    <dataField name="Bookload " fld="44" baseField="22" baseItem="3" numFmtId="9"/>
    <dataField name="NET_REVENUE " fld="38" baseField="22" baseItem="0" numFmtId="164"/>
    <dataField name="Total Taxes " fld="30" baseField="0" baseItem="0" numFmtId="3"/>
  </dataFields>
  <formats count="5">
    <format dxfId="298">
      <pivotArea dataOnly="0" labelOnly="1" outline="0" fieldPosition="0">
        <references count="1">
          <reference field="4294967294" count="3">
            <x v="1"/>
            <x v="2"/>
            <x v="4"/>
          </reference>
        </references>
      </pivotArea>
    </format>
    <format dxfId="297">
      <pivotArea outline="0" fieldPosition="0">
        <references count="1">
          <reference field="4294967294" count="1">
            <x v="3"/>
          </reference>
        </references>
      </pivotArea>
    </format>
    <format dxfId="296">
      <pivotArea outline="0" fieldPosition="0">
        <references count="1">
          <reference field="4294967294" count="2" selected="0">
            <x v="1"/>
            <x v="2"/>
          </reference>
        </references>
      </pivotArea>
    </format>
    <format dxfId="295">
      <pivotArea dataOnly="0" labelOnly="1" outline="0" fieldPosition="0">
        <references count="1">
          <reference field="4294967294" count="2">
            <x v="1"/>
            <x v="2"/>
          </reference>
        </references>
      </pivotArea>
    </format>
    <format dxfId="294">
      <pivotArea outline="0" fieldPosition="0">
        <references count="1">
          <reference field="4294967294" count="1">
            <x v="4"/>
          </reference>
        </references>
      </pivotArea>
    </format>
  </formats>
  <conditionalFormats count="1">
    <conditionalFormat priority="19">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2012D3-99BA-4134-A061-6D66DC9FB77E}" name="PivotTable16"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5:K3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6"/>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303">
      <pivotArea dataOnly="0" labelOnly="1" outline="0" fieldPosition="0">
        <references count="1">
          <reference field="4294967294" count="3">
            <x v="1"/>
            <x v="2"/>
            <x v="4"/>
          </reference>
        </references>
      </pivotArea>
    </format>
    <format dxfId="302">
      <pivotArea outline="0" fieldPosition="0">
        <references count="1">
          <reference field="4294967294" count="2" selected="0">
            <x v="1"/>
            <x v="2"/>
          </reference>
        </references>
      </pivotArea>
    </format>
    <format dxfId="301">
      <pivotArea dataOnly="0" labelOnly="1" outline="0" fieldPosition="0">
        <references count="1">
          <reference field="4294967294" count="2">
            <x v="1"/>
            <x v="2"/>
          </reference>
        </references>
      </pivotArea>
    </format>
    <format dxfId="300">
      <pivotArea outline="0" fieldPosition="0">
        <references count="1">
          <reference field="4294967294" count="1">
            <x v="4"/>
          </reference>
        </references>
      </pivotArea>
    </format>
    <format dxfId="299">
      <pivotArea outline="0" fieldPosition="0">
        <references count="1">
          <reference field="4294967294" count="1" selected="0">
            <x v="3"/>
          </reference>
        </references>
      </pivotArea>
    </format>
  </formats>
  <conditionalFormats count="1">
    <conditionalFormat priority="7">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7692B4-756D-4A98-A271-33671BF37031}" name="PivotTable8"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98:K100"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h="1" x="9"/>
        <item h="1" x="0"/>
        <item h="1" x="1"/>
        <item h="1" x="2"/>
        <item h="1" x="3"/>
        <item h="1" x="4"/>
        <item h="1" x="5"/>
        <item h="1" x="6"/>
        <item h="1"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63"/>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308">
      <pivotArea dataOnly="0" labelOnly="1" outline="0" fieldPosition="0">
        <references count="1">
          <reference field="4294967294" count="3">
            <x v="1"/>
            <x v="2"/>
            <x v="4"/>
          </reference>
        </references>
      </pivotArea>
    </format>
    <format dxfId="307">
      <pivotArea outline="0" fieldPosition="0">
        <references count="1">
          <reference field="4294967294" count="2" selected="0">
            <x v="1"/>
            <x v="2"/>
          </reference>
        </references>
      </pivotArea>
    </format>
    <format dxfId="306">
      <pivotArea dataOnly="0" labelOnly="1" outline="0" fieldPosition="0">
        <references count="1">
          <reference field="4294967294" count="2">
            <x v="1"/>
            <x v="2"/>
          </reference>
        </references>
      </pivotArea>
    </format>
    <format dxfId="305">
      <pivotArea outline="0" fieldPosition="0">
        <references count="1">
          <reference field="4294967294" count="1">
            <x v="4"/>
          </reference>
        </references>
      </pivotArea>
    </format>
    <format dxfId="304">
      <pivotArea outline="0" fieldPosition="0">
        <references count="1">
          <reference field="4294967294" count="1" selected="0">
            <x v="3"/>
          </reference>
        </references>
      </pivotArea>
    </format>
  </formats>
  <conditionalFormats count="1">
    <conditionalFormat priority="2">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3AA867-03E4-43BB-A7C3-24EC4CA7090A}" name="PivotTable14"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25:Y2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4"/>
    <dataField name="Seats_Booked " fld="33" baseField="1" baseItem="8" numFmtId="3"/>
    <dataField name="Avl_Seats_by_Cap " fld="34" baseField="0" baseItem="0"/>
    <dataField name="Bookload " fld="44" baseField="0" baseItem="0" numFmtId="3"/>
    <dataField name="NET_REVENUE " fld="38" baseField="22" baseItem="15" numFmtId="164"/>
    <dataField name="Sum of Total Taxes" fld="30" baseField="0" baseItem="0" numFmtId="3"/>
  </dataFields>
  <formats count="4">
    <format dxfId="312">
      <pivotArea dataOnly="0" labelOnly="1" outline="0" fieldPosition="0">
        <references count="1">
          <reference field="4294967294" count="3">
            <x v="1"/>
            <x v="2"/>
            <x v="4"/>
          </reference>
        </references>
      </pivotArea>
    </format>
    <format dxfId="311">
      <pivotArea outline="0" fieldPosition="0">
        <references count="1">
          <reference field="4294967294" count="2" selected="0">
            <x v="1"/>
            <x v="2"/>
          </reference>
        </references>
      </pivotArea>
    </format>
    <format dxfId="310">
      <pivotArea dataOnly="0" labelOnly="1" outline="0" fieldPosition="0">
        <references count="1">
          <reference field="4294967294" count="2">
            <x v="1"/>
            <x v="2"/>
          </reference>
        </references>
      </pivotArea>
    </format>
    <format dxfId="309">
      <pivotArea outline="0" fieldPosition="0">
        <references count="1">
          <reference field="4294967294" count="1">
            <x v="4"/>
          </reference>
        </references>
      </pivotArea>
    </format>
  </formats>
  <conditionalFormats count="1">
    <conditionalFormat priority="12">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B5EE7D-2B95-4CA2-9B5B-F4CE49BED3D0}" name="PivotTable22"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110:Y111"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28"/>
    <dataField name="Seats_Booked " fld="33" baseField="1" baseItem="8" numFmtId="3"/>
    <dataField name="Avl_Seats_by_Cap " fld="34" baseField="0" baseItem="0"/>
    <dataField name="Bookload " fld="44" baseField="22" baseItem="144" numFmtId="9"/>
    <dataField name="NET_REVENUE " fld="38" baseField="22" baseItem="144" numFmtId="164"/>
    <dataField name="Total Taxes " fld="30" baseField="22" baseItem="144" numFmtId="3"/>
  </dataFields>
  <formats count="5">
    <format dxfId="317">
      <pivotArea dataOnly="0" labelOnly="1" outline="0" fieldPosition="0">
        <references count="1">
          <reference field="4294967294" count="3">
            <x v="1"/>
            <x v="2"/>
            <x v="4"/>
          </reference>
        </references>
      </pivotArea>
    </format>
    <format dxfId="316">
      <pivotArea outline="0" fieldPosition="0">
        <references count="1">
          <reference field="4294967294" count="2" selected="0">
            <x v="1"/>
            <x v="2"/>
          </reference>
        </references>
      </pivotArea>
    </format>
    <format dxfId="315">
      <pivotArea dataOnly="0" labelOnly="1" outline="0" fieldPosition="0">
        <references count="1">
          <reference field="4294967294" count="2">
            <x v="1"/>
            <x v="2"/>
          </reference>
        </references>
      </pivotArea>
    </format>
    <format dxfId="314">
      <pivotArea outline="0" fieldPosition="0">
        <references count="1">
          <reference field="4294967294" count="1">
            <x v="4"/>
          </reference>
        </references>
      </pivotArea>
    </format>
    <format dxfId="313">
      <pivotArea outline="0" fieldPosition="0">
        <references count="1">
          <reference field="4294967294" count="1" selected="0">
            <x v="3"/>
          </reference>
        </references>
      </pivotArea>
    </format>
  </formats>
  <conditionalFormats count="1">
    <conditionalFormat priority="9">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2A3A1D-A534-4F54-9CCC-C549034197A9}" name="PivotTable13"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5:K2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4"/>
    <dataField name="Seats_Booked " fld="33" baseField="1" baseItem="8" numFmtId="3"/>
    <dataField name="Avl_Seats_by_Cap " fld="34" baseField="0" baseItem="0"/>
    <dataField name="Bookload " fld="44" baseField="22" baseItem="12" numFmtId="9"/>
    <dataField name="NET_REVENUE " fld="38" baseField="22" baseItem="12" numFmtId="164"/>
    <dataField name="Sum of Total Taxes" fld="30" baseField="0" baseItem="0" numFmtId="3"/>
  </dataFields>
  <formats count="5">
    <format dxfId="322">
      <pivotArea dataOnly="0" labelOnly="1" outline="0" fieldPosition="0">
        <references count="1">
          <reference field="4294967294" count="3">
            <x v="1"/>
            <x v="2"/>
            <x v="4"/>
          </reference>
        </references>
      </pivotArea>
    </format>
    <format dxfId="321">
      <pivotArea outline="0" fieldPosition="0">
        <references count="1">
          <reference field="4294967294" count="2" selected="0">
            <x v="1"/>
            <x v="2"/>
          </reference>
        </references>
      </pivotArea>
    </format>
    <format dxfId="320">
      <pivotArea dataOnly="0" labelOnly="1" outline="0" fieldPosition="0">
        <references count="1">
          <reference field="4294967294" count="2">
            <x v="1"/>
            <x v="2"/>
          </reference>
        </references>
      </pivotArea>
    </format>
    <format dxfId="319">
      <pivotArea outline="0" fieldPosition="0">
        <references count="1">
          <reference field="4294967294" count="1">
            <x v="4"/>
          </reference>
        </references>
      </pivotArea>
    </format>
    <format dxfId="318">
      <pivotArea outline="0" fieldPosition="0">
        <references count="1">
          <reference field="4294967294" count="1" selected="0">
            <x v="3"/>
          </reference>
        </references>
      </pivotArea>
    </format>
  </formats>
  <conditionalFormats count="1">
    <conditionalFormat priority="8">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7BB0E3-8DCD-47C3-A531-CA4E6CAD3CE6}" name="PivotTable12"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5:K1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7"/>
    <dataField name="Seats_Booked " fld="33" baseField="1" baseItem="8" numFmtId="3"/>
    <dataField name="Avl_Seats_by_Cap " fld="34" baseField="0" baseItem="0"/>
    <dataField name="Bookload " fld="44" baseField="22" baseItem="9" numFmtId="9"/>
    <dataField name="NET_REVENUE " fld="38" baseField="22" baseItem="6" numFmtId="164"/>
    <dataField name="Total Taxes " fld="30" baseField="22" baseItem="10" numFmtId="3"/>
  </dataFields>
  <formats count="10">
    <format dxfId="332">
      <pivotArea dataOnly="0" labelOnly="1" outline="0" fieldPosition="0">
        <references count="1">
          <reference field="4294967294" count="3">
            <x v="1"/>
            <x v="2"/>
            <x v="4"/>
          </reference>
        </references>
      </pivotArea>
    </format>
    <format dxfId="331">
      <pivotArea outline="0" fieldPosition="0">
        <references count="1">
          <reference field="4294967294" count="2" selected="0">
            <x v="1"/>
            <x v="2"/>
          </reference>
        </references>
      </pivotArea>
    </format>
    <format dxfId="330">
      <pivotArea dataOnly="0" labelOnly="1" outline="0" fieldPosition="0">
        <references count="1">
          <reference field="4294967294" count="2">
            <x v="1"/>
            <x v="2"/>
          </reference>
        </references>
      </pivotArea>
    </format>
    <format dxfId="329">
      <pivotArea outline="0" fieldPosition="0">
        <references count="1">
          <reference field="4294967294" count="1">
            <x v="3"/>
          </reference>
        </references>
      </pivotArea>
    </format>
    <format dxfId="328">
      <pivotArea outline="0" fieldPosition="0">
        <references count="1">
          <reference field="4294967294" count="1">
            <x v="4"/>
          </reference>
        </references>
      </pivotArea>
    </format>
    <format dxfId="327">
      <pivotArea dataOnly="0" labelOnly="1" outline="0" fieldPosition="0">
        <references count="1">
          <reference field="25" count="1">
            <x v="1"/>
          </reference>
        </references>
      </pivotArea>
    </format>
    <format dxfId="326">
      <pivotArea field="26" type="button" dataOnly="0" labelOnly="1" outline="0" axis="axisRow" fieldPosition="1"/>
    </format>
    <format dxfId="325">
      <pivotArea field="24" type="button" dataOnly="0" labelOnly="1" outline="0" axis="axisRow" fieldPosition="2"/>
    </format>
    <format dxfId="324">
      <pivotArea field="1" type="button" dataOnly="0" labelOnly="1" outline="0" axis="axisRow" fieldPosition="3"/>
    </format>
    <format dxfId="323">
      <pivotArea field="22" type="button" dataOnly="0" labelOnly="1" outline="0" axis="axisRow" fieldPosition="4"/>
    </format>
  </formats>
  <conditionalFormats count="1">
    <conditionalFormat priority="15">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82A3EB-42E2-476D-818A-EF65246047D8}" name="PivotTable15"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35:Y3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8"/>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336">
      <pivotArea dataOnly="0" labelOnly="1" outline="0" fieldPosition="0">
        <references count="1">
          <reference field="4294967294" count="3">
            <x v="1"/>
            <x v="2"/>
            <x v="4"/>
          </reference>
        </references>
      </pivotArea>
    </format>
    <format dxfId="335">
      <pivotArea outline="0" fieldPosition="0">
        <references count="1">
          <reference field="4294967294" count="2" selected="0">
            <x v="1"/>
            <x v="2"/>
          </reference>
        </references>
      </pivotArea>
    </format>
    <format dxfId="334">
      <pivotArea dataOnly="0" labelOnly="1" outline="0" fieldPosition="0">
        <references count="1">
          <reference field="4294967294" count="2">
            <x v="1"/>
            <x v="2"/>
          </reference>
        </references>
      </pivotArea>
    </format>
    <format dxfId="333">
      <pivotArea outline="0" fieldPosition="0">
        <references count="1">
          <reference field="4294967294" count="1">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1748769-E88E-4E22-95FE-44E2460E5E5C}" name="PivotTable7"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98:Y99"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51"/>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341">
      <pivotArea dataOnly="0" labelOnly="1" outline="0" fieldPosition="0">
        <references count="1">
          <reference field="4294967294" count="3">
            <x v="1"/>
            <x v="2"/>
            <x v="4"/>
          </reference>
        </references>
      </pivotArea>
    </format>
    <format dxfId="340">
      <pivotArea outline="0" fieldPosition="0">
        <references count="1">
          <reference field="4294967294" count="2" selected="0">
            <x v="1"/>
            <x v="2"/>
          </reference>
        </references>
      </pivotArea>
    </format>
    <format dxfId="339">
      <pivotArea dataOnly="0" labelOnly="1" outline="0" fieldPosition="0">
        <references count="1">
          <reference field="4294967294" count="2">
            <x v="1"/>
            <x v="2"/>
          </reference>
        </references>
      </pivotArea>
    </format>
    <format dxfId="338">
      <pivotArea outline="0" fieldPosition="0">
        <references count="1">
          <reference field="4294967294" count="1">
            <x v="4"/>
          </reference>
        </references>
      </pivotArea>
    </format>
    <format dxfId="337">
      <pivotArea outline="0" fieldPosition="0">
        <references count="1">
          <reference field="4294967294" count="1" selected="0">
            <x v="3"/>
          </reference>
        </references>
      </pivotArea>
    </format>
  </formats>
  <conditionalFormats count="1">
    <conditionalFormat priority="3">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2250585-F566-4F76-AF83-90AC16261F73}" name="PivotTable2"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45:Y4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18"/>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345">
      <pivotArea dataOnly="0" labelOnly="1" outline="0" fieldPosition="0">
        <references count="1">
          <reference field="4294967294" count="3">
            <x v="1"/>
            <x v="2"/>
            <x v="4"/>
          </reference>
        </references>
      </pivotArea>
    </format>
    <format dxfId="344">
      <pivotArea outline="0" fieldPosition="0">
        <references count="1">
          <reference field="4294967294" count="2" selected="0">
            <x v="1"/>
            <x v="2"/>
          </reference>
        </references>
      </pivotArea>
    </format>
    <format dxfId="343">
      <pivotArea dataOnly="0" labelOnly="1" outline="0" fieldPosition="0">
        <references count="1">
          <reference field="4294967294" count="2">
            <x v="1"/>
            <x v="2"/>
          </reference>
        </references>
      </pivotArea>
    </format>
    <format dxfId="342">
      <pivotArea outline="0" fieldPosition="0">
        <references count="1">
          <reference field="4294967294" count="1">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8C06047-7B1E-4286-919A-EAC6FED86353}" name="PivotTable19"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86:Y87"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51"/>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350">
      <pivotArea dataOnly="0" labelOnly="1" outline="0" fieldPosition="0">
        <references count="1">
          <reference field="4294967294" count="3">
            <x v="1"/>
            <x v="2"/>
            <x v="4"/>
          </reference>
        </references>
      </pivotArea>
    </format>
    <format dxfId="349">
      <pivotArea outline="0" fieldPosition="0">
        <references count="1">
          <reference field="4294967294" count="2" selected="0">
            <x v="1"/>
            <x v="2"/>
          </reference>
        </references>
      </pivotArea>
    </format>
    <format dxfId="348">
      <pivotArea dataOnly="0" labelOnly="1" outline="0" fieldPosition="0">
        <references count="1">
          <reference field="4294967294" count="2">
            <x v="1"/>
            <x v="2"/>
          </reference>
        </references>
      </pivotArea>
    </format>
    <format dxfId="347">
      <pivotArea outline="0" fieldPosition="0">
        <references count="1">
          <reference field="4294967294" count="1">
            <x v="4"/>
          </reference>
        </references>
      </pivotArea>
    </format>
    <format dxfId="346">
      <pivotArea outline="0" fieldPosition="0">
        <references count="1">
          <reference field="4294967294" count="1" selected="0">
            <x v="3"/>
          </reference>
        </references>
      </pivotArea>
    </format>
  </formats>
  <conditionalFormats count="1">
    <conditionalFormat priority="10">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AA39627-CBC1-4EB2-8559-9813BEC7E5D9}" name="PivotTable21"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0:K112"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Y_Cap" fld="16" baseField="22" baseItem="128"/>
    <dataField name="Seats_Booked " fld="33" baseField="1" baseItem="8" numFmtId="3"/>
    <dataField name="Avl_Seats_by_Cap " fld="34" baseField="0" baseItem="0"/>
    <dataField name="Bookload " fld="44" baseField="22" baseItem="143" numFmtId="9"/>
    <dataField name="NET_REVENUE " fld="38" baseField="22" baseItem="143" numFmtId="164"/>
    <dataField name="Total Taxes " fld="30" baseField="22" baseItem="143" numFmtId="3"/>
  </dataFields>
  <formats count="5">
    <format dxfId="355">
      <pivotArea dataOnly="0" labelOnly="1" outline="0" fieldPosition="0">
        <references count="1">
          <reference field="4294967294" count="3">
            <x v="1"/>
            <x v="2"/>
            <x v="4"/>
          </reference>
        </references>
      </pivotArea>
    </format>
    <format dxfId="354">
      <pivotArea outline="0" fieldPosition="0">
        <references count="1">
          <reference field="4294967294" count="2" selected="0">
            <x v="1"/>
            <x v="2"/>
          </reference>
        </references>
      </pivotArea>
    </format>
    <format dxfId="353">
      <pivotArea dataOnly="0" labelOnly="1" outline="0" fieldPosition="0">
        <references count="1">
          <reference field="4294967294" count="2">
            <x v="1"/>
            <x v="2"/>
          </reference>
        </references>
      </pivotArea>
    </format>
    <format dxfId="352">
      <pivotArea outline="0" fieldPosition="0">
        <references count="1">
          <reference field="4294967294" count="1">
            <x v="4"/>
          </reference>
        </references>
      </pivotArea>
    </format>
    <format dxfId="351">
      <pivotArea outline="0" fieldPosition="0">
        <references count="1">
          <reference field="4294967294" count="1" selected="0">
            <x v="3"/>
          </reference>
        </references>
      </pivotArea>
    </format>
  </formats>
  <conditionalFormats count="1">
    <conditionalFormat priority="4">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C04E985-7D11-46FA-827E-8945EBD6064E}" name="PivotTable20"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6:K88"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2">
    <i>
      <x/>
      <x/>
      <x/>
      <x v="6"/>
      <x/>
    </i>
    <i t="grand">
      <x/>
    </i>
  </rowItems>
  <colFields count="1">
    <field x="-2"/>
  </colFields>
  <colItems count="6">
    <i>
      <x/>
    </i>
    <i i="1">
      <x v="1"/>
    </i>
    <i i="2">
      <x v="2"/>
    </i>
    <i i="3">
      <x v="3"/>
    </i>
    <i i="4">
      <x v="4"/>
    </i>
    <i i="5">
      <x v="5"/>
    </i>
  </colItems>
  <pageFields count="1">
    <pageField fld="25" item="1" hier="-1"/>
  </pageFields>
  <dataFields count="6">
    <dataField name="Sum of Y_Capacity" fld="16" baseField="22" baseItem="49"/>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360">
      <pivotArea dataOnly="0" labelOnly="1" outline="0" fieldPosition="0">
        <references count="1">
          <reference field="4294967294" count="3">
            <x v="1"/>
            <x v="2"/>
            <x v="4"/>
          </reference>
        </references>
      </pivotArea>
    </format>
    <format dxfId="359">
      <pivotArea outline="0" fieldPosition="0">
        <references count="1">
          <reference field="4294967294" count="2" selected="0">
            <x v="1"/>
            <x v="2"/>
          </reference>
        </references>
      </pivotArea>
    </format>
    <format dxfId="358">
      <pivotArea dataOnly="0" labelOnly="1" outline="0" fieldPosition="0">
        <references count="1">
          <reference field="4294967294" count="2">
            <x v="1"/>
            <x v="2"/>
          </reference>
        </references>
      </pivotArea>
    </format>
    <format dxfId="357">
      <pivotArea outline="0" fieldPosition="0">
        <references count="1">
          <reference field="4294967294" count="1">
            <x v="4"/>
          </reference>
        </references>
      </pivotArea>
    </format>
    <format dxfId="356">
      <pivotArea outline="0" fieldPosition="0">
        <references count="1">
          <reference field="4294967294" count="1" selected="0">
            <x v="3"/>
          </reference>
        </references>
      </pivotArea>
    </format>
  </formats>
  <conditionalFormats count="1">
    <conditionalFormat priority="5">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D3928FA-56E4-4D77-A8EB-6B73060449B2}" name="PivotTable11" cacheId="3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O15:Y16" firstHeaderRow="0" firstDataRow="1" firstDataCol="5"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axis="axisRow" compact="0" outline="0" showAll="0" defaultSubtotal="0">
      <items count="7">
        <item x="4"/>
        <item x="1"/>
        <item x="3"/>
        <item x="5"/>
        <item x="6"/>
        <item x="2"/>
        <item x="0"/>
      </items>
    </pivotField>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5">
    <field x="21"/>
    <field x="26"/>
    <field x="24"/>
    <field x="1"/>
    <field x="22"/>
  </rowFields>
  <rowItems count="1">
    <i t="grand">
      <x/>
    </i>
  </rowItems>
  <colFields count="1">
    <field x="-2"/>
  </colFields>
  <colItems count="6">
    <i>
      <x/>
    </i>
    <i i="1">
      <x v="1"/>
    </i>
    <i i="2">
      <x v="2"/>
    </i>
    <i i="3">
      <x v="3"/>
    </i>
    <i i="4">
      <x v="4"/>
    </i>
    <i i="5">
      <x v="5"/>
    </i>
  </colItems>
  <pageFields count="1">
    <pageField fld="25" item="0" hier="-1"/>
  </pageFields>
  <dataFields count="6">
    <dataField name="Y_Cap" fld="16" baseField="22" baseItem="8"/>
    <dataField name="Seats_Booked " fld="33" baseField="1" baseItem="8" numFmtId="3"/>
    <dataField name="Avl_Seats_by_Cap " fld="34" baseField="0" baseItem="0"/>
    <dataField name="Bookload " fld="44" baseField="22" baseItem="8" numFmtId="3"/>
    <dataField name="NET_REVENUE " fld="38" baseField="22" baseItem="9" numFmtId="164"/>
    <dataField name="Total Taxes " fld="30" baseField="0" baseItem="0" numFmtId="3"/>
  </dataFields>
  <formats count="4">
    <format dxfId="364">
      <pivotArea dataOnly="0" labelOnly="1" outline="0" fieldPosition="0">
        <references count="1">
          <reference field="4294967294" count="3">
            <x v="1"/>
            <x v="2"/>
            <x v="4"/>
          </reference>
        </references>
      </pivotArea>
    </format>
    <format dxfId="363">
      <pivotArea outline="0" fieldPosition="0">
        <references count="1">
          <reference field="4294967294" count="2" selected="0">
            <x v="1"/>
            <x v="2"/>
          </reference>
        </references>
      </pivotArea>
    </format>
    <format dxfId="362">
      <pivotArea dataOnly="0" labelOnly="1" outline="0" fieldPosition="0">
        <references count="1">
          <reference field="4294967294" count="2">
            <x v="1"/>
            <x v="2"/>
          </reference>
        </references>
      </pivotArea>
    </format>
    <format dxfId="361">
      <pivotArea outline="0" fieldPosition="0">
        <references count="1">
          <reference field="4294967294" count="1">
            <x v="4"/>
          </reference>
        </references>
      </pivotArea>
    </format>
  </formats>
  <conditionalFormats count="1">
    <conditionalFormat priority="13">
      <pivotAreas count="1">
        <pivotArea type="data" outline="0" collapsedLevelsAreSubtotals="1" fieldPosition="0">
          <references count="1">
            <reference field="4294967294" count="1" selected="0">
              <x v="3"/>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4977B69-1FDE-4138-A0F4-B4543FC9B5E2}" name="PivotTable18"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48:V48"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37" numFmtId="9"/>
    <dataField name="NET_REVENUE " fld="38" baseField="22" baseItem="9" numFmtId="167"/>
    <dataField name="Sum of Total Taxes" fld="30" baseField="0" baseItem="0" numFmtId="3"/>
  </dataFields>
  <formats count="4">
    <format dxfId="210">
      <pivotArea dataOnly="0" labelOnly="1" outline="0" fieldPosition="0">
        <references count="1">
          <reference field="4294967294" count="3">
            <x v="0"/>
            <x v="1"/>
            <x v="3"/>
          </reference>
        </references>
      </pivotArea>
    </format>
    <format dxfId="209">
      <pivotArea outline="0" fieldPosition="0">
        <references count="1">
          <reference field="4294967294" count="2" selected="0">
            <x v="0"/>
            <x v="1"/>
          </reference>
        </references>
      </pivotArea>
    </format>
    <format dxfId="208">
      <pivotArea dataOnly="0" labelOnly="1" outline="0" fieldPosition="0">
        <references count="1">
          <reference field="4294967294" count="2">
            <x v="0"/>
            <x v="1"/>
          </reference>
        </references>
      </pivotArea>
    </format>
    <format dxfId="207">
      <pivotArea outline="0" fieldPosition="0">
        <references count="1">
          <reference field="4294967294" count="1" selected="0">
            <x v="2"/>
          </reference>
        </references>
      </pivotArea>
    </format>
  </formats>
  <conditionalFormats count="1">
    <conditionalFormat priority="25">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F6F37C8-BA70-448E-935A-5F9372A99106}" name="PivotTable12"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5:I1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9" numFmtId="9"/>
    <dataField name="NET_REVENUE " fld="38" baseField="22" baseItem="6" numFmtId="164"/>
    <dataField name="Total Taxes " fld="30" baseField="22" baseItem="10" numFmtId="3"/>
  </dataFields>
  <formats count="5">
    <format dxfId="215">
      <pivotArea dataOnly="0" labelOnly="1" outline="0" fieldPosition="0">
        <references count="1">
          <reference field="4294967294" count="3">
            <x v="0"/>
            <x v="1"/>
            <x v="3"/>
          </reference>
        </references>
      </pivotArea>
    </format>
    <format dxfId="214">
      <pivotArea outline="0" fieldPosition="0">
        <references count="1">
          <reference field="4294967294" count="2" selected="0">
            <x v="0"/>
            <x v="1"/>
          </reference>
        </references>
      </pivotArea>
    </format>
    <format dxfId="213">
      <pivotArea dataOnly="0" labelOnly="1" outline="0" fieldPosition="0">
        <references count="1">
          <reference field="4294967294" count="2">
            <x v="0"/>
            <x v="1"/>
          </reference>
        </references>
      </pivotArea>
    </format>
    <format dxfId="212">
      <pivotArea outline="0" fieldPosition="0">
        <references count="1">
          <reference field="4294967294" count="1">
            <x v="2"/>
          </reference>
        </references>
      </pivotArea>
    </format>
    <format dxfId="211">
      <pivotArea outline="0" fieldPosition="0">
        <references count="1">
          <reference field="4294967294" count="1">
            <x v="3"/>
          </reference>
        </references>
      </pivotArea>
    </format>
  </formats>
  <conditionalFormats count="1">
    <conditionalFormat priority="20">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495EBE9-FCA4-4E5A-8888-5B7AAE431EAC}" name="PivotTable16"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5:I3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9" numFmtId="9"/>
    <dataField name="NET_REVENUE " fld="38" baseField="22" baseItem="19" numFmtId="164"/>
    <dataField name="Sum of Total Taxes" fld="30" baseField="0" baseItem="0" numFmtId="3"/>
  </dataFields>
  <formats count="5">
    <format dxfId="220">
      <pivotArea dataOnly="0" labelOnly="1" outline="0" fieldPosition="0">
        <references count="1">
          <reference field="4294967294" count="3">
            <x v="0"/>
            <x v="1"/>
            <x v="3"/>
          </reference>
        </references>
      </pivotArea>
    </format>
    <format dxfId="219">
      <pivotArea outline="0" fieldPosition="0">
        <references count="1">
          <reference field="4294967294" count="2" selected="0">
            <x v="0"/>
            <x v="1"/>
          </reference>
        </references>
      </pivotArea>
    </format>
    <format dxfId="218">
      <pivotArea dataOnly="0" labelOnly="1" outline="0" fieldPosition="0">
        <references count="1">
          <reference field="4294967294" count="2">
            <x v="0"/>
            <x v="1"/>
          </reference>
        </references>
      </pivotArea>
    </format>
    <format dxfId="217">
      <pivotArea outline="0" fieldPosition="0">
        <references count="1">
          <reference field="4294967294" count="1">
            <x v="3"/>
          </reference>
        </references>
      </pivotArea>
    </format>
    <format dxfId="216">
      <pivotArea outline="0" fieldPosition="0">
        <references count="1">
          <reference field="4294967294" count="1" selected="0">
            <x v="2"/>
          </reference>
        </references>
      </pivotArea>
    </format>
  </formats>
  <conditionalFormats count="1">
    <conditionalFormat priority="4">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96AB18-1FD6-4D31-9FFE-69FD53E8A04E}" name="PivotTable19"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79:V79"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0" baseItem="0" numFmtId="9"/>
    <dataField name="NET_REVENUE " fld="38" baseField="22" baseItem="63" numFmtId="164"/>
    <dataField name="Total Taxes " fld="30" baseField="0" baseItem="0" numFmtId="3"/>
  </dataFields>
  <formats count="5">
    <format dxfId="225">
      <pivotArea dataOnly="0" labelOnly="1" outline="0" fieldPosition="0">
        <references count="1">
          <reference field="4294967294" count="3">
            <x v="0"/>
            <x v="1"/>
            <x v="3"/>
          </reference>
        </references>
      </pivotArea>
    </format>
    <format dxfId="224">
      <pivotArea outline="0" fieldPosition="0">
        <references count="1">
          <reference field="4294967294" count="2" selected="0">
            <x v="0"/>
            <x v="1"/>
          </reference>
        </references>
      </pivotArea>
    </format>
    <format dxfId="223">
      <pivotArea dataOnly="0" labelOnly="1" outline="0" fieldPosition="0">
        <references count="1">
          <reference field="4294967294" count="2">
            <x v="0"/>
            <x v="1"/>
          </reference>
        </references>
      </pivotArea>
    </format>
    <format dxfId="222">
      <pivotArea outline="0" fieldPosition="0">
        <references count="1">
          <reference field="4294967294" count="1">
            <x v="3"/>
          </reference>
        </references>
      </pivotArea>
    </format>
    <format dxfId="221">
      <pivotArea outline="0" fieldPosition="0">
        <references count="1">
          <reference field="4294967294" count="1" selected="0">
            <x v="2"/>
          </reference>
        </references>
      </pivotArea>
    </format>
  </formats>
  <conditionalFormats count="1">
    <conditionalFormat priority="7">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4B5C90-CF6B-4F80-8D1F-14B163B41D4D}" name="PivotTable14"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25:V2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0" baseItem="0" numFmtId="3"/>
    <dataField name="NET_REVENUE " fld="38" baseField="22" baseItem="15" numFmtId="164"/>
    <dataField name="Sum of Total Taxes" fld="30" baseField="0" baseItem="0" numFmtId="3"/>
  </dataFields>
  <formats count="4">
    <format dxfId="229">
      <pivotArea dataOnly="0" labelOnly="1" outline="0" fieldPosition="0">
        <references count="1">
          <reference field="4294967294" count="3">
            <x v="0"/>
            <x v="1"/>
            <x v="3"/>
          </reference>
        </references>
      </pivotArea>
    </format>
    <format dxfId="228">
      <pivotArea outline="0" fieldPosition="0">
        <references count="1">
          <reference field="4294967294" count="2" selected="0">
            <x v="0"/>
            <x v="1"/>
          </reference>
        </references>
      </pivotArea>
    </format>
    <format dxfId="227">
      <pivotArea dataOnly="0" labelOnly="1" outline="0" fieldPosition="0">
        <references count="1">
          <reference field="4294967294" count="2">
            <x v="0"/>
            <x v="1"/>
          </reference>
        </references>
      </pivotArea>
    </format>
    <format dxfId="226">
      <pivotArea outline="0" fieldPosition="0">
        <references count="1">
          <reference field="4294967294" count="1">
            <x v="3"/>
          </reference>
        </references>
      </pivotArea>
    </format>
  </formats>
  <conditionalFormats count="1">
    <conditionalFormat priority="9">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07E92C3-6774-455F-9987-77053DF72FD5}" name="PivotTable94"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I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3" numFmtId="9"/>
    <dataField name="NET_REVENUE " fld="38" baseField="22" baseItem="0" numFmtId="164"/>
    <dataField name="Total Taxes " fld="30" baseField="0" baseItem="0" numFmtId="3"/>
  </dataFields>
  <formats count="5">
    <format dxfId="234">
      <pivotArea dataOnly="0" labelOnly="1" outline="0" fieldPosition="0">
        <references count="1">
          <reference field="4294967294" count="3">
            <x v="0"/>
            <x v="1"/>
            <x v="3"/>
          </reference>
        </references>
      </pivotArea>
    </format>
    <format dxfId="233">
      <pivotArea outline="0" fieldPosition="0">
        <references count="1">
          <reference field="4294967294" count="1">
            <x v="2"/>
          </reference>
        </references>
      </pivotArea>
    </format>
    <format dxfId="232">
      <pivotArea outline="0" fieldPosition="0">
        <references count="1">
          <reference field="4294967294" count="2" selected="0">
            <x v="0"/>
            <x v="1"/>
          </reference>
        </references>
      </pivotArea>
    </format>
    <format dxfId="231">
      <pivotArea dataOnly="0" labelOnly="1" outline="0" fieldPosition="0">
        <references count="1">
          <reference field="4294967294" count="2">
            <x v="0"/>
            <x v="1"/>
          </reference>
        </references>
      </pivotArea>
    </format>
    <format dxfId="230">
      <pivotArea outline="0" fieldPosition="0">
        <references count="1">
          <reference field="4294967294" count="1">
            <x v="3"/>
          </reference>
        </references>
      </pivotArea>
    </format>
  </formats>
  <conditionalFormats count="1">
    <conditionalFormat priority="39">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92E9EF3-F34D-4942-9EEA-611E4421C9E2}" name="PivotTable17"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8:I49"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41" numFmtId="9"/>
    <dataField name="NET_REVENUE " fld="38" baseField="22" baseItem="37" numFmtId="164"/>
    <dataField name="Total Taxes " fld="30" baseField="0" baseItem="0" numFmtId="3"/>
  </dataFields>
  <formats count="5">
    <format dxfId="239">
      <pivotArea dataOnly="0" labelOnly="1" outline="0" fieldPosition="0">
        <references count="1">
          <reference field="4294967294" count="3">
            <x v="0"/>
            <x v="1"/>
            <x v="3"/>
          </reference>
        </references>
      </pivotArea>
    </format>
    <format dxfId="238">
      <pivotArea outline="0" fieldPosition="0">
        <references count="1">
          <reference field="4294967294" count="2" selected="0">
            <x v="0"/>
            <x v="1"/>
          </reference>
        </references>
      </pivotArea>
    </format>
    <format dxfId="237">
      <pivotArea dataOnly="0" labelOnly="1" outline="0" fieldPosition="0">
        <references count="1">
          <reference field="4294967294" count="2">
            <x v="0"/>
            <x v="1"/>
          </reference>
        </references>
      </pivotArea>
    </format>
    <format dxfId="236">
      <pivotArea outline="0" fieldPosition="0">
        <references count="1">
          <reference field="4294967294" count="1">
            <x v="3"/>
          </reference>
        </references>
      </pivotArea>
    </format>
    <format dxfId="235">
      <pivotArea outline="0" fieldPosition="0">
        <references count="1">
          <reference field="4294967294" count="1" selected="0">
            <x v="2"/>
          </reference>
        </references>
      </pivotArea>
    </format>
  </formats>
  <conditionalFormats count="1">
    <conditionalFormat priority="3">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6625F09-DF97-40A2-8A38-45A2022AF60E}" name="PivotTable21"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91:I92"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43" numFmtId="9"/>
    <dataField name="NET_REVENUE " fld="38" baseField="22" baseItem="143" numFmtId="164"/>
    <dataField name="Total Taxes " fld="30" baseField="22" baseItem="143" numFmtId="3"/>
  </dataFields>
  <formats count="5">
    <format dxfId="244">
      <pivotArea dataOnly="0" labelOnly="1" outline="0" fieldPosition="0">
        <references count="1">
          <reference field="4294967294" count="3">
            <x v="0"/>
            <x v="1"/>
            <x v="3"/>
          </reference>
        </references>
      </pivotArea>
    </format>
    <format dxfId="243">
      <pivotArea outline="0" fieldPosition="0">
        <references count="1">
          <reference field="4294967294" count="2" selected="0">
            <x v="0"/>
            <x v="1"/>
          </reference>
        </references>
      </pivotArea>
    </format>
    <format dxfId="242">
      <pivotArea dataOnly="0" labelOnly="1" outline="0" fieldPosition="0">
        <references count="1">
          <reference field="4294967294" count="2">
            <x v="0"/>
            <x v="1"/>
          </reference>
        </references>
      </pivotArea>
    </format>
    <format dxfId="241">
      <pivotArea outline="0" fieldPosition="0">
        <references count="1">
          <reference field="4294967294" count="1">
            <x v="3"/>
          </reference>
        </references>
      </pivotArea>
    </format>
    <format dxfId="240">
      <pivotArea outline="0" fieldPosition="0">
        <references count="1">
          <reference field="4294967294" count="1" selected="0">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DA1DB7-069F-49EC-982F-63D8F6194412}" name="PivotTable22"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91:V91"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144" numFmtId="9"/>
    <dataField name="NET_REVENUE " fld="38" baseField="22" baseItem="144" numFmtId="164"/>
    <dataField name="Total Taxes " fld="30" baseField="22" baseItem="144" numFmtId="3"/>
  </dataFields>
  <formats count="5">
    <format dxfId="249">
      <pivotArea dataOnly="0" labelOnly="1" outline="0" fieldPosition="0">
        <references count="1">
          <reference field="4294967294" count="3">
            <x v="0"/>
            <x v="1"/>
            <x v="3"/>
          </reference>
        </references>
      </pivotArea>
    </format>
    <format dxfId="248">
      <pivotArea outline="0" fieldPosition="0">
        <references count="1">
          <reference field="4294967294" count="2" selected="0">
            <x v="0"/>
            <x v="1"/>
          </reference>
        </references>
      </pivotArea>
    </format>
    <format dxfId="247">
      <pivotArea dataOnly="0" labelOnly="1" outline="0" fieldPosition="0">
        <references count="1">
          <reference field="4294967294" count="2">
            <x v="0"/>
            <x v="1"/>
          </reference>
        </references>
      </pivotArea>
    </format>
    <format dxfId="246">
      <pivotArea outline="0" fieldPosition="0">
        <references count="1">
          <reference field="4294967294" count="1">
            <x v="3"/>
          </reference>
        </references>
      </pivotArea>
    </format>
    <format dxfId="245">
      <pivotArea outline="0" fieldPosition="0">
        <references count="1">
          <reference field="4294967294" count="1" selected="0">
            <x v="2"/>
          </reference>
        </references>
      </pivotArea>
    </format>
  </formats>
  <conditionalFormats count="1">
    <conditionalFormat priority="6">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F8751C0-D488-4AE5-9870-50B613EBD71C}" name="PivotTable20"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79:I80"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66" numFmtId="9"/>
    <dataField name="NET_REVENUE " fld="38" baseField="22" baseItem="66" numFmtId="164"/>
    <dataField name="Total Taxes " fld="30" baseField="0" baseItem="0" numFmtId="3"/>
  </dataFields>
  <formats count="5">
    <format dxfId="254">
      <pivotArea dataOnly="0" labelOnly="1" outline="0" fieldPosition="0">
        <references count="1">
          <reference field="4294967294" count="3">
            <x v="0"/>
            <x v="1"/>
            <x v="3"/>
          </reference>
        </references>
      </pivotArea>
    </format>
    <format dxfId="253">
      <pivotArea outline="0" fieldPosition="0">
        <references count="1">
          <reference field="4294967294" count="2" selected="0">
            <x v="0"/>
            <x v="1"/>
          </reference>
        </references>
      </pivotArea>
    </format>
    <format dxfId="252">
      <pivotArea dataOnly="0" labelOnly="1" outline="0" fieldPosition="0">
        <references count="1">
          <reference field="4294967294" count="2">
            <x v="0"/>
            <x v="1"/>
          </reference>
        </references>
      </pivotArea>
    </format>
    <format dxfId="251">
      <pivotArea outline="0" fieldPosition="0">
        <references count="1">
          <reference field="4294967294" count="1">
            <x v="3"/>
          </reference>
        </references>
      </pivotArea>
    </format>
    <format dxfId="250">
      <pivotArea outline="0" fieldPosition="0">
        <references count="1">
          <reference field="4294967294" count="1" selected="0">
            <x v="2"/>
          </reference>
        </references>
      </pivotArea>
    </format>
  </formats>
  <conditionalFormats count="1">
    <conditionalFormat priority="2">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A137509-47D2-4B8C-B244-F1077D697A22}" name="PivotTable96"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5:V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2" numFmtId="9"/>
    <dataField name="NET_REVENUE " fld="38" baseField="22" baseItem="0" numFmtId="164"/>
    <dataField name="Total Taxes " fld="30" baseField="0" baseItem="0" numFmtId="3"/>
  </dataFields>
  <formats count="5">
    <format dxfId="259">
      <pivotArea dataOnly="0" labelOnly="1" outline="0" fieldPosition="0">
        <references count="1">
          <reference field="4294967294" count="3">
            <x v="0"/>
            <x v="1"/>
            <x v="3"/>
          </reference>
        </references>
      </pivotArea>
    </format>
    <format dxfId="258">
      <pivotArea outline="0" fieldPosition="0">
        <references count="1">
          <reference field="4294967294" count="2" selected="0">
            <x v="0"/>
            <x v="1"/>
          </reference>
        </references>
      </pivotArea>
    </format>
    <format dxfId="257">
      <pivotArea dataOnly="0" labelOnly="1" outline="0" fieldPosition="0">
        <references count="1">
          <reference field="4294967294" count="2">
            <x v="0"/>
            <x v="1"/>
          </reference>
        </references>
      </pivotArea>
    </format>
    <format dxfId="256">
      <pivotArea outline="0" fieldPosition="0">
        <references count="1">
          <reference field="4294967294" count="1">
            <x v="3"/>
          </reference>
        </references>
      </pivotArea>
    </format>
    <format dxfId="255">
      <pivotArea outline="0" fieldPosition="0">
        <references count="1">
          <reference field="4294967294" count="1">
            <x v="2"/>
          </reference>
        </references>
      </pivotArea>
    </format>
  </formats>
  <conditionalFormats count="1">
    <conditionalFormat priority="38">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E84FC2E-520B-4DE4-8C31-B85DCEFFFB49}" name="PivotTable15"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35:V3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19" numFmtId="3"/>
    <dataField name="NET_REVENUE " fld="38" baseField="22" baseItem="20" numFmtId="164"/>
    <dataField name="Sum of Total Taxes" fld="30" baseField="0" baseItem="0" numFmtId="3"/>
  </dataFields>
  <formats count="4">
    <format dxfId="263">
      <pivotArea dataOnly="0" labelOnly="1" outline="0" fieldPosition="0">
        <references count="1">
          <reference field="4294967294" count="3">
            <x v="0"/>
            <x v="1"/>
            <x v="3"/>
          </reference>
        </references>
      </pivotArea>
    </format>
    <format dxfId="262">
      <pivotArea outline="0" fieldPosition="0">
        <references count="1">
          <reference field="4294967294" count="2" selected="0">
            <x v="0"/>
            <x v="1"/>
          </reference>
        </references>
      </pivotArea>
    </format>
    <format dxfId="261">
      <pivotArea dataOnly="0" labelOnly="1" outline="0" fieldPosition="0">
        <references count="1">
          <reference field="4294967294" count="2">
            <x v="0"/>
            <x v="1"/>
          </reference>
        </references>
      </pivotArea>
    </format>
    <format dxfId="260">
      <pivotArea outline="0" fieldPosition="0">
        <references count="1">
          <reference field="4294967294" count="1">
            <x v="3"/>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82AB65-2A43-4D4E-84B6-ADEB3C3223A0}" name="PivotTable11"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N15:V15"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colFields count="1">
    <field x="-2"/>
  </colFields>
  <colItems count="5">
    <i>
      <x/>
    </i>
    <i i="1">
      <x v="1"/>
    </i>
    <i i="2">
      <x v="2"/>
    </i>
    <i i="3">
      <x v="3"/>
    </i>
    <i i="4">
      <x v="4"/>
    </i>
  </colItems>
  <pageFields count="1">
    <pageField fld="25" item="0" hier="-1"/>
  </pageFields>
  <dataFields count="5">
    <dataField name="Seats_Booked " fld="33" baseField="1" baseItem="8" numFmtId="3"/>
    <dataField name="Avl_Seats_by_Cap " fld="34" baseField="0" baseItem="0"/>
    <dataField name="Bookload " fld="44" baseField="22" baseItem="8" numFmtId="3"/>
    <dataField name="NET_REVENUE " fld="38" baseField="22" baseItem="9" numFmtId="164"/>
    <dataField name="Total Taxes " fld="30" baseField="0" baseItem="0" numFmtId="3"/>
  </dataFields>
  <formats count="4">
    <format dxfId="267">
      <pivotArea dataOnly="0" labelOnly="1" outline="0" fieldPosition="0">
        <references count="1">
          <reference field="4294967294" count="3">
            <x v="0"/>
            <x v="1"/>
            <x v="3"/>
          </reference>
        </references>
      </pivotArea>
    </format>
    <format dxfId="266">
      <pivotArea outline="0" fieldPosition="0">
        <references count="1">
          <reference field="4294967294" count="2" selected="0">
            <x v="0"/>
            <x v="1"/>
          </reference>
        </references>
      </pivotArea>
    </format>
    <format dxfId="265">
      <pivotArea dataOnly="0" labelOnly="1" outline="0" fieldPosition="0">
        <references count="1">
          <reference field="4294967294" count="2">
            <x v="0"/>
            <x v="1"/>
          </reference>
        </references>
      </pivotArea>
    </format>
    <format dxfId="264">
      <pivotArea outline="0" fieldPosition="0">
        <references count="1">
          <reference field="4294967294" count="1">
            <x v="3"/>
          </reference>
        </references>
      </pivotArea>
    </format>
  </formats>
  <conditionalFormats count="1">
    <conditionalFormat priority="10">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1A65D3A-9DBD-462D-A5FF-5602AC40C830}" name="PivotTable13" cacheId="35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25:I26" firstHeaderRow="0" firstDataRow="1" firstDataCol="4" rowPageCount="1" colPageCount="1"/>
  <pivotFields count="45">
    <pivotField compact="0" outline="0" showAll="0"/>
    <pivotField axis="axisRow" compact="0" numFmtId="166" outline="0" showAll="0" defaultSubtotal="0">
      <items count="8">
        <item x="5"/>
        <item x="0"/>
        <item x="1"/>
        <item x="2"/>
        <item x="3"/>
        <item x="4"/>
        <item x="6"/>
        <item x="7"/>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5">
        <item x="2"/>
        <item h="1" x="4"/>
        <item h="1" x="0"/>
        <item h="1" x="1"/>
        <item h="1" x="3"/>
      </items>
    </pivotField>
    <pivotField axis="axisRow" compact="0" outline="0" showAll="0">
      <items count="11">
        <item x="7"/>
        <item x="9"/>
        <item x="0"/>
        <item x="1"/>
        <item x="2"/>
        <item x="3"/>
        <item x="4"/>
        <item x="5"/>
        <item x="6"/>
        <item x="8"/>
        <item t="default"/>
      </items>
    </pivotField>
    <pivotField compact="0" outline="0" showAll="0"/>
    <pivotField axis="axisRow" compact="0" outline="0" showAll="0" defaultSubtotal="0">
      <items count="2">
        <item x="1"/>
        <item x="0"/>
      </items>
    </pivotField>
    <pivotField axis="axisPage" compact="0" outline="0" showAll="0">
      <items count="3">
        <item x="0"/>
        <item x="1"/>
        <item t="default"/>
      </items>
    </pivotField>
    <pivotField compact="0" outline="0" showAll="0"/>
    <pivotField compact="0" outline="0" showAll="0"/>
    <pivotField compact="0" outline="0" showAll="0"/>
    <pivotField compact="0" numFmtId="4" outline="0" showAll="0"/>
    <pivotField dataField="1" compact="0" numFmtId="3"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dataField="1" compact="0" numFmtId="3"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 compact="0" outline="0" showAll="0" defaultSubtotal="0">
      <items count="3">
        <item x="1"/>
        <item x="0"/>
        <item x="2"/>
      </items>
    </pivotField>
    <pivotField compact="0" outline="0" dragToRow="0" dragToCol="0" dragToPage="0" showAll="0" defaultSubtotal="0"/>
    <pivotField compact="0" outline="0" dragToRow="0" dragToCol="0" dragToPage="0" showAll="0" defaultSubtotal="0"/>
    <pivotField dataField="1" compact="0" outline="0" dragToRow="0" dragToCol="0" dragToPage="0" showAll="0" defaultSubtotal="0"/>
  </pivotFields>
  <rowFields count="4">
    <field x="21"/>
    <field x="24"/>
    <field x="1"/>
    <field x="22"/>
  </rowFields>
  <rowItems count="1">
    <i>
      <x/>
      <x/>
      <x v="6"/>
      <x/>
    </i>
  </rowItems>
  <colFields count="1">
    <field x="-2"/>
  </colFields>
  <colItems count="5">
    <i>
      <x/>
    </i>
    <i i="1">
      <x v="1"/>
    </i>
    <i i="2">
      <x v="2"/>
    </i>
    <i i="3">
      <x v="3"/>
    </i>
    <i i="4">
      <x v="4"/>
    </i>
  </colItems>
  <pageFields count="1">
    <pageField fld="25" item="1" hier="-1"/>
  </pageFields>
  <dataFields count="5">
    <dataField name="Seats_Booked " fld="33" baseField="1" baseItem="8" numFmtId="3"/>
    <dataField name="Avl_Seats_by_Cap " fld="34" baseField="0" baseItem="0"/>
    <dataField name="Bookload " fld="44" baseField="22" baseItem="12" numFmtId="9"/>
    <dataField name="NET_REVENUE " fld="38" baseField="22" baseItem="12" numFmtId="164"/>
    <dataField name="Sum of Total Taxes" fld="30" baseField="0" baseItem="0" numFmtId="3"/>
  </dataFields>
  <formats count="5">
    <format dxfId="272">
      <pivotArea dataOnly="0" labelOnly="1" outline="0" fieldPosition="0">
        <references count="1">
          <reference field="4294967294" count="3">
            <x v="0"/>
            <x v="1"/>
            <x v="3"/>
          </reference>
        </references>
      </pivotArea>
    </format>
    <format dxfId="271">
      <pivotArea outline="0" fieldPosition="0">
        <references count="1">
          <reference field="4294967294" count="2" selected="0">
            <x v="0"/>
            <x v="1"/>
          </reference>
        </references>
      </pivotArea>
    </format>
    <format dxfId="270">
      <pivotArea dataOnly="0" labelOnly="1" outline="0" fieldPosition="0">
        <references count="1">
          <reference field="4294967294" count="2">
            <x v="0"/>
            <x v="1"/>
          </reference>
        </references>
      </pivotArea>
    </format>
    <format dxfId="269">
      <pivotArea outline="0" fieldPosition="0">
        <references count="1">
          <reference field="4294967294" count="1">
            <x v="3"/>
          </reference>
        </references>
      </pivotArea>
    </format>
    <format dxfId="268">
      <pivotArea outline="0" fieldPosition="0">
        <references count="1">
          <reference field="4294967294" count="1" selected="0">
            <x v="2"/>
          </reference>
        </references>
      </pivotArea>
    </format>
  </formats>
  <conditionalFormats count="1">
    <conditionalFormat priority="5">
      <pivotAreas count="1">
        <pivotArea type="data" outline="0" collapsedLevelsAreSubtotals="1" fieldPosition="0">
          <references count="1">
            <reference field="4294967294" count="1" selected="0">
              <x v="2"/>
            </reference>
          </references>
        </pivotArea>
      </pivotAreas>
    </conditionalFormat>
  </conditional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4B63AB-32ED-42FF-ABF8-F3A5BCC86DE2}" name="PivotTable2" cacheId="34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8">
  <location ref="E24:K36" firstHeaderRow="0" firstDataRow="1" firstDataCol="4" rowPageCount="3" colPageCount="1"/>
  <pivotFields count="24">
    <pivotField axis="axisPage" compact="0" numFmtId="166" outline="0" showAll="0" defaultSubtotal="0">
      <items count="74">
        <item m="1" x="17"/>
        <item m="1" x="72"/>
        <item m="1" x="18"/>
        <item m="1" x="23"/>
        <item m="1" x="25"/>
        <item m="1" x="19"/>
        <item m="1" x="21"/>
        <item m="1" x="22"/>
        <item m="1" x="20"/>
        <item m="1" x="24"/>
        <item m="1" x="27"/>
        <item m="1" x="26"/>
        <item m="1" x="73"/>
        <item m="1" x="28"/>
        <item m="1" x="29"/>
        <item m="1" x="30"/>
        <item m="1" x="31"/>
        <item m="1" x="32"/>
        <item m="1" x="33"/>
        <item m="1" x="34"/>
        <item m="1" x="35"/>
        <item m="1" x="36"/>
        <item m="1" x="37"/>
        <item x="0"/>
        <item m="1" x="38"/>
        <item m="1" x="39"/>
        <item x="1"/>
        <item m="1" x="40"/>
        <item x="2"/>
        <item x="3"/>
        <item x="4"/>
        <item m="1" x="41"/>
        <item x="5"/>
        <item m="1" x="42"/>
        <item m="1" x="43"/>
        <item m="1" x="44"/>
        <item m="1" x="45"/>
        <item m="1" x="46"/>
        <item m="1" x="47"/>
        <item m="1" x="48"/>
        <item m="1" x="49"/>
        <item x="6"/>
        <item x="9"/>
        <item x="7"/>
        <item m="1" x="50"/>
        <item m="1" x="51"/>
        <item x="11"/>
        <item m="1" x="52"/>
        <item x="12"/>
        <item x="8"/>
        <item m="1" x="53"/>
        <item x="10"/>
        <item m="1" x="54"/>
        <item m="1" x="55"/>
        <item m="1" x="56"/>
        <item x="14"/>
        <item x="13"/>
        <item m="1" x="57"/>
        <item x="15"/>
        <item m="1" x="58"/>
        <item x="16"/>
        <item m="1" x="59"/>
        <item m="1" x="60"/>
        <item m="1" x="71"/>
        <item m="1" x="61"/>
        <item m="1" x="62"/>
        <item m="1" x="63"/>
        <item m="1" x="64"/>
        <item m="1" x="66"/>
        <item m="1" x="65"/>
        <item m="1" x="67"/>
        <item m="1" x="68"/>
        <item m="1" x="69"/>
        <item m="1" x="70"/>
      </items>
      <extLst>
        <ext xmlns:x14="http://schemas.microsoft.com/office/spreadsheetml/2009/9/main" uri="{2946ED86-A175-432a-8AC1-64E0C546D7DE}">
          <x14:pivotField fillDownLabels="1"/>
        </ext>
      </extLst>
    </pivotField>
    <pivotField axis="axisRow" compact="0" outline="0" showAll="0" defaultSubtotal="0">
      <items count="33">
        <item m="1" x="8"/>
        <item m="1" x="5"/>
        <item m="1" x="7"/>
        <item m="1" x="6"/>
        <item m="1" x="28"/>
        <item m="1" x="10"/>
        <item x="0"/>
        <item x="1"/>
        <item m="1" x="11"/>
        <item m="1" x="12"/>
        <item x="2"/>
        <item m="1" x="13"/>
        <item m="1" x="14"/>
        <item m="1" x="15"/>
        <item m="1" x="16"/>
        <item m="1" x="32"/>
        <item x="3"/>
        <item m="1" x="17"/>
        <item m="1" x="18"/>
        <item m="1" x="19"/>
        <item m="1" x="31"/>
        <item m="1" x="29"/>
        <item m="1" x="20"/>
        <item m="1" x="30"/>
        <item m="1" x="22"/>
        <item m="1" x="23"/>
        <item x="4"/>
        <item m="1" x="21"/>
        <item m="1" x="9"/>
        <item m="1" x="24"/>
        <item m="1" x="25"/>
        <item m="1" x="26"/>
        <item m="1" x="27"/>
      </items>
      <extLst>
        <ext xmlns:x14="http://schemas.microsoft.com/office/spreadsheetml/2009/9/main" uri="{2946ED86-A175-432a-8AC1-64E0C546D7DE}">
          <x14:pivotField fillDownLabels="1"/>
        </ext>
      </extLst>
    </pivotField>
    <pivotField compact="0" outline="0" showAll="0">
      <items count="5">
        <item x="1"/>
        <item x="0"/>
        <item m="1" x="2"/>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defaultSubtotal="0">
      <items count="3">
        <item x="0"/>
        <item x="1"/>
        <item m="1" x="2"/>
      </items>
      <extLst>
        <ext xmlns:x14="http://schemas.microsoft.com/office/spreadsheetml/2009/9/main" uri="{2946ED86-A175-432a-8AC1-64E0C546D7DE}">
          <x14:pivotField fillDownLabels="1"/>
        </ext>
      </extLst>
    </pivotField>
    <pivotField axis="axisPage" compact="0" outline="0" showAll="0" defaultSubtotal="0">
      <items count="3">
        <item x="0"/>
        <item x="1"/>
        <item m="1" x="2"/>
      </items>
      <extLst>
        <ext xmlns:x14="http://schemas.microsoft.com/office/spreadsheetml/2009/9/main" uri="{2946ED86-A175-432a-8AC1-64E0C546D7DE}">
          <x14:pivotField fillDownLabels="1"/>
        </ext>
      </extLst>
    </pivotField>
    <pivotField axis="axisRow" compact="0" outline="0" showAll="0" defaultSubtotal="0">
      <items count="44">
        <item m="1" x="10"/>
        <item m="1" x="12"/>
        <item m="1" x="40"/>
        <item m="1" x="41"/>
        <item m="1" x="5"/>
        <item m="1" x="6"/>
        <item x="1"/>
        <item m="1" x="13"/>
        <item m="1" x="9"/>
        <item m="1" x="11"/>
        <item m="1" x="38"/>
        <item m="1" x="39"/>
        <item m="1" x="14"/>
        <item m="1" x="15"/>
        <item m="1" x="43"/>
        <item m="1" x="42"/>
        <item m="1" x="7"/>
        <item m="1" x="8"/>
        <item m="1" x="37"/>
        <item m="1" x="16"/>
        <item m="1" x="17"/>
        <item m="1" x="18"/>
        <item m="1" x="19"/>
        <item m="1" x="24"/>
        <item x="0"/>
        <item m="1" x="20"/>
        <item x="4"/>
        <item m="1" x="23"/>
        <item m="1" x="21"/>
        <item m="1" x="25"/>
        <item m="1" x="26"/>
        <item x="2"/>
        <item x="3"/>
        <item m="1" x="22"/>
        <item m="1" x="27"/>
        <item m="1" x="28"/>
        <item m="1" x="29"/>
        <item m="1" x="30"/>
        <item m="1" x="35"/>
        <item m="1" x="36"/>
        <item m="1" x="31"/>
        <item m="1" x="32"/>
        <item m="1" x="33"/>
        <item m="1" x="34"/>
      </items>
      <extLst>
        <ext xmlns:x14="http://schemas.microsoft.com/office/spreadsheetml/2009/9/main" uri="{2946ED86-A175-432a-8AC1-64E0C546D7DE}">
          <x14:pivotField fillDownLabels="1"/>
        </ext>
      </extLst>
    </pivotField>
    <pivotField axis="axisRow" compact="0" outline="0" showAll="0" defaultSubtotal="0">
      <items count="22">
        <item x="0"/>
        <item x="1"/>
        <item m="1" x="2"/>
        <item m="1" x="3"/>
        <item m="1" x="5"/>
        <item m="1" x="4"/>
        <item m="1" x="6"/>
        <item m="1" x="7"/>
        <item m="1" x="8"/>
        <item m="1" x="9"/>
        <item m="1" x="10"/>
        <item m="1" x="11"/>
        <item m="1" x="12"/>
        <item m="1" x="13"/>
        <item m="1" x="21"/>
        <item m="1" x="14"/>
        <item m="1" x="15"/>
        <item m="1" x="16"/>
        <item m="1" x="17"/>
        <item m="1" x="18"/>
        <item m="1" x="19"/>
        <item m="1" x="20"/>
      </items>
      <extLst>
        <ext xmlns:x14="http://schemas.microsoft.com/office/spreadsheetml/2009/9/main" uri="{2946ED86-A175-432a-8AC1-64E0C546D7DE}">
          <x14:pivotField fillDownLabels="1"/>
        </ext>
      </extLst>
    </pivotField>
    <pivotField axis="axisRow" compact="0" numFmtId="166" outline="0" showAll="0" defaultSubtotal="0">
      <items count="101">
        <item m="1" x="3"/>
        <item m="1" x="4"/>
        <item m="1" x="5"/>
        <item m="1" x="6"/>
        <item m="1" x="7"/>
        <item m="1" x="8"/>
        <item m="1" x="9"/>
        <item m="1" x="14"/>
        <item m="1" x="83"/>
        <item m="1" x="10"/>
        <item m="1" x="11"/>
        <item m="1" x="12"/>
        <item m="1" x="13"/>
        <item m="1" x="15"/>
        <item m="1" x="16"/>
        <item m="1" x="17"/>
        <item m="1" x="18"/>
        <item m="1" x="19"/>
        <item m="1" x="20"/>
        <item m="1" x="21"/>
        <item m="1" x="22"/>
        <item m="1" x="23"/>
        <item m="1" x="24"/>
        <item m="1" x="25"/>
        <item x="2"/>
        <item x="1"/>
        <item m="1" x="26"/>
        <item m="1" x="27"/>
        <item m="1" x="28"/>
        <item m="1" x="84"/>
        <item x="0"/>
        <item m="1" x="29"/>
        <item m="1" x="30"/>
        <item m="1" x="95"/>
        <item m="1" x="9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97"/>
        <item m="1" x="98"/>
        <item m="1" x="99"/>
        <item m="1" x="100"/>
        <item m="1" x="66"/>
        <item m="1" x="67"/>
        <item m="1" x="68"/>
        <item m="1" x="69"/>
        <item m="1" x="70"/>
        <item m="1" x="71"/>
        <item m="1" x="72"/>
        <item m="1" x="89"/>
        <item m="1" x="90"/>
        <item m="1" x="91"/>
        <item m="1" x="92"/>
        <item m="1" x="93"/>
        <item m="1" x="94"/>
        <item m="1" x="79"/>
        <item m="1" x="80"/>
        <item m="1" x="81"/>
        <item m="1" x="82"/>
        <item m="1" x="85"/>
        <item m="1" x="86"/>
        <item m="1" x="73"/>
        <item m="1" x="74"/>
        <item m="1" x="75"/>
        <item m="1" x="76"/>
        <item m="1" x="77"/>
        <item m="1" x="78"/>
        <item m="1" x="87"/>
        <item m="1" x="88"/>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5">
        <item m="1" x="1"/>
        <item x="0"/>
        <item m="1" x="2"/>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items count="9">
        <item m="1" x="8"/>
        <item m="1" x="1"/>
        <item m="1" x="5"/>
        <item m="1" x="6"/>
        <item m="1" x="2"/>
        <item x="0"/>
        <item m="1" x="7"/>
        <item m="1" x="4"/>
        <item m="1" x="3"/>
      </items>
      <extLst>
        <ext xmlns:x14="http://schemas.microsoft.com/office/spreadsheetml/2009/9/main" uri="{2946ED86-A175-432a-8AC1-64E0C546D7DE}">
          <x14:pivotField fillDownLabels="1"/>
        </ext>
      </extLst>
    </pivotField>
    <pivotField compact="0" outline="0" showAll="0">
      <items count="7">
        <item m="1" x="2"/>
        <item m="1" x="5"/>
        <item m="1" x="4"/>
        <item x="0"/>
        <item m="1" x="3"/>
        <item x="1"/>
        <item t="default"/>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4">
    <field x="1"/>
    <field x="7"/>
    <field x="8"/>
    <field x="9"/>
  </rowFields>
  <rowItems count="12">
    <i>
      <x v="6"/>
      <x v="24"/>
      <x/>
      <x v="30"/>
    </i>
    <i r="1">
      <x v="26"/>
      <x/>
      <x v="30"/>
    </i>
    <i>
      <x v="7"/>
      <x v="6"/>
      <x/>
      <x v="25"/>
    </i>
    <i r="1">
      <x v="24"/>
      <x/>
      <x v="30"/>
    </i>
    <i>
      <x v="10"/>
      <x v="6"/>
      <x/>
      <x v="25"/>
    </i>
    <i r="1">
      <x v="24"/>
      <x/>
      <x v="30"/>
    </i>
    <i r="1">
      <x v="31"/>
      <x/>
      <x v="24"/>
    </i>
    <i r="1">
      <x v="32"/>
      <x v="1"/>
      <x v="25"/>
    </i>
    <i>
      <x v="16"/>
      <x v="24"/>
      <x/>
      <x v="30"/>
    </i>
    <i r="1">
      <x v="26"/>
      <x/>
      <x v="30"/>
    </i>
    <i>
      <x v="26"/>
      <x v="6"/>
      <x/>
      <x v="25"/>
    </i>
    <i t="grand">
      <x/>
    </i>
  </rowItems>
  <colFields count="1">
    <field x="-2"/>
  </colFields>
  <colItems count="3">
    <i>
      <x/>
    </i>
    <i i="1">
      <x v="1"/>
    </i>
    <i i="2">
      <x v="2"/>
    </i>
  </colItems>
  <pageFields count="3">
    <pageField fld="0" hier="-1"/>
    <pageField fld="5" hier="-1"/>
    <pageField fld="6" hier="-1"/>
  </pageFields>
  <dataFields count="3">
    <dataField name="SEATS_BOOKED " fld="11" baseField="0" baseItem="0" numFmtId="3"/>
    <dataField name="AVG_FARE_PER_SEAT " fld="23" baseField="6" baseItem="0" numFmtId="167"/>
    <dataField name="NET_REVENUE " fld="15" baseField="6" baseItem="23" numFmtId="167"/>
  </dataFields>
  <formats count="4">
    <format dxfId="206">
      <pivotArea dataOnly="0" outline="0" fieldPosition="0">
        <references count="1">
          <reference field="4294967294" count="1">
            <x v="0"/>
          </reference>
        </references>
      </pivotArea>
    </format>
    <format dxfId="205">
      <pivotArea dataOnly="0" outline="0" fieldPosition="0">
        <references count="1">
          <reference field="4294967294" count="1">
            <x v="0"/>
          </reference>
        </references>
      </pivotArea>
    </format>
    <format dxfId="204">
      <pivotArea outline="0" fieldPosition="0">
        <references count="1">
          <reference field="4294967294" count="1">
            <x v="1"/>
          </reference>
        </references>
      </pivotArea>
    </format>
    <format dxfId="203">
      <pivotArea dataOnly="0" labelOnly="1" outline="0" fieldPosition="0">
        <references count="1">
          <reference field="9" count="0"/>
        </references>
      </pivotArea>
    </format>
  </formats>
  <chartFormats count="1">
    <chartFormat chart="3" format="0"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4ABC02C-DE1D-414F-BF3A-37790E183314}" name="PivotTable2" cacheId="34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14:G19" firstHeaderRow="0" firstDataRow="1" firstDataCol="2"/>
  <pivotFields count="24">
    <pivotField compact="0" numFmtId="166" outline="0" showAll="0"/>
    <pivotField axis="axisRow" compact="0" outline="0" showAll="0" sortType="ascending">
      <items count="34">
        <item h="1" m="1" x="18"/>
        <item h="1" m="1" x="23"/>
        <item h="1" x="4"/>
        <item h="1" m="1" x="32"/>
        <item h="1" x="3"/>
        <item h="1" x="0"/>
        <item x="2"/>
        <item h="1" m="1" x="30"/>
        <item h="1" m="1" x="26"/>
        <item h="1" m="1" x="13"/>
        <item x="1"/>
        <item m="1" x="12"/>
        <item h="1" m="1" x="22"/>
        <item h="1" m="1" x="16"/>
        <item h="1" m="1" x="8"/>
        <item h="1" m="1" x="19"/>
        <item h="1" m="1" x="27"/>
        <item h="1" m="1" x="25"/>
        <item h="1" m="1" x="24"/>
        <item h="1" m="1" x="28"/>
        <item h="1" m="1" x="9"/>
        <item h="1" m="1" x="14"/>
        <item h="1" m="1" x="20"/>
        <item h="1" m="1" x="31"/>
        <item h="1" m="1" x="10"/>
        <item h="1" m="1" x="15"/>
        <item h="1" m="1" x="17"/>
        <item h="1" m="1" x="21"/>
        <item m="1" x="11"/>
        <item h="1" m="1" x="6"/>
        <item h="1" m="1" x="7"/>
        <item h="1" m="1" x="5"/>
        <item h="1" m="1" x="29"/>
        <item t="default"/>
      </items>
    </pivotField>
    <pivotField compact="0" outline="0" showAll="0"/>
    <pivotField compact="0" outline="0" showAll="0"/>
    <pivotField compact="0" outline="0" showAll="0"/>
    <pivotField compact="0" outline="0" showAll="0"/>
    <pivotField compact="0" outline="0" showAll="0"/>
    <pivotField compact="0" outline="0" showAll="0">
      <items count="45">
        <item m="1" x="12"/>
        <item m="1" x="10"/>
        <item m="1" x="6"/>
        <item m="1" x="5"/>
        <item m="1" x="11"/>
        <item m="1" x="9"/>
        <item m="1" x="20"/>
        <item x="0"/>
        <item m="1" x="13"/>
        <item x="1"/>
        <item m="1" x="36"/>
        <item m="1" x="42"/>
        <item m="1" x="43"/>
        <item m="1" x="19"/>
        <item m="1" x="18"/>
        <item m="1" x="34"/>
        <item m="1" x="33"/>
        <item m="1" x="23"/>
        <item x="4"/>
        <item m="1" x="22"/>
        <item m="1" x="35"/>
        <item x="3"/>
        <item x="2"/>
        <item m="1" x="8"/>
        <item m="1" x="7"/>
        <item m="1" x="30"/>
        <item m="1" x="29"/>
        <item m="1" x="41"/>
        <item m="1" x="40"/>
        <item m="1" x="26"/>
        <item m="1" x="25"/>
        <item m="1" x="28"/>
        <item m="1" x="27"/>
        <item m="1" x="17"/>
        <item m="1" x="16"/>
        <item m="1" x="21"/>
        <item m="1" x="24"/>
        <item m="1" x="32"/>
        <item m="1" x="31"/>
        <item m="1" x="14"/>
        <item m="1" x="15"/>
        <item m="1" x="38"/>
        <item m="1" x="39"/>
        <item m="1" x="37"/>
        <item t="default"/>
      </items>
    </pivotField>
    <pivotField compact="0" outline="0" showAll="0">
      <items count="23">
        <item m="1" x="2"/>
        <item m="1" x="14"/>
        <item m="1" x="16"/>
        <item m="1" x="13"/>
        <item m="1" x="9"/>
        <item m="1" x="10"/>
        <item m="1" x="4"/>
        <item m="1" x="12"/>
        <item x="0"/>
        <item m="1" x="19"/>
        <item m="1" x="11"/>
        <item m="1" x="3"/>
        <item m="1" x="15"/>
        <item m="1" x="17"/>
        <item m="1" x="5"/>
        <item m="1" x="18"/>
        <item x="1"/>
        <item m="1" x="20"/>
        <item m="1" x="7"/>
        <item m="1" x="8"/>
        <item m="1" x="6"/>
        <item m="1" x="21"/>
        <item t="default"/>
      </items>
    </pivotField>
    <pivotField compact="0" numFmtId="166" outline="0" showAll="0"/>
    <pivotField dataField="1" compact="0" outline="0" showAll="0"/>
    <pivotField dataField="1" compact="0" outline="0" showAll="0"/>
    <pivotField compact="0" outline="0" showAll="0"/>
    <pivotField compact="0" numFmtId="4" outline="0" showAll="0"/>
    <pivotField compact="0" numFmtId="4" outline="0" showAll="0"/>
    <pivotField dataField="1" compact="0" numFmtId="4" outline="0" showAll="0"/>
    <pivotField compact="0" outline="0" showAll="0">
      <items count="5">
        <item m="1" x="1"/>
        <item x="0"/>
        <item m="1" x="2"/>
        <item m="1" x="3"/>
        <item t="default"/>
      </items>
    </pivotField>
    <pivotField axis="axisRow" compact="0" outline="0" showAll="0">
      <items count="8">
        <item m="1" x="4"/>
        <item x="1"/>
        <item x="0"/>
        <item x="2"/>
        <item m="1" x="6"/>
        <item m="1" x="3"/>
        <item m="1" x="5"/>
        <item t="default"/>
      </items>
    </pivotField>
    <pivotField compact="0" outline="0" showAll="0"/>
    <pivotField compact="0" outline="0" showAll="0"/>
    <pivotField compact="0" outline="0" showAll="0">
      <items count="10">
        <item m="1" x="8"/>
        <item m="1" x="1"/>
        <item m="1" x="5"/>
        <item m="1" x="6"/>
        <item m="1" x="2"/>
        <item x="0"/>
        <item m="1" x="7"/>
        <item m="1" x="4"/>
        <item m="1" x="3"/>
        <item t="default"/>
      </items>
    </pivotField>
    <pivotField compact="0" outline="0" showAll="0">
      <items count="7">
        <item m="1" x="2"/>
        <item m="1" x="5"/>
        <item m="1" x="4"/>
        <item x="0"/>
        <item m="1" x="3"/>
        <item x="1"/>
        <item t="default"/>
      </items>
    </pivotField>
    <pivotField compact="0" outline="0" showAll="0"/>
    <pivotField compact="0" outline="0" dragToRow="0" dragToCol="0" dragToPage="0" showAll="0" defaultSubtotal="0"/>
  </pivotFields>
  <rowFields count="2">
    <field x="1"/>
    <field x="17"/>
  </rowFields>
  <rowItems count="5">
    <i>
      <x v="6"/>
      <x v="1"/>
    </i>
    <i t="default">
      <x v="6"/>
    </i>
    <i>
      <x v="10"/>
      <x v="1"/>
    </i>
    <i t="default">
      <x v="10"/>
    </i>
    <i t="grand">
      <x/>
    </i>
  </rowItems>
  <colFields count="1">
    <field x="-2"/>
  </colFields>
  <colItems count="3">
    <i>
      <x/>
    </i>
    <i i="1">
      <x v="1"/>
    </i>
    <i i="2">
      <x v="2"/>
    </i>
  </colItems>
  <dataFields count="3">
    <dataField name="REQUESTED_SEATS " fld="10" baseField="7" baseItem="0" numFmtId="3"/>
    <dataField name="SEATS_BOOKED " fld="11" baseField="7" baseItem="0" numFmtId="3"/>
    <dataField name="NET_REVENUE " fld="15" baseField="15" baseItem="0" numFmtId="167"/>
  </dataFields>
  <formats count="10">
    <format dxfId="202">
      <pivotArea type="all" dataOnly="0" outline="0" fieldPosition="0"/>
    </format>
    <format dxfId="201">
      <pivotArea outline="0" collapsedLevelsAreSubtotals="1" fieldPosition="0"/>
    </format>
    <format dxfId="200">
      <pivotArea dataOnly="0" labelOnly="1" grandRow="1" outline="0" fieldPosition="0"/>
    </format>
    <format dxfId="199">
      <pivotArea type="all" dataOnly="0" outline="0" fieldPosition="0"/>
    </format>
    <format dxfId="198">
      <pivotArea type="all" dataOnly="0" outline="0" fieldPosition="0"/>
    </format>
    <format dxfId="197">
      <pivotArea outline="0" collapsedLevelsAreSubtotals="1" fieldPosition="0"/>
    </format>
    <format dxfId="196">
      <pivotArea dataOnly="0" labelOnly="1" grandRow="1" outline="0" fieldPosition="0"/>
    </format>
    <format dxfId="195">
      <pivotArea outline="0" fieldPosition="0">
        <references count="1">
          <reference field="4294967294" count="1">
            <x v="0"/>
          </reference>
        </references>
      </pivotArea>
    </format>
    <format dxfId="194">
      <pivotArea outline="0" fieldPosition="0">
        <references count="1">
          <reference field="4294967294" count="1">
            <x v="1"/>
          </reference>
        </references>
      </pivotArea>
    </format>
    <format dxfId="193">
      <pivotArea outline="0" fieldPosition="0">
        <references count="1">
          <reference field="4294967294" count="1">
            <x v="2"/>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STATUS2" xr10:uid="{A11FCA33-56BE-4002-A0EF-0DF89EAF6C07}" sourceName="BOOKING_STATUS">
  <pivotTables>
    <pivotTable tabId="117" name="PivotTable2"/>
  </pivotTables>
  <data>
    <tabular pivotCacheId="156217229">
      <items count="4">
        <i x="0" s="1"/>
        <i x="1" s="1" nd="1"/>
        <i x="2"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ACT_STATUS" xr10:uid="{69D004CC-FA2B-4EB8-81D6-C9FB9774094A}" sourceName="CONTRACT_STATUS">
  <pivotTables>
    <pivotTable tabId="117" name="PivotTable2"/>
  </pivotTables>
  <data>
    <tabular pivotCacheId="156217229">
      <items count="7">
        <i x="1" s="1"/>
        <i x="3" s="1" nd="1"/>
        <i x="0" s="1" nd="1"/>
        <i x="4" s="1" nd="1"/>
        <i x="5" s="1" nd="1"/>
        <i x="2" s="1" nd="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T_NO2" xr10:uid="{039592CD-2E2D-45F0-AC4B-C143721EBF9D}" sourceName="FLT_NO">
  <pivotTables>
    <pivotTable tabId="117" name="PivotTable2"/>
  </pivotTables>
  <data>
    <tabular pivotCacheId="156217229">
      <items count="44">
        <i x="0" s="1"/>
        <i x="1" s="1"/>
        <i x="3" s="1"/>
        <i x="2" s="1"/>
        <i x="12" s="1" nd="1"/>
        <i x="10" s="1" nd="1"/>
        <i x="6" s="1" nd="1"/>
        <i x="5" s="1" nd="1"/>
        <i x="11" s="1" nd="1"/>
        <i x="9" s="1" nd="1"/>
        <i x="20" s="1" nd="1"/>
        <i x="13" s="1" nd="1"/>
        <i x="36" s="1" nd="1"/>
        <i x="42" s="1" nd="1"/>
        <i x="43" s="1" nd="1"/>
        <i x="19" s="1" nd="1"/>
        <i x="18" s="1" nd="1"/>
        <i x="34" s="1" nd="1"/>
        <i x="33" s="1" nd="1"/>
        <i x="23" s="1" nd="1"/>
        <i x="4" s="1" nd="1"/>
        <i x="22" s="1" nd="1"/>
        <i x="35" s="1" nd="1"/>
        <i x="8" s="1" nd="1"/>
        <i x="7" s="1" nd="1"/>
        <i x="30" s="1" nd="1"/>
        <i x="29" s="1" nd="1"/>
        <i x="41" s="1" nd="1"/>
        <i x="40" s="1" nd="1"/>
        <i x="26" s="1" nd="1"/>
        <i x="25" s="1" nd="1"/>
        <i x="28" s="1" nd="1"/>
        <i x="27" s="1" nd="1"/>
        <i x="17" s="1" nd="1"/>
        <i x="16" s="1" nd="1"/>
        <i x="21" s="1" nd="1"/>
        <i x="24" s="1" nd="1"/>
        <i x="32" s="1" nd="1"/>
        <i x="31" s="1" nd="1"/>
        <i x="14" s="1" nd="1"/>
        <i x="15" s="1" nd="1"/>
        <i x="38" s="1" nd="1"/>
        <i x="39" s="1" nd="1"/>
        <i x="3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2" xr10:uid="{E9418AD6-53BC-49F7-8C6B-023DD933043E}" sourceName="SECTOR">
  <pivotTables>
    <pivotTable tabId="117" name="PivotTable2"/>
  </pivotTables>
  <data>
    <tabular pivotCacheId="156217229">
      <items count="22">
        <i x="0" s="1"/>
        <i x="1" s="1"/>
        <i x="2" s="1" nd="1"/>
        <i x="14" s="1" nd="1"/>
        <i x="16" s="1" nd="1"/>
        <i x="13" s="1" nd="1"/>
        <i x="9" s="1" nd="1"/>
        <i x="10" s="1" nd="1"/>
        <i x="4" s="1" nd="1"/>
        <i x="12" s="1" nd="1"/>
        <i x="19" s="1" nd="1"/>
        <i x="11" s="1" nd="1"/>
        <i x="3" s="1" nd="1"/>
        <i x="15" s="1" nd="1"/>
        <i x="17" s="1" nd="1"/>
        <i x="5" s="1" nd="1"/>
        <i x="18" s="1" nd="1"/>
        <i x="20" s="1" nd="1"/>
        <i x="7" s="1" nd="1"/>
        <i x="8" s="1" nd="1"/>
        <i x="6"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1" xr10:uid="{1957E56D-0C3F-4F20-8E01-E0654B6222B5}" sourceName="ROUTE">
  <pivotTables>
    <pivotTable tabId="117" name="PivotTable2"/>
  </pivotTables>
  <data>
    <tabular pivotCacheId="156217229">
      <items count="9">
        <i x="0" s="1"/>
        <i x="8" s="1" nd="1"/>
        <i x="1" s="1" nd="1"/>
        <i x="5" s="1" nd="1"/>
        <i x="6" s="1" nd="1"/>
        <i x="2" s="1" nd="1"/>
        <i x="7" s="1" nd="1"/>
        <i x="4"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3" xr10:uid="{A0662B6B-36BA-402C-81B0-091289731A37}" sourceName="DAY">
  <pivotTables>
    <pivotTable tabId="117" name="PivotTable2"/>
  </pivotTables>
  <data>
    <tabular pivotCacheId="156217229">
      <items count="6">
        <i x="0" s="1"/>
        <i x="1" s="1"/>
        <i x="2" s="1" nd="1"/>
        <i x="5" s="1" nd="1"/>
        <i x="4" s="1" nd="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T_NO11" xr10:uid="{BCF70230-90BF-4A2B-95B6-31CE55F44ABF}" sourceName="FLT_NO">
  <pivotTables>
    <pivotTable tabId="133" name="PivotTable2"/>
  </pivotTables>
  <data>
    <tabular pivotCacheId="156217229">
      <items count="44">
        <i x="0" s="1"/>
        <i x="1" s="1"/>
        <i x="4" s="1"/>
        <i x="3" s="1"/>
        <i x="2" s="1"/>
        <i x="12" s="1" nd="1"/>
        <i x="10" s="1" nd="1"/>
        <i x="6" s="1" nd="1"/>
        <i x="5" s="1" nd="1"/>
        <i x="11" s="1" nd="1"/>
        <i x="9" s="1" nd="1"/>
        <i x="20" s="1" nd="1"/>
        <i x="13" s="1" nd="1"/>
        <i x="36" s="1" nd="1"/>
        <i x="42" s="1" nd="1"/>
        <i x="43" s="1" nd="1"/>
        <i x="19" s="1" nd="1"/>
        <i x="18" s="1" nd="1"/>
        <i x="34" s="1" nd="1"/>
        <i x="33" s="1" nd="1"/>
        <i x="23" s="1" nd="1"/>
        <i x="22" s="1" nd="1"/>
        <i x="35" s="1" nd="1"/>
        <i x="8" s="1" nd="1"/>
        <i x="7" s="1" nd="1"/>
        <i x="30" s="1" nd="1"/>
        <i x="29" s="1" nd="1"/>
        <i x="41" s="1" nd="1"/>
        <i x="40" s="1" nd="1"/>
        <i x="26" s="1" nd="1"/>
        <i x="25" s="1" nd="1"/>
        <i x="28" s="1" nd="1"/>
        <i x="27" s="1" nd="1"/>
        <i x="17" s="1" nd="1"/>
        <i x="16" s="1" nd="1"/>
        <i x="21" s="1" nd="1"/>
        <i x="24" s="1" nd="1"/>
        <i x="32" s="1" nd="1"/>
        <i x="31" s="1" nd="1"/>
        <i x="14" s="1" nd="1"/>
        <i x="15" s="1" nd="1"/>
        <i x="38" s="1" nd="1"/>
        <i x="39" s="1" nd="1"/>
        <i x="37"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11" xr10:uid="{F7DFEE9C-915C-40CD-8CE2-C233E836B623}" sourceName="SECTOR">
  <pivotTables>
    <pivotTable tabId="133" name="PivotTable2"/>
  </pivotTables>
  <data>
    <tabular pivotCacheId="156217229">
      <items count="22">
        <i x="0" s="1"/>
        <i x="1" s="1"/>
        <i x="2" s="1" nd="1"/>
        <i x="14" s="1" nd="1"/>
        <i x="16" s="1" nd="1"/>
        <i x="13" s="1" nd="1"/>
        <i x="9" s="1" nd="1"/>
        <i x="10" s="1" nd="1"/>
        <i x="4" s="1" nd="1"/>
        <i x="12" s="1" nd="1"/>
        <i x="19" s="1" nd="1"/>
        <i x="11" s="1" nd="1"/>
        <i x="3" s="1" nd="1"/>
        <i x="15" s="1" nd="1"/>
        <i x="17" s="1" nd="1"/>
        <i x="5" s="1" nd="1"/>
        <i x="18" s="1" nd="1"/>
        <i x="20" s="1" nd="1"/>
        <i x="7" s="1" nd="1"/>
        <i x="8" s="1" nd="1"/>
        <i x="6" s="1" nd="1"/>
        <i x="21"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211" xr10:uid="{AACC982B-7DDA-4A97-B8BC-AA48ADE28585}" sourceName="DAY">
  <pivotTables>
    <pivotTable tabId="133" name="PivotTable2"/>
  </pivotTables>
  <data>
    <tabular pivotCacheId="156217229">
      <items count="6">
        <i x="0" s="1"/>
        <i x="1" s="1"/>
        <i x="2" s="1" nd="1"/>
        <i x="5" s="1" nd="1"/>
        <i x="4" s="1" nd="1"/>
        <i x="3"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ING_STATUS11" xr10:uid="{CE56DA66-A22A-476C-A19D-0A1A573B17A9}" sourceName="BOOKING_STATUS">
  <pivotTables>
    <pivotTable tabId="133" name="PivotTable2"/>
  </pivotTables>
  <data>
    <tabular pivotCacheId="156217229">
      <items count="4">
        <i x="0" s="1"/>
        <i x="1" s="1" nd="1"/>
        <i x="2" s="1" nd="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RIBUTOR2" xr10:uid="{DC1503A7-EB8C-4BD5-9A2A-C0CBADEE9FDD}" sourceName="CONTRIBUTOR">
  <pivotTables>
    <pivotTable tabId="133" name="PivotTable2"/>
  </pivotTables>
  <data>
    <tabular pivotCacheId="156217229">
      <items count="33">
        <i x="4" s="1"/>
        <i x="3" s="1"/>
        <i x="0" s="1"/>
        <i x="2" s="1"/>
        <i x="1" s="1"/>
        <i x="18" s="1" nd="1"/>
        <i x="23" s="1" nd="1"/>
        <i x="32" s="1" nd="1"/>
        <i x="30" s="1" nd="1"/>
        <i x="26" s="1" nd="1"/>
        <i x="13" s="1" nd="1"/>
        <i x="12" s="1" nd="1"/>
        <i x="22" s="1" nd="1"/>
        <i x="16" s="1" nd="1"/>
        <i x="8" s="1" nd="1"/>
        <i x="19" s="1" nd="1"/>
        <i x="27" s="1" nd="1"/>
        <i x="25" s="1" nd="1"/>
        <i x="24" s="1" nd="1"/>
        <i x="28" s="1" nd="1"/>
        <i x="9" s="1" nd="1"/>
        <i x="14" s="1" nd="1"/>
        <i x="20" s="1" nd="1"/>
        <i x="31" s="1" nd="1"/>
        <i x="10" s="1" nd="1"/>
        <i x="15" s="1" nd="1"/>
        <i x="17" s="1" nd="1"/>
        <i x="21" s="1" nd="1"/>
        <i x="11" s="1" nd="1"/>
        <i x="6" s="1" nd="1"/>
        <i x="7" s="1" nd="1"/>
        <i x="5" s="1" nd="1"/>
        <i x="29"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AC5C459B-CA6C-4709-AB42-5F9297541B55}" sourceName="CATEGORY">
  <pivotTables>
    <pivotTable tabId="133" name="PivotTable2"/>
  </pivotTables>
  <data>
    <tabular pivotCacheId="156217229">
      <items count="4">
        <i x="1" s="1"/>
        <i x="0" s="1"/>
        <i x="2" s="1" nd="1"/>
        <i x="3"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IGHT_DATE1" xr10:uid="{FA7C2A76-9AB0-43D9-8BCC-4C87493259CB}" sourceName="FLIGHT_DATE">
  <pivotTables>
    <pivotTable tabId="133" name="PivotTable2"/>
  </pivotTables>
  <data>
    <tabular pivotCacheId="156217229">
      <items count="101">
        <i x="2" s="1"/>
        <i x="1" s="1"/>
        <i x="0" s="1"/>
        <i x="88" s="1" nd="1"/>
        <i x="31" s="1" nd="1"/>
        <i x="32" s="1" nd="1"/>
        <i x="34" s="1" nd="1"/>
        <i x="33" s="1" nd="1"/>
        <i x="25" s="1" nd="1"/>
        <i x="10" s="1" nd="1"/>
        <i x="11" s="1" nd="1"/>
        <i x="12" s="1" nd="1"/>
        <i x="26" s="1" nd="1"/>
        <i x="29" s="1" nd="1"/>
        <i x="13" s="1" nd="1"/>
        <i x="27" s="1" nd="1"/>
        <i x="30" s="1" nd="1"/>
        <i x="14" s="1" nd="1"/>
        <i x="28" s="1" nd="1"/>
        <i x="83" s="1" nd="1"/>
        <i x="84" s="1" nd="1"/>
        <i x="95" s="1" nd="1"/>
        <i x="96" s="1" nd="1"/>
        <i x="35" s="1" nd="1"/>
        <i x="36" s="1" nd="1"/>
        <i x="37" s="1" nd="1"/>
        <i x="85" s="1" nd="1"/>
        <i x="38" s="1" nd="1"/>
        <i x="87" s="1" nd="1"/>
        <i x="79" s="1" nd="1"/>
        <i x="66" s="1" nd="1"/>
        <i x="39" s="1" nd="1"/>
        <i x="51" s="1" nd="1"/>
        <i x="3" s="1" nd="1"/>
        <i x="89" s="1" nd="1"/>
        <i x="73" s="1" nd="1"/>
        <i x="67" s="1" nd="1"/>
        <i x="40" s="1" nd="1"/>
        <i x="52" s="1" nd="1"/>
        <i x="4" s="1" nd="1"/>
        <i x="90" s="1" nd="1"/>
        <i x="74" s="1" nd="1"/>
        <i x="68" s="1" nd="1"/>
        <i x="41" s="1" nd="1"/>
        <i x="53" s="1" nd="1"/>
        <i x="5" s="1" nd="1"/>
        <i x="91" s="1" nd="1"/>
        <i x="75" s="1" nd="1"/>
        <i x="69" s="1" nd="1"/>
        <i x="42" s="1" nd="1"/>
        <i x="54" s="1" nd="1"/>
        <i x="6" s="1" nd="1"/>
        <i x="92" s="1" nd="1"/>
        <i x="76" s="1" nd="1"/>
        <i x="70" s="1" nd="1"/>
        <i x="43" s="1" nd="1"/>
        <i x="55" s="1" nd="1"/>
        <i x="7" s="1" nd="1"/>
        <i x="93" s="1" nd="1"/>
        <i x="77" s="1" nd="1"/>
        <i x="71" s="1" nd="1"/>
        <i x="15" s="1" nd="1"/>
        <i x="56" s="1" nd="1"/>
        <i x="8" s="1" nd="1"/>
        <i x="94" s="1" nd="1"/>
        <i x="78" s="1" nd="1"/>
        <i x="72" s="1" nd="1"/>
        <i x="16" s="1" nd="1"/>
        <i x="57" s="1" nd="1"/>
        <i x="9" s="1" nd="1"/>
        <i x="86" s="1" nd="1"/>
        <i x="17" s="1" nd="1"/>
        <i x="58" s="1" nd="1"/>
        <i x="18" s="1" nd="1"/>
        <i x="59" s="1" nd="1"/>
        <i x="19" s="1" nd="1"/>
        <i x="60" s="1" nd="1"/>
        <i x="20" s="1" nd="1"/>
        <i x="61" s="1" nd="1"/>
        <i x="21" s="1" nd="1"/>
        <i x="62" s="1" nd="1"/>
        <i x="22" s="1" nd="1"/>
        <i x="63" s="1" nd="1"/>
        <i x="23" s="1" nd="1"/>
        <i x="64" s="1" nd="1"/>
        <i x="24" s="1" nd="1"/>
        <i x="65" s="1" nd="1"/>
        <i x="44" s="1" nd="1"/>
        <i x="97" s="1" nd="1"/>
        <i x="45" s="1" nd="1"/>
        <i x="98" s="1" nd="1"/>
        <i x="46" s="1" nd="1"/>
        <i x="99" s="1" nd="1"/>
        <i x="49" s="1" nd="1"/>
        <i x="100" s="1" nd="1"/>
        <i x="47" s="1" nd="1"/>
        <i x="80" s="1" nd="1"/>
        <i x="48" s="1" nd="1"/>
        <i x="81" s="1" nd="1"/>
        <i x="50" s="1" nd="1"/>
        <i x="82"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21" xr10:uid="{D4608F9B-4712-4BAB-9689-76961A1EB03A}" sourceName="ROUTE">
  <pivotTables>
    <pivotTable tabId="133" name="PivotTable2"/>
  </pivotTables>
  <data>
    <tabular pivotCacheId="156217229">
      <items count="9">
        <i x="0" s="1"/>
        <i x="8" s="1" nd="1"/>
        <i x="1" s="1" nd="1"/>
        <i x="5" s="1" nd="1"/>
        <i x="6" s="1" nd="1"/>
        <i x="2" s="1" nd="1"/>
        <i x="7"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LT_NO 3" xr10:uid="{6B0B4D8F-2C19-461C-A2EC-5BAE1C1EBE47}" cache="Slicer_FLT_NO11" caption="FLT_NO" rowHeight="262466"/>
  <slicer name="SECTOR 4" xr10:uid="{7A1427C2-F56C-4645-B836-008F59506FE5}" cache="Slicer_SECTOR111" caption="SECTOR" rowHeight="262466"/>
  <slicer name="DAY 5" xr10:uid="{C6F5B319-A83F-42FB-9A8B-B77181B86479}" cache="Slicer_DAY211" caption="DAY" columnCount="7" rowHeight="262466"/>
  <slicer name="BOOKING_STATUS 3" xr10:uid="{C3A5DDD7-2586-4D52-97F2-AB2A37754EAA}" cache="Slicer_BOOKING_STATUS11" caption="BOOKING_STATUS" columnCount="4" rowHeight="262466"/>
  <slicer name="CONTRIBUTOR 2" xr10:uid="{75DEA81F-2D67-42D7-9768-FBAC861521FB}" cache="Slicer_CONTRIBUTOR2" caption="CONTRIBUTOR" columnCount="6" rowHeight="262466"/>
  <slicer name="CATEGORY 2" xr10:uid="{FFF6B908-7D37-48CE-8B18-7673F1EC2CA1}" cache="Slicer_CATEGORY2" caption="CATEGORY" columnCount="2" rowHeight="262466"/>
  <slicer name="FLIGHT_DATE 1" xr10:uid="{166AAE84-BDD6-4C1D-85D6-739409946D42}" cache="Slicer_FLIGHT_DATE1" caption="FLIGHT_DATE" columnCount="9" rowHeight="262466"/>
  <slicer name="ROUTE 4" xr10:uid="{F49CC52E-073B-4181-8A44-BB9D8EBE254C}" cache="Slicer_ROUTE21" caption="ROUT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ING_STATUS 2" xr10:uid="{3243ADEA-5279-49E8-98C2-FE552CF7388C}" cache="Slicer_BOOKING_STATUS2" caption="BOOKING_STATUS" rowHeight="262466"/>
  <slicer name="CONTRACT_STATUS" xr10:uid="{4BEE08B0-2789-49D3-AF1D-2AC7B4F88C48}" cache="Slicer_CONTRACT_STATUS" caption="CONTRACT_STATUS" columnCount="2" rowHeight="262466"/>
  <slicer name="FLT_NO 2" xr10:uid="{4621E402-3E35-4F0E-BED9-42E3363DE3CB}" cache="Slicer_FLT_NO2" caption="FLT_NO" rowHeight="262466"/>
  <slicer name="SECTOR 3" xr10:uid="{184A965E-E169-4813-A8C9-FC3192FA42C7}" cache="Slicer_SECTOR2" caption="SECTOR" rowHeight="262466"/>
  <slicer name="ROUTE 1" xr10:uid="{55450A42-BBA1-417D-AD1D-2709601AF47E}" cache="Slicer_ROUTE1" caption="ROUTE" rowHeight="262466"/>
  <slicer name="DAY 4" xr10:uid="{24B425A2-A185-4F6C-8A11-3C45B2945242}" cache="Slicer_DAY3" caption="DAY" columnCount="7"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A8355C-0590-43D7-AA22-B1244CE7C852}" name="Table1" displayName="Table1" ref="A1:W51" totalsRowShown="0" headerRowDxfId="192" dataDxfId="191">
  <tableColumns count="23">
    <tableColumn id="5" xr3:uid="{70180873-F366-4302-8469-B7E9C913FCEA}" name="DATE_BOOKED" dataDxfId="190" totalsRowDxfId="189" dataCellStyle="Normal 8" totalsRowCellStyle="Normal 8"/>
    <tableColumn id="9" xr3:uid="{C9198A0C-D99D-421A-9D8D-9AAA877B1DEE}" name="CONTRIBUTOR" dataDxfId="188" totalsRowDxfId="187" dataCellStyle="Normal 8" totalsRowCellStyle="Normal 8"/>
    <tableColumn id="22" xr3:uid="{E65A6A03-6EAC-49BF-A5E2-8264340C6AD4}" name="CATEGORY" dataDxfId="186" totalsRowDxfId="185" dataCellStyle="Normal 8" totalsRowCellStyle="Normal 8"/>
    <tableColumn id="12" xr3:uid="{8FEB99BF-37A7-4644-916E-18EE1ADB09F1}" name="DISTRIBUTION_CHANNEL" dataDxfId="184" totalsRowDxfId="183" dataCellStyle="Normal 8" totalsRowCellStyle="Normal 8"/>
    <tableColumn id="1" xr3:uid="{34DA7E77-F27D-4AC0-AC3E-21C870711844}" name="DISTRIBUTOR_PNR" dataDxfId="182" totalsRowDxfId="181" dataCellStyle="Normal 8" totalsRowCellStyle="Normal 8"/>
    <tableColumn id="2" xr3:uid="{8E239872-6591-4BC3-B89F-91C8D605C543}" name="JOURNEY" dataDxfId="180" totalsRowDxfId="179" totalsRowCellStyle="Normal 8"/>
    <tableColumn id="3" xr3:uid="{168F6394-A85C-4B2F-B92C-9459586FBEE0}" name="DIRECTION" dataDxfId="178" totalsRowDxfId="177" totalsRowCellStyle="Normal 8"/>
    <tableColumn id="6" xr3:uid="{86B41376-7B81-4A68-A5C4-197E011D813C}" name="FLT_NO" dataDxfId="176" totalsRowDxfId="175" totalsRowCellStyle="Normal 8"/>
    <tableColumn id="7" xr3:uid="{2D5E3072-4F99-4426-8CDF-4DC3AA790563}" name="SECTOR" dataDxfId="174" totalsRowDxfId="173"/>
    <tableColumn id="8" xr3:uid="{4F36FE31-92A6-4936-99BA-4CE03BE9CE9B}" name="FLIGHT_DATE" dataDxfId="172" totalsRowDxfId="171" dataCellStyle="Normal 8" totalsRowCellStyle="Normal 8"/>
    <tableColumn id="15" xr3:uid="{4D91E580-35F0-4F1E-8625-4DE947F068C5}" name="REQUESTED_SEATS" dataDxfId="170" totalsRowDxfId="169" totalsRowCellStyle="Normal 8"/>
    <tableColumn id="14" xr3:uid="{D4699E5E-F950-4803-A513-687314B9C655}" name="SEATS_BOOKED" dataDxfId="168" totalsRowDxfId="167"/>
    <tableColumn id="16" xr3:uid="{2710C639-4A74-46DD-AC01-3E29743868AC}" name="BASE_FARE" dataDxfId="166" totalsRowDxfId="165" totalsRowCellStyle="Normal 8"/>
    <tableColumn id="17" xr3:uid="{CDC00791-4EFA-42C8-A8CA-07FCF15BEA19}" name="TAXES" dataDxfId="164" totalsRowDxfId="163"/>
    <tableColumn id="18" xr3:uid="{8562EAB7-D711-43B6-8A6F-86AFB892DAED}" name="SURCHARGES" dataDxfId="162" totalsRowDxfId="161"/>
    <tableColumn id="19" xr3:uid="{EE69BCA5-A0B4-4B7A-94A6-07F0B45E0497}" name="NET_REVENUE" dataDxfId="160" totalsRowDxfId="159">
      <calculatedColumnFormula>SUM(Table1[[#This Row],[BASE_FARE]:[SURCHARGES]])*Table1[[#This Row],[SEATS_BOOKED]]</calculatedColumnFormula>
    </tableColumn>
    <tableColumn id="20" xr3:uid="{55BFD936-FFA4-4D88-983E-65DB7049333B}" name="BOOKING_STATUS" dataDxfId="158" totalsRowDxfId="157" totalsRowCellStyle="Normal 8"/>
    <tableColumn id="21" xr3:uid="{76DAEBB1-3518-4D78-B825-30C1D2287DF4}" name="CONTRACT_STATUS" dataDxfId="156" totalsRowDxfId="155" totalsRowCellStyle="Normal 8"/>
    <tableColumn id="10" xr3:uid="{30E6B5A7-FF73-4266-B98B-D70D12DF2990}" name="ORGN" dataDxfId="154" totalsRowDxfId="153" dataCellStyle="Normal 8" totalsRowCellStyle="Normal 8">
      <calculatedColumnFormula>LEFT(Table1[[#This Row],[SECTOR]],3)</calculatedColumnFormula>
    </tableColumn>
    <tableColumn id="11" xr3:uid="{32DA7AFA-5586-4FA1-B88C-332E90C69911}" name="DEST" dataDxfId="152" totalsRowDxfId="151" dataCellStyle="Normal 8" totalsRowCellStyle="Normal 8">
      <calculatedColumnFormula>RIGHT(Table1[[#This Row],[SECTOR]],3)</calculatedColumnFormula>
    </tableColumn>
    <tableColumn id="4" xr3:uid="{F069A7C7-6447-45A4-AB50-8C8416DBA914}" name="ROUTE" dataDxfId="150" totalsRowDxfId="149" dataCellStyle="Normal 8" totalsRowCellStyle="Normal 8">
      <calculatedColumnFormula>IF(AND(S2&lt;&gt;"SSH", S2&lt;&gt;"RMF", S2&lt;&gt;"CAI", S2&lt;&gt;"HRG", S2&lt;&gt;"LXR", S2&lt;&gt;"DXB", OR(T2="SSH", T2="RMF", T2="CAI", T2="HRG", T2="LXR", T2="DXB")), S2,
    IF(AND(T2&lt;&gt;"SSH", T2&lt;&gt;"RMF", T2&lt;&gt;"CAI", T2&lt;&gt;"HRG", T2&lt;&gt;"LXR", T2&lt;&gt;"DXB", OR(S2="SSH", S2="RMF", S2="CAI", S2="HRG", S2="LXR", S2="DXB")), T2,
    "VIE"))</calculatedColumnFormula>
    </tableColumn>
    <tableColumn id="24" xr3:uid="{2B47AF36-8DDE-46FD-ADB5-67F69561396A}" name="DAY" dataDxfId="148" totalsRowDxfId="147" totalsRowCellStyle="Normal 8">
      <calculatedColumnFormula>WEEKDAY(Table1[[#This Row],[FLIGHT_DATE]],2)</calculatedColumnFormula>
    </tableColumn>
    <tableColumn id="25" xr3:uid="{EE7AD76C-78E4-4C52-841B-1E1B110024E5}" name="DAYS_PRIOR" dataDxfId="146" totalsRowDxfId="145" totalsRowCellStyle="Normal 8">
      <calculatedColumnFormula>Table1[[#This Row],[FLIGHT_DATE]]-Table1[[#This Row],[DATE_BOOKED]]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EFFFF9-7661-465C-A80D-32CCC01A8C4C}" name="Table15" displayName="Table15" ref="A1:P4" totalsRowShown="0">
  <sortState xmlns:xlrd2="http://schemas.microsoft.com/office/spreadsheetml/2017/richdata2" ref="A2:G3">
    <sortCondition ref="A1:A3"/>
  </sortState>
  <tableColumns count="16">
    <tableColumn id="1" xr3:uid="{60BBBB0C-7FDD-4439-A1D8-5643E973E917}" name="Lastname" dataDxfId="144" dataCellStyle="Normal 3"/>
    <tableColumn id="2" xr3:uid="{F084599B-EC11-4E06-89F6-CE06D01E6A23}" name="Firstname" dataDxfId="143" dataCellStyle="Normal 3"/>
    <tableColumn id="3" xr3:uid="{E24E720D-E94F-49D0-BC71-7BBDB8ABE35B}" name="Title" dataDxfId="142" dataCellStyle="Normal 3"/>
    <tableColumn id="4" xr3:uid="{952A78D6-87D7-469C-A0DB-BA7A052A8853}" name="Contributors" dataDxfId="141" dataCellStyle="Normal 3"/>
    <tableColumn id="5" xr3:uid="{F3A15EA9-FF7C-486B-A554-8EEBF37025A6}" name="Coupon Status"/>
    <tableColumn id="6" xr3:uid="{126B3A57-2C40-4864-B93D-AA7C427F1613}" name="Passenger Reconcillation List (PRL)"/>
    <tableColumn id="7" xr3:uid="{51165308-CFFC-4155-9054-3E62ED04B944}" name="Remarks" dataDxfId="140"/>
    <tableColumn id="8" xr3:uid="{52F07F2C-1306-4C58-9773-8203D4406FD2}" name="Travel Date" dataDxfId="139"/>
    <tableColumn id="9" xr3:uid="{D0D2263C-5A1F-40A3-9F5E-6DBFE5F4E415}" name="Flt_No." dataDxfId="138"/>
    <tableColumn id="10" xr3:uid="{8D009B94-B3BD-4CF8-B205-C284C49B8A82}" name="Orgn" dataDxfId="137"/>
    <tableColumn id="11" xr3:uid="{F255AA18-4E5A-4FAA-8F08-AA2F7DE2D2CE}" name="Dest" dataDxfId="136"/>
    <tableColumn id="12" xr3:uid="{970806BB-93FB-4364-A539-F92CBA3D6B4E}" name="Sector" dataDxfId="135">
      <calculatedColumnFormula>Table15[[#This Row],[Orgn]]&amp;"-"&amp;Table15[[#This Row],[Dest]]</calculatedColumnFormula>
    </tableColumn>
    <tableColumn id="13" xr3:uid="{52645AF0-4854-4D1B-8DF2-E87EFA59BD29}" name="Pax Type" dataDxfId="134">
      <calculatedColumnFormula>IF(TRIM(C2)="INF", "INF", IF(TRIM(C2)="CHD", "CHD", "ADT"))</calculatedColumnFormula>
    </tableColumn>
    <tableColumn id="14" xr3:uid="{52C3FE6E-8573-4B58-86D0-91060BFADE5F}" name="Day" dataDxfId="133">
      <calculatedColumnFormula>WEEKDAY(Table15[[#This Row],[Travel Date]],2)</calculatedColumnFormula>
    </tableColumn>
    <tableColumn id="15" xr3:uid="{56CD38DC-E502-4404-9412-22F58ABE52A3}" name="Route" dataDxfId="132">
      <calculatedColumnFormula>IF(AND(J2&lt;&gt;"SSH", J2&lt;&gt;"RMF", J2&lt;&gt;"CAI", J2&lt;&gt;"HRG", J2&lt;&gt;"LXR", J2&lt;&gt;"DXB", OR(K2="SSH", K2="RMF", K2="CAI", K2="HRG", K2="LXR", K2="DXB")), J2,
    IF(AND(K2&lt;&gt;"SSH", K2&lt;&gt;"RMF", K2&lt;&gt;"CAI", K2&lt;&gt;"HRG", K2&lt;&gt;"LXR", K2&lt;&gt;"DXB", OR(J2="SSH", J2="RMF", J2="CAI", J2="HRG", J2="LXR", J1="DXB")), K2,
    "VIE"))</calculatedColumnFormula>
    </tableColumn>
    <tableColumn id="16" xr3:uid="{52CE3C7B-06DB-4224-A16B-6BEC22E0D603}" name="PAX_COUNT" dataDxfId="131"/>
  </tableColumns>
  <tableStyleInfo name="TableStyleLight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B028DF-CD1E-4A77-8756-64A0729194AE}" name="Table36" displayName="Table36" ref="A1:AM12" totalsRowShown="0" headerRowDxfId="130" tableBorderDxfId="129">
  <tableColumns count="39">
    <tableColumn id="1" xr3:uid="{7B5B3B10-1B27-451B-B1A4-365766641DC4}" name="DAY" dataDxfId="128"/>
    <tableColumn id="2" xr3:uid="{39FC0B02-6F8B-404E-B37A-F6D112035B1D}" name="DEP_DATE" dataDxfId="127"/>
    <tableColumn id="3" xr3:uid="{DF1D99FF-F433-485C-95EA-0E8775B4BEFE}" name="ORGN" dataDxfId="126"/>
    <tableColumn id="4" xr3:uid="{E21899C5-6378-42DE-A1A2-BA656DB4E222}" name="DEST" dataDxfId="125"/>
    <tableColumn id="5" xr3:uid="{BDA3BB29-B76B-4D25-BD77-EE1976CCE5B1}" name="ETD (UTC)" dataDxfId="124"/>
    <tableColumn id="6" xr3:uid="{8CAA2962-8DB7-4E2C-B5F6-FC8DD5154F70}" name="ETA (UTC)" dataDxfId="123"/>
    <tableColumn id="7" xr3:uid="{BF87362F-433B-4290-9A81-F44185A1B5F7}" name="ETD (Local Time)" dataDxfId="122"/>
    <tableColumn id="8" xr3:uid="{D9C23FBA-A3D4-4117-80D5-7C6BDF8A912C}" name="ETA (Local Time)" dataDxfId="121"/>
    <tableColumn id="9" xr3:uid="{A5E2D470-BCED-4EBC-A0AD-5E5CACB36629}" name="WEEKS" dataDxfId="120"/>
    <tableColumn id="10" xr3:uid="{7E123BE5-97D3-4FA0-AD7D-DF8CC4FCF3E5}" name="Charter Cost" dataDxfId="119"/>
    <tableColumn id="11" xr3:uid="{E2B95E7F-AC2B-4557-98E3-3FCBBE3E67F7}" name="Add-on" dataDxfId="118"/>
    <tableColumn id="12" xr3:uid="{3BB3153E-21E7-4FDD-83FF-F6D96312F8FA}" name="Sub-Total" dataDxfId="117"/>
    <tableColumn id="13" xr3:uid="{7FA94199-5661-4D91-A8D7-4623EEC977FA}" name="Rotation-Divisor" dataDxfId="116"/>
    <tableColumn id="14" xr3:uid="{306B92B8-AAE1-4048-8ADA-24FA908AE512}" name="Selling" dataDxfId="115"/>
    <tableColumn id="15" xr3:uid="{F7DEF9A9-2AA6-4880-A5B1-E7D93A5472F3}" name="Cost/Sector" dataDxfId="114"/>
    <tableColumn id="16" xr3:uid="{53265D46-6A50-415A-A15B-1D3514C2E416}" name="Aircraft" dataDxfId="113"/>
    <tableColumn id="17" xr3:uid="{F7E09FC0-6333-4C45-B5AE-578BB4386B5D}" name="Y_Capacity" dataDxfId="112"/>
    <tableColumn id="18" xr3:uid="{58B24F93-BB9F-41F7-97C6-4A63C87F68BE}" name="Y Seats_Sale" dataDxfId="111"/>
    <tableColumn id="19" xr3:uid="{D3BF6779-CB9C-447B-913E-B7D83036E321}" name="FSCODE" dataDxfId="110"/>
    <tableColumn id="20" xr3:uid="{6E58147A-C8AE-4E83-B130-279C26EE1DCF}" name="FS_NO" dataDxfId="109"/>
    <tableColumn id="21" xr3:uid="{10E6C8AE-674E-474A-809B-29FECC6BA73E}" name="WEEK_NO" dataDxfId="108"/>
    <tableColumn id="22" xr3:uid="{F069EEA0-31B1-4F7B-83BD-37A6B58B96EE}" name="SCHED_ID" dataDxfId="107">
      <calculatedColumnFormula>S2&amp;"-"&amp;T2</calculatedColumnFormula>
    </tableColumn>
    <tableColumn id="23" xr3:uid="{F6BBAC93-679D-4DC4-8D76-4D85BA67E4E2}" name="FLT_WK" dataDxfId="106">
      <calculatedColumnFormula>S2&amp;"-"&amp;T2&amp;"-"&amp;U2</calculatedColumnFormula>
    </tableColumn>
    <tableColumn id="37" xr3:uid="{12ACC249-D161-46E5-AC64-0D2D70235389}" name="ROUTE" dataDxfId="105">
      <calculatedColumnFormula>IF(AND(C2&lt;&gt;"SSH", C2&lt;&gt;"RMF", C2&lt;&gt;"CAI", C2&lt;&gt;"LXR", C2&lt;&gt;"VIE", OR(D2="SSH", D2="RMF", D2="CAI", D2="LXR", D2="VIE")), C2,
    IF(AND(D2&lt;&gt;"SSH", D2&lt;&gt;"RMF", D2&lt;&gt;"CAI", D2&lt;&gt;"LXR", D2&lt;&gt;"VIE", OR(C2="SSH", C2="RMF", C2="CAI", C2="LXR", C2="VIE")), D2,
    ""))</calculatedColumnFormula>
    </tableColumn>
    <tableColumn id="24" xr3:uid="{95B4C000-8434-40BD-BCA6-BCA300FDF045}" name="SECTOR" dataDxfId="104">
      <calculatedColumnFormula>IF(ISBLANK(C2),"",(C2&amp;"-"&amp;D2))</calculatedColumnFormula>
    </tableColumn>
    <tableColumn id="25" xr3:uid="{37DF32C2-8D5C-49FF-9C92-E81810BE3A01}" name="DIRECTION" dataDxfId="103">
      <calculatedColumnFormula>IF(ISBLANK(C2),"",VLOOKUP(Y2,[2]Directional!C:D,2,0))</calculatedColumnFormula>
    </tableColumn>
    <tableColumn id="26" xr3:uid="{C7818BA2-E772-4928-8BCF-EC5FAC7FDF30}" name="FLT_NO" dataDxfId="102">
      <calculatedColumnFormula array="1">_xlfn.XLOOKUP(V2&amp;Z2,[2]!Table4[[#All],[SCHED_ID]]&amp;[2]!Table4[[#All],[DIRECTION]],[2]!Table4[[#All],[Flight_No.]],0)</calculatedColumnFormula>
    </tableColumn>
    <tableColumn id="27" xr3:uid="{021D28AD-16CC-453A-A8A6-94B318FC8608}" name="Airline" dataDxfId="101">
      <calculatedColumnFormula array="1">_xlfn.XLOOKUP(V2&amp;Z2,[2]!Table4[[#All],[SCHED_ID]]&amp;[2]!Table4[[#All],[DIRECTION]],[2]!Table4[[#All],[Airline]],0)</calculatedColumnFormula>
    </tableColumn>
    <tableColumn id="28" xr3:uid="{CC511EF8-FA12-41CB-AFE6-7AB95B1EFA8F}" name="Flt_No." dataDxfId="100">
      <calculatedColumnFormula array="1">_xlfn.XLOOKUP(V2&amp;Z2,[2]!Table4[[#All],[SCHED_ID]]&amp;[2]!Table4[[#All],[DIRECTION]],[2]!Table4[[#All],[Flt_No.]],0)</calculatedColumnFormula>
    </tableColumn>
    <tableColumn id="35" xr3:uid="{865C57F2-C30D-49CC-91A7-597C3A1BBABE}" name="Sector Tax" dataDxfId="99">
      <calculatedColumnFormula array="1">INDEX('Routes Taxes'!O:O,MATCH('Flight Rotation Weeks'!V2&amp;Y2,'Routes Taxes'!A:A&amp;'Routes Taxes'!I:I,0))</calculatedColumnFormula>
    </tableColumn>
    <tableColumn id="36" xr3:uid="{E47807A0-232B-4D8C-B340-F34DCB70299F}" name="Total Taxes" dataDxfId="98">
      <calculatedColumnFormula>AD2*AH2</calculatedColumnFormula>
    </tableColumn>
    <tableColumn id="33" xr3:uid="{BED95212-13E6-4F51-B177-BD421080D50F}" name="Requested_Seats" dataDxfId="97">
      <calculatedColumnFormula>SUMIFS(Booking_Data!K:K,Booking_Data!J:J,B2,Booking_Data!H:H,AA2)</calculatedColumnFormula>
    </tableColumn>
    <tableColumn id="30" xr3:uid="{057D8446-6910-47E3-9320-D259DCE3DAF6}" name="Seats_Block_by_Cap" dataDxfId="96">
      <calculatedColumnFormula>R2-AF2</calculatedColumnFormula>
    </tableColumn>
    <tableColumn id="38" xr3:uid="{E80CDFDD-3196-4767-8AB0-2D20CAE688B6}" name="Seats_Booked" dataDxfId="95">
      <calculatedColumnFormula>SUMIFS(Booking_Data!L:L,Booking_Data!J:J,B2,Booking_Data!H:H,AA2,Booking_Data!I:I,Y2)</calculatedColumnFormula>
    </tableColumn>
    <tableColumn id="40" xr3:uid="{8AE1FF73-8FBA-4896-A908-7E827E2A83EB}" name="Avl_Seats_by_Cap" dataDxfId="94">
      <calculatedColumnFormula>R2-AH2</calculatedColumnFormula>
    </tableColumn>
    <tableColumn id="31" xr3:uid="{3756BCD8-E08B-43FB-B8CC-918DA2597A86}" name="Named" dataDxfId="93"/>
    <tableColumn id="32" xr3:uid="{FBD3FCD4-1D21-4FAB-92C9-921954BAF49C}" name="Unnamed" dataDxfId="92">
      <calculatedColumnFormula>AG2-AJ2</calculatedColumnFormula>
    </tableColumn>
    <tableColumn id="29" xr3:uid="{0865F62C-AF8F-4581-9BD5-54C5E96D688F}" name="Remarks" dataDxfId="91"/>
    <tableColumn id="34" xr3:uid="{9A1820BE-E44E-4C0D-9FB8-703B99AE38D4}" name="NET_REVENUE" dataDxfId="90">
      <calculatedColumnFormula>SUMIFS(Booking_Data!P:P,Booking_Data!J:J,B2,Booking_Data!H:H,AA2)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DD7797-0B0C-4D0A-8940-AA4EFBE8F91D}" name="Table3" displayName="Table3" ref="A1:S77" totalsRowShown="0" headerRowDxfId="89" headerRowBorderDxfId="88">
  <tableColumns count="19">
    <tableColumn id="1" xr3:uid="{1490D0FD-1810-46FE-9A67-D103BACF689A}" name="SCHED_ID" dataDxfId="87" dataCellStyle="Normal 2"/>
    <tableColumn id="2" xr3:uid="{12099E83-3EF2-4E60-BDAE-7DF5479CEBE8}" name="ROUTING" dataDxfId="86" dataCellStyle="Normal 2"/>
    <tableColumn id="3" xr3:uid="{21E4E951-D035-4465-A876-0DBFA52762CA}" name="ORGN_Country" dataDxfId="85" dataCellStyle="Normal 2"/>
    <tableColumn id="4" xr3:uid="{4666A16F-B8DA-4C2D-A3F4-F84C6509F4FF}" name="DEST_Country" dataDxfId="84" dataCellStyle="Normal 2"/>
    <tableColumn id="5" xr3:uid="{3FC38694-2E63-4F5E-9C77-79E1341B9A92}" name="ORGN" dataDxfId="83"/>
    <tableColumn id="6" xr3:uid="{27F86612-217F-49AF-892F-0085416E910D}" name="DEST" dataDxfId="82"/>
    <tableColumn id="7" xr3:uid="{26B24EAF-B553-4E67-BFB9-2AA7F24B0B12}" name="Fare Basis" dataDxfId="81"/>
    <tableColumn id="8" xr3:uid="{867DA4EB-0E3A-4262-9321-815B352859BC}" name="Trip" dataDxfId="80"/>
    <tableColumn id="9" xr3:uid="{E4694942-94DD-450A-97FA-AFCB222947A4}" name="Routing2" dataDxfId="79"/>
    <tableColumn id="10" xr3:uid="{1C42A371-7DDC-4810-A664-45BC6E9A2062}" name="Journey" dataDxfId="78"/>
    <tableColumn id="11" xr3:uid="{FB10FB66-4D45-4DF0-9FE2-CB5A1962FC64}" name="Ex-Egypt" dataDxfId="77"/>
    <tableColumn id="12" xr3:uid="{C3125BC3-2ACD-471C-A3D7-6C5FF6FE186C}" name="Add-on" dataDxfId="76"/>
    <tableColumn id="13" xr3:uid="{E3EA598F-9B99-4C18-B8E5-60EF16A88A84}" name="Ex-Italy" dataDxfId="75"/>
    <tableColumn id="14" xr3:uid="{79107151-D829-4400-9233-EF73349BA84C}" name="Add-on3" dataDxfId="74"/>
    <tableColumn id="15" xr3:uid="{E123A9E7-BCC2-4470-8BBA-88C1F85E96C4}" name="ADT Tax (EUR)" dataDxfId="73"/>
    <tableColumn id="16" xr3:uid="{48514B67-A1ED-44EA-B512-FD5B53A0629E}" name="Chd Tax Diff" dataDxfId="72"/>
    <tableColumn id="17" xr3:uid="{824AEBDE-22B2-47A9-84CB-15D4675BA1CC}" name="CHD Tax (EUR)" dataDxfId="71"/>
    <tableColumn id="18" xr3:uid="{1B565EC4-B0F5-4FC1-8D3A-07ED8FED1B00}" name="Inf Tax Diff" dataDxfId="70"/>
    <tableColumn id="19" xr3:uid="{25173D3E-D90F-42CF-9C39-2ED9B7703A6F}" name="INF Tax (EUR)" dataDxfId="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02D13-298B-4422-976F-043A0E988BD2}" name="Table2" displayName="Table2" ref="A1:T12" totalsRowShown="0" headerRowDxfId="68" headerRowBorderDxfId="67" tableBorderDxfId="66" totalsRowBorderDxfId="65" headerRowCellStyle="Normal 2 2">
  <tableColumns count="20">
    <tableColumn id="1" xr3:uid="{9F255FF5-4AB3-4C81-BFF3-DFFDB9C5173D}" name="OB DOW" dataDxfId="64" dataCellStyle="Normal 2 2">
      <calculatedColumnFormula>WEEKDAY(C2,2)</calculatedColumnFormula>
    </tableColumn>
    <tableColumn id="13" xr3:uid="{3D0A6283-984C-4520-8606-5988D2DA0A37}" name="IB DOW" dataDxfId="63" dataCellStyle="Normal 2 2">
      <calculatedColumnFormula>WEEKDAY(D2,2)</calculatedColumnFormula>
    </tableColumn>
    <tableColumn id="2" xr3:uid="{3CA5F86C-1613-41D6-92A0-627E0C2A7839}" name="START" dataDxfId="62" dataCellStyle="Normal 2 2"/>
    <tableColumn id="3" xr3:uid="{F480ECC8-D401-43BB-A0DF-A3A99D8BD6D2}" name="END" dataDxfId="61" dataCellStyle="Normal 2 2"/>
    <tableColumn id="4" xr3:uid="{E899260B-FF7D-4C8A-9086-111FBDFC01EA}" name="ORGN" dataDxfId="60" dataCellStyle="Normal 2 2"/>
    <tableColumn id="5" xr3:uid="{B8658DFC-CB4A-4B3A-A785-CE21B7B269A1}" name="DEST" dataDxfId="59" dataCellStyle="Normal 2 2"/>
    <tableColumn id="6" xr3:uid="{26B392D2-6CCA-4817-8ADF-3EA19866844C}" name="Charter Cost" dataDxfId="58"/>
    <tableColumn id="7" xr3:uid="{6764648F-9311-4D1A-B3EE-408DE75E8798}" name="Add-on" dataDxfId="57"/>
    <tableColumn id="8" xr3:uid="{815AFFC6-5C8F-4BB8-A4B8-43A09BE94E0D}" name="Divisor" dataDxfId="56" dataCellStyle="Normal 2 2">
      <calculatedColumnFormula>(D2-C2)/7+1-1</calculatedColumnFormula>
    </tableColumn>
    <tableColumn id="9" xr3:uid="{109A0D16-F72B-4CF6-AA0B-B9B7DF7CA4C7}" name="SELLING" dataDxfId="55" dataCellStyle="Normal 2 2">
      <calculatedColumnFormula>IFERROR((G2+H2)*L2/I2,0)</calculatedColumnFormula>
    </tableColumn>
    <tableColumn id="10" xr3:uid="{FBF499AF-8CC1-47F4-81BB-B7EBDF9F0BC0}" name="SCHED_ID" dataDxfId="54" dataCellStyle="Normal 2 2"/>
    <tableColumn id="11" xr3:uid="{2EC6377A-ED1B-4E41-871A-5EADFD4A34AE}" name="ROTATION" dataDxfId="53" dataCellStyle="Normal 2 2">
      <calculatedColumnFormula>(D2-C2)/7+1</calculatedColumnFormula>
    </tableColumn>
    <tableColumn id="12" xr3:uid="{CD6E364B-351D-47A1-80B0-27F6858B8194}" name="ROUTING" dataDxfId="52" dataCellStyle="Normal 2 2">
      <calculatedColumnFormula>E2&amp;"-"&amp;F2&amp;"-"&amp;E2</calculatedColumnFormula>
    </tableColumn>
    <tableColumn id="14" xr3:uid="{B9F6BCD0-DD8E-4AA7-8A05-7E03E3DD948F}" name="Net Cost" dataDxfId="51">
      <calculatedColumnFormula>G2*L2</calculatedColumnFormula>
    </tableColumn>
    <tableColumn id="15" xr3:uid="{D52980FB-3CC4-43DB-BC17-677A44CC53D9}" name="Aircraft" dataDxfId="50"/>
    <tableColumn id="16" xr3:uid="{E2985B7F-CB3D-4735-9DAC-6E220E83868C}" name="Y Capacity" dataDxfId="49"/>
    <tableColumn id="17" xr3:uid="{5C0001A1-AFAD-4D45-B337-D3EEC7018210}" name="J Capacity" dataDxfId="48"/>
    <tableColumn id="18" xr3:uid="{FBD019CB-2CBA-42FC-8AAD-EBCF8E30DAF8}" name="Benchmark" dataDxfId="47">
      <calculatedColumnFormula>Table2[[#This Row],[SELLING]]/Table2[[#This Row],[Y Capacity]]</calculatedColumnFormula>
    </tableColumn>
    <tableColumn id="20" xr3:uid="{0C3F2409-1D90-4B91-BF79-C80059D40E43}" name="Remarks" dataDxfId="46"/>
    <tableColumn id="22" xr3:uid="{53E2A4F6-A287-46E4-9A95-9DED2E54F38D}" name="Carrier" dataDxfId="4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A44F9A-41EE-4002-9B1F-51DEBFE4A3DD}" name="Table18" displayName="Table18" ref="A2:AE29" totalsRowShown="0" headerRowDxfId="44" dataDxfId="42" headerRowBorderDxfId="43" tableBorderDxfId="41" headerRowCellStyle="Normal 2" dataCellStyle="Normal 4">
  <tableColumns count="31">
    <tableColumn id="1" xr3:uid="{57F07D01-9957-4168-AFB8-213CD67DF4E6}" name="Route" dataDxfId="40" dataCellStyle="Normal 4"/>
    <tableColumn id="20" xr3:uid="{65ED1001-4667-43BB-ADE4-B6F5D94843D9}" name="SSH-BRI-SSH2" dataDxfId="39" dataCellStyle="Normal 4"/>
    <tableColumn id="6" xr3:uid="{535C336B-299B-46D4-90FD-ECB22DBF8005}" name="SSH-BRI-SSH22" dataDxfId="38" dataCellStyle="Normal 4"/>
    <tableColumn id="24" xr3:uid="{6D54E4EA-B971-4D84-A16F-A30005D91861}" name="SSH-BRI-SSH3" dataDxfId="37" dataCellStyle="Normal 4"/>
    <tableColumn id="8" xr3:uid="{B3E3D3E7-DBE5-4533-B5E0-6B4050FE8B32}" name="SSH-BRI-SSH4" dataDxfId="36" dataCellStyle="Normal 4"/>
    <tableColumn id="22" xr3:uid="{F2CE699D-4309-4E20-9842-C9F155DD5214}" name="SSH-NAP-SSH4" dataDxfId="35" dataCellStyle="Normal 4"/>
    <tableColumn id="10" xr3:uid="{00E9215D-C65B-41E2-87D9-68C6222C4B85}" name="SSH-NAP-SSH5" dataDxfId="34" dataCellStyle="Normal 4"/>
    <tableColumn id="23" xr3:uid="{FC721CD9-56E2-42FE-91D6-A825E2E3F26C}" name="SSH-MXP-SSH" dataDxfId="33" dataCellStyle="Normal 4"/>
    <tableColumn id="7" xr3:uid="{8D19690D-164D-476F-8CC8-AD7753F391BC}" name="SSH-VRN-SSH3" dataDxfId="32" dataCellStyle="Normal 4"/>
    <tableColumn id="21" xr3:uid="{70A366B7-CD58-4185-AA19-33AEEACFF7EB}" name="SSH-VRN-SSH32" dataDxfId="31" dataCellStyle="Normal 4"/>
    <tableColumn id="26" xr3:uid="{2F5B887E-8523-4CE0-9565-A16795506CC9}" name="SSH-FCO-SSH6" dataDxfId="30" dataCellStyle="Normal 4"/>
    <tableColumn id="31" xr3:uid="{71B03890-BE9E-4102-8FF6-A8CC3A002C69}" name="SSH-BRI-SSH8" dataDxfId="29" dataCellStyle="Normal 4"/>
    <tableColumn id="33" xr3:uid="{BF186227-AADE-4875-9513-AF9BD7E1ABB2}" name="SSH-CTA_SSH" dataDxfId="28" dataCellStyle="Normal 4"/>
    <tableColumn id="27" xr3:uid="{29B8D855-49C1-4EF4-B861-CCA129C999B4}" name="SSH-NAP-SSH6" dataDxfId="27" dataCellStyle="Normal 4"/>
    <tableColumn id="4" xr3:uid="{0BBDB8CE-3172-4F9F-8292-0405F745A596}" name="SSH-CAG-SSH" dataDxfId="26" dataCellStyle="Normal 4"/>
    <tableColumn id="34" xr3:uid="{47DDA8B6-597A-41E3-A328-B51C52E2DC8E}" name="SSH-BRI-SSH10" dataDxfId="25" dataCellStyle="Normal 4">
      <calculatedColumnFormula>P2+7</calculatedColumnFormula>
    </tableColumn>
    <tableColumn id="35" xr3:uid="{40DF0B10-D66F-482B-B637-014E565D8C6A}" name="SSH-MXP-SSH11" dataDxfId="24" dataCellStyle="Normal 4"/>
    <tableColumn id="36" xr3:uid="{A3CE8EF8-B4BB-47F2-8C01-D9AE6679F3F7}" name="SSH-BRI-SSH12" dataDxfId="23" dataCellStyle="Normal 4"/>
    <tableColumn id="37" xr3:uid="{3629376D-97E1-4D10-88FF-01EFE5285D37}" name="SSH-VRN-SSH13" dataDxfId="22" dataCellStyle="Normal 4"/>
    <tableColumn id="38" xr3:uid="{2C0F3201-48BC-4FEF-BC88-D6CD231C9727}" name="SSH-FCO-SSH14" dataDxfId="21" dataCellStyle="Normal 4"/>
    <tableColumn id="39" xr3:uid="{0414B824-F347-45D1-80CB-8D025CB4FBF0}" name="SSH-NAP-SSH15" dataDxfId="20" dataCellStyle="Normal 4"/>
    <tableColumn id="40" xr3:uid="{21C767F4-C7F7-413C-B81C-F871493765F3}" name="SSH-NAP-SSH16" dataDxfId="19" dataCellStyle="Normal 4"/>
    <tableColumn id="41" xr3:uid="{9CD12C0A-2996-4069-B527-F45343F751AF}" name="SSH-NAP-SSH17" dataDxfId="18" dataCellStyle="Normal 4"/>
    <tableColumn id="42" xr3:uid="{0644AFF3-383C-49A1-B24E-5E86A65F7847}" name="SSH-MXP-SSH18" dataDxfId="17" dataCellStyle="Normal 4"/>
    <tableColumn id="43" xr3:uid="{255A5542-4C6B-4766-92DD-DE8CAA29F58D}" name="RMF-MXP-RMF2" dataDxfId="16" dataCellStyle="Normal 4"/>
    <tableColumn id="44" xr3:uid="{00C85FE8-EEAD-4347-BCFA-ECA248D1EDC6}" name="SSH-CAG-SSH20" dataDxfId="15" dataCellStyle="Normal 4"/>
    <tableColumn id="3" xr3:uid="{FE98A411-49F5-4DBE-96F8-930D12095D5A}" name="SSH-NAP-SSH152" dataDxfId="14" dataCellStyle="Normal 4"/>
    <tableColumn id="5" xr3:uid="{27AE79FE-1ABF-4830-ABB0-2CDFE6352207}" name="HRG-NAP-HRG" dataDxfId="13" dataCellStyle="Normal 4"/>
    <tableColumn id="9" xr3:uid="{73913669-D606-4BB0-814A-B78180872F37}" name="SSH-NAP-SSH" dataDxfId="12" dataCellStyle="Normal 4"/>
    <tableColumn id="11" xr3:uid="{B42A2D2B-81A1-49E8-82CD-D877337CF903}" name="SS-FCO-SSH" dataDxfId="11" dataCellStyle="Normal 4"/>
    <tableColumn id="2" xr3:uid="{2DBDB331-B368-487D-9099-F8AC9D2EB46B}" name="VIE-JED-VIE" dataDxfId="10" dataCellStyle="Normal 4"/>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5-02-24T10:13:19.09" personId="{84C02806-B629-4F2E-BB86-0051D99E2C64}" id="{23FAB6D1-0A69-496C-AF10-B8A87519B340}">
    <text>Reprotection for 30MAR &amp; 06APR cancellations.</text>
  </threadedComment>
  <threadedComment ref="L4" dT="2025-02-24T12:57:54.42" personId="{84C02806-B629-4F2E-BB86-0051D99E2C64}" id="{5E74945C-07AF-400C-AA62-0D239F07F9F5}">
    <text>50Y for SI Travel</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4E02D4B-963F-47A0-BE6F-61ED602E27E3}">
  <we:reference id="wa200007924" version="1.0.0.0" store="en-US" storeType="OMEX"/>
  <we:alternateReferences>
    <we:reference id="wa200007924" version="1.0.0.0" store="wa200007924"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_xldudf_SQLOOKUP</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26.xml"/><Relationship Id="rId13" Type="http://schemas.openxmlformats.org/officeDocument/2006/relationships/pivotTable" Target="../pivotTables/pivotTable31.xml"/><Relationship Id="rId3" Type="http://schemas.openxmlformats.org/officeDocument/2006/relationships/pivotTable" Target="../pivotTables/pivotTable21.xml"/><Relationship Id="rId7" Type="http://schemas.openxmlformats.org/officeDocument/2006/relationships/pivotTable" Target="../pivotTables/pivotTable25.xml"/><Relationship Id="rId12" Type="http://schemas.openxmlformats.org/officeDocument/2006/relationships/pivotTable" Target="../pivotTables/pivotTable30.xml"/><Relationship Id="rId2" Type="http://schemas.openxmlformats.org/officeDocument/2006/relationships/pivotTable" Target="../pivotTables/pivotTable20.xml"/><Relationship Id="rId1" Type="http://schemas.openxmlformats.org/officeDocument/2006/relationships/pivotTable" Target="../pivotTables/pivotTable19.xml"/><Relationship Id="rId6" Type="http://schemas.openxmlformats.org/officeDocument/2006/relationships/pivotTable" Target="../pivotTables/pivotTable24.xml"/><Relationship Id="rId11" Type="http://schemas.openxmlformats.org/officeDocument/2006/relationships/pivotTable" Target="../pivotTables/pivotTable29.xml"/><Relationship Id="rId5" Type="http://schemas.openxmlformats.org/officeDocument/2006/relationships/pivotTable" Target="../pivotTables/pivotTable23.xml"/><Relationship Id="rId10" Type="http://schemas.openxmlformats.org/officeDocument/2006/relationships/pivotTable" Target="../pivotTables/pivotTable28.xml"/><Relationship Id="rId4" Type="http://schemas.openxmlformats.org/officeDocument/2006/relationships/pivotTable" Target="../pivotTables/pivotTable22.xml"/><Relationship Id="rId9" Type="http://schemas.openxmlformats.org/officeDocument/2006/relationships/pivotTable" Target="../pivotTables/pivotTable27.xml"/><Relationship Id="rId14" Type="http://schemas.openxmlformats.org/officeDocument/2006/relationships/pivotTable" Target="../pivotTables/pivotTable3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BB69-BEC0-4731-99FE-7212DD024736}">
  <sheetPr>
    <tabColor rgb="FF66FFFF"/>
  </sheetPr>
  <dimension ref="A2:BT122"/>
  <sheetViews>
    <sheetView showGridLines="0" zoomScale="85" zoomScaleNormal="85" workbookViewId="0">
      <pane xSplit="2" ySplit="5" topLeftCell="C6" activePane="bottomRight" state="frozen"/>
      <selection pane="topRight" activeCell="C1" sqref="C1"/>
      <selection pane="bottomLeft" activeCell="A6" sqref="A6"/>
      <selection pane="bottomRight" activeCell="G49" sqref="G49"/>
    </sheetView>
  </sheetViews>
  <sheetFormatPr defaultColWidth="8.875" defaultRowHeight="15.75" x14ac:dyDescent="0.25"/>
  <cols>
    <col min="1" max="1" width="11" bestFit="1" customWidth="1"/>
    <col min="2" max="2" width="11.625" style="15" bestFit="1" customWidth="1"/>
    <col min="3" max="3" width="11.125" style="15" customWidth="1"/>
    <col min="4" max="4" width="15.125" style="15" customWidth="1"/>
    <col min="5" max="5" width="10.25" style="15" bestFit="1" customWidth="1"/>
    <col min="6" max="6" width="17" style="15" bestFit="1" customWidth="1"/>
    <col min="7" max="7" width="14.125" style="15" bestFit="1" customWidth="1"/>
    <col min="8" max="8" width="17.5" style="15" bestFit="1" customWidth="1"/>
    <col min="9" max="9" width="9.875" bestFit="1" customWidth="1"/>
    <col min="10" max="10" width="14.125" bestFit="1" customWidth="1"/>
    <col min="11" max="11" width="11.125" bestFit="1" customWidth="1"/>
    <col min="12" max="12" width="3.375" customWidth="1"/>
    <col min="13" max="14" width="3.875" customWidth="1"/>
    <col min="15" max="15" width="11" customWidth="1"/>
    <col min="16" max="16" width="13.5" customWidth="1"/>
    <col min="17" max="17" width="12.375" customWidth="1"/>
    <col min="18" max="18" width="12.875" style="15" customWidth="1"/>
    <col min="19" max="19" width="10.25" style="15" bestFit="1" customWidth="1"/>
    <col min="20" max="20" width="6.25" style="15" bestFit="1" customWidth="1"/>
    <col min="21" max="21" width="14.125" style="15" bestFit="1" customWidth="1"/>
    <col min="22" max="22" width="17.5" style="15" bestFit="1" customWidth="1"/>
    <col min="23" max="23" width="9.875" bestFit="1" customWidth="1"/>
    <col min="24" max="24" width="14.125" bestFit="1" customWidth="1"/>
    <col min="25" max="25" width="11.125" bestFit="1" customWidth="1"/>
    <col min="26" max="27" width="3.5" customWidth="1"/>
    <col min="28" max="28" width="11" style="15" customWidth="1"/>
    <col min="29" max="29" width="11" customWidth="1"/>
    <col min="30" max="32" width="11" style="15" customWidth="1"/>
    <col min="33" max="33" width="14.5" customWidth="1"/>
    <col min="34" max="34" width="1.375" customWidth="1"/>
    <col min="35" max="35" width="11" style="15" customWidth="1"/>
    <col min="36" max="36" width="11" customWidth="1"/>
    <col min="37" max="39" width="11" style="15" customWidth="1"/>
    <col min="40" max="40" width="13.875" customWidth="1"/>
    <col min="41" max="41" width="1.375" customWidth="1"/>
    <col min="42" max="44" width="11" style="15" customWidth="1"/>
    <col min="45" max="45" width="12" style="42" bestFit="1" customWidth="1"/>
    <col min="46" max="46" width="1.875" customWidth="1"/>
    <col min="47" max="47" width="15.625" bestFit="1" customWidth="1"/>
    <col min="48" max="48" width="11.125" bestFit="1" customWidth="1"/>
    <col min="49" max="49" width="14.875" bestFit="1" customWidth="1"/>
    <col min="50" max="50" width="11.125" bestFit="1" customWidth="1"/>
    <col min="51" max="51" width="13.875" customWidth="1"/>
    <col min="52" max="52" width="5.875" customWidth="1"/>
    <col min="53" max="53" width="19.125" customWidth="1"/>
    <col min="54" max="54" width="2.375" customWidth="1"/>
    <col min="55" max="55" width="13.5" bestFit="1" customWidth="1"/>
    <col min="56" max="56" width="8.375" bestFit="1" customWidth="1"/>
    <col min="57" max="57" width="11.5" bestFit="1" customWidth="1"/>
    <col min="58" max="58" width="7.5" bestFit="1" customWidth="1"/>
    <col min="59" max="59" width="10.625" bestFit="1" customWidth="1"/>
    <col min="60" max="60" width="6.625" bestFit="1" customWidth="1"/>
    <col min="61" max="61" width="9.125" bestFit="1" customWidth="1"/>
    <col min="62" max="62" width="12" bestFit="1" customWidth="1"/>
    <col min="63" max="63" width="3" customWidth="1"/>
    <col min="64" max="64" width="19.5" customWidth="1"/>
    <col min="65" max="65" width="2.375" customWidth="1"/>
    <col min="66" max="66" width="17.875" bestFit="1" customWidth="1"/>
    <col min="67" max="67" width="11" customWidth="1"/>
    <col min="68" max="69" width="19" customWidth="1"/>
    <col min="70" max="70" width="14.875" customWidth="1"/>
    <col min="71" max="72" width="19" customWidth="1"/>
  </cols>
  <sheetData>
    <row r="2" spans="1:72" x14ac:dyDescent="0.25">
      <c r="A2" s="38" t="s">
        <v>168</v>
      </c>
      <c r="B2" s="217"/>
    </row>
    <row r="3" spans="1:72" x14ac:dyDescent="0.25">
      <c r="A3" s="54" t="s">
        <v>6</v>
      </c>
      <c r="B3" t="s">
        <v>7</v>
      </c>
      <c r="O3" s="54" t="s">
        <v>6</v>
      </c>
      <c r="P3" t="s">
        <v>8</v>
      </c>
    </row>
    <row r="4" spans="1:72" ht="16.5" thickBot="1" x14ac:dyDescent="0.3"/>
    <row r="5" spans="1:72" x14ac:dyDescent="0.25">
      <c r="A5" s="54" t="s">
        <v>28</v>
      </c>
      <c r="B5" s="54" t="s">
        <v>108</v>
      </c>
      <c r="C5" s="54" t="s">
        <v>11</v>
      </c>
      <c r="D5" s="54" t="s">
        <v>4</v>
      </c>
      <c r="E5" s="54" t="s">
        <v>20</v>
      </c>
      <c r="F5" t="s">
        <v>229</v>
      </c>
      <c r="G5" s="15" t="s">
        <v>106</v>
      </c>
      <c r="H5" s="15" t="s">
        <v>110</v>
      </c>
      <c r="I5" t="s">
        <v>170</v>
      </c>
      <c r="J5" s="15" t="s">
        <v>101</v>
      </c>
      <c r="K5" t="s">
        <v>63</v>
      </c>
      <c r="O5" s="54" t="s">
        <v>28</v>
      </c>
      <c r="P5" s="54" t="s">
        <v>108</v>
      </c>
      <c r="Q5" s="54" t="s">
        <v>11</v>
      </c>
      <c r="R5" s="54" t="s">
        <v>4</v>
      </c>
      <c r="S5" s="54" t="s">
        <v>20</v>
      </c>
      <c r="T5" t="s">
        <v>229</v>
      </c>
      <c r="U5" s="15" t="s">
        <v>106</v>
      </c>
      <c r="V5" s="15" t="s">
        <v>110</v>
      </c>
      <c r="W5" t="s">
        <v>170</v>
      </c>
      <c r="X5" s="15" t="s">
        <v>101</v>
      </c>
      <c r="Y5" t="s">
        <v>63</v>
      </c>
      <c r="Z5" s="15"/>
      <c r="AA5" s="15"/>
      <c r="AB5" s="95" t="s">
        <v>184</v>
      </c>
      <c r="AC5" s="95" t="s">
        <v>175</v>
      </c>
      <c r="AD5" s="95" t="s">
        <v>176</v>
      </c>
      <c r="AE5" s="95" t="s">
        <v>177</v>
      </c>
      <c r="AF5" s="95" t="s">
        <v>178</v>
      </c>
      <c r="AG5" s="96" t="s">
        <v>182</v>
      </c>
      <c r="AH5" s="101"/>
      <c r="AI5" s="95" t="s">
        <v>185</v>
      </c>
      <c r="AJ5" s="95" t="s">
        <v>175</v>
      </c>
      <c r="AK5" s="95" t="s">
        <v>176</v>
      </c>
      <c r="AL5" s="95" t="s">
        <v>177</v>
      </c>
      <c r="AM5" s="95" t="s">
        <v>178</v>
      </c>
      <c r="AN5" s="96" t="s">
        <v>182</v>
      </c>
      <c r="AO5" s="101"/>
      <c r="AP5" s="95" t="s">
        <v>179</v>
      </c>
      <c r="AQ5" s="95" t="s">
        <v>180</v>
      </c>
      <c r="AR5" s="95" t="s">
        <v>181</v>
      </c>
      <c r="AS5" s="97" t="s">
        <v>183</v>
      </c>
      <c r="AT5" s="15"/>
      <c r="AU5" s="121" t="s">
        <v>193</v>
      </c>
      <c r="AV5" s="121" t="s">
        <v>194</v>
      </c>
      <c r="AW5" s="121" t="s">
        <v>195</v>
      </c>
      <c r="AX5" s="121" t="s">
        <v>196</v>
      </c>
      <c r="AY5" s="121" t="s">
        <v>197</v>
      </c>
      <c r="AZ5" s="15"/>
      <c r="BA5" s="121" t="s">
        <v>199</v>
      </c>
      <c r="BB5" s="15"/>
      <c r="BC5" s="85" t="s">
        <v>173</v>
      </c>
      <c r="BD5" s="85" t="s">
        <v>186</v>
      </c>
      <c r="BE5" s="85" t="s">
        <v>189</v>
      </c>
      <c r="BF5" s="85" t="s">
        <v>187</v>
      </c>
      <c r="BG5" s="85" t="s">
        <v>190</v>
      </c>
      <c r="BH5" s="85" t="s">
        <v>60</v>
      </c>
      <c r="BI5" s="85" t="s">
        <v>188</v>
      </c>
      <c r="BJ5" s="85" t="s">
        <v>191</v>
      </c>
      <c r="BK5" s="15"/>
      <c r="BL5" s="97" t="s">
        <v>192</v>
      </c>
      <c r="BM5" s="15"/>
      <c r="BN5" s="97" t="s">
        <v>198</v>
      </c>
      <c r="BO5" s="15"/>
      <c r="BP5" s="85" t="s">
        <v>123</v>
      </c>
      <c r="BQ5" s="85" t="s">
        <v>173</v>
      </c>
      <c r="BR5" s="85" t="s">
        <v>96</v>
      </c>
      <c r="BS5" s="85" t="s">
        <v>171</v>
      </c>
      <c r="BT5" s="85" t="s">
        <v>174</v>
      </c>
    </row>
    <row r="6" spans="1:72" x14ac:dyDescent="0.25">
      <c r="A6" t="s">
        <v>146</v>
      </c>
      <c r="B6" t="s">
        <v>212</v>
      </c>
      <c r="C6" t="s">
        <v>23</v>
      </c>
      <c r="D6" s="60">
        <v>45765</v>
      </c>
      <c r="E6" t="s">
        <v>159</v>
      </c>
      <c r="F6" s="387">
        <v>186</v>
      </c>
      <c r="G6" s="23">
        <v>88</v>
      </c>
      <c r="H6" s="388">
        <v>98</v>
      </c>
      <c r="I6" s="29">
        <v>0.4731182795698925</v>
      </c>
      <c r="J6" s="37">
        <v>24004.350000000009</v>
      </c>
      <c r="K6" s="9">
        <v>0</v>
      </c>
      <c r="O6" t="s">
        <v>5</v>
      </c>
      <c r="R6"/>
      <c r="S6"/>
      <c r="T6" s="387"/>
      <c r="U6" s="23"/>
      <c r="V6" s="388"/>
      <c r="W6" s="29" t="e">
        <v>#DIV/0!</v>
      </c>
      <c r="X6" s="37"/>
      <c r="Y6" s="9"/>
      <c r="Z6" s="62"/>
      <c r="AA6" s="62"/>
      <c r="AB6" s="15" t="str">
        <f>IF(ISBLANK(C6),"",C6)</f>
        <v>NAP-SSH</v>
      </c>
      <c r="AC6" s="77">
        <f>IF(ISBLANK(D6),"",D6)</f>
        <v>45765</v>
      </c>
      <c r="AD6" s="15">
        <f>F6</f>
        <v>186</v>
      </c>
      <c r="AE6" s="15">
        <f t="shared" ref="AE6:AF6" si="0">G6</f>
        <v>88</v>
      </c>
      <c r="AF6" s="15">
        <f t="shared" si="0"/>
        <v>98</v>
      </c>
      <c r="AG6" s="22">
        <f>J6</f>
        <v>24004.350000000009</v>
      </c>
      <c r="AH6" s="22"/>
      <c r="AI6" s="15">
        <f>Q6</f>
        <v>0</v>
      </c>
      <c r="AJ6" s="77">
        <f>R6</f>
        <v>0</v>
      </c>
      <c r="AK6" s="15">
        <f>T6</f>
        <v>0</v>
      </c>
      <c r="AL6" s="15">
        <f t="shared" ref="AL6" si="1">U6</f>
        <v>0</v>
      </c>
      <c r="AM6" s="15">
        <f t="shared" ref="AM6" si="2">V6</f>
        <v>0</v>
      </c>
      <c r="AN6" s="22">
        <f>X6</f>
        <v>0</v>
      </c>
      <c r="AO6" s="22"/>
      <c r="AP6" s="15">
        <f>AD6+AK6</f>
        <v>186</v>
      </c>
      <c r="AQ6" s="15">
        <f t="shared" ref="AQ6:AS9" si="3">AE6+AL6</f>
        <v>88</v>
      </c>
      <c r="AR6" s="15">
        <f t="shared" si="3"/>
        <v>98</v>
      </c>
      <c r="AS6" s="39">
        <f t="shared" si="3"/>
        <v>24004.350000000009</v>
      </c>
      <c r="AT6" s="62"/>
      <c r="AU6" s="39">
        <v>175</v>
      </c>
      <c r="AV6" s="39">
        <f>AU6*AM6</f>
        <v>0</v>
      </c>
      <c r="AW6" s="39">
        <v>175</v>
      </c>
      <c r="AX6" s="39">
        <f>AW6*AM6</f>
        <v>0</v>
      </c>
      <c r="AY6" s="39">
        <f>AV6+AX6</f>
        <v>0</v>
      </c>
      <c r="AZ6" s="62"/>
      <c r="BA6" s="39">
        <f>AS6+AY6</f>
        <v>24004.350000000009</v>
      </c>
      <c r="BB6" s="62"/>
      <c r="BC6" s="87">
        <v>56250</v>
      </c>
      <c r="BD6" s="37">
        <f>VLOOKUP(AB6,'Routes Taxes'!I:O,7,0)</f>
        <v>36.659999999999997</v>
      </c>
      <c r="BE6" s="62">
        <f>AD6*BD6</f>
        <v>6818.7599999999993</v>
      </c>
      <c r="BF6" s="37" t="e">
        <f>VLOOKUP(AI6,'Routes Taxes'!I:O,7,0)</f>
        <v>#N/A</v>
      </c>
      <c r="BG6" s="62" t="e">
        <f>BF6*AK6</f>
        <v>#N/A</v>
      </c>
      <c r="BH6" s="37" t="e">
        <f>BD6+BF6</f>
        <v>#N/A</v>
      </c>
      <c r="BI6" s="87" t="e">
        <f>BE6+BG6</f>
        <v>#N/A</v>
      </c>
      <c r="BJ6" s="87" t="e">
        <f>BC6+BI6</f>
        <v>#N/A</v>
      </c>
      <c r="BK6" s="62"/>
      <c r="BL6" s="39" t="e">
        <f>AS6-BJ6</f>
        <v>#N/A</v>
      </c>
      <c r="BM6" s="62"/>
      <c r="BN6" s="39" t="e">
        <f>(AS6+AY6)-BJ6</f>
        <v>#N/A</v>
      </c>
      <c r="BO6" s="62"/>
      <c r="BP6" s="87">
        <f t="shared" ref="BP6:BP9" si="4">IF(ISNUMBER(J6), IF(ISNUMBER(X6), J6 + X6, J6), IF(ISNUMBER(X6), X6,0))</f>
        <v>24004.350000000009</v>
      </c>
      <c r="BQ6" s="87">
        <f>BC6</f>
        <v>56250</v>
      </c>
      <c r="BR6" s="87">
        <f>K6+Y6</f>
        <v>0</v>
      </c>
      <c r="BS6" s="87">
        <f>BQ6+BR6</f>
        <v>56250</v>
      </c>
      <c r="BT6" s="87">
        <f>BP6-BS6</f>
        <v>-32245.649999999991</v>
      </c>
    </row>
    <row r="7" spans="1:72" x14ac:dyDescent="0.25">
      <c r="A7" t="s">
        <v>5</v>
      </c>
      <c r="B7"/>
      <c r="C7"/>
      <c r="D7"/>
      <c r="E7"/>
      <c r="F7" s="387">
        <v>186</v>
      </c>
      <c r="G7" s="23">
        <v>88</v>
      </c>
      <c r="H7" s="388">
        <v>98</v>
      </c>
      <c r="I7" s="29">
        <v>0.4731182795698925</v>
      </c>
      <c r="J7" s="37">
        <v>24004.350000000009</v>
      </c>
      <c r="K7" s="9">
        <v>0</v>
      </c>
      <c r="R7"/>
      <c r="S7"/>
      <c r="T7"/>
      <c r="U7"/>
      <c r="V7"/>
      <c r="Z7" s="62"/>
      <c r="AA7" s="62"/>
      <c r="AB7" s="15" t="str">
        <f>AB6</f>
        <v>NAP-SSH</v>
      </c>
      <c r="AC7" s="77" t="str">
        <f t="shared" ref="AC7:AC9" si="5">IF(ISBLANK(D7),"",D7)</f>
        <v/>
      </c>
      <c r="AD7" s="15">
        <f t="shared" ref="AD7:AD9" si="6">F7</f>
        <v>186</v>
      </c>
      <c r="AE7" s="15">
        <f t="shared" ref="AE7:AE9" si="7">G7</f>
        <v>88</v>
      </c>
      <c r="AF7" s="15">
        <f t="shared" ref="AF7:AF9" si="8">H7</f>
        <v>98</v>
      </c>
      <c r="AG7" s="22">
        <f t="shared" ref="AG7:AG9" si="9">J7</f>
        <v>24004.350000000009</v>
      </c>
      <c r="AH7" s="22"/>
      <c r="AI7" s="15">
        <f>AI6</f>
        <v>0</v>
      </c>
      <c r="AJ7" s="77">
        <f t="shared" ref="AJ7:AJ9" si="10">R7</f>
        <v>0</v>
      </c>
      <c r="AK7" s="15">
        <f t="shared" ref="AK7:AK9" si="11">T7</f>
        <v>0</v>
      </c>
      <c r="AL7" s="15">
        <f t="shared" ref="AL7:AL9" si="12">U7</f>
        <v>0</v>
      </c>
      <c r="AM7" s="15">
        <f t="shared" ref="AM7:AM9" si="13">V7</f>
        <v>0</v>
      </c>
      <c r="AN7" s="22">
        <f t="shared" ref="AN7:AN9" si="14">X7</f>
        <v>0</v>
      </c>
      <c r="AO7" s="22"/>
      <c r="AP7" s="15">
        <f t="shared" ref="AP7:AP9" si="15">AD7+AK7</f>
        <v>186</v>
      </c>
      <c r="AQ7" s="15">
        <f t="shared" si="3"/>
        <v>88</v>
      </c>
      <c r="AR7" s="15">
        <f t="shared" si="3"/>
        <v>98</v>
      </c>
      <c r="AS7" s="39">
        <f t="shared" si="3"/>
        <v>24004.350000000009</v>
      </c>
      <c r="AT7" s="62"/>
      <c r="AU7" s="39">
        <v>175</v>
      </c>
      <c r="AV7" s="39">
        <f t="shared" ref="AV7:AV9" si="16">AU7*AM7</f>
        <v>0</v>
      </c>
      <c r="AW7" s="39">
        <v>175</v>
      </c>
      <c r="AX7" s="39">
        <f>AW7*AM7</f>
        <v>0</v>
      </c>
      <c r="AY7" s="39">
        <f>AV7+AX7</f>
        <v>0</v>
      </c>
      <c r="AZ7" s="62"/>
      <c r="BA7" s="39">
        <f>AS7+AY7</f>
        <v>24004.350000000009</v>
      </c>
      <c r="BB7" s="62"/>
      <c r="BC7" s="87">
        <v>56250</v>
      </c>
      <c r="BD7" s="37">
        <f>VLOOKUP(AB7,'Routes Taxes'!I:O,7,0)</f>
        <v>36.659999999999997</v>
      </c>
      <c r="BE7" s="62">
        <f>AD7*BD7</f>
        <v>6818.7599999999993</v>
      </c>
      <c r="BF7" s="37" t="e">
        <f>VLOOKUP(AI7,'Routes Taxes'!I:O,7,0)</f>
        <v>#N/A</v>
      </c>
      <c r="BG7" s="62" t="e">
        <f>BF7*AK7</f>
        <v>#N/A</v>
      </c>
      <c r="BH7" s="37" t="e">
        <f>BD7+BF7</f>
        <v>#N/A</v>
      </c>
      <c r="BI7" s="87" t="e">
        <f t="shared" ref="BI7:BI9" si="17">BE7+BG7</f>
        <v>#N/A</v>
      </c>
      <c r="BJ7" s="87" t="e">
        <f t="shared" ref="BJ7:BJ9" si="18">BC7+BI7</f>
        <v>#N/A</v>
      </c>
      <c r="BK7" s="62"/>
      <c r="BL7" s="39" t="e">
        <f>AS7-BJ7</f>
        <v>#N/A</v>
      </c>
      <c r="BM7" s="62"/>
      <c r="BN7" s="39" t="e">
        <f>(AS7+AY7)-BJ7</f>
        <v>#N/A</v>
      </c>
      <c r="BO7" s="62"/>
      <c r="BP7" s="87">
        <f t="shared" si="4"/>
        <v>24004.350000000009</v>
      </c>
      <c r="BQ7" s="87">
        <f t="shared" ref="BQ7:BQ9" si="19">BC7</f>
        <v>56250</v>
      </c>
      <c r="BR7" s="87">
        <f t="shared" ref="BR7:BR9" si="20">K7+Y7</f>
        <v>0</v>
      </c>
      <c r="BS7" s="87">
        <f t="shared" ref="BS7:BS9" si="21">BQ7+BR7</f>
        <v>56250</v>
      </c>
      <c r="BT7" s="87">
        <f t="shared" ref="BT7:BT9" si="22">BP7-BS7</f>
        <v>-32245.649999999991</v>
      </c>
    </row>
    <row r="8" spans="1:72" x14ac:dyDescent="0.25">
      <c r="B8"/>
      <c r="C8"/>
      <c r="D8"/>
      <c r="E8"/>
      <c r="F8"/>
      <c r="G8"/>
      <c r="H8"/>
      <c r="R8"/>
      <c r="S8"/>
      <c r="T8"/>
      <c r="U8"/>
      <c r="V8"/>
      <c r="Z8" s="62"/>
      <c r="AA8" s="62"/>
      <c r="AB8" s="15" t="str">
        <f t="shared" ref="AB8:AB9" si="23">AB7</f>
        <v>NAP-SSH</v>
      </c>
      <c r="AC8" s="77" t="str">
        <f t="shared" si="5"/>
        <v/>
      </c>
      <c r="AD8" s="15">
        <f t="shared" si="6"/>
        <v>0</v>
      </c>
      <c r="AE8" s="15">
        <f t="shared" si="7"/>
        <v>0</v>
      </c>
      <c r="AF8" s="15">
        <f t="shared" si="8"/>
        <v>0</v>
      </c>
      <c r="AG8" s="22">
        <f t="shared" si="9"/>
        <v>0</v>
      </c>
      <c r="AH8" s="22"/>
      <c r="AI8" s="15">
        <f t="shared" ref="AI8:AI9" si="24">AI7</f>
        <v>0</v>
      </c>
      <c r="AJ8" s="77">
        <f t="shared" si="10"/>
        <v>0</v>
      </c>
      <c r="AK8" s="15">
        <f t="shared" si="11"/>
        <v>0</v>
      </c>
      <c r="AL8" s="15">
        <f t="shared" si="12"/>
        <v>0</v>
      </c>
      <c r="AM8" s="15">
        <f t="shared" si="13"/>
        <v>0</v>
      </c>
      <c r="AN8" s="22">
        <f t="shared" si="14"/>
        <v>0</v>
      </c>
      <c r="AO8" s="22"/>
      <c r="AP8" s="15">
        <f t="shared" si="15"/>
        <v>0</v>
      </c>
      <c r="AQ8" s="15">
        <f t="shared" si="3"/>
        <v>0</v>
      </c>
      <c r="AR8" s="15">
        <f t="shared" si="3"/>
        <v>0</v>
      </c>
      <c r="AS8" s="39">
        <f t="shared" si="3"/>
        <v>0</v>
      </c>
      <c r="AT8" s="62"/>
      <c r="AU8" s="39">
        <v>285</v>
      </c>
      <c r="AV8" s="39">
        <f t="shared" si="16"/>
        <v>0</v>
      </c>
      <c r="AW8" s="39">
        <v>285</v>
      </c>
      <c r="AX8" s="39">
        <f>AW8*AM8</f>
        <v>0</v>
      </c>
      <c r="AY8" s="39">
        <f>AV8+AX8</f>
        <v>0</v>
      </c>
      <c r="AZ8" s="62"/>
      <c r="BA8" s="39">
        <f>AS8+AY8</f>
        <v>0</v>
      </c>
      <c r="BB8" s="62"/>
      <c r="BC8" s="87">
        <v>56250</v>
      </c>
      <c r="BD8" s="37">
        <f>VLOOKUP(AB8,'Routes Taxes'!I:O,7,0)</f>
        <v>36.659999999999997</v>
      </c>
      <c r="BE8" s="62">
        <f>AD8*BD8</f>
        <v>0</v>
      </c>
      <c r="BF8" s="37" t="e">
        <f>VLOOKUP(AI8,'Routes Taxes'!I:O,7,0)</f>
        <v>#N/A</v>
      </c>
      <c r="BG8" s="62" t="e">
        <f>BF8*AK8</f>
        <v>#N/A</v>
      </c>
      <c r="BH8" s="37" t="e">
        <f>BD8+BF8</f>
        <v>#N/A</v>
      </c>
      <c r="BI8" s="87" t="e">
        <f t="shared" si="17"/>
        <v>#N/A</v>
      </c>
      <c r="BJ8" s="87" t="e">
        <f t="shared" si="18"/>
        <v>#N/A</v>
      </c>
      <c r="BK8" s="62"/>
      <c r="BL8" s="39" t="e">
        <f>AS8-BJ8</f>
        <v>#N/A</v>
      </c>
      <c r="BM8" s="62"/>
      <c r="BN8" s="39" t="e">
        <f>(AS8+AY8)-BJ8</f>
        <v>#N/A</v>
      </c>
      <c r="BO8" s="62"/>
      <c r="BP8" s="87">
        <f t="shared" si="4"/>
        <v>0</v>
      </c>
      <c r="BQ8" s="87">
        <f t="shared" si="19"/>
        <v>56250</v>
      </c>
      <c r="BR8" s="87">
        <f t="shared" si="20"/>
        <v>0</v>
      </c>
      <c r="BS8" s="87">
        <f t="shared" si="21"/>
        <v>56250</v>
      </c>
      <c r="BT8" s="87">
        <f t="shared" si="22"/>
        <v>-56250</v>
      </c>
    </row>
    <row r="9" spans="1:72" ht="16.5" thickBot="1" x14ac:dyDescent="0.3">
      <c r="B9"/>
      <c r="C9"/>
      <c r="D9"/>
      <c r="E9"/>
      <c r="F9"/>
      <c r="G9"/>
      <c r="H9"/>
      <c r="R9"/>
      <c r="S9"/>
      <c r="T9"/>
      <c r="U9"/>
      <c r="V9"/>
      <c r="Z9" s="62"/>
      <c r="AA9" s="62"/>
      <c r="AB9" s="15" t="str">
        <f t="shared" si="23"/>
        <v>NAP-SSH</v>
      </c>
      <c r="AC9" s="77" t="str">
        <f t="shared" si="5"/>
        <v/>
      </c>
      <c r="AD9" s="15">
        <f t="shared" si="6"/>
        <v>0</v>
      </c>
      <c r="AE9" s="15">
        <f t="shared" si="7"/>
        <v>0</v>
      </c>
      <c r="AF9" s="15">
        <f t="shared" si="8"/>
        <v>0</v>
      </c>
      <c r="AG9" s="22">
        <f t="shared" si="9"/>
        <v>0</v>
      </c>
      <c r="AH9" s="22"/>
      <c r="AI9" s="15">
        <f t="shared" si="24"/>
        <v>0</v>
      </c>
      <c r="AJ9" s="77">
        <f t="shared" si="10"/>
        <v>0</v>
      </c>
      <c r="AK9" s="15">
        <f t="shared" si="11"/>
        <v>0</v>
      </c>
      <c r="AL9" s="15">
        <f t="shared" si="12"/>
        <v>0</v>
      </c>
      <c r="AM9" s="15">
        <f t="shared" si="13"/>
        <v>0</v>
      </c>
      <c r="AN9" s="22">
        <f t="shared" si="14"/>
        <v>0</v>
      </c>
      <c r="AO9" s="22"/>
      <c r="AP9" s="15">
        <f t="shared" si="15"/>
        <v>0</v>
      </c>
      <c r="AQ9" s="15">
        <f t="shared" si="3"/>
        <v>0</v>
      </c>
      <c r="AR9" s="15">
        <f t="shared" si="3"/>
        <v>0</v>
      </c>
      <c r="AS9" s="39">
        <f t="shared" si="3"/>
        <v>0</v>
      </c>
      <c r="AT9" s="62"/>
      <c r="AU9" s="39">
        <v>285</v>
      </c>
      <c r="AV9" s="39">
        <f t="shared" si="16"/>
        <v>0</v>
      </c>
      <c r="AW9" s="39">
        <v>285</v>
      </c>
      <c r="AX9" s="39">
        <f>AW9*AM9</f>
        <v>0</v>
      </c>
      <c r="AY9" s="39">
        <f>AV9+AX9</f>
        <v>0</v>
      </c>
      <c r="AZ9" s="62"/>
      <c r="BA9" s="39">
        <f>AS9+AY9</f>
        <v>0</v>
      </c>
      <c r="BB9" s="62"/>
      <c r="BC9" s="87">
        <v>56250</v>
      </c>
      <c r="BD9" s="37">
        <f>VLOOKUP(AB9,'Routes Taxes'!I:O,7,0)</f>
        <v>36.659999999999997</v>
      </c>
      <c r="BE9" s="62">
        <f>AD9*BD9</f>
        <v>0</v>
      </c>
      <c r="BF9" s="37" t="e">
        <f>VLOOKUP(AI9,'Routes Taxes'!I:O,7,0)</f>
        <v>#N/A</v>
      </c>
      <c r="BG9" s="62" t="e">
        <f>BF9*AK9</f>
        <v>#N/A</v>
      </c>
      <c r="BH9" s="37" t="e">
        <f>BD9+BF9</f>
        <v>#N/A</v>
      </c>
      <c r="BI9" s="87" t="e">
        <f t="shared" si="17"/>
        <v>#N/A</v>
      </c>
      <c r="BJ9" s="87" t="e">
        <f t="shared" si="18"/>
        <v>#N/A</v>
      </c>
      <c r="BK9" s="62"/>
      <c r="BL9" s="39" t="e">
        <f>AS9-BJ9</f>
        <v>#N/A</v>
      </c>
      <c r="BM9" s="62"/>
      <c r="BN9" s="39" t="e">
        <f>(AS9+AY9)-BJ9</f>
        <v>#N/A</v>
      </c>
      <c r="BO9" s="62"/>
      <c r="BP9" s="87">
        <f t="shared" si="4"/>
        <v>0</v>
      </c>
      <c r="BQ9" s="87">
        <f t="shared" si="19"/>
        <v>56250</v>
      </c>
      <c r="BR9" s="87">
        <f t="shared" si="20"/>
        <v>0</v>
      </c>
      <c r="BS9" s="87">
        <f t="shared" si="21"/>
        <v>56250</v>
      </c>
      <c r="BT9" s="87">
        <f t="shared" si="22"/>
        <v>-56250</v>
      </c>
    </row>
    <row r="10" spans="1:72" ht="16.5" thickBot="1" x14ac:dyDescent="0.3">
      <c r="B10"/>
      <c r="C10"/>
      <c r="D10"/>
      <c r="E10"/>
      <c r="F10"/>
      <c r="G10"/>
      <c r="H10"/>
      <c r="R10"/>
      <c r="S10"/>
      <c r="T10"/>
      <c r="U10"/>
      <c r="V10"/>
      <c r="Z10" s="62"/>
      <c r="AA10" s="62"/>
      <c r="AC10" s="77" t="str">
        <f>IF(ISBLANK(D10),"",D10)</f>
        <v/>
      </c>
      <c r="AD10" s="108">
        <f>SUM(AD6:AD9)</f>
        <v>372</v>
      </c>
      <c r="AE10" s="109">
        <f t="shared" ref="AE10:AG10" si="25">SUM(AE6:AE9)</f>
        <v>176</v>
      </c>
      <c r="AF10" s="109">
        <f t="shared" si="25"/>
        <v>196</v>
      </c>
      <c r="AG10" s="110">
        <f t="shared" si="25"/>
        <v>48008.700000000019</v>
      </c>
      <c r="AH10" s="22"/>
      <c r="AJ10" s="77"/>
      <c r="AK10" s="108">
        <f>SUM(AK6:AK9)</f>
        <v>0</v>
      </c>
      <c r="AL10" s="109">
        <f t="shared" ref="AL10:AN10" si="26">SUM(AL6:AL9)</f>
        <v>0</v>
      </c>
      <c r="AM10" s="109">
        <f t="shared" si="26"/>
        <v>0</v>
      </c>
      <c r="AN10" s="110">
        <f t="shared" si="26"/>
        <v>0</v>
      </c>
      <c r="AO10" s="105"/>
      <c r="AP10" s="107">
        <f>SUM(AP6:AP9)</f>
        <v>372</v>
      </c>
      <c r="AQ10" s="103">
        <f t="shared" ref="AQ10:AS10" si="27">SUM(AQ6:AQ9)</f>
        <v>176</v>
      </c>
      <c r="AR10" s="103">
        <f t="shared" si="27"/>
        <v>196</v>
      </c>
      <c r="AS10" s="104">
        <f t="shared" si="27"/>
        <v>48008.700000000019</v>
      </c>
      <c r="AT10" s="62"/>
      <c r="AU10" s="124">
        <f ca="1">AVERAGE(AU6:AU10)</f>
        <v>227.8</v>
      </c>
      <c r="AV10" s="125">
        <f>SUM(AV6:AV9)</f>
        <v>0</v>
      </c>
      <c r="AW10" s="125">
        <f ca="1">AVERAGE(AW6:AW10)</f>
        <v>227.8</v>
      </c>
      <c r="AX10" s="125">
        <f>SUM(AX6:AX9)</f>
        <v>0</v>
      </c>
      <c r="AY10" s="122">
        <f>SUM(AY6:AY9)</f>
        <v>0</v>
      </c>
      <c r="AZ10" s="62"/>
      <c r="BA10" s="123">
        <f>SUM(BA6:BA9)</f>
        <v>48008.700000000019</v>
      </c>
      <c r="BB10" s="62"/>
      <c r="BC10" s="88">
        <f>SUM(BC6:BC9)</f>
        <v>225000</v>
      </c>
      <c r="BD10" s="88"/>
      <c r="BE10" s="88">
        <f>SUM(BE6:BE9)</f>
        <v>13637.519999999999</v>
      </c>
      <c r="BF10" s="88"/>
      <c r="BG10" s="88" t="e">
        <f>SUM(BG6:BG9)</f>
        <v>#N/A</v>
      </c>
      <c r="BH10" s="88"/>
      <c r="BI10" s="88" t="e">
        <f>SUM(BI6:BI9)</f>
        <v>#N/A</v>
      </c>
      <c r="BJ10" s="88" t="e">
        <f>SUM(BJ6:BJ9)</f>
        <v>#N/A</v>
      </c>
      <c r="BK10" s="62"/>
      <c r="BL10" s="126" t="e">
        <f>SUM(BL6:BL9)</f>
        <v>#N/A</v>
      </c>
      <c r="BM10" s="62"/>
      <c r="BN10" s="126" t="e">
        <f>SUM(BN6:BN9)</f>
        <v>#N/A</v>
      </c>
      <c r="BO10" s="62"/>
      <c r="BP10" s="88">
        <f>SUM(BP6:BP9)</f>
        <v>48008.700000000019</v>
      </c>
      <c r="BQ10" s="88">
        <f t="shared" ref="BQ10:BT10" si="28">SUM(BQ6:BQ9)</f>
        <v>225000</v>
      </c>
      <c r="BR10" s="88">
        <f t="shared" si="28"/>
        <v>0</v>
      </c>
      <c r="BS10" s="88">
        <f t="shared" si="28"/>
        <v>225000</v>
      </c>
      <c r="BT10" s="88">
        <f t="shared" si="28"/>
        <v>-176991.3</v>
      </c>
    </row>
    <row r="11" spans="1:72" x14ac:dyDescent="0.25">
      <c r="B11"/>
      <c r="C11"/>
      <c r="D11"/>
      <c r="E11"/>
      <c r="F11"/>
      <c r="G11"/>
      <c r="H11"/>
      <c r="R11"/>
      <c r="S11"/>
      <c r="T11"/>
      <c r="U11"/>
      <c r="V11"/>
      <c r="Z11" s="62"/>
      <c r="AA11" s="62"/>
      <c r="AC11" s="77"/>
      <c r="AH11" s="22"/>
      <c r="AJ11" s="77"/>
      <c r="BO11" s="62"/>
    </row>
    <row r="12" spans="1:72" hidden="1" x14ac:dyDescent="0.25">
      <c r="B12"/>
      <c r="C12"/>
      <c r="D12"/>
      <c r="E12"/>
      <c r="F12"/>
      <c r="G12"/>
      <c r="H12"/>
      <c r="R12"/>
      <c r="S12"/>
      <c r="T12"/>
      <c r="U12"/>
      <c r="V12"/>
      <c r="Z12" s="62"/>
      <c r="AA12" s="62"/>
      <c r="AC12" s="62"/>
      <c r="AG12" s="37"/>
      <c r="AH12" s="37"/>
      <c r="AN12" s="37"/>
      <c r="AO12" s="37"/>
      <c r="AT12" s="62"/>
      <c r="AU12" s="62"/>
      <c r="AV12" s="62"/>
      <c r="AW12" s="62"/>
      <c r="AX12" s="62"/>
      <c r="AY12" s="62"/>
      <c r="AZ12" s="62"/>
      <c r="BA12" s="62"/>
      <c r="BB12" s="62"/>
      <c r="BC12" s="62"/>
      <c r="BD12" s="62"/>
      <c r="BE12" s="62"/>
      <c r="BF12" s="62"/>
      <c r="BG12" s="62"/>
      <c r="BH12" s="62"/>
      <c r="BI12" s="62"/>
      <c r="BJ12" s="62"/>
      <c r="BK12" s="62"/>
      <c r="BL12" s="62"/>
      <c r="BM12" s="62"/>
      <c r="BN12" s="62"/>
      <c r="BO12" s="62"/>
    </row>
    <row r="13" spans="1:72" hidden="1" x14ac:dyDescent="0.25">
      <c r="A13" s="54" t="s">
        <v>6</v>
      </c>
      <c r="B13" s="15" t="s">
        <v>7</v>
      </c>
      <c r="O13" s="54" t="s">
        <v>6</v>
      </c>
      <c r="P13" t="s">
        <v>8</v>
      </c>
      <c r="AG13" s="37"/>
      <c r="AH13" s="37"/>
      <c r="AN13" s="37"/>
      <c r="AO13" s="37"/>
      <c r="AS13" s="39"/>
    </row>
    <row r="14" spans="1:72" ht="16.5" hidden="1" thickBot="1" x14ac:dyDescent="0.3">
      <c r="AG14" s="37"/>
      <c r="AH14" s="37"/>
      <c r="AN14" s="37"/>
      <c r="AO14" s="37"/>
      <c r="AS14" s="39"/>
      <c r="BP14" s="78"/>
      <c r="BQ14" s="78"/>
      <c r="BR14" s="78"/>
      <c r="BS14" s="78"/>
      <c r="BT14" s="78"/>
    </row>
    <row r="15" spans="1:72" hidden="1" x14ac:dyDescent="0.25">
      <c r="A15" s="54" t="s">
        <v>28</v>
      </c>
      <c r="B15" s="160" t="s">
        <v>108</v>
      </c>
      <c r="C15" s="160" t="s">
        <v>11</v>
      </c>
      <c r="D15" s="160" t="s">
        <v>4</v>
      </c>
      <c r="E15" s="160" t="s">
        <v>20</v>
      </c>
      <c r="F15" t="s">
        <v>229</v>
      </c>
      <c r="G15" s="15" t="s">
        <v>106</v>
      </c>
      <c r="H15" s="15" t="s">
        <v>110</v>
      </c>
      <c r="I15" t="s">
        <v>170</v>
      </c>
      <c r="J15" s="15" t="s">
        <v>101</v>
      </c>
      <c r="K15" t="s">
        <v>63</v>
      </c>
      <c r="O15" s="54" t="s">
        <v>28</v>
      </c>
      <c r="P15" s="54" t="s">
        <v>108</v>
      </c>
      <c r="Q15" s="54" t="s">
        <v>11</v>
      </c>
      <c r="R15" s="54" t="s">
        <v>4</v>
      </c>
      <c r="S15" s="54" t="s">
        <v>20</v>
      </c>
      <c r="T15" t="s">
        <v>229</v>
      </c>
      <c r="U15" s="15" t="s">
        <v>106</v>
      </c>
      <c r="V15" s="15" t="s">
        <v>110</v>
      </c>
      <c r="W15" t="s">
        <v>170</v>
      </c>
      <c r="X15" s="15" t="s">
        <v>101</v>
      </c>
      <c r="Y15" t="s">
        <v>63</v>
      </c>
      <c r="Z15" s="15"/>
      <c r="AA15" s="15"/>
      <c r="AB15" s="95" t="s">
        <v>184</v>
      </c>
      <c r="AC15" s="95" t="s">
        <v>175</v>
      </c>
      <c r="AD15" s="95" t="s">
        <v>176</v>
      </c>
      <c r="AE15" s="95" t="s">
        <v>177</v>
      </c>
      <c r="AF15" s="95" t="s">
        <v>178</v>
      </c>
      <c r="AG15" s="96" t="s">
        <v>182</v>
      </c>
      <c r="AH15" s="101"/>
      <c r="AI15" s="95" t="s">
        <v>185</v>
      </c>
      <c r="AJ15" s="95" t="s">
        <v>175</v>
      </c>
      <c r="AK15" s="95" t="s">
        <v>176</v>
      </c>
      <c r="AL15" s="95" t="s">
        <v>177</v>
      </c>
      <c r="AM15" s="95" t="s">
        <v>178</v>
      </c>
      <c r="AN15" s="96" t="s">
        <v>182</v>
      </c>
      <c r="AO15" s="101"/>
      <c r="AP15" s="95" t="s">
        <v>179</v>
      </c>
      <c r="AQ15" s="95" t="s">
        <v>180</v>
      </c>
      <c r="AR15" s="95" t="s">
        <v>181</v>
      </c>
      <c r="AS15" s="97" t="s">
        <v>183</v>
      </c>
      <c r="AT15" s="15"/>
      <c r="AU15" s="121" t="s">
        <v>193</v>
      </c>
      <c r="AV15" s="121" t="s">
        <v>194</v>
      </c>
      <c r="AW15" s="121" t="s">
        <v>195</v>
      </c>
      <c r="AX15" s="121" t="s">
        <v>196</v>
      </c>
      <c r="AY15" s="121" t="s">
        <v>197</v>
      </c>
      <c r="AZ15" s="15"/>
      <c r="BA15" s="121" t="s">
        <v>199</v>
      </c>
      <c r="BB15" s="15"/>
      <c r="BC15" s="85" t="s">
        <v>173</v>
      </c>
      <c r="BD15" s="85" t="s">
        <v>186</v>
      </c>
      <c r="BE15" s="85" t="s">
        <v>189</v>
      </c>
      <c r="BF15" s="85" t="s">
        <v>187</v>
      </c>
      <c r="BG15" s="85" t="s">
        <v>190</v>
      </c>
      <c r="BH15" s="85" t="s">
        <v>60</v>
      </c>
      <c r="BI15" s="85" t="s">
        <v>188</v>
      </c>
      <c r="BJ15" s="85" t="s">
        <v>191</v>
      </c>
      <c r="BK15" s="15"/>
      <c r="BL15" s="97" t="s">
        <v>192</v>
      </c>
      <c r="BM15" s="15"/>
      <c r="BN15" s="97" t="s">
        <v>198</v>
      </c>
      <c r="BO15" s="15"/>
      <c r="BP15" s="85" t="s">
        <v>123</v>
      </c>
      <c r="BQ15" s="85" t="s">
        <v>173</v>
      </c>
      <c r="BR15" s="85" t="s">
        <v>96</v>
      </c>
      <c r="BS15" s="85" t="s">
        <v>171</v>
      </c>
      <c r="BT15" s="85" t="s">
        <v>174</v>
      </c>
    </row>
    <row r="16" spans="1:72" hidden="1" x14ac:dyDescent="0.25">
      <c r="A16" t="s">
        <v>146</v>
      </c>
      <c r="B16" t="s">
        <v>212</v>
      </c>
      <c r="C16" t="s">
        <v>23</v>
      </c>
      <c r="D16" s="60">
        <v>45765</v>
      </c>
      <c r="E16" t="s">
        <v>159</v>
      </c>
      <c r="F16" s="387">
        <v>186</v>
      </c>
      <c r="G16" s="23">
        <v>88</v>
      </c>
      <c r="H16" s="388">
        <v>98</v>
      </c>
      <c r="I16" s="29">
        <v>0.4731182795698925</v>
      </c>
      <c r="J16" s="37">
        <v>24004.350000000009</v>
      </c>
      <c r="K16" s="9">
        <v>0</v>
      </c>
      <c r="O16" t="s">
        <v>5</v>
      </c>
      <c r="R16"/>
      <c r="S16"/>
      <c r="T16" s="387"/>
      <c r="U16" s="23"/>
      <c r="V16" s="388"/>
      <c r="W16" s="9" t="e">
        <v>#DIV/0!</v>
      </c>
      <c r="X16" s="37"/>
      <c r="Y16" s="9"/>
      <c r="Z16" s="62"/>
      <c r="AA16" s="62"/>
      <c r="AB16" s="15" t="str">
        <f>IF(ISBLANK(C16),"",C16)</f>
        <v>NAP-SSH</v>
      </c>
      <c r="AC16" s="77">
        <f t="shared" ref="AC16:AC20" si="29">IF(ISBLANK(D16),"",D16)</f>
        <v>45765</v>
      </c>
      <c r="AD16" s="15">
        <f t="shared" ref="AD16:AD20" si="30">F16</f>
        <v>186</v>
      </c>
      <c r="AE16" s="15">
        <f t="shared" ref="AE16:AE20" si="31">G16</f>
        <v>88</v>
      </c>
      <c r="AF16" s="15">
        <f t="shared" ref="AF16:AF20" si="32">H16</f>
        <v>98</v>
      </c>
      <c r="AG16" s="22">
        <f t="shared" ref="AG16:AG20" si="33">J16</f>
        <v>24004.350000000009</v>
      </c>
      <c r="AH16" s="22"/>
      <c r="AI16" s="15">
        <f>Q16</f>
        <v>0</v>
      </c>
      <c r="AJ16" s="77">
        <f t="shared" ref="AJ16:AJ20" si="34">R16</f>
        <v>0</v>
      </c>
      <c r="AK16" s="15">
        <f t="shared" ref="AK16:AK20" si="35">T16</f>
        <v>0</v>
      </c>
      <c r="AL16" s="15">
        <f t="shared" ref="AL16:AL20" si="36">U16</f>
        <v>0</v>
      </c>
      <c r="AM16" s="15">
        <f t="shared" ref="AM16:AM20" si="37">V16</f>
        <v>0</v>
      </c>
      <c r="AN16" s="22">
        <f t="shared" ref="AN16:AN20" si="38">X16</f>
        <v>0</v>
      </c>
      <c r="AO16" s="22"/>
      <c r="AP16" s="15">
        <f>AD16+AK16</f>
        <v>186</v>
      </c>
      <c r="AQ16" s="15">
        <f t="shared" ref="AQ16:AQ19" si="39">AE16+AL16</f>
        <v>88</v>
      </c>
      <c r="AR16" s="15">
        <f t="shared" ref="AR16:AR19" si="40">AF16+AM16</f>
        <v>98</v>
      </c>
      <c r="AS16" s="39">
        <f t="shared" ref="AS16:AS19" si="41">AG16+AN16</f>
        <v>24004.350000000009</v>
      </c>
      <c r="AT16" s="62"/>
      <c r="AU16" s="39">
        <v>175</v>
      </c>
      <c r="AV16" s="39">
        <f>AU16*AM16</f>
        <v>0</v>
      </c>
      <c r="AW16" s="39">
        <v>175</v>
      </c>
      <c r="AX16" s="39">
        <f>AW16*AM16</f>
        <v>0</v>
      </c>
      <c r="AY16" s="39">
        <f>AV16+AX16</f>
        <v>0</v>
      </c>
      <c r="AZ16" s="62"/>
      <c r="BA16" s="39">
        <f>AS16+AY16</f>
        <v>24004.350000000009</v>
      </c>
      <c r="BB16" s="62"/>
      <c r="BC16" s="87">
        <v>54000</v>
      </c>
      <c r="BD16" s="37">
        <f>VLOOKUP(AB16,'Routes Taxes'!I:O,7,0)</f>
        <v>36.659999999999997</v>
      </c>
      <c r="BE16" s="62">
        <f>AD16*BD16</f>
        <v>6818.7599999999993</v>
      </c>
      <c r="BF16" s="37" t="e">
        <f>VLOOKUP(AI16,'Routes Taxes'!I:O,7,0)</f>
        <v>#N/A</v>
      </c>
      <c r="BG16" s="62" t="e">
        <f>BF16*AK16</f>
        <v>#N/A</v>
      </c>
      <c r="BH16" s="37" t="e">
        <f>BD16+BF16</f>
        <v>#N/A</v>
      </c>
      <c r="BI16" s="87" t="e">
        <f>BE16+BG16</f>
        <v>#N/A</v>
      </c>
      <c r="BJ16" s="87" t="e">
        <f>BC16+BI16</f>
        <v>#N/A</v>
      </c>
      <c r="BK16" s="62"/>
      <c r="BL16" s="39" t="e">
        <f>AS16-BJ16</f>
        <v>#N/A</v>
      </c>
      <c r="BM16" s="62"/>
      <c r="BN16" s="39" t="e">
        <f>(AS16+AY16)-BJ16</f>
        <v>#N/A</v>
      </c>
      <c r="BO16" s="62"/>
      <c r="BP16" s="87">
        <f t="shared" ref="BP16:BP19" si="42">IF(ISNUMBER(J16), IF(ISNUMBER(X16), J16 + X16, J16), IF(ISNUMBER(X16), X16,0))</f>
        <v>24004.350000000009</v>
      </c>
      <c r="BQ16" s="87">
        <f>BC16</f>
        <v>54000</v>
      </c>
      <c r="BR16" s="87">
        <f>K16+Y16</f>
        <v>0</v>
      </c>
      <c r="BS16" s="87">
        <f>BQ16+BR16</f>
        <v>54000</v>
      </c>
      <c r="BT16" s="87">
        <f>BP16-BS16</f>
        <v>-29995.649999999991</v>
      </c>
    </row>
    <row r="17" spans="1:72" hidden="1" x14ac:dyDescent="0.25">
      <c r="A17" t="s">
        <v>5</v>
      </c>
      <c r="B17"/>
      <c r="C17"/>
      <c r="D17"/>
      <c r="E17"/>
      <c r="F17" s="387">
        <v>186</v>
      </c>
      <c r="G17" s="23">
        <v>88</v>
      </c>
      <c r="H17" s="388">
        <v>98</v>
      </c>
      <c r="I17" s="29">
        <v>0.4731182795698925</v>
      </c>
      <c r="J17" s="37">
        <v>24004.350000000009</v>
      </c>
      <c r="K17" s="9">
        <v>0</v>
      </c>
      <c r="R17"/>
      <c r="S17"/>
      <c r="T17"/>
      <c r="U17"/>
      <c r="V17"/>
      <c r="Z17" s="62"/>
      <c r="AA17" s="62"/>
      <c r="AB17" s="15" t="str">
        <f>AB16</f>
        <v>NAP-SSH</v>
      </c>
      <c r="AC17" s="77" t="str">
        <f t="shared" si="29"/>
        <v/>
      </c>
      <c r="AD17" s="15">
        <f t="shared" si="30"/>
        <v>186</v>
      </c>
      <c r="AE17" s="15">
        <f t="shared" si="31"/>
        <v>88</v>
      </c>
      <c r="AF17" s="15">
        <f t="shared" si="32"/>
        <v>98</v>
      </c>
      <c r="AG17" s="22">
        <f t="shared" si="33"/>
        <v>24004.350000000009</v>
      </c>
      <c r="AH17" s="22"/>
      <c r="AI17" s="15">
        <f>AI16</f>
        <v>0</v>
      </c>
      <c r="AJ17" s="77">
        <f t="shared" si="34"/>
        <v>0</v>
      </c>
      <c r="AK17" s="15">
        <f t="shared" si="35"/>
        <v>0</v>
      </c>
      <c r="AL17" s="15">
        <f t="shared" si="36"/>
        <v>0</v>
      </c>
      <c r="AM17" s="15">
        <f t="shared" si="37"/>
        <v>0</v>
      </c>
      <c r="AN17" s="22">
        <f t="shared" si="38"/>
        <v>0</v>
      </c>
      <c r="AO17" s="22"/>
      <c r="AP17" s="15">
        <f t="shared" ref="AP17:AP19" si="43">AD17+AK17</f>
        <v>186</v>
      </c>
      <c r="AQ17" s="15">
        <f t="shared" si="39"/>
        <v>88</v>
      </c>
      <c r="AR17" s="15">
        <f t="shared" si="40"/>
        <v>98</v>
      </c>
      <c r="AS17" s="39">
        <f t="shared" si="41"/>
        <v>24004.350000000009</v>
      </c>
      <c r="AT17" s="62"/>
      <c r="AU17" s="39">
        <v>175</v>
      </c>
      <c r="AV17" s="39">
        <f t="shared" ref="AV17:AV19" si="44">AU17*AM17</f>
        <v>0</v>
      </c>
      <c r="AW17" s="39">
        <v>175</v>
      </c>
      <c r="AX17" s="39">
        <f>AW17*AM17</f>
        <v>0</v>
      </c>
      <c r="AY17" s="39">
        <f>AV17+AX17</f>
        <v>0</v>
      </c>
      <c r="AZ17" s="62"/>
      <c r="BA17" s="39">
        <f>AS17+AY17</f>
        <v>24004.350000000009</v>
      </c>
      <c r="BB17" s="62"/>
      <c r="BC17" s="87">
        <v>54000</v>
      </c>
      <c r="BD17" s="37">
        <f>VLOOKUP(AB17,'Routes Taxes'!I:O,7,0)</f>
        <v>36.659999999999997</v>
      </c>
      <c r="BE17" s="62">
        <f>AD17*BD17</f>
        <v>6818.7599999999993</v>
      </c>
      <c r="BF17" s="37" t="e">
        <f>VLOOKUP(AI17,'Routes Taxes'!I:O,7,0)</f>
        <v>#N/A</v>
      </c>
      <c r="BG17" s="62" t="e">
        <f>BF17*AK17</f>
        <v>#N/A</v>
      </c>
      <c r="BH17" s="37" t="e">
        <f>BD17+BF17</f>
        <v>#N/A</v>
      </c>
      <c r="BI17" s="87" t="e">
        <f t="shared" ref="BI17:BI19" si="45">BE17+BG17</f>
        <v>#N/A</v>
      </c>
      <c r="BJ17" s="87" t="e">
        <f t="shared" ref="BJ17:BJ19" si="46">BC17+BI17</f>
        <v>#N/A</v>
      </c>
      <c r="BK17" s="62"/>
      <c r="BL17" s="39" t="e">
        <f>AS17-BJ17</f>
        <v>#N/A</v>
      </c>
      <c r="BM17" s="62"/>
      <c r="BN17" s="39" t="e">
        <f>(AS17+AY17)-BJ17</f>
        <v>#N/A</v>
      </c>
      <c r="BO17" s="62"/>
      <c r="BP17" s="87">
        <f t="shared" si="42"/>
        <v>24004.350000000009</v>
      </c>
      <c r="BQ17" s="87">
        <f t="shared" ref="BQ17:BQ19" si="47">BC17</f>
        <v>54000</v>
      </c>
      <c r="BR17" s="87">
        <f t="shared" ref="BR17:BR19" si="48">K17+Y17</f>
        <v>0</v>
      </c>
      <c r="BS17" s="87">
        <f t="shared" ref="BS17:BS19" si="49">BQ17+BR17</f>
        <v>54000</v>
      </c>
      <c r="BT17" s="87">
        <f t="shared" ref="BT17:BT19" si="50">BP17-BS17</f>
        <v>-29995.649999999991</v>
      </c>
    </row>
    <row r="18" spans="1:72" hidden="1" x14ac:dyDescent="0.25">
      <c r="B18"/>
      <c r="C18"/>
      <c r="D18"/>
      <c r="E18"/>
      <c r="F18"/>
      <c r="G18"/>
      <c r="H18"/>
      <c r="R18"/>
      <c r="S18"/>
      <c r="T18"/>
      <c r="U18"/>
      <c r="V18"/>
      <c r="Z18" s="62"/>
      <c r="AA18" s="62"/>
      <c r="AB18" s="15" t="str">
        <f t="shared" ref="AB18:AB20" si="51">AB17</f>
        <v>NAP-SSH</v>
      </c>
      <c r="AC18" s="77" t="str">
        <f t="shared" si="29"/>
        <v/>
      </c>
      <c r="AD18" s="15">
        <f t="shared" si="30"/>
        <v>0</v>
      </c>
      <c r="AE18" s="15">
        <f t="shared" si="31"/>
        <v>0</v>
      </c>
      <c r="AF18" s="15">
        <f t="shared" si="32"/>
        <v>0</v>
      </c>
      <c r="AG18" s="22">
        <f t="shared" si="33"/>
        <v>0</v>
      </c>
      <c r="AH18" s="22"/>
      <c r="AI18" s="15">
        <f t="shared" ref="AI18:AI20" si="52">AI17</f>
        <v>0</v>
      </c>
      <c r="AJ18" s="77">
        <f t="shared" si="34"/>
        <v>0</v>
      </c>
      <c r="AK18" s="15">
        <f t="shared" si="35"/>
        <v>0</v>
      </c>
      <c r="AL18" s="15">
        <f t="shared" si="36"/>
        <v>0</v>
      </c>
      <c r="AM18" s="15">
        <f t="shared" si="37"/>
        <v>0</v>
      </c>
      <c r="AN18" s="22">
        <f t="shared" si="38"/>
        <v>0</v>
      </c>
      <c r="AO18" s="22"/>
      <c r="AP18" s="15">
        <f t="shared" si="43"/>
        <v>0</v>
      </c>
      <c r="AQ18" s="15">
        <f t="shared" si="39"/>
        <v>0</v>
      </c>
      <c r="AR18" s="15">
        <f t="shared" si="40"/>
        <v>0</v>
      </c>
      <c r="AS18" s="39">
        <f t="shared" si="41"/>
        <v>0</v>
      </c>
      <c r="AT18" s="62"/>
      <c r="AU18" s="39">
        <v>285</v>
      </c>
      <c r="AV18" s="39">
        <f t="shared" si="44"/>
        <v>0</v>
      </c>
      <c r="AW18" s="39">
        <v>285</v>
      </c>
      <c r="AX18" s="39">
        <f>AW18*AM18</f>
        <v>0</v>
      </c>
      <c r="AY18" s="39">
        <f>AV18+AX18</f>
        <v>0</v>
      </c>
      <c r="AZ18" s="62"/>
      <c r="BA18" s="39">
        <f>AS18+AY18</f>
        <v>0</v>
      </c>
      <c r="BB18" s="62"/>
      <c r="BC18" s="87">
        <v>54000</v>
      </c>
      <c r="BD18" s="37">
        <f>VLOOKUP(AB18,'Routes Taxes'!I:O,7,0)</f>
        <v>36.659999999999997</v>
      </c>
      <c r="BE18" s="62">
        <f>AD18*BD18</f>
        <v>0</v>
      </c>
      <c r="BF18" s="37" t="e">
        <f>VLOOKUP(AI18,'Routes Taxes'!I:O,7,0)</f>
        <v>#N/A</v>
      </c>
      <c r="BG18" s="62" t="e">
        <f>BF18*AK18</f>
        <v>#N/A</v>
      </c>
      <c r="BH18" s="37" t="e">
        <f>BD18+BF18</f>
        <v>#N/A</v>
      </c>
      <c r="BI18" s="87" t="e">
        <f t="shared" si="45"/>
        <v>#N/A</v>
      </c>
      <c r="BJ18" s="87" t="e">
        <f t="shared" si="46"/>
        <v>#N/A</v>
      </c>
      <c r="BK18" s="62"/>
      <c r="BL18" s="39" t="e">
        <f>AS18-BJ18</f>
        <v>#N/A</v>
      </c>
      <c r="BM18" s="62"/>
      <c r="BN18" s="39" t="e">
        <f>(AS18+AY18)-BJ18</f>
        <v>#N/A</v>
      </c>
      <c r="BO18" s="62"/>
      <c r="BP18" s="87">
        <f t="shared" si="42"/>
        <v>0</v>
      </c>
      <c r="BQ18" s="87">
        <f t="shared" si="47"/>
        <v>54000</v>
      </c>
      <c r="BR18" s="87">
        <f t="shared" si="48"/>
        <v>0</v>
      </c>
      <c r="BS18" s="87">
        <f t="shared" si="49"/>
        <v>54000</v>
      </c>
      <c r="BT18" s="87">
        <f t="shared" si="50"/>
        <v>-54000</v>
      </c>
    </row>
    <row r="19" spans="1:72" hidden="1" x14ac:dyDescent="0.25">
      <c r="B19"/>
      <c r="C19"/>
      <c r="D19"/>
      <c r="E19"/>
      <c r="F19"/>
      <c r="G19"/>
      <c r="H19"/>
      <c r="R19"/>
      <c r="S19"/>
      <c r="T19"/>
      <c r="U19"/>
      <c r="V19"/>
      <c r="Z19" s="62"/>
      <c r="AA19" s="62"/>
      <c r="AB19" s="15" t="str">
        <f t="shared" si="51"/>
        <v>NAP-SSH</v>
      </c>
      <c r="AC19" s="77" t="str">
        <f t="shared" si="29"/>
        <v/>
      </c>
      <c r="AD19" s="15">
        <f t="shared" si="30"/>
        <v>0</v>
      </c>
      <c r="AE19" s="15">
        <f t="shared" si="31"/>
        <v>0</v>
      </c>
      <c r="AF19" s="15">
        <f t="shared" si="32"/>
        <v>0</v>
      </c>
      <c r="AG19" s="22">
        <f t="shared" si="33"/>
        <v>0</v>
      </c>
      <c r="AH19" s="22"/>
      <c r="AI19" s="15">
        <f t="shared" si="52"/>
        <v>0</v>
      </c>
      <c r="AJ19" s="77">
        <f t="shared" si="34"/>
        <v>0</v>
      </c>
      <c r="AK19" s="15">
        <f t="shared" si="35"/>
        <v>0</v>
      </c>
      <c r="AL19" s="15">
        <f t="shared" si="36"/>
        <v>0</v>
      </c>
      <c r="AM19" s="15">
        <f t="shared" si="37"/>
        <v>0</v>
      </c>
      <c r="AN19" s="22">
        <f t="shared" si="38"/>
        <v>0</v>
      </c>
      <c r="AO19" s="22"/>
      <c r="AP19" s="15">
        <f t="shared" si="43"/>
        <v>0</v>
      </c>
      <c r="AQ19" s="15">
        <f t="shared" si="39"/>
        <v>0</v>
      </c>
      <c r="AR19" s="15">
        <f t="shared" si="40"/>
        <v>0</v>
      </c>
      <c r="AS19" s="39">
        <f t="shared" si="41"/>
        <v>0</v>
      </c>
      <c r="AT19" s="62"/>
      <c r="AU19" s="39">
        <v>285</v>
      </c>
      <c r="AV19" s="39">
        <f t="shared" si="44"/>
        <v>0</v>
      </c>
      <c r="AW19" s="39">
        <v>285</v>
      </c>
      <c r="AX19" s="39">
        <f>AW19*AM19</f>
        <v>0</v>
      </c>
      <c r="AY19" s="39">
        <f>AV19+AX19</f>
        <v>0</v>
      </c>
      <c r="AZ19" s="62"/>
      <c r="BA19" s="39">
        <f>AS19+AY19</f>
        <v>0</v>
      </c>
      <c r="BB19" s="62"/>
      <c r="BC19" s="87">
        <v>54000</v>
      </c>
      <c r="BD19" s="37">
        <f>VLOOKUP(AB19,'Routes Taxes'!I:O,7,0)</f>
        <v>36.659999999999997</v>
      </c>
      <c r="BE19" s="62">
        <f>AD19*BD19</f>
        <v>0</v>
      </c>
      <c r="BF19" s="37" t="e">
        <f>VLOOKUP(AI19,'Routes Taxes'!I:O,7,0)</f>
        <v>#N/A</v>
      </c>
      <c r="BG19" s="62" t="e">
        <f>BF19*AK19</f>
        <v>#N/A</v>
      </c>
      <c r="BH19" s="37" t="e">
        <f>BD19+BF19</f>
        <v>#N/A</v>
      </c>
      <c r="BI19" s="87" t="e">
        <f t="shared" si="45"/>
        <v>#N/A</v>
      </c>
      <c r="BJ19" s="87" t="e">
        <f t="shared" si="46"/>
        <v>#N/A</v>
      </c>
      <c r="BK19" s="62"/>
      <c r="BL19" s="39" t="e">
        <f>AS19-BJ19</f>
        <v>#N/A</v>
      </c>
      <c r="BM19" s="62"/>
      <c r="BN19" s="39" t="e">
        <f>(AS19+AY19)-BJ19</f>
        <v>#N/A</v>
      </c>
      <c r="BO19" s="62"/>
      <c r="BP19" s="87">
        <f t="shared" si="42"/>
        <v>0</v>
      </c>
      <c r="BQ19" s="87">
        <f t="shared" si="47"/>
        <v>54000</v>
      </c>
      <c r="BR19" s="87">
        <f t="shared" si="48"/>
        <v>0</v>
      </c>
      <c r="BS19" s="87">
        <f t="shared" si="49"/>
        <v>54000</v>
      </c>
      <c r="BT19" s="87">
        <f t="shared" si="50"/>
        <v>-54000</v>
      </c>
    </row>
    <row r="20" spans="1:72" ht="16.5" hidden="1" thickBot="1" x14ac:dyDescent="0.3">
      <c r="B20"/>
      <c r="C20"/>
      <c r="D20"/>
      <c r="E20"/>
      <c r="F20"/>
      <c r="G20"/>
      <c r="H20"/>
      <c r="R20"/>
      <c r="S20"/>
      <c r="T20"/>
      <c r="U20"/>
      <c r="V20"/>
      <c r="Z20" s="62"/>
      <c r="AA20" s="62"/>
      <c r="AB20" s="15" t="str">
        <f t="shared" si="51"/>
        <v>NAP-SSH</v>
      </c>
      <c r="AC20" s="77" t="str">
        <f t="shared" si="29"/>
        <v/>
      </c>
      <c r="AD20" s="15">
        <f t="shared" si="30"/>
        <v>0</v>
      </c>
      <c r="AE20" s="15">
        <f t="shared" si="31"/>
        <v>0</v>
      </c>
      <c r="AF20" s="15">
        <f t="shared" si="32"/>
        <v>0</v>
      </c>
      <c r="AG20" s="22">
        <f t="shared" si="33"/>
        <v>0</v>
      </c>
      <c r="AH20" s="22"/>
      <c r="AI20" s="15">
        <f t="shared" si="52"/>
        <v>0</v>
      </c>
      <c r="AJ20" s="77">
        <f t="shared" si="34"/>
        <v>0</v>
      </c>
      <c r="AK20" s="15">
        <f t="shared" si="35"/>
        <v>0</v>
      </c>
      <c r="AL20" s="15">
        <f t="shared" si="36"/>
        <v>0</v>
      </c>
      <c r="AM20" s="15">
        <f t="shared" si="37"/>
        <v>0</v>
      </c>
      <c r="AN20" s="22">
        <f t="shared" si="38"/>
        <v>0</v>
      </c>
      <c r="AO20" s="22"/>
      <c r="AP20" s="15">
        <f t="shared" ref="AP20" si="53">AD20+AK20</f>
        <v>0</v>
      </c>
      <c r="AQ20" s="15">
        <f t="shared" ref="AQ20" si="54">AE20+AL20</f>
        <v>0</v>
      </c>
      <c r="AR20" s="15">
        <f t="shared" ref="AR20" si="55">AF20+AM20</f>
        <v>0</v>
      </c>
      <c r="AS20" s="39">
        <f t="shared" ref="AS20" si="56">AG20+AN20</f>
        <v>0</v>
      </c>
      <c r="AT20" s="62"/>
      <c r="AU20" s="39">
        <v>285</v>
      </c>
      <c r="AV20" s="39">
        <f t="shared" ref="AV20" si="57">AU20*AM20</f>
        <v>0</v>
      </c>
      <c r="AW20" s="39">
        <v>285</v>
      </c>
      <c r="AX20" s="39">
        <f>AW20*AM20</f>
        <v>0</v>
      </c>
      <c r="AY20" s="39">
        <f>AV20+AX20</f>
        <v>0</v>
      </c>
      <c r="AZ20" s="62"/>
      <c r="BA20" s="39">
        <f>AS20+AY20</f>
        <v>0</v>
      </c>
      <c r="BB20" s="62"/>
      <c r="BC20" s="87">
        <v>54000</v>
      </c>
      <c r="BD20" s="37">
        <f>VLOOKUP(AB20,'Routes Taxes'!I:O,7,0)</f>
        <v>36.659999999999997</v>
      </c>
      <c r="BE20" s="62">
        <f>AD20*BD20</f>
        <v>0</v>
      </c>
      <c r="BF20" s="37" t="e">
        <f>VLOOKUP(AI20,'Routes Taxes'!I:O,7,0)</f>
        <v>#N/A</v>
      </c>
      <c r="BG20" s="62" t="e">
        <f>BF20*AK20</f>
        <v>#N/A</v>
      </c>
      <c r="BH20" s="37" t="e">
        <f>BD20+BF20</f>
        <v>#N/A</v>
      </c>
      <c r="BI20" s="87" t="e">
        <f t="shared" ref="BI20" si="58">BE20+BG20</f>
        <v>#N/A</v>
      </c>
      <c r="BJ20" s="87" t="e">
        <f t="shared" ref="BJ20" si="59">BC20+BI20</f>
        <v>#N/A</v>
      </c>
      <c r="BK20" s="62"/>
      <c r="BL20" s="39" t="e">
        <f>AS20-BJ20</f>
        <v>#N/A</v>
      </c>
      <c r="BM20" s="62"/>
      <c r="BN20" s="39" t="e">
        <f>(AS20+AY20)-BJ20</f>
        <v>#N/A</v>
      </c>
      <c r="BO20" s="62"/>
      <c r="BP20" s="87">
        <f t="shared" ref="BP20" si="60">IF(ISNUMBER(J20), IF(ISNUMBER(X20), J20 + X20, J20), IF(ISNUMBER(X20), X20,0))</f>
        <v>0</v>
      </c>
      <c r="BQ20" s="87">
        <f t="shared" ref="BQ20" si="61">BC20</f>
        <v>54000</v>
      </c>
      <c r="BR20" s="87">
        <f t="shared" ref="BR20" si="62">K20+Y20</f>
        <v>0</v>
      </c>
      <c r="BS20" s="87">
        <f t="shared" ref="BS20" si="63">BQ20+BR20</f>
        <v>54000</v>
      </c>
      <c r="BT20" s="87">
        <f t="shared" ref="BT20" si="64">BP20-BS20</f>
        <v>-54000</v>
      </c>
    </row>
    <row r="21" spans="1:72" ht="16.5" hidden="1" thickBot="1" x14ac:dyDescent="0.3">
      <c r="B21"/>
      <c r="C21"/>
      <c r="D21"/>
      <c r="E21"/>
      <c r="F21"/>
      <c r="G21"/>
      <c r="H21"/>
      <c r="R21"/>
      <c r="S21"/>
      <c r="T21"/>
      <c r="U21"/>
      <c r="V21"/>
      <c r="Z21" s="62"/>
      <c r="AA21" s="62"/>
      <c r="AC21" s="77"/>
      <c r="AD21" s="108">
        <f>SUM(AD16:AD20)</f>
        <v>372</v>
      </c>
      <c r="AE21" s="109">
        <f t="shared" ref="AE21" si="65">SUM(AE16:AE20)</f>
        <v>176</v>
      </c>
      <c r="AF21" s="109">
        <f t="shared" ref="AF21" si="66">SUM(AF16:AF20)</f>
        <v>196</v>
      </c>
      <c r="AG21" s="110">
        <f t="shared" ref="AG21" si="67">SUM(AG16:AG20)</f>
        <v>48008.700000000019</v>
      </c>
      <c r="AH21" s="22"/>
      <c r="AJ21" s="77"/>
      <c r="AK21" s="108">
        <f t="shared" ref="AK21" si="68">SUM(AK16:AK20)</f>
        <v>0</v>
      </c>
      <c r="AL21" s="109">
        <f t="shared" ref="AL21" si="69">SUM(AL16:AL20)</f>
        <v>0</v>
      </c>
      <c r="AM21" s="109">
        <f t="shared" ref="AM21" si="70">SUM(AM16:AM20)</f>
        <v>0</v>
      </c>
      <c r="AN21" s="110">
        <f t="shared" ref="AN21" si="71">SUM(AN16:AN20)</f>
        <v>0</v>
      </c>
      <c r="AO21" s="105"/>
      <c r="AP21" s="107">
        <f>SUM(AP16:AP20)</f>
        <v>372</v>
      </c>
      <c r="AQ21" s="103">
        <f t="shared" ref="AQ21" si="72">SUM(AQ16:AQ20)</f>
        <v>176</v>
      </c>
      <c r="AR21" s="103">
        <f t="shared" ref="AR21" si="73">SUM(AR16:AR20)</f>
        <v>196</v>
      </c>
      <c r="AS21" s="104">
        <f t="shared" ref="AS21" si="74">SUM(AS16:AS20)</f>
        <v>48008.700000000019</v>
      </c>
      <c r="AT21" s="62"/>
      <c r="AU21" s="124">
        <f>AVERAGE(AU16:AU20)</f>
        <v>241</v>
      </c>
      <c r="AV21" s="125">
        <f>SUM(AV16:AV20)</f>
        <v>0</v>
      </c>
      <c r="AW21" s="125">
        <f>AVERAGE(AW16:AW20)</f>
        <v>241</v>
      </c>
      <c r="AX21" s="125">
        <f>SUM(AX16:AX20)</f>
        <v>0</v>
      </c>
      <c r="AY21" s="122">
        <f>SUM(AY16:AY20)</f>
        <v>0</v>
      </c>
      <c r="AZ21" s="62"/>
      <c r="BA21" s="123">
        <f>SUM(BA16:BA20)</f>
        <v>48008.700000000019</v>
      </c>
      <c r="BB21" s="62"/>
      <c r="BC21" s="88">
        <f>SUM(BC16:BC20)</f>
        <v>270000</v>
      </c>
      <c r="BD21" s="88"/>
      <c r="BE21" s="88">
        <f t="shared" ref="BE21" si="75">SUM(BE16:BE20)</f>
        <v>13637.519999999999</v>
      </c>
      <c r="BF21" s="88"/>
      <c r="BG21" s="88" t="e">
        <f t="shared" ref="BG21" si="76">SUM(BG16:BG20)</f>
        <v>#N/A</v>
      </c>
      <c r="BH21" s="88"/>
      <c r="BI21" s="88" t="e">
        <f t="shared" ref="BI21" si="77">SUM(BI16:BI20)</f>
        <v>#N/A</v>
      </c>
      <c r="BJ21" s="88" t="e">
        <f>SUM(BJ16:BJ20)</f>
        <v>#N/A</v>
      </c>
      <c r="BK21" s="62"/>
      <c r="BL21" s="126" t="e">
        <f>SUM(BL16:BL20)</f>
        <v>#N/A</v>
      </c>
      <c r="BM21" s="62"/>
      <c r="BN21" s="126" t="e">
        <f>SUM(BN16:BN20)</f>
        <v>#N/A</v>
      </c>
      <c r="BO21" s="62"/>
      <c r="BP21" s="88">
        <f>SUM(BP16:BP20)</f>
        <v>48008.700000000019</v>
      </c>
      <c r="BQ21" s="88">
        <f t="shared" ref="BQ21:BT21" si="78">SUM(BQ16:BQ20)</f>
        <v>270000</v>
      </c>
      <c r="BR21" s="88">
        <f t="shared" si="78"/>
        <v>0</v>
      </c>
      <c r="BS21" s="88">
        <f t="shared" si="78"/>
        <v>270000</v>
      </c>
      <c r="BT21" s="88">
        <f t="shared" si="78"/>
        <v>-221991.3</v>
      </c>
    </row>
    <row r="22" spans="1:72" hidden="1" x14ac:dyDescent="0.25">
      <c r="B22"/>
      <c r="C22"/>
      <c r="D22"/>
      <c r="E22"/>
      <c r="F22"/>
      <c r="G22"/>
      <c r="H22"/>
      <c r="R22"/>
      <c r="S22"/>
      <c r="T22"/>
      <c r="U22"/>
      <c r="V22"/>
      <c r="AC22" s="62"/>
      <c r="AG22" s="37"/>
      <c r="AH22" s="37"/>
      <c r="AN22" s="22"/>
      <c r="AO22" s="22"/>
      <c r="AS22" s="39"/>
    </row>
    <row r="23" spans="1:72" hidden="1" x14ac:dyDescent="0.25">
      <c r="A23" s="54" t="s">
        <v>6</v>
      </c>
      <c r="B23" t="s">
        <v>7</v>
      </c>
      <c r="O23" s="54" t="s">
        <v>6</v>
      </c>
      <c r="P23" t="s">
        <v>8</v>
      </c>
      <c r="AG23" s="37"/>
      <c r="AH23" s="37"/>
      <c r="AN23" s="37"/>
      <c r="AO23" s="37"/>
      <c r="AS23" s="39"/>
      <c r="BP23" s="78"/>
      <c r="BQ23" s="78"/>
      <c r="BR23" s="78"/>
      <c r="BS23" s="78"/>
      <c r="BT23" s="78"/>
    </row>
    <row r="24" spans="1:72" ht="16.5" hidden="1" thickBot="1" x14ac:dyDescent="0.3">
      <c r="AG24" s="37"/>
      <c r="AH24" s="37"/>
      <c r="AN24" s="37"/>
      <c r="AO24" s="37"/>
      <c r="AS24" s="39"/>
      <c r="BP24" s="78"/>
      <c r="BQ24" s="78"/>
      <c r="BR24" s="78"/>
      <c r="BS24" s="78"/>
      <c r="BT24" s="78"/>
    </row>
    <row r="25" spans="1:72" hidden="1" x14ac:dyDescent="0.25">
      <c r="A25" s="54" t="s">
        <v>28</v>
      </c>
      <c r="B25" s="54" t="s">
        <v>108</v>
      </c>
      <c r="C25" s="54" t="s">
        <v>11</v>
      </c>
      <c r="D25" s="54" t="s">
        <v>4</v>
      </c>
      <c r="E25" s="54" t="s">
        <v>20</v>
      </c>
      <c r="F25" t="s">
        <v>229</v>
      </c>
      <c r="G25" s="15" t="s">
        <v>106</v>
      </c>
      <c r="H25" s="15" t="s">
        <v>110</v>
      </c>
      <c r="I25" t="s">
        <v>170</v>
      </c>
      <c r="J25" s="15" t="s">
        <v>101</v>
      </c>
      <c r="K25" t="s">
        <v>169</v>
      </c>
      <c r="O25" s="54" t="s">
        <v>28</v>
      </c>
      <c r="P25" s="54" t="s">
        <v>108</v>
      </c>
      <c r="Q25" s="54" t="s">
        <v>11</v>
      </c>
      <c r="R25" s="54" t="s">
        <v>4</v>
      </c>
      <c r="S25" s="54" t="s">
        <v>20</v>
      </c>
      <c r="T25" t="s">
        <v>229</v>
      </c>
      <c r="U25" s="15" t="s">
        <v>106</v>
      </c>
      <c r="V25" s="15" t="s">
        <v>110</v>
      </c>
      <c r="W25" t="s">
        <v>170</v>
      </c>
      <c r="X25" s="15" t="s">
        <v>101</v>
      </c>
      <c r="Y25" t="s">
        <v>169</v>
      </c>
      <c r="Z25" s="15"/>
      <c r="AA25" s="15"/>
      <c r="AB25" s="95" t="s">
        <v>184</v>
      </c>
      <c r="AC25" s="95" t="s">
        <v>175</v>
      </c>
      <c r="AD25" s="95" t="s">
        <v>176</v>
      </c>
      <c r="AE25" s="95" t="s">
        <v>177</v>
      </c>
      <c r="AF25" s="95" t="s">
        <v>178</v>
      </c>
      <c r="AG25" s="96" t="s">
        <v>182</v>
      </c>
      <c r="AH25" s="101"/>
      <c r="AI25" s="95" t="s">
        <v>185</v>
      </c>
      <c r="AJ25" s="95" t="s">
        <v>175</v>
      </c>
      <c r="AK25" s="95" t="s">
        <v>176</v>
      </c>
      <c r="AL25" s="95" t="s">
        <v>177</v>
      </c>
      <c r="AM25" s="95" t="s">
        <v>178</v>
      </c>
      <c r="AN25" s="96" t="s">
        <v>182</v>
      </c>
      <c r="AO25" s="101"/>
      <c r="AP25" s="95" t="s">
        <v>179</v>
      </c>
      <c r="AQ25" s="95" t="s">
        <v>180</v>
      </c>
      <c r="AR25" s="95" t="s">
        <v>181</v>
      </c>
      <c r="AS25" s="97" t="s">
        <v>183</v>
      </c>
      <c r="AT25" s="15"/>
      <c r="AU25" s="121" t="s">
        <v>193</v>
      </c>
      <c r="AV25" s="121" t="s">
        <v>194</v>
      </c>
      <c r="AW25" s="121" t="s">
        <v>195</v>
      </c>
      <c r="AX25" s="121" t="s">
        <v>196</v>
      </c>
      <c r="AY25" s="121" t="s">
        <v>197</v>
      </c>
      <c r="AZ25" s="15"/>
      <c r="BA25" s="121" t="s">
        <v>199</v>
      </c>
      <c r="BB25" s="15"/>
      <c r="BC25" s="85" t="s">
        <v>173</v>
      </c>
      <c r="BD25" s="85" t="s">
        <v>186</v>
      </c>
      <c r="BE25" s="85" t="s">
        <v>189</v>
      </c>
      <c r="BF25" s="85" t="s">
        <v>187</v>
      </c>
      <c r="BG25" s="85" t="s">
        <v>190</v>
      </c>
      <c r="BH25" s="85" t="s">
        <v>60</v>
      </c>
      <c r="BI25" s="85" t="s">
        <v>188</v>
      </c>
      <c r="BJ25" s="85" t="s">
        <v>191</v>
      </c>
      <c r="BK25" s="15"/>
      <c r="BL25" s="97" t="s">
        <v>192</v>
      </c>
      <c r="BM25" s="15"/>
      <c r="BN25" s="97" t="s">
        <v>198</v>
      </c>
      <c r="BO25" s="15"/>
      <c r="BP25" s="85" t="s">
        <v>123</v>
      </c>
      <c r="BQ25" s="85" t="s">
        <v>173</v>
      </c>
      <c r="BR25" s="85" t="s">
        <v>96</v>
      </c>
      <c r="BS25" s="85" t="s">
        <v>171</v>
      </c>
      <c r="BT25" s="85" t="s">
        <v>174</v>
      </c>
    </row>
    <row r="26" spans="1:72" hidden="1" x14ac:dyDescent="0.25">
      <c r="A26" t="s">
        <v>146</v>
      </c>
      <c r="B26" t="s">
        <v>212</v>
      </c>
      <c r="C26" t="s">
        <v>23</v>
      </c>
      <c r="D26" s="60">
        <v>45765</v>
      </c>
      <c r="E26" t="s">
        <v>159</v>
      </c>
      <c r="F26" s="387">
        <v>186</v>
      </c>
      <c r="G26" s="23">
        <v>88</v>
      </c>
      <c r="H26" s="388">
        <v>98</v>
      </c>
      <c r="I26" s="29">
        <v>0.4731182795698925</v>
      </c>
      <c r="J26" s="37">
        <v>24004.350000000009</v>
      </c>
      <c r="K26" s="9">
        <v>0</v>
      </c>
      <c r="O26" t="s">
        <v>5</v>
      </c>
      <c r="R26"/>
      <c r="S26"/>
      <c r="T26" s="387"/>
      <c r="U26" s="23"/>
      <c r="V26" s="388"/>
      <c r="W26" s="9" t="e">
        <v>#DIV/0!</v>
      </c>
      <c r="X26" s="37"/>
      <c r="Y26" s="9"/>
      <c r="Z26" s="62"/>
      <c r="AA26" s="62"/>
      <c r="AB26" s="15" t="str">
        <f>IF(ISBLANK(C26),"",C26)</f>
        <v>NAP-SSH</v>
      </c>
      <c r="AC26" s="77">
        <f t="shared" ref="AC26:AC29" si="79">IF(ISBLANK(D26),"",D26)</f>
        <v>45765</v>
      </c>
      <c r="AD26" s="15">
        <f t="shared" ref="AD26:AD29" si="80">F26</f>
        <v>186</v>
      </c>
      <c r="AE26" s="15">
        <f t="shared" ref="AE26:AE29" si="81">G26</f>
        <v>88</v>
      </c>
      <c r="AF26" s="15">
        <f t="shared" ref="AF26:AF29" si="82">H26</f>
        <v>98</v>
      </c>
      <c r="AG26" s="22">
        <f t="shared" ref="AG26:AG29" si="83">J26</f>
        <v>24004.350000000009</v>
      </c>
      <c r="AH26" s="22"/>
      <c r="AI26" s="15">
        <f>Q26</f>
        <v>0</v>
      </c>
      <c r="AJ26" s="77">
        <f t="shared" ref="AJ26:AJ29" si="84">R26</f>
        <v>0</v>
      </c>
      <c r="AK26" s="15">
        <f t="shared" ref="AK26:AK29" si="85">T26</f>
        <v>0</v>
      </c>
      <c r="AL26" s="15">
        <f t="shared" ref="AL26:AL29" si="86">U26</f>
        <v>0</v>
      </c>
      <c r="AM26" s="15">
        <f t="shared" ref="AM26:AM29" si="87">V26</f>
        <v>0</v>
      </c>
      <c r="AN26" s="22">
        <f t="shared" ref="AN26:AN29" si="88">X26</f>
        <v>0</v>
      </c>
      <c r="AO26" s="22"/>
      <c r="AP26" s="15">
        <f>AD26+AK26</f>
        <v>186</v>
      </c>
      <c r="AQ26" s="15">
        <f t="shared" ref="AQ26:AQ29" si="89">AE26+AL26</f>
        <v>88</v>
      </c>
      <c r="AR26" s="15">
        <f t="shared" ref="AR26:AR29" si="90">AF26+AM26</f>
        <v>98</v>
      </c>
      <c r="AS26" s="39">
        <f t="shared" ref="AS26:AS29" si="91">AG26+AN26</f>
        <v>24004.350000000009</v>
      </c>
      <c r="AT26" s="62"/>
      <c r="AU26" s="39">
        <v>175</v>
      </c>
      <c r="AV26" s="39">
        <f>AU26*AM26</f>
        <v>0</v>
      </c>
      <c r="AW26" s="39">
        <v>175</v>
      </c>
      <c r="AX26" s="39">
        <f>AW26*AM26</f>
        <v>0</v>
      </c>
      <c r="AY26" s="39">
        <f>AV26+AX26</f>
        <v>0</v>
      </c>
      <c r="AZ26" s="62"/>
      <c r="BA26" s="39">
        <f>AS26+AY26</f>
        <v>24004.350000000009</v>
      </c>
      <c r="BB26" s="62"/>
      <c r="BC26" s="87">
        <v>71250</v>
      </c>
      <c r="BD26" s="37">
        <f>VLOOKUP(AB26,'Routes Taxes'!I:O,7,0)</f>
        <v>36.659999999999997</v>
      </c>
      <c r="BE26" s="62">
        <f>AD26*BD26</f>
        <v>6818.7599999999993</v>
      </c>
      <c r="BF26" s="37" t="e">
        <f>VLOOKUP(AI26,'Routes Taxes'!I:O,7,0)</f>
        <v>#N/A</v>
      </c>
      <c r="BG26" s="62" t="e">
        <f>BF26*AK26</f>
        <v>#N/A</v>
      </c>
      <c r="BH26" s="37" t="e">
        <f>BD26+BF26</f>
        <v>#N/A</v>
      </c>
      <c r="BI26" s="87" t="e">
        <f>BE26+BG26</f>
        <v>#N/A</v>
      </c>
      <c r="BJ26" s="87" t="e">
        <f>BC26+BI26</f>
        <v>#N/A</v>
      </c>
      <c r="BK26" s="62"/>
      <c r="BL26" s="39" t="e">
        <f>AS26-BJ26</f>
        <v>#N/A</v>
      </c>
      <c r="BM26" s="62"/>
      <c r="BN26" s="39" t="e">
        <f>(AS26+AY26)-BJ26</f>
        <v>#N/A</v>
      </c>
      <c r="BO26" s="62"/>
      <c r="BP26" s="87">
        <f t="shared" ref="BP26:BP29" si="92">IF(ISNUMBER(J26), IF(ISNUMBER(X26), J26 + X26, J26), IF(ISNUMBER(X26), X26,0))</f>
        <v>24004.350000000009</v>
      </c>
      <c r="BQ26" s="87">
        <f>BC26</f>
        <v>71250</v>
      </c>
      <c r="BR26" s="87">
        <f>K26+Y26</f>
        <v>0</v>
      </c>
      <c r="BS26" s="87">
        <f>BQ26+BR26</f>
        <v>71250</v>
      </c>
      <c r="BT26" s="87">
        <f>BP26-BS26</f>
        <v>-47245.649999999994</v>
      </c>
    </row>
    <row r="27" spans="1:72" hidden="1" x14ac:dyDescent="0.25">
      <c r="A27" t="s">
        <v>5</v>
      </c>
      <c r="B27"/>
      <c r="C27"/>
      <c r="D27"/>
      <c r="E27"/>
      <c r="F27" s="387">
        <v>186</v>
      </c>
      <c r="G27" s="23">
        <v>88</v>
      </c>
      <c r="H27" s="388">
        <v>98</v>
      </c>
      <c r="I27" s="29">
        <v>0.4731182795698925</v>
      </c>
      <c r="J27" s="37">
        <v>24004.350000000009</v>
      </c>
      <c r="K27" s="9">
        <v>0</v>
      </c>
      <c r="R27"/>
      <c r="S27"/>
      <c r="T27"/>
      <c r="U27"/>
      <c r="V27"/>
      <c r="Z27" s="62"/>
      <c r="AA27" s="62"/>
      <c r="AB27" s="15" t="str">
        <f>AB26</f>
        <v>NAP-SSH</v>
      </c>
      <c r="AC27" s="77" t="str">
        <f t="shared" si="79"/>
        <v/>
      </c>
      <c r="AD27" s="15">
        <f t="shared" si="80"/>
        <v>186</v>
      </c>
      <c r="AE27" s="15">
        <f t="shared" si="81"/>
        <v>88</v>
      </c>
      <c r="AF27" s="15">
        <f t="shared" si="82"/>
        <v>98</v>
      </c>
      <c r="AG27" s="22">
        <f t="shared" si="83"/>
        <v>24004.350000000009</v>
      </c>
      <c r="AH27" s="22"/>
      <c r="AI27" s="15">
        <f>AI26</f>
        <v>0</v>
      </c>
      <c r="AJ27" s="77">
        <f t="shared" si="84"/>
        <v>0</v>
      </c>
      <c r="AK27" s="15">
        <f t="shared" si="85"/>
        <v>0</v>
      </c>
      <c r="AL27" s="15">
        <f t="shared" si="86"/>
        <v>0</v>
      </c>
      <c r="AM27" s="15">
        <f t="shared" si="87"/>
        <v>0</v>
      </c>
      <c r="AN27" s="22">
        <f t="shared" si="88"/>
        <v>0</v>
      </c>
      <c r="AO27" s="22"/>
      <c r="AP27" s="15">
        <f t="shared" ref="AP27:AP29" si="93">AD27+AK27</f>
        <v>186</v>
      </c>
      <c r="AQ27" s="15">
        <f t="shared" si="89"/>
        <v>88</v>
      </c>
      <c r="AR27" s="15">
        <f t="shared" si="90"/>
        <v>98</v>
      </c>
      <c r="AS27" s="39">
        <f t="shared" si="91"/>
        <v>24004.350000000009</v>
      </c>
      <c r="AT27" s="62"/>
      <c r="AU27" s="39">
        <v>175</v>
      </c>
      <c r="AV27" s="39">
        <f t="shared" ref="AV27:AV29" si="94">AU27*AM27</f>
        <v>0</v>
      </c>
      <c r="AW27" s="39">
        <v>175</v>
      </c>
      <c r="AX27" s="39">
        <f>AW27*AM27</f>
        <v>0</v>
      </c>
      <c r="AY27" s="39">
        <f>AV27+AX27</f>
        <v>0</v>
      </c>
      <c r="AZ27" s="62"/>
      <c r="BA27" s="39">
        <f>AS27+AY27</f>
        <v>24004.350000000009</v>
      </c>
      <c r="BB27" s="62"/>
      <c r="BC27" s="87">
        <v>71250</v>
      </c>
      <c r="BD27" s="37">
        <f>VLOOKUP(AB27,'Routes Taxes'!I:O,7,0)</f>
        <v>36.659999999999997</v>
      </c>
      <c r="BE27" s="62">
        <f>AD27*BD27</f>
        <v>6818.7599999999993</v>
      </c>
      <c r="BF27" s="37" t="e">
        <f>VLOOKUP(AI27,'Routes Taxes'!I:O,7,0)</f>
        <v>#N/A</v>
      </c>
      <c r="BG27" s="62" t="e">
        <f>BF27*AK27</f>
        <v>#N/A</v>
      </c>
      <c r="BH27" s="37" t="e">
        <f>BD27+BF27</f>
        <v>#N/A</v>
      </c>
      <c r="BI27" s="87" t="e">
        <f t="shared" ref="BI27:BI29" si="95">BE27+BG27</f>
        <v>#N/A</v>
      </c>
      <c r="BJ27" s="87" t="e">
        <f t="shared" ref="BJ27:BJ29" si="96">BC27+BI27</f>
        <v>#N/A</v>
      </c>
      <c r="BK27" s="62"/>
      <c r="BL27" s="39" t="e">
        <f>AS27-BJ27</f>
        <v>#N/A</v>
      </c>
      <c r="BM27" s="62"/>
      <c r="BN27" s="39" t="e">
        <f>(AS27+AY27)-BJ27</f>
        <v>#N/A</v>
      </c>
      <c r="BO27" s="62"/>
      <c r="BP27" s="87">
        <f t="shared" si="92"/>
        <v>24004.350000000009</v>
      </c>
      <c r="BQ27" s="87">
        <f t="shared" ref="BQ27:BQ29" si="97">BC27</f>
        <v>71250</v>
      </c>
      <c r="BR27" s="87">
        <f t="shared" ref="BR27:BR29" si="98">K27+Y27</f>
        <v>0</v>
      </c>
      <c r="BS27" s="87">
        <f t="shared" ref="BS27:BS29" si="99">BQ27+BR27</f>
        <v>71250</v>
      </c>
      <c r="BT27" s="87">
        <f t="shared" ref="BT27:BT29" si="100">BP27-BS27</f>
        <v>-47245.649999999994</v>
      </c>
    </row>
    <row r="28" spans="1:72" hidden="1" x14ac:dyDescent="0.25">
      <c r="B28"/>
      <c r="C28"/>
      <c r="D28"/>
      <c r="E28"/>
      <c r="F28"/>
      <c r="G28"/>
      <c r="H28"/>
      <c r="R28"/>
      <c r="S28"/>
      <c r="T28"/>
      <c r="U28"/>
      <c r="V28"/>
      <c r="Z28" s="62"/>
      <c r="AA28" s="62"/>
      <c r="AB28" s="15" t="str">
        <f t="shared" ref="AB28:AB29" si="101">AB27</f>
        <v>NAP-SSH</v>
      </c>
      <c r="AC28" s="77" t="str">
        <f t="shared" si="79"/>
        <v/>
      </c>
      <c r="AD28" s="15">
        <f t="shared" si="80"/>
        <v>0</v>
      </c>
      <c r="AE28" s="15">
        <f t="shared" si="81"/>
        <v>0</v>
      </c>
      <c r="AF28" s="15">
        <f t="shared" si="82"/>
        <v>0</v>
      </c>
      <c r="AG28" s="22">
        <f t="shared" si="83"/>
        <v>0</v>
      </c>
      <c r="AH28" s="22"/>
      <c r="AI28" s="15">
        <f t="shared" ref="AI28:AI29" si="102">AI27</f>
        <v>0</v>
      </c>
      <c r="AJ28" s="77">
        <f t="shared" si="84"/>
        <v>0</v>
      </c>
      <c r="AK28" s="15">
        <f t="shared" si="85"/>
        <v>0</v>
      </c>
      <c r="AL28" s="15">
        <f t="shared" si="86"/>
        <v>0</v>
      </c>
      <c r="AM28" s="15">
        <f t="shared" si="87"/>
        <v>0</v>
      </c>
      <c r="AN28" s="22">
        <f t="shared" si="88"/>
        <v>0</v>
      </c>
      <c r="AO28" s="22"/>
      <c r="AP28" s="15">
        <f t="shared" si="93"/>
        <v>0</v>
      </c>
      <c r="AQ28" s="15">
        <f t="shared" si="89"/>
        <v>0</v>
      </c>
      <c r="AR28" s="15">
        <f t="shared" si="90"/>
        <v>0</v>
      </c>
      <c r="AS28" s="39">
        <f t="shared" si="91"/>
        <v>0</v>
      </c>
      <c r="AT28" s="62"/>
      <c r="AU28" s="39">
        <v>285</v>
      </c>
      <c r="AV28" s="39">
        <f t="shared" si="94"/>
        <v>0</v>
      </c>
      <c r="AW28" s="39">
        <v>285</v>
      </c>
      <c r="AX28" s="39">
        <f>AW28*AM28</f>
        <v>0</v>
      </c>
      <c r="AY28" s="39">
        <f>AV28+AX28</f>
        <v>0</v>
      </c>
      <c r="AZ28" s="62"/>
      <c r="BA28" s="39">
        <f>AS28+AY28</f>
        <v>0</v>
      </c>
      <c r="BB28" s="62"/>
      <c r="BC28" s="87">
        <v>71250</v>
      </c>
      <c r="BD28" s="37">
        <f>VLOOKUP(AB28,'Routes Taxes'!I:O,7,0)</f>
        <v>36.659999999999997</v>
      </c>
      <c r="BE28" s="62">
        <f>AD28*BD28</f>
        <v>0</v>
      </c>
      <c r="BF28" s="37" t="e">
        <f>VLOOKUP(AI28,'Routes Taxes'!I:O,7,0)</f>
        <v>#N/A</v>
      </c>
      <c r="BG28" s="62" t="e">
        <f>BF28*AK28</f>
        <v>#N/A</v>
      </c>
      <c r="BH28" s="37" t="e">
        <f>BD28+BF28</f>
        <v>#N/A</v>
      </c>
      <c r="BI28" s="87" t="e">
        <f t="shared" si="95"/>
        <v>#N/A</v>
      </c>
      <c r="BJ28" s="87" t="e">
        <f t="shared" si="96"/>
        <v>#N/A</v>
      </c>
      <c r="BK28" s="62"/>
      <c r="BL28" s="39" t="e">
        <f>AS28-BJ28</f>
        <v>#N/A</v>
      </c>
      <c r="BM28" s="62"/>
      <c r="BN28" s="39" t="e">
        <f>(AS28+AY28)-BJ28</f>
        <v>#N/A</v>
      </c>
      <c r="BO28" s="62"/>
      <c r="BP28" s="87">
        <f t="shared" si="92"/>
        <v>0</v>
      </c>
      <c r="BQ28" s="87">
        <f t="shared" si="97"/>
        <v>71250</v>
      </c>
      <c r="BR28" s="87">
        <f t="shared" si="98"/>
        <v>0</v>
      </c>
      <c r="BS28" s="87">
        <f t="shared" si="99"/>
        <v>71250</v>
      </c>
      <c r="BT28" s="87">
        <f t="shared" si="100"/>
        <v>-71250</v>
      </c>
    </row>
    <row r="29" spans="1:72" ht="16.5" hidden="1" thickBot="1" x14ac:dyDescent="0.3">
      <c r="B29"/>
      <c r="C29"/>
      <c r="D29"/>
      <c r="E29"/>
      <c r="F29"/>
      <c r="G29"/>
      <c r="H29"/>
      <c r="R29"/>
      <c r="S29"/>
      <c r="T29"/>
      <c r="U29"/>
      <c r="V29"/>
      <c r="Z29" s="62"/>
      <c r="AA29" s="62"/>
      <c r="AB29" s="15" t="str">
        <f t="shared" si="101"/>
        <v>NAP-SSH</v>
      </c>
      <c r="AC29" s="77" t="str">
        <f t="shared" si="79"/>
        <v/>
      </c>
      <c r="AD29" s="15">
        <f t="shared" si="80"/>
        <v>0</v>
      </c>
      <c r="AE29" s="15">
        <f t="shared" si="81"/>
        <v>0</v>
      </c>
      <c r="AF29" s="15">
        <f t="shared" si="82"/>
        <v>0</v>
      </c>
      <c r="AG29" s="22">
        <f t="shared" si="83"/>
        <v>0</v>
      </c>
      <c r="AH29" s="22"/>
      <c r="AI29" s="15">
        <f t="shared" si="102"/>
        <v>0</v>
      </c>
      <c r="AJ29" s="77">
        <f t="shared" si="84"/>
        <v>0</v>
      </c>
      <c r="AK29" s="15">
        <f t="shared" si="85"/>
        <v>0</v>
      </c>
      <c r="AL29" s="15">
        <f t="shared" si="86"/>
        <v>0</v>
      </c>
      <c r="AM29" s="15">
        <f t="shared" si="87"/>
        <v>0</v>
      </c>
      <c r="AN29" s="22">
        <f t="shared" si="88"/>
        <v>0</v>
      </c>
      <c r="AO29" s="22"/>
      <c r="AP29" s="15">
        <f t="shared" si="93"/>
        <v>0</v>
      </c>
      <c r="AQ29" s="15">
        <f t="shared" si="89"/>
        <v>0</v>
      </c>
      <c r="AR29" s="15">
        <f t="shared" si="90"/>
        <v>0</v>
      </c>
      <c r="AS29" s="39">
        <f t="shared" si="91"/>
        <v>0</v>
      </c>
      <c r="AT29" s="62"/>
      <c r="AU29" s="39">
        <v>285</v>
      </c>
      <c r="AV29" s="39">
        <f t="shared" si="94"/>
        <v>0</v>
      </c>
      <c r="AW29" s="39">
        <v>285</v>
      </c>
      <c r="AX29" s="39">
        <f>AW29*AM29</f>
        <v>0</v>
      </c>
      <c r="AY29" s="39">
        <f>AV29+AX29</f>
        <v>0</v>
      </c>
      <c r="AZ29" s="62"/>
      <c r="BA29" s="39">
        <f>AS29+AY29</f>
        <v>0</v>
      </c>
      <c r="BB29" s="62"/>
      <c r="BC29" s="87">
        <v>71250</v>
      </c>
      <c r="BD29" s="37">
        <f>VLOOKUP(AB29,'Routes Taxes'!I:O,7,0)</f>
        <v>36.659999999999997</v>
      </c>
      <c r="BE29" s="62">
        <f>AD29*BD29</f>
        <v>0</v>
      </c>
      <c r="BF29" s="37" t="e">
        <f>VLOOKUP(AI29,'Routes Taxes'!I:O,7,0)</f>
        <v>#N/A</v>
      </c>
      <c r="BG29" s="62" t="e">
        <f>BF29*AK29</f>
        <v>#N/A</v>
      </c>
      <c r="BH29" s="37" t="e">
        <f>BD29+BF29</f>
        <v>#N/A</v>
      </c>
      <c r="BI29" s="87" t="e">
        <f t="shared" si="95"/>
        <v>#N/A</v>
      </c>
      <c r="BJ29" s="87" t="e">
        <f t="shared" si="96"/>
        <v>#N/A</v>
      </c>
      <c r="BK29" s="62"/>
      <c r="BL29" s="39" t="e">
        <f>AS29-BJ29</f>
        <v>#N/A</v>
      </c>
      <c r="BM29" s="62"/>
      <c r="BN29" s="39" t="e">
        <f>(AS29+AY29)-BJ29</f>
        <v>#N/A</v>
      </c>
      <c r="BO29" s="62"/>
      <c r="BP29" s="87">
        <f t="shared" si="92"/>
        <v>0</v>
      </c>
      <c r="BQ29" s="87">
        <f t="shared" si="97"/>
        <v>71250</v>
      </c>
      <c r="BR29" s="87">
        <f t="shared" si="98"/>
        <v>0</v>
      </c>
      <c r="BS29" s="87">
        <f t="shared" si="99"/>
        <v>71250</v>
      </c>
      <c r="BT29" s="87">
        <f t="shared" si="100"/>
        <v>-71250</v>
      </c>
    </row>
    <row r="30" spans="1:72" ht="16.5" hidden="1" thickBot="1" x14ac:dyDescent="0.3">
      <c r="B30"/>
      <c r="C30"/>
      <c r="D30"/>
      <c r="E30"/>
      <c r="F30"/>
      <c r="G30"/>
      <c r="H30"/>
      <c r="R30"/>
      <c r="S30"/>
      <c r="T30"/>
      <c r="U30"/>
      <c r="V30"/>
      <c r="Z30" s="62"/>
      <c r="AA30" s="62"/>
      <c r="AC30" s="77"/>
      <c r="AD30" s="108">
        <f>SUM(AD26:AD29)</f>
        <v>372</v>
      </c>
      <c r="AE30" s="109">
        <f t="shared" ref="AE30:AG30" si="103">SUM(AE26:AE29)</f>
        <v>176</v>
      </c>
      <c r="AF30" s="109">
        <f t="shared" si="103"/>
        <v>196</v>
      </c>
      <c r="AG30" s="110">
        <f t="shared" si="103"/>
        <v>48008.700000000019</v>
      </c>
      <c r="AH30" s="22"/>
      <c r="AJ30" s="77"/>
      <c r="AK30" s="108">
        <f>SUM(AK26:AK29)</f>
        <v>0</v>
      </c>
      <c r="AL30" s="109">
        <f t="shared" ref="AL30" si="104">SUM(AL26:AL29)</f>
        <v>0</v>
      </c>
      <c r="AM30" s="109">
        <f t="shared" ref="AM30" si="105">SUM(AM26:AM29)</f>
        <v>0</v>
      </c>
      <c r="AN30" s="110">
        <f t="shared" ref="AN30" si="106">SUM(AN26:AN29)</f>
        <v>0</v>
      </c>
      <c r="AO30" s="105"/>
      <c r="AP30" s="107">
        <f>SUM(AP26:AP29)</f>
        <v>372</v>
      </c>
      <c r="AQ30" s="103">
        <f t="shared" ref="AQ30" si="107">SUM(AQ26:AQ29)</f>
        <v>176</v>
      </c>
      <c r="AR30" s="103">
        <f t="shared" ref="AR30" si="108">SUM(AR26:AR29)</f>
        <v>196</v>
      </c>
      <c r="AS30" s="104">
        <f t="shared" ref="AS30" si="109">SUM(AS26:AS29)</f>
        <v>48008.700000000019</v>
      </c>
      <c r="AT30" s="62"/>
      <c r="AU30" s="124">
        <f>AVERAGE(AU26:AU29)</f>
        <v>230</v>
      </c>
      <c r="AV30" s="125">
        <f>SUM(AV26:AV29)</f>
        <v>0</v>
      </c>
      <c r="AW30" s="125">
        <f>AVERAGE(AW26:AW29)</f>
        <v>230</v>
      </c>
      <c r="AX30" s="125">
        <f>SUM(AX26:AX29)</f>
        <v>0</v>
      </c>
      <c r="AY30" s="122">
        <f>SUM(AY26:AY29)</f>
        <v>0</v>
      </c>
      <c r="AZ30" s="62"/>
      <c r="BA30" s="123">
        <f>SUM(BA26:BA29)</f>
        <v>48008.700000000019</v>
      </c>
      <c r="BB30" s="62"/>
      <c r="BC30" s="88">
        <f>SUM(BC26:BC29)</f>
        <v>285000</v>
      </c>
      <c r="BD30" s="88"/>
      <c r="BE30" s="88">
        <f t="shared" ref="BE30:BJ30" si="110">SUM(BE26:BE29)</f>
        <v>13637.519999999999</v>
      </c>
      <c r="BF30" s="88"/>
      <c r="BG30" s="88" t="e">
        <f t="shared" si="110"/>
        <v>#N/A</v>
      </c>
      <c r="BH30" s="88"/>
      <c r="BI30" s="88" t="e">
        <f t="shared" si="110"/>
        <v>#N/A</v>
      </c>
      <c r="BJ30" s="88" t="e">
        <f t="shared" si="110"/>
        <v>#N/A</v>
      </c>
      <c r="BK30" s="62"/>
      <c r="BL30" s="126" t="e">
        <f>SUM(BL26:BL29)</f>
        <v>#N/A</v>
      </c>
      <c r="BM30" s="62"/>
      <c r="BN30" s="126" t="e">
        <f>SUM(BN26:BN29)</f>
        <v>#N/A</v>
      </c>
      <c r="BO30" s="62"/>
      <c r="BP30" s="88">
        <f>SUM(BP26:BP29)</f>
        <v>48008.700000000019</v>
      </c>
      <c r="BQ30" s="88">
        <f t="shared" ref="BQ30:BT30" si="111">SUM(BQ26:BQ29)</f>
        <v>285000</v>
      </c>
      <c r="BR30" s="88">
        <f t="shared" si="111"/>
        <v>0</v>
      </c>
      <c r="BS30" s="88">
        <f t="shared" si="111"/>
        <v>285000</v>
      </c>
      <c r="BT30" s="88">
        <f t="shared" si="111"/>
        <v>-236991.3</v>
      </c>
    </row>
    <row r="31" spans="1:72" hidden="1" x14ac:dyDescent="0.25">
      <c r="B31"/>
      <c r="C31"/>
      <c r="D31"/>
      <c r="E31"/>
      <c r="F31"/>
      <c r="G31"/>
      <c r="H31"/>
      <c r="R31"/>
      <c r="S31"/>
      <c r="T31"/>
      <c r="U31"/>
      <c r="V31"/>
    </row>
    <row r="32" spans="1:72" x14ac:dyDescent="0.25">
      <c r="AC32" s="62"/>
      <c r="AG32" s="37"/>
      <c r="AH32" s="37"/>
      <c r="AN32" s="37"/>
      <c r="AO32" s="37"/>
      <c r="AS32" s="39"/>
      <c r="BP32" s="78"/>
      <c r="BQ32" s="78"/>
      <c r="BR32" s="78"/>
      <c r="BS32" s="78"/>
      <c r="BT32" s="78"/>
    </row>
    <row r="33" spans="1:72" x14ac:dyDescent="0.25">
      <c r="A33" s="54" t="s">
        <v>6</v>
      </c>
      <c r="B33" t="s">
        <v>7</v>
      </c>
      <c r="O33" s="54" t="s">
        <v>6</v>
      </c>
      <c r="P33" t="s">
        <v>8</v>
      </c>
      <c r="AG33" s="37"/>
      <c r="AH33" s="37"/>
      <c r="AN33" s="37"/>
      <c r="AO33" s="37"/>
      <c r="AS33" s="39"/>
      <c r="BP33" s="78"/>
      <c r="BQ33" s="78"/>
      <c r="BR33" s="78"/>
      <c r="BS33" s="78"/>
      <c r="BT33" s="78"/>
    </row>
    <row r="34" spans="1:72" ht="16.5" thickBot="1" x14ac:dyDescent="0.3">
      <c r="AG34" s="37"/>
      <c r="AH34" s="37"/>
      <c r="AN34" s="37"/>
      <c r="AO34" s="37"/>
      <c r="AS34" s="39"/>
      <c r="BP34" s="78"/>
      <c r="BQ34" s="78"/>
      <c r="BR34" s="78"/>
      <c r="BS34" s="78"/>
      <c r="BT34" s="78"/>
    </row>
    <row r="35" spans="1:72" x14ac:dyDescent="0.25">
      <c r="A35" s="54" t="s">
        <v>28</v>
      </c>
      <c r="B35" s="54" t="s">
        <v>108</v>
      </c>
      <c r="C35" s="54" t="s">
        <v>11</v>
      </c>
      <c r="D35" s="54" t="s">
        <v>4</v>
      </c>
      <c r="E35" s="54" t="s">
        <v>20</v>
      </c>
      <c r="F35" t="s">
        <v>229</v>
      </c>
      <c r="G35" s="15" t="s">
        <v>106</v>
      </c>
      <c r="H35" s="15" t="s">
        <v>110</v>
      </c>
      <c r="I35" t="s">
        <v>170</v>
      </c>
      <c r="J35" s="15" t="s">
        <v>101</v>
      </c>
      <c r="K35" t="s">
        <v>169</v>
      </c>
      <c r="O35" s="54" t="s">
        <v>28</v>
      </c>
      <c r="P35" s="54" t="s">
        <v>108</v>
      </c>
      <c r="Q35" s="54" t="s">
        <v>11</v>
      </c>
      <c r="R35" s="54" t="s">
        <v>4</v>
      </c>
      <c r="S35" s="54" t="s">
        <v>20</v>
      </c>
      <c r="T35" t="s">
        <v>229</v>
      </c>
      <c r="U35" s="15" t="s">
        <v>106</v>
      </c>
      <c r="V35" s="15" t="s">
        <v>110</v>
      </c>
      <c r="W35" t="s">
        <v>170</v>
      </c>
      <c r="X35" s="15" t="s">
        <v>101</v>
      </c>
      <c r="Y35" t="s">
        <v>169</v>
      </c>
      <c r="Z35" s="15"/>
      <c r="AA35" s="15"/>
      <c r="AB35" s="95" t="s">
        <v>184</v>
      </c>
      <c r="AC35" s="95" t="s">
        <v>175</v>
      </c>
      <c r="AD35" s="95" t="s">
        <v>176</v>
      </c>
      <c r="AE35" s="95" t="s">
        <v>177</v>
      </c>
      <c r="AF35" s="95" t="s">
        <v>178</v>
      </c>
      <c r="AG35" s="96" t="s">
        <v>182</v>
      </c>
      <c r="AH35" s="101"/>
      <c r="AI35" s="95" t="s">
        <v>185</v>
      </c>
      <c r="AJ35" s="95" t="s">
        <v>175</v>
      </c>
      <c r="AK35" s="95" t="s">
        <v>176</v>
      </c>
      <c r="AL35" s="95" t="s">
        <v>177</v>
      </c>
      <c r="AM35" s="95" t="s">
        <v>178</v>
      </c>
      <c r="AN35" s="96" t="s">
        <v>182</v>
      </c>
      <c r="AO35" s="101"/>
      <c r="AP35" s="95" t="s">
        <v>179</v>
      </c>
      <c r="AQ35" s="95" t="s">
        <v>180</v>
      </c>
      <c r="AR35" s="95" t="s">
        <v>181</v>
      </c>
      <c r="AS35" s="97" t="s">
        <v>183</v>
      </c>
      <c r="AT35" s="15"/>
      <c r="AU35" s="121" t="s">
        <v>193</v>
      </c>
      <c r="AV35" s="121" t="s">
        <v>194</v>
      </c>
      <c r="AW35" s="121" t="s">
        <v>195</v>
      </c>
      <c r="AX35" s="121" t="s">
        <v>196</v>
      </c>
      <c r="AY35" s="121" t="s">
        <v>197</v>
      </c>
      <c r="AZ35" s="15"/>
      <c r="BA35" s="121" t="s">
        <v>199</v>
      </c>
      <c r="BB35" s="15"/>
      <c r="BC35" s="85" t="s">
        <v>173</v>
      </c>
      <c r="BD35" s="85" t="s">
        <v>186</v>
      </c>
      <c r="BE35" s="85" t="s">
        <v>189</v>
      </c>
      <c r="BF35" s="85" t="s">
        <v>187</v>
      </c>
      <c r="BG35" s="85" t="s">
        <v>190</v>
      </c>
      <c r="BH35" s="85" t="s">
        <v>60</v>
      </c>
      <c r="BI35" s="85" t="s">
        <v>188</v>
      </c>
      <c r="BJ35" s="85" t="s">
        <v>191</v>
      </c>
      <c r="BK35" s="15"/>
      <c r="BL35" s="97" t="s">
        <v>192</v>
      </c>
      <c r="BM35" s="15"/>
      <c r="BN35" s="97" t="s">
        <v>198</v>
      </c>
      <c r="BO35" s="15"/>
      <c r="BP35" s="85" t="s">
        <v>123</v>
      </c>
      <c r="BQ35" s="85" t="s">
        <v>173</v>
      </c>
      <c r="BR35" s="85" t="s">
        <v>96</v>
      </c>
      <c r="BS35" s="85" t="s">
        <v>171</v>
      </c>
      <c r="BT35" s="85" t="s">
        <v>174</v>
      </c>
    </row>
    <row r="36" spans="1:72" x14ac:dyDescent="0.25">
      <c r="A36" t="s">
        <v>146</v>
      </c>
      <c r="B36" t="s">
        <v>212</v>
      </c>
      <c r="C36" t="s">
        <v>23</v>
      </c>
      <c r="D36" s="60">
        <v>45765</v>
      </c>
      <c r="E36" t="s">
        <v>159</v>
      </c>
      <c r="F36" s="387">
        <v>186</v>
      </c>
      <c r="G36" s="23">
        <v>88</v>
      </c>
      <c r="H36" s="388">
        <v>98</v>
      </c>
      <c r="I36" s="29">
        <v>0.4731182795698925</v>
      </c>
      <c r="J36" s="37">
        <v>24004.350000000009</v>
      </c>
      <c r="K36" s="9">
        <v>0</v>
      </c>
      <c r="O36" t="s">
        <v>5</v>
      </c>
      <c r="R36"/>
      <c r="S36"/>
      <c r="T36" s="387"/>
      <c r="U36" s="23"/>
      <c r="V36" s="388"/>
      <c r="W36" s="9" t="e">
        <v>#DIV/0!</v>
      </c>
      <c r="X36" s="37"/>
      <c r="Y36" s="9"/>
      <c r="Z36" s="62"/>
      <c r="AA36" s="62"/>
      <c r="AB36" s="15" t="str">
        <f>IF(ISBLANK(C36),"",C36)</f>
        <v>NAP-SSH</v>
      </c>
      <c r="AC36" s="77">
        <f t="shared" ref="AC36:AC40" si="112">IF(ISBLANK(D36),"",D36)</f>
        <v>45765</v>
      </c>
      <c r="AD36" s="15">
        <f t="shared" ref="AD36:AD40" si="113">F36</f>
        <v>186</v>
      </c>
      <c r="AE36" s="15">
        <f t="shared" ref="AE36:AE40" si="114">G36</f>
        <v>88</v>
      </c>
      <c r="AF36" s="15">
        <f t="shared" ref="AF36:AF40" si="115">H36</f>
        <v>98</v>
      </c>
      <c r="AG36" s="22">
        <f t="shared" ref="AG36:AG40" si="116">J36</f>
        <v>24004.350000000009</v>
      </c>
      <c r="AH36" s="22"/>
      <c r="AI36" s="15">
        <f>Q36</f>
        <v>0</v>
      </c>
      <c r="AJ36" s="77">
        <f t="shared" ref="AJ36:AJ40" si="117">R36</f>
        <v>0</v>
      </c>
      <c r="AK36" s="15">
        <f t="shared" ref="AK36:AK40" si="118">T36</f>
        <v>0</v>
      </c>
      <c r="AL36" s="15">
        <f t="shared" ref="AL36:AL40" si="119">U36</f>
        <v>0</v>
      </c>
      <c r="AM36" s="15">
        <f t="shared" ref="AM36:AM40" si="120">V36</f>
        <v>0</v>
      </c>
      <c r="AN36" s="22">
        <f t="shared" ref="AN36:AN40" si="121">X36</f>
        <v>0</v>
      </c>
      <c r="AO36" s="22"/>
      <c r="AP36" s="15">
        <f>AD36+AK36</f>
        <v>186</v>
      </c>
      <c r="AQ36" s="15">
        <f t="shared" ref="AQ36:AQ39" si="122">AE36+AL36</f>
        <v>88</v>
      </c>
      <c r="AR36" s="15">
        <f t="shared" ref="AR36:AR39" si="123">AF36+AM36</f>
        <v>98</v>
      </c>
      <c r="AS36" s="39">
        <f t="shared" ref="AS36:AS39" si="124">AG36+AN36</f>
        <v>24004.350000000009</v>
      </c>
      <c r="AT36" s="62"/>
      <c r="AU36" s="39">
        <v>175</v>
      </c>
      <c r="AV36" s="39">
        <f>AU36*AM36</f>
        <v>0</v>
      </c>
      <c r="AW36" s="39">
        <v>175</v>
      </c>
      <c r="AX36" s="39">
        <f>AW36*AM36</f>
        <v>0</v>
      </c>
      <c r="AY36" s="39">
        <f>AV36+AX36</f>
        <v>0</v>
      </c>
      <c r="AZ36" s="62"/>
      <c r="BA36" s="39">
        <f>AS36+AY36</f>
        <v>24004.350000000009</v>
      </c>
      <c r="BB36" s="62"/>
      <c r="BC36" s="87">
        <v>63600</v>
      </c>
      <c r="BD36" s="37">
        <f>VLOOKUP(AB36,'Routes Taxes'!I:O,7,0)</f>
        <v>36.659999999999997</v>
      </c>
      <c r="BE36" s="62">
        <f>AD36*BD36</f>
        <v>6818.7599999999993</v>
      </c>
      <c r="BF36" s="37" t="e">
        <f>VLOOKUP(AI36,'Routes Taxes'!I:O,7,0)</f>
        <v>#N/A</v>
      </c>
      <c r="BG36" s="62" t="e">
        <f>BF36*AK36</f>
        <v>#N/A</v>
      </c>
      <c r="BH36" s="37" t="e">
        <f>BD36+BF36</f>
        <v>#N/A</v>
      </c>
      <c r="BI36" s="87" t="e">
        <f>BE36+BG36</f>
        <v>#N/A</v>
      </c>
      <c r="BJ36" s="87" t="e">
        <f>BC36+BI36</f>
        <v>#N/A</v>
      </c>
      <c r="BK36" s="62"/>
      <c r="BL36" s="39" t="e">
        <f>AS36-BJ36</f>
        <v>#N/A</v>
      </c>
      <c r="BM36" s="62"/>
      <c r="BN36" s="39" t="e">
        <f>(AS36+AY36)-BJ36</f>
        <v>#N/A</v>
      </c>
      <c r="BO36" s="62"/>
      <c r="BP36" s="87">
        <f t="shared" ref="BP36:BP39" si="125">IF(ISNUMBER(J36), IF(ISNUMBER(X36), J36 + X36, J36), IF(ISNUMBER(X36), X36,0))</f>
        <v>24004.350000000009</v>
      </c>
      <c r="BQ36" s="87">
        <f>BC36</f>
        <v>63600</v>
      </c>
      <c r="BR36" s="87">
        <f>K36+Y36</f>
        <v>0</v>
      </c>
      <c r="BS36" s="87">
        <f>BQ36+BR36</f>
        <v>63600</v>
      </c>
      <c r="BT36" s="87">
        <f>BP36-BS36</f>
        <v>-39595.649999999994</v>
      </c>
    </row>
    <row r="37" spans="1:72" x14ac:dyDescent="0.25">
      <c r="A37" t="s">
        <v>5</v>
      </c>
      <c r="B37"/>
      <c r="C37"/>
      <c r="D37"/>
      <c r="E37"/>
      <c r="F37" s="387">
        <v>186</v>
      </c>
      <c r="G37" s="23">
        <v>88</v>
      </c>
      <c r="H37" s="388">
        <v>98</v>
      </c>
      <c r="I37" s="29">
        <v>0.4731182795698925</v>
      </c>
      <c r="J37" s="37">
        <v>24004.350000000009</v>
      </c>
      <c r="K37" s="9">
        <v>0</v>
      </c>
      <c r="R37"/>
      <c r="S37"/>
      <c r="T37"/>
      <c r="U37"/>
      <c r="V37"/>
      <c r="Z37" s="62"/>
      <c r="AA37" s="62"/>
      <c r="AB37" s="15" t="str">
        <f>AB36</f>
        <v>NAP-SSH</v>
      </c>
      <c r="AC37" s="77" t="str">
        <f t="shared" si="112"/>
        <v/>
      </c>
      <c r="AD37" s="15">
        <f t="shared" si="113"/>
        <v>186</v>
      </c>
      <c r="AE37" s="15">
        <f t="shared" si="114"/>
        <v>88</v>
      </c>
      <c r="AF37" s="15">
        <f t="shared" si="115"/>
        <v>98</v>
      </c>
      <c r="AG37" s="22">
        <f t="shared" si="116"/>
        <v>24004.350000000009</v>
      </c>
      <c r="AH37" s="22"/>
      <c r="AI37" s="15">
        <f>AI36</f>
        <v>0</v>
      </c>
      <c r="AJ37" s="77">
        <f t="shared" si="117"/>
        <v>0</v>
      </c>
      <c r="AK37" s="15">
        <f t="shared" si="118"/>
        <v>0</v>
      </c>
      <c r="AL37" s="15">
        <f t="shared" si="119"/>
        <v>0</v>
      </c>
      <c r="AM37" s="15">
        <f t="shared" si="120"/>
        <v>0</v>
      </c>
      <c r="AN37" s="22">
        <f t="shared" si="121"/>
        <v>0</v>
      </c>
      <c r="AO37" s="22"/>
      <c r="AP37" s="15">
        <f t="shared" ref="AP37:AP39" si="126">AD37+AK37</f>
        <v>186</v>
      </c>
      <c r="AQ37" s="15">
        <f t="shared" si="122"/>
        <v>88</v>
      </c>
      <c r="AR37" s="15">
        <f t="shared" si="123"/>
        <v>98</v>
      </c>
      <c r="AS37" s="39">
        <f t="shared" si="124"/>
        <v>24004.350000000009</v>
      </c>
      <c r="AT37" s="62"/>
      <c r="AU37" s="39">
        <v>175</v>
      </c>
      <c r="AV37" s="39">
        <f t="shared" ref="AV37:AV39" si="127">AU37*AM37</f>
        <v>0</v>
      </c>
      <c r="AW37" s="39">
        <v>175</v>
      </c>
      <c r="AX37" s="39">
        <f>AW37*AM37</f>
        <v>0</v>
      </c>
      <c r="AY37" s="39">
        <f>AV37+AX37</f>
        <v>0</v>
      </c>
      <c r="AZ37" s="62"/>
      <c r="BA37" s="39">
        <f>AS37+AY37</f>
        <v>24004.350000000009</v>
      </c>
      <c r="BB37" s="62"/>
      <c r="BC37" s="87">
        <v>63600</v>
      </c>
      <c r="BD37" s="37">
        <f>VLOOKUP(AB37,'Routes Taxes'!I:O,7,0)</f>
        <v>36.659999999999997</v>
      </c>
      <c r="BE37" s="62">
        <f>AD37*BD37</f>
        <v>6818.7599999999993</v>
      </c>
      <c r="BF37" s="37" t="e">
        <f>VLOOKUP(AI37,'Routes Taxes'!I:O,7,0)</f>
        <v>#N/A</v>
      </c>
      <c r="BG37" s="62" t="e">
        <f>BF37*AK37</f>
        <v>#N/A</v>
      </c>
      <c r="BH37" s="37" t="e">
        <f>BD37+BF37</f>
        <v>#N/A</v>
      </c>
      <c r="BI37" s="87" t="e">
        <f t="shared" ref="BI37:BI39" si="128">BE37+BG37</f>
        <v>#N/A</v>
      </c>
      <c r="BJ37" s="87" t="e">
        <f t="shared" ref="BJ37:BJ39" si="129">BC37+BI37</f>
        <v>#N/A</v>
      </c>
      <c r="BK37" s="62"/>
      <c r="BL37" s="39" t="e">
        <f>AS37-BJ37</f>
        <v>#N/A</v>
      </c>
      <c r="BM37" s="62"/>
      <c r="BN37" s="39" t="e">
        <f>(AS37+AY37)-BJ37</f>
        <v>#N/A</v>
      </c>
      <c r="BO37" s="62"/>
      <c r="BP37" s="87">
        <f t="shared" si="125"/>
        <v>24004.350000000009</v>
      </c>
      <c r="BQ37" s="87">
        <f t="shared" ref="BQ37:BQ39" si="130">BC37</f>
        <v>63600</v>
      </c>
      <c r="BR37" s="87">
        <f t="shared" ref="BR37:BR39" si="131">K37+Y37</f>
        <v>0</v>
      </c>
      <c r="BS37" s="87">
        <f t="shared" ref="BS37:BS39" si="132">BQ37+BR37</f>
        <v>63600</v>
      </c>
      <c r="BT37" s="87">
        <f t="shared" ref="BT37:BT39" si="133">BP37-BS37</f>
        <v>-39595.649999999994</v>
      </c>
    </row>
    <row r="38" spans="1:72" x14ac:dyDescent="0.25">
      <c r="B38"/>
      <c r="C38"/>
      <c r="D38"/>
      <c r="E38"/>
      <c r="F38"/>
      <c r="G38"/>
      <c r="H38"/>
      <c r="R38"/>
      <c r="S38"/>
      <c r="T38"/>
      <c r="U38"/>
      <c r="V38"/>
      <c r="Z38" s="62"/>
      <c r="AA38" s="62"/>
      <c r="AB38" s="15" t="str">
        <f t="shared" ref="AB38:AB40" si="134">AB37</f>
        <v>NAP-SSH</v>
      </c>
      <c r="AC38" s="77" t="str">
        <f t="shared" si="112"/>
        <v/>
      </c>
      <c r="AD38" s="15">
        <f t="shared" si="113"/>
        <v>0</v>
      </c>
      <c r="AE38" s="15">
        <f t="shared" si="114"/>
        <v>0</v>
      </c>
      <c r="AF38" s="15">
        <f t="shared" si="115"/>
        <v>0</v>
      </c>
      <c r="AG38" s="22">
        <f t="shared" si="116"/>
        <v>0</v>
      </c>
      <c r="AH38" s="22"/>
      <c r="AI38" s="15">
        <f t="shared" ref="AI38:AI40" si="135">AI37</f>
        <v>0</v>
      </c>
      <c r="AJ38" s="77">
        <f t="shared" si="117"/>
        <v>0</v>
      </c>
      <c r="AK38" s="15">
        <f t="shared" si="118"/>
        <v>0</v>
      </c>
      <c r="AL38" s="15">
        <f t="shared" si="119"/>
        <v>0</v>
      </c>
      <c r="AM38" s="15">
        <f t="shared" si="120"/>
        <v>0</v>
      </c>
      <c r="AN38" s="22">
        <f t="shared" si="121"/>
        <v>0</v>
      </c>
      <c r="AO38" s="22"/>
      <c r="AP38" s="15">
        <f t="shared" si="126"/>
        <v>0</v>
      </c>
      <c r="AQ38" s="15">
        <f t="shared" si="122"/>
        <v>0</v>
      </c>
      <c r="AR38" s="15">
        <f t="shared" si="123"/>
        <v>0</v>
      </c>
      <c r="AS38" s="39">
        <f t="shared" si="124"/>
        <v>0</v>
      </c>
      <c r="AT38" s="62"/>
      <c r="AU38" s="39">
        <v>285</v>
      </c>
      <c r="AV38" s="39">
        <f t="shared" si="127"/>
        <v>0</v>
      </c>
      <c r="AW38" s="39">
        <v>285</v>
      </c>
      <c r="AX38" s="39">
        <f>AW38*AM38</f>
        <v>0</v>
      </c>
      <c r="AY38" s="39">
        <f>AV38+AX38</f>
        <v>0</v>
      </c>
      <c r="AZ38" s="62"/>
      <c r="BA38" s="39">
        <f>AS38+AY38</f>
        <v>0</v>
      </c>
      <c r="BB38" s="62"/>
      <c r="BC38" s="87">
        <v>63600</v>
      </c>
      <c r="BD38" s="37">
        <f>VLOOKUP(AB38,'Routes Taxes'!I:O,7,0)</f>
        <v>36.659999999999997</v>
      </c>
      <c r="BE38" s="62">
        <f>AD38*BD38</f>
        <v>0</v>
      </c>
      <c r="BF38" s="37" t="e">
        <f>VLOOKUP(AI38,'Routes Taxes'!I:O,7,0)</f>
        <v>#N/A</v>
      </c>
      <c r="BG38" s="62" t="e">
        <f>BF38*AK38</f>
        <v>#N/A</v>
      </c>
      <c r="BH38" s="37" t="e">
        <f>BD38+BF38</f>
        <v>#N/A</v>
      </c>
      <c r="BI38" s="87" t="e">
        <f t="shared" si="128"/>
        <v>#N/A</v>
      </c>
      <c r="BJ38" s="87" t="e">
        <f t="shared" si="129"/>
        <v>#N/A</v>
      </c>
      <c r="BK38" s="62"/>
      <c r="BL38" s="39" t="e">
        <f>AS38-BJ38</f>
        <v>#N/A</v>
      </c>
      <c r="BM38" s="62"/>
      <c r="BN38" s="39" t="e">
        <f>(AS38+AY38)-BJ38</f>
        <v>#N/A</v>
      </c>
      <c r="BO38" s="62"/>
      <c r="BP38" s="87">
        <f t="shared" si="125"/>
        <v>0</v>
      </c>
      <c r="BQ38" s="87">
        <f t="shared" si="130"/>
        <v>63600</v>
      </c>
      <c r="BR38" s="87">
        <f t="shared" si="131"/>
        <v>0</v>
      </c>
      <c r="BS38" s="87">
        <f t="shared" si="132"/>
        <v>63600</v>
      </c>
      <c r="BT38" s="87">
        <f t="shared" si="133"/>
        <v>-63600</v>
      </c>
    </row>
    <row r="39" spans="1:72" x14ac:dyDescent="0.25">
      <c r="B39"/>
      <c r="C39"/>
      <c r="D39"/>
      <c r="E39"/>
      <c r="F39"/>
      <c r="G39"/>
      <c r="H39"/>
      <c r="R39"/>
      <c r="S39"/>
      <c r="T39"/>
      <c r="U39"/>
      <c r="V39"/>
      <c r="Z39" s="62"/>
      <c r="AA39" s="62"/>
      <c r="AB39" s="15" t="str">
        <f t="shared" si="134"/>
        <v>NAP-SSH</v>
      </c>
      <c r="AC39" s="77" t="str">
        <f t="shared" si="112"/>
        <v/>
      </c>
      <c r="AD39" s="15">
        <f t="shared" si="113"/>
        <v>0</v>
      </c>
      <c r="AE39" s="15">
        <f t="shared" si="114"/>
        <v>0</v>
      </c>
      <c r="AF39" s="15">
        <f t="shared" si="115"/>
        <v>0</v>
      </c>
      <c r="AG39" s="22">
        <f t="shared" si="116"/>
        <v>0</v>
      </c>
      <c r="AH39" s="22"/>
      <c r="AI39" s="15">
        <f t="shared" si="135"/>
        <v>0</v>
      </c>
      <c r="AJ39" s="77">
        <f t="shared" si="117"/>
        <v>0</v>
      </c>
      <c r="AK39" s="15">
        <f t="shared" si="118"/>
        <v>0</v>
      </c>
      <c r="AL39" s="15">
        <f t="shared" si="119"/>
        <v>0</v>
      </c>
      <c r="AM39" s="15">
        <f t="shared" si="120"/>
        <v>0</v>
      </c>
      <c r="AN39" s="22">
        <f t="shared" si="121"/>
        <v>0</v>
      </c>
      <c r="AO39" s="22"/>
      <c r="AP39" s="15">
        <f t="shared" si="126"/>
        <v>0</v>
      </c>
      <c r="AQ39" s="15">
        <f t="shared" si="122"/>
        <v>0</v>
      </c>
      <c r="AR39" s="15">
        <f t="shared" si="123"/>
        <v>0</v>
      </c>
      <c r="AS39" s="39">
        <f t="shared" si="124"/>
        <v>0</v>
      </c>
      <c r="AT39" s="62"/>
      <c r="AU39" s="39">
        <v>285</v>
      </c>
      <c r="AV39" s="39">
        <f t="shared" si="127"/>
        <v>0</v>
      </c>
      <c r="AW39" s="39">
        <v>285</v>
      </c>
      <c r="AX39" s="39">
        <f>AW39*AM39</f>
        <v>0</v>
      </c>
      <c r="AY39" s="39">
        <f>AV39+AX39</f>
        <v>0</v>
      </c>
      <c r="AZ39" s="62"/>
      <c r="BA39" s="39">
        <f>AS39+AY39</f>
        <v>0</v>
      </c>
      <c r="BB39" s="62"/>
      <c r="BC39" s="87">
        <v>63600</v>
      </c>
      <c r="BD39" s="37">
        <f>VLOOKUP(AB39,'Routes Taxes'!I:O,7,0)</f>
        <v>36.659999999999997</v>
      </c>
      <c r="BE39" s="62">
        <f>AD39*BD39</f>
        <v>0</v>
      </c>
      <c r="BF39" s="37" t="e">
        <f>VLOOKUP(AI39,'Routes Taxes'!I:O,7,0)</f>
        <v>#N/A</v>
      </c>
      <c r="BG39" s="62" t="e">
        <f>BF39*AK39</f>
        <v>#N/A</v>
      </c>
      <c r="BH39" s="37" t="e">
        <f>BD39+BF39</f>
        <v>#N/A</v>
      </c>
      <c r="BI39" s="87" t="e">
        <f t="shared" si="128"/>
        <v>#N/A</v>
      </c>
      <c r="BJ39" s="87" t="e">
        <f t="shared" si="129"/>
        <v>#N/A</v>
      </c>
      <c r="BK39" s="62"/>
      <c r="BL39" s="39" t="e">
        <f>AS39-BJ39</f>
        <v>#N/A</v>
      </c>
      <c r="BM39" s="62"/>
      <c r="BN39" s="39" t="e">
        <f>(AS39+AY39)-BJ39</f>
        <v>#N/A</v>
      </c>
      <c r="BO39" s="62"/>
      <c r="BP39" s="87">
        <f t="shared" si="125"/>
        <v>0</v>
      </c>
      <c r="BQ39" s="87">
        <f t="shared" si="130"/>
        <v>63600</v>
      </c>
      <c r="BR39" s="87">
        <f t="shared" si="131"/>
        <v>0</v>
      </c>
      <c r="BS39" s="87">
        <f t="shared" si="132"/>
        <v>63600</v>
      </c>
      <c r="BT39" s="87">
        <f t="shared" si="133"/>
        <v>-63600</v>
      </c>
    </row>
    <row r="40" spans="1:72" ht="16.5" thickBot="1" x14ac:dyDescent="0.3">
      <c r="B40"/>
      <c r="C40"/>
      <c r="D40"/>
      <c r="E40"/>
      <c r="F40"/>
      <c r="G40"/>
      <c r="H40"/>
      <c r="R40"/>
      <c r="S40"/>
      <c r="T40"/>
      <c r="U40"/>
      <c r="V40"/>
      <c r="Z40" s="62"/>
      <c r="AA40" s="62"/>
      <c r="AB40" s="15" t="str">
        <f t="shared" si="134"/>
        <v>NAP-SSH</v>
      </c>
      <c r="AC40" s="77" t="str">
        <f t="shared" si="112"/>
        <v/>
      </c>
      <c r="AD40" s="15">
        <f t="shared" si="113"/>
        <v>0</v>
      </c>
      <c r="AE40" s="15">
        <f t="shared" si="114"/>
        <v>0</v>
      </c>
      <c r="AF40" s="15">
        <f t="shared" si="115"/>
        <v>0</v>
      </c>
      <c r="AG40" s="22">
        <f t="shared" si="116"/>
        <v>0</v>
      </c>
      <c r="AH40" s="22"/>
      <c r="AI40" s="15">
        <f t="shared" si="135"/>
        <v>0</v>
      </c>
      <c r="AJ40" s="77">
        <f t="shared" si="117"/>
        <v>0</v>
      </c>
      <c r="AK40" s="15">
        <f t="shared" si="118"/>
        <v>0</v>
      </c>
      <c r="AL40" s="15">
        <f t="shared" si="119"/>
        <v>0</v>
      </c>
      <c r="AM40" s="15">
        <f t="shared" si="120"/>
        <v>0</v>
      </c>
      <c r="AN40" s="22">
        <f t="shared" si="121"/>
        <v>0</v>
      </c>
      <c r="AO40" s="22"/>
      <c r="AP40" s="15">
        <f t="shared" ref="AP40" si="136">AD40+AK40</f>
        <v>0</v>
      </c>
      <c r="AQ40" s="15">
        <f t="shared" ref="AQ40" si="137">AE40+AL40</f>
        <v>0</v>
      </c>
      <c r="AR40" s="15">
        <f t="shared" ref="AR40" si="138">AF40+AM40</f>
        <v>0</v>
      </c>
      <c r="AS40" s="39">
        <f t="shared" ref="AS40" si="139">AG40+AN40</f>
        <v>0</v>
      </c>
      <c r="AT40" s="62"/>
      <c r="AU40" s="39">
        <v>285</v>
      </c>
      <c r="AV40" s="39">
        <f t="shared" ref="AV40" si="140">AU40*AM40</f>
        <v>0</v>
      </c>
      <c r="AW40" s="39">
        <v>285</v>
      </c>
      <c r="AX40" s="39">
        <f>AW40*AM40</f>
        <v>0</v>
      </c>
      <c r="AY40" s="39">
        <f>AV40+AX40</f>
        <v>0</v>
      </c>
      <c r="AZ40" s="62"/>
      <c r="BA40" s="39">
        <f>AS40+AY40</f>
        <v>0</v>
      </c>
      <c r="BB40" s="62"/>
      <c r="BC40" s="87">
        <v>63600</v>
      </c>
      <c r="BD40" s="37">
        <f>VLOOKUP(AB40,'Routes Taxes'!I:O,7,0)</f>
        <v>36.659999999999997</v>
      </c>
      <c r="BE40" s="62">
        <f>AD40*BD40</f>
        <v>0</v>
      </c>
      <c r="BF40" s="37" t="e">
        <f>VLOOKUP(AI40,'Routes Taxes'!I:O,7,0)</f>
        <v>#N/A</v>
      </c>
      <c r="BG40" s="62" t="e">
        <f>BF40*AK40</f>
        <v>#N/A</v>
      </c>
      <c r="BH40" s="37" t="e">
        <f>BD40+BF40</f>
        <v>#N/A</v>
      </c>
      <c r="BI40" s="87" t="e">
        <f t="shared" ref="BI40" si="141">BE40+BG40</f>
        <v>#N/A</v>
      </c>
      <c r="BJ40" s="87" t="e">
        <f t="shared" ref="BJ40" si="142">BC40+BI40</f>
        <v>#N/A</v>
      </c>
      <c r="BK40" s="62"/>
      <c r="BL40" s="39" t="e">
        <f>AS40-BJ40</f>
        <v>#N/A</v>
      </c>
      <c r="BM40" s="62"/>
      <c r="BN40" s="39" t="e">
        <f>(AS40+AY40)-BJ40</f>
        <v>#N/A</v>
      </c>
      <c r="BO40" s="62"/>
      <c r="BP40" s="87">
        <f t="shared" ref="BP40" si="143">IF(ISNUMBER(J40), IF(ISNUMBER(X40), J40 + X40, J40), IF(ISNUMBER(X40), X40,0))</f>
        <v>0</v>
      </c>
      <c r="BQ40" s="87">
        <f t="shared" ref="BQ40" si="144">BC40</f>
        <v>63600</v>
      </c>
      <c r="BR40" s="87">
        <f t="shared" ref="BR40" si="145">K40+Y40</f>
        <v>0</v>
      </c>
      <c r="BS40" s="87">
        <f t="shared" ref="BS40" si="146">BQ40+BR40</f>
        <v>63600</v>
      </c>
      <c r="BT40" s="87">
        <f t="shared" ref="BT40" si="147">BP40-BS40</f>
        <v>-63600</v>
      </c>
    </row>
    <row r="41" spans="1:72" ht="16.5" thickBot="1" x14ac:dyDescent="0.3">
      <c r="B41"/>
      <c r="C41"/>
      <c r="D41"/>
      <c r="E41"/>
      <c r="F41"/>
      <c r="G41"/>
      <c r="H41"/>
      <c r="R41"/>
      <c r="S41"/>
      <c r="T41"/>
      <c r="U41"/>
      <c r="V41"/>
      <c r="Z41" s="62"/>
      <c r="AA41" s="62"/>
      <c r="AC41" s="77"/>
      <c r="AD41" s="108">
        <f t="shared" ref="AD41" si="148">SUM(AD36:AD40)</f>
        <v>372</v>
      </c>
      <c r="AE41" s="109">
        <f t="shared" ref="AE41" si="149">SUM(AE36:AE40)</f>
        <v>176</v>
      </c>
      <c r="AF41" s="109">
        <f t="shared" ref="AF41" si="150">SUM(AF36:AF40)</f>
        <v>196</v>
      </c>
      <c r="AG41" s="110">
        <f t="shared" ref="AG41" si="151">SUM(AG36:AG40)</f>
        <v>48008.700000000019</v>
      </c>
      <c r="AH41" s="22"/>
      <c r="AJ41" s="77"/>
      <c r="AK41" s="108">
        <f t="shared" ref="AK41" si="152">SUM(AK36:AK40)</f>
        <v>0</v>
      </c>
      <c r="AL41" s="109">
        <f t="shared" ref="AL41" si="153">SUM(AL36:AL40)</f>
        <v>0</v>
      </c>
      <c r="AM41" s="109">
        <f t="shared" ref="AM41" si="154">SUM(AM36:AM40)</f>
        <v>0</v>
      </c>
      <c r="AN41" s="110">
        <f t="shared" ref="AN41" si="155">SUM(AN36:AN40)</f>
        <v>0</v>
      </c>
      <c r="AO41" s="105"/>
      <c r="AP41" s="107">
        <f>SUM(AP36:AP40)</f>
        <v>372</v>
      </c>
      <c r="AQ41" s="103">
        <f t="shared" ref="AQ41" si="156">SUM(AQ36:AQ40)</f>
        <v>176</v>
      </c>
      <c r="AR41" s="103">
        <f t="shared" ref="AR41" si="157">SUM(AR36:AR40)</f>
        <v>196</v>
      </c>
      <c r="AS41" s="104">
        <f t="shared" ref="AS41" si="158">SUM(AS36:AS40)</f>
        <v>48008.700000000019</v>
      </c>
      <c r="AT41" s="62"/>
      <c r="AU41" s="124">
        <f>AVERAGE(AU36:AU40)</f>
        <v>241</v>
      </c>
      <c r="AV41" s="125">
        <f>SUM(AV36:AV40)</f>
        <v>0</v>
      </c>
      <c r="AW41" s="125">
        <f>AVERAGE(AW36:AW40)</f>
        <v>241</v>
      </c>
      <c r="AX41" s="125">
        <f>SUM(AX36:AX40)</f>
        <v>0</v>
      </c>
      <c r="AY41" s="122">
        <f>SUM(AY36:AY40)</f>
        <v>0</v>
      </c>
      <c r="AZ41" s="62"/>
      <c r="BA41" s="123">
        <f>SUM(BA36:BA40)</f>
        <v>48008.700000000019</v>
      </c>
      <c r="BB41" s="62"/>
      <c r="BC41" s="88">
        <f>SUM(BC36:BC40)</f>
        <v>318000</v>
      </c>
      <c r="BD41" s="88"/>
      <c r="BE41" s="88">
        <f t="shared" ref="BE41" si="159">SUM(BE36:BE40)</f>
        <v>13637.519999999999</v>
      </c>
      <c r="BF41" s="88"/>
      <c r="BG41" s="88" t="e">
        <f t="shared" ref="BG41" si="160">SUM(BG36:BG40)</f>
        <v>#N/A</v>
      </c>
      <c r="BH41" s="88"/>
      <c r="BI41" s="88" t="e">
        <f t="shared" ref="BI41" si="161">SUM(BI36:BI40)</f>
        <v>#N/A</v>
      </c>
      <c r="BJ41" s="88" t="e">
        <f>SUM(BJ36:BJ40)</f>
        <v>#N/A</v>
      </c>
      <c r="BK41" s="62"/>
      <c r="BL41" s="126" t="e">
        <f>SUM(BL36:BL40)</f>
        <v>#N/A</v>
      </c>
      <c r="BM41" s="62"/>
      <c r="BN41" s="126" t="e">
        <f>SUM(BN36:BN40)</f>
        <v>#N/A</v>
      </c>
      <c r="BO41" s="62"/>
      <c r="BP41" s="88">
        <f>SUM(BP36:BP40)</f>
        <v>48008.700000000019</v>
      </c>
      <c r="BQ41" s="88">
        <f t="shared" ref="BQ41:BT41" si="162">SUM(BQ36:BQ40)</f>
        <v>318000</v>
      </c>
      <c r="BR41" s="88">
        <f t="shared" si="162"/>
        <v>0</v>
      </c>
      <c r="BS41" s="88">
        <f t="shared" si="162"/>
        <v>318000</v>
      </c>
      <c r="BT41" s="88">
        <f t="shared" si="162"/>
        <v>-269991.3</v>
      </c>
    </row>
    <row r="42" spans="1:72" x14ac:dyDescent="0.25">
      <c r="B42"/>
      <c r="C42"/>
      <c r="D42"/>
      <c r="E42"/>
      <c r="F42"/>
      <c r="G42"/>
      <c r="H42"/>
      <c r="R42"/>
      <c r="S42"/>
      <c r="T42"/>
      <c r="U42"/>
      <c r="V42"/>
      <c r="AC42" s="62"/>
      <c r="AG42" s="37"/>
      <c r="AH42" s="37"/>
    </row>
    <row r="43" spans="1:72" x14ac:dyDescent="0.25">
      <c r="A43" s="54" t="s">
        <v>6</v>
      </c>
      <c r="B43" t="s">
        <v>7</v>
      </c>
      <c r="O43" s="54" t="s">
        <v>6</v>
      </c>
      <c r="P43" t="s">
        <v>8</v>
      </c>
      <c r="AG43" s="37"/>
      <c r="AH43" s="37"/>
      <c r="AN43" s="37"/>
      <c r="AO43" s="37"/>
      <c r="AS43" s="39"/>
      <c r="BP43" s="78"/>
      <c r="BQ43" s="78"/>
      <c r="BR43" s="78"/>
      <c r="BS43" s="78"/>
      <c r="BT43" s="78"/>
    </row>
    <row r="44" spans="1:72" ht="16.5" thickBot="1" x14ac:dyDescent="0.3">
      <c r="AG44" s="37"/>
      <c r="AH44" s="37"/>
      <c r="AN44" s="37"/>
      <c r="AO44" s="37"/>
      <c r="AS44" s="39"/>
      <c r="BP44" s="78"/>
      <c r="BQ44" s="78"/>
      <c r="BR44" s="78"/>
      <c r="BS44" s="78"/>
      <c r="BT44" s="78"/>
    </row>
    <row r="45" spans="1:72" x14ac:dyDescent="0.25">
      <c r="A45" s="54" t="s">
        <v>28</v>
      </c>
      <c r="B45" s="54" t="s">
        <v>108</v>
      </c>
      <c r="C45" s="54" t="s">
        <v>11</v>
      </c>
      <c r="D45" s="54" t="s">
        <v>4</v>
      </c>
      <c r="E45" s="54" t="s">
        <v>20</v>
      </c>
      <c r="F45" t="s">
        <v>229</v>
      </c>
      <c r="G45" s="15" t="s">
        <v>106</v>
      </c>
      <c r="H45" s="15" t="s">
        <v>110</v>
      </c>
      <c r="I45" t="s">
        <v>170</v>
      </c>
      <c r="J45" s="15" t="s">
        <v>101</v>
      </c>
      <c r="K45" t="s">
        <v>169</v>
      </c>
      <c r="O45" s="54" t="s">
        <v>28</v>
      </c>
      <c r="P45" s="54" t="s">
        <v>108</v>
      </c>
      <c r="Q45" s="54" t="s">
        <v>11</v>
      </c>
      <c r="R45" s="54" t="s">
        <v>4</v>
      </c>
      <c r="S45" s="54" t="s">
        <v>20</v>
      </c>
      <c r="T45" t="s">
        <v>229</v>
      </c>
      <c r="U45" s="15" t="s">
        <v>106</v>
      </c>
      <c r="V45" s="15" t="s">
        <v>110</v>
      </c>
      <c r="W45" t="s">
        <v>170</v>
      </c>
      <c r="X45" s="15" t="s">
        <v>101</v>
      </c>
      <c r="Y45" t="s">
        <v>169</v>
      </c>
      <c r="Z45" s="15"/>
      <c r="AA45" s="15"/>
      <c r="AB45" s="95" t="s">
        <v>184</v>
      </c>
      <c r="AC45" s="95" t="s">
        <v>175</v>
      </c>
      <c r="AD45" s="95" t="s">
        <v>176</v>
      </c>
      <c r="AE45" s="95" t="s">
        <v>177</v>
      </c>
      <c r="AF45" s="95" t="s">
        <v>178</v>
      </c>
      <c r="AG45" s="96" t="s">
        <v>182</v>
      </c>
      <c r="AH45" s="101"/>
      <c r="AI45" s="95" t="s">
        <v>185</v>
      </c>
      <c r="AJ45" s="95" t="s">
        <v>175</v>
      </c>
      <c r="AK45" s="95" t="s">
        <v>176</v>
      </c>
      <c r="AL45" s="95" t="s">
        <v>177</v>
      </c>
      <c r="AM45" s="95" t="s">
        <v>178</v>
      </c>
      <c r="AN45" s="96" t="s">
        <v>182</v>
      </c>
      <c r="AO45" s="101"/>
      <c r="AP45" s="95" t="s">
        <v>179</v>
      </c>
      <c r="AQ45" s="95" t="s">
        <v>180</v>
      </c>
      <c r="AR45" s="95" t="s">
        <v>181</v>
      </c>
      <c r="AS45" s="97" t="s">
        <v>183</v>
      </c>
      <c r="AT45" s="15"/>
      <c r="AU45" s="121" t="s">
        <v>193</v>
      </c>
      <c r="AV45" s="121" t="s">
        <v>194</v>
      </c>
      <c r="AW45" s="121" t="s">
        <v>195</v>
      </c>
      <c r="AX45" s="121" t="s">
        <v>196</v>
      </c>
      <c r="AY45" s="121" t="s">
        <v>197</v>
      </c>
      <c r="AZ45" s="15"/>
      <c r="BA45" s="121" t="s">
        <v>199</v>
      </c>
      <c r="BB45" s="15"/>
      <c r="BC45" s="85" t="s">
        <v>173</v>
      </c>
      <c r="BD45" s="85" t="s">
        <v>186</v>
      </c>
      <c r="BE45" s="85" t="s">
        <v>189</v>
      </c>
      <c r="BF45" s="85" t="s">
        <v>187</v>
      </c>
      <c r="BG45" s="85" t="s">
        <v>190</v>
      </c>
      <c r="BH45" s="85" t="s">
        <v>60</v>
      </c>
      <c r="BI45" s="85" t="s">
        <v>188</v>
      </c>
      <c r="BJ45" s="85" t="s">
        <v>191</v>
      </c>
      <c r="BK45" s="15"/>
      <c r="BL45" s="97" t="s">
        <v>192</v>
      </c>
      <c r="BM45" s="15"/>
      <c r="BN45" s="97" t="s">
        <v>198</v>
      </c>
      <c r="BO45" s="15"/>
      <c r="BP45" s="85" t="s">
        <v>123</v>
      </c>
      <c r="BQ45" s="85" t="s">
        <v>173</v>
      </c>
      <c r="BR45" s="85" t="s">
        <v>96</v>
      </c>
      <c r="BS45" s="85" t="s">
        <v>171</v>
      </c>
      <c r="BT45" s="85" t="s">
        <v>174</v>
      </c>
    </row>
    <row r="46" spans="1:72" x14ac:dyDescent="0.25">
      <c r="A46" t="s">
        <v>146</v>
      </c>
      <c r="B46" t="s">
        <v>212</v>
      </c>
      <c r="C46" t="s">
        <v>23</v>
      </c>
      <c r="D46" s="60">
        <v>45765</v>
      </c>
      <c r="E46" t="s">
        <v>159</v>
      </c>
      <c r="F46" s="387">
        <v>186</v>
      </c>
      <c r="G46" s="23">
        <v>88</v>
      </c>
      <c r="H46" s="388">
        <v>98</v>
      </c>
      <c r="I46" s="29">
        <v>0.4731182795698925</v>
      </c>
      <c r="J46" s="37">
        <v>24004.350000000009</v>
      </c>
      <c r="K46" s="9">
        <v>0</v>
      </c>
      <c r="O46" t="s">
        <v>5</v>
      </c>
      <c r="R46"/>
      <c r="S46"/>
      <c r="T46" s="387"/>
      <c r="U46" s="23"/>
      <c r="V46" s="388"/>
      <c r="W46" s="9" t="e">
        <v>#DIV/0!</v>
      </c>
      <c r="X46" s="37"/>
      <c r="Y46" s="9"/>
      <c r="Z46" s="62"/>
      <c r="AA46" s="62"/>
      <c r="AB46" s="15" t="str">
        <f>IF(ISBLANK(C46),"",C46)</f>
        <v>NAP-SSH</v>
      </c>
      <c r="AC46" s="77">
        <f t="shared" ref="AC46:AC47" si="163">IF(ISBLANK(D46),"",D46)</f>
        <v>45765</v>
      </c>
      <c r="AD46" s="15">
        <f t="shared" ref="AD46:AD47" si="164">F46</f>
        <v>186</v>
      </c>
      <c r="AE46" s="15">
        <f t="shared" ref="AE46:AE47" si="165">G46</f>
        <v>88</v>
      </c>
      <c r="AF46" s="15">
        <f t="shared" ref="AF46:AF47" si="166">H46</f>
        <v>98</v>
      </c>
      <c r="AG46" s="22">
        <f t="shared" ref="AG46:AG47" si="167">J46</f>
        <v>24004.350000000009</v>
      </c>
      <c r="AH46" s="22"/>
      <c r="AI46" s="15">
        <f>Q46</f>
        <v>0</v>
      </c>
      <c r="AJ46" s="77">
        <f t="shared" ref="AJ46:AJ47" si="168">R46</f>
        <v>0</v>
      </c>
      <c r="AK46" s="15">
        <f t="shared" ref="AK46:AK47" si="169">T46</f>
        <v>0</v>
      </c>
      <c r="AL46" s="15">
        <f t="shared" ref="AL46:AL47" si="170">U46</f>
        <v>0</v>
      </c>
      <c r="AM46" s="15">
        <f t="shared" ref="AM46:AM47" si="171">V46</f>
        <v>0</v>
      </c>
      <c r="AN46" s="22">
        <f t="shared" ref="AN46:AN47" si="172">X46</f>
        <v>0</v>
      </c>
      <c r="AO46" s="22"/>
      <c r="AP46" s="15">
        <f>AD46+AK46</f>
        <v>186</v>
      </c>
      <c r="AQ46" s="15">
        <f t="shared" ref="AQ46:AQ47" si="173">AE46+AL46</f>
        <v>88</v>
      </c>
      <c r="AR46" s="15">
        <f t="shared" ref="AR46:AR47" si="174">AF46+AM46</f>
        <v>98</v>
      </c>
      <c r="AS46" s="39">
        <f t="shared" ref="AS46:AS47" si="175">AG46+AN46</f>
        <v>24004.350000000009</v>
      </c>
      <c r="AT46" s="62"/>
      <c r="AU46" s="39">
        <v>275</v>
      </c>
      <c r="AV46" s="39">
        <f>AU46*AM46</f>
        <v>0</v>
      </c>
      <c r="AW46" s="39">
        <v>275</v>
      </c>
      <c r="AX46" s="39">
        <f>AW46*AM46</f>
        <v>0</v>
      </c>
      <c r="AY46" s="39">
        <f>AV46+AX46</f>
        <v>0</v>
      </c>
      <c r="AZ46" s="62"/>
      <c r="BA46" s="39">
        <f>AS46+AY46</f>
        <v>24004.350000000009</v>
      </c>
      <c r="BB46" s="62"/>
      <c r="BC46" s="87">
        <v>72300</v>
      </c>
      <c r="BD46" s="37">
        <f>VLOOKUP(AB46,'Routes Taxes'!I:O,7,0)</f>
        <v>36.659999999999997</v>
      </c>
      <c r="BE46" s="62">
        <f>AD46*BD46</f>
        <v>6818.7599999999993</v>
      </c>
      <c r="BF46" s="37" t="e">
        <f>VLOOKUP(AI46,'Routes Taxes'!I:O,7,0)</f>
        <v>#N/A</v>
      </c>
      <c r="BG46" s="62" t="e">
        <f>BF46*AK46</f>
        <v>#N/A</v>
      </c>
      <c r="BH46" s="37" t="e">
        <f>BD46+BF46</f>
        <v>#N/A</v>
      </c>
      <c r="BI46" s="87" t="e">
        <f>BE46+BG46</f>
        <v>#N/A</v>
      </c>
      <c r="BJ46" s="87" t="e">
        <f>BC46+BI46</f>
        <v>#N/A</v>
      </c>
      <c r="BK46" s="62"/>
      <c r="BL46" s="39" t="e">
        <f>AS46-BJ46</f>
        <v>#N/A</v>
      </c>
      <c r="BM46" s="62"/>
      <c r="BN46" s="39" t="e">
        <f>(AS46+AY46)-BJ46</f>
        <v>#N/A</v>
      </c>
      <c r="BO46" s="62"/>
      <c r="BP46" s="87">
        <f t="shared" ref="BP46:BP47" si="176">IF(ISNUMBER(J46), IF(ISNUMBER(X46), J46 + X46, J46), IF(ISNUMBER(X46), X46,0))</f>
        <v>24004.350000000009</v>
      </c>
      <c r="BQ46" s="87">
        <f>BC46</f>
        <v>72300</v>
      </c>
      <c r="BR46" s="87">
        <f>K46+Y46</f>
        <v>0</v>
      </c>
      <c r="BS46" s="87">
        <f>BQ46+BR46</f>
        <v>72300</v>
      </c>
      <c r="BT46" s="87">
        <f>BP46-BS46</f>
        <v>-48295.649999999994</v>
      </c>
    </row>
    <row r="47" spans="1:72" ht="16.5" thickBot="1" x14ac:dyDescent="0.3">
      <c r="A47" t="s">
        <v>5</v>
      </c>
      <c r="B47"/>
      <c r="C47"/>
      <c r="D47"/>
      <c r="E47"/>
      <c r="F47" s="387">
        <v>186</v>
      </c>
      <c r="G47" s="23">
        <v>88</v>
      </c>
      <c r="H47" s="388">
        <v>98</v>
      </c>
      <c r="I47" s="29">
        <v>0.4731182795698925</v>
      </c>
      <c r="J47" s="37">
        <v>24004.350000000009</v>
      </c>
      <c r="K47" s="9">
        <v>0</v>
      </c>
      <c r="R47"/>
      <c r="S47"/>
      <c r="T47"/>
      <c r="U47"/>
      <c r="V47"/>
      <c r="Z47" s="62"/>
      <c r="AA47" s="62"/>
      <c r="AB47" s="15" t="str">
        <f>AB46</f>
        <v>NAP-SSH</v>
      </c>
      <c r="AC47" s="77" t="str">
        <f t="shared" si="163"/>
        <v/>
      </c>
      <c r="AD47" s="15">
        <f t="shared" si="164"/>
        <v>186</v>
      </c>
      <c r="AE47" s="15">
        <f t="shared" si="165"/>
        <v>88</v>
      </c>
      <c r="AF47" s="15">
        <f t="shared" si="166"/>
        <v>98</v>
      </c>
      <c r="AG47" s="22">
        <f t="shared" si="167"/>
        <v>24004.350000000009</v>
      </c>
      <c r="AH47" s="22"/>
      <c r="AI47" s="15">
        <f>AI46</f>
        <v>0</v>
      </c>
      <c r="AJ47" s="77">
        <f t="shared" si="168"/>
        <v>0</v>
      </c>
      <c r="AK47" s="15">
        <f t="shared" si="169"/>
        <v>0</v>
      </c>
      <c r="AL47" s="15">
        <f t="shared" si="170"/>
        <v>0</v>
      </c>
      <c r="AM47" s="15">
        <f t="shared" si="171"/>
        <v>0</v>
      </c>
      <c r="AN47" s="22">
        <f t="shared" si="172"/>
        <v>0</v>
      </c>
      <c r="AO47" s="22"/>
      <c r="AP47" s="15">
        <f t="shared" ref="AP47" si="177">AD47+AK47</f>
        <v>186</v>
      </c>
      <c r="AQ47" s="15">
        <f t="shared" si="173"/>
        <v>88</v>
      </c>
      <c r="AR47" s="15">
        <f t="shared" si="174"/>
        <v>98</v>
      </c>
      <c r="AS47" s="39">
        <f t="shared" si="175"/>
        <v>24004.350000000009</v>
      </c>
      <c r="AT47" s="62"/>
      <c r="AU47" s="39">
        <v>275</v>
      </c>
      <c r="AV47" s="39">
        <f t="shared" ref="AV47" si="178">AU47*AM47</f>
        <v>0</v>
      </c>
      <c r="AW47" s="39">
        <v>275</v>
      </c>
      <c r="AX47" s="39">
        <f>AW47*AM47</f>
        <v>0</v>
      </c>
      <c r="AY47" s="39">
        <f>AV47+AX47</f>
        <v>0</v>
      </c>
      <c r="AZ47" s="62"/>
      <c r="BA47" s="39">
        <f>AS47+AY47</f>
        <v>24004.350000000009</v>
      </c>
      <c r="BB47" s="62"/>
      <c r="BC47" s="87">
        <v>72300</v>
      </c>
      <c r="BD47" s="37">
        <f>VLOOKUP(AB47,'Routes Taxes'!I:O,7,0)</f>
        <v>36.659999999999997</v>
      </c>
      <c r="BE47" s="62">
        <f>AD47*BD47</f>
        <v>6818.7599999999993</v>
      </c>
      <c r="BF47" s="37" t="e">
        <f>VLOOKUP(AI47,'Routes Taxes'!I:O,7,0)</f>
        <v>#N/A</v>
      </c>
      <c r="BG47" s="62" t="e">
        <f>BF47*AK47</f>
        <v>#N/A</v>
      </c>
      <c r="BH47" s="37" t="e">
        <f>BD47+BF47</f>
        <v>#N/A</v>
      </c>
      <c r="BI47" s="87" t="e">
        <f t="shared" ref="BI47" si="179">BE47+BG47</f>
        <v>#N/A</v>
      </c>
      <c r="BJ47" s="87" t="e">
        <f t="shared" ref="BJ47" si="180">BC47+BI47</f>
        <v>#N/A</v>
      </c>
      <c r="BK47" s="62"/>
      <c r="BL47" s="39" t="e">
        <f>AS47-BJ47</f>
        <v>#N/A</v>
      </c>
      <c r="BM47" s="62"/>
      <c r="BN47" s="39" t="e">
        <f>(AS47+AY47)-BJ47</f>
        <v>#N/A</v>
      </c>
      <c r="BO47" s="62"/>
      <c r="BP47" s="87">
        <f t="shared" si="176"/>
        <v>24004.350000000009</v>
      </c>
      <c r="BQ47" s="87">
        <f t="shared" ref="BQ47" si="181">BC47</f>
        <v>72300</v>
      </c>
      <c r="BR47" s="87">
        <f t="shared" ref="BR47" si="182">K47+Y47</f>
        <v>0</v>
      </c>
      <c r="BS47" s="87">
        <f t="shared" ref="BS47" si="183">BQ47+BR47</f>
        <v>72300</v>
      </c>
      <c r="BT47" s="87">
        <f t="shared" ref="BT47" si="184">BP47-BS47</f>
        <v>-48295.649999999994</v>
      </c>
    </row>
    <row r="48" spans="1:72" ht="16.5" thickBot="1" x14ac:dyDescent="0.3">
      <c r="B48"/>
      <c r="C48"/>
      <c r="D48"/>
      <c r="E48"/>
      <c r="F48"/>
      <c r="G48"/>
      <c r="H48"/>
      <c r="R48"/>
      <c r="S48"/>
      <c r="T48"/>
      <c r="U48"/>
      <c r="V48"/>
      <c r="Z48" s="62"/>
      <c r="AA48" s="62"/>
      <c r="AC48" s="77"/>
      <c r="AD48" s="108">
        <f>SUM(AD46:AD47)</f>
        <v>372</v>
      </c>
      <c r="AE48" s="109">
        <f t="shared" ref="AE48:AG48" si="185">SUM(AE46:AE47)</f>
        <v>176</v>
      </c>
      <c r="AF48" s="109">
        <f t="shared" si="185"/>
        <v>196</v>
      </c>
      <c r="AG48" s="110">
        <f t="shared" si="185"/>
        <v>48008.700000000019</v>
      </c>
      <c r="AH48" s="22"/>
      <c r="AJ48" s="77"/>
      <c r="AK48" s="108">
        <f t="shared" ref="AK48:AN48" si="186">SUM(AK46:AK47)</f>
        <v>0</v>
      </c>
      <c r="AL48" s="109">
        <f t="shared" si="186"/>
        <v>0</v>
      </c>
      <c r="AM48" s="109">
        <f t="shared" si="186"/>
        <v>0</v>
      </c>
      <c r="AN48" s="110">
        <f t="shared" si="186"/>
        <v>0</v>
      </c>
      <c r="AO48" s="105"/>
      <c r="AP48" s="107">
        <f t="shared" ref="AP48:AR48" si="187">SUM(AP46:AP47)</f>
        <v>372</v>
      </c>
      <c r="AQ48" s="103">
        <f t="shared" si="187"/>
        <v>176</v>
      </c>
      <c r="AR48" s="103">
        <f t="shared" si="187"/>
        <v>196</v>
      </c>
      <c r="AS48" s="104">
        <f>SUM(AS46:AS47)</f>
        <v>48008.700000000019</v>
      </c>
      <c r="AT48" s="62"/>
      <c r="AU48" s="124">
        <f>AVERAGE(AU46:AU47)</f>
        <v>275</v>
      </c>
      <c r="AV48" s="125">
        <f>SUM(AV46:AV47)</f>
        <v>0</v>
      </c>
      <c r="AW48" s="125">
        <f>AVERAGE(AW46:AW47)</f>
        <v>275</v>
      </c>
      <c r="AX48" s="125">
        <f>SUM(AX46:AX47)</f>
        <v>0</v>
      </c>
      <c r="AY48" s="122">
        <f t="shared" ref="AY48" si="188">SUM(AY46:AY47)</f>
        <v>0</v>
      </c>
      <c r="AZ48" s="62"/>
      <c r="BA48" s="123">
        <f>SUM(BA46:BA47)</f>
        <v>48008.700000000019</v>
      </c>
      <c r="BB48" s="62"/>
      <c r="BC48" s="88">
        <f ca="1">SUM(BC46:BC50)</f>
        <v>425850</v>
      </c>
      <c r="BD48" s="88"/>
      <c r="BE48" s="88">
        <f ca="1">SUM(BE46:BE50)</f>
        <v>40912.559999999998</v>
      </c>
      <c r="BF48" s="88"/>
      <c r="BG48" s="88" t="e">
        <f>SUM(BG46:BG50)</f>
        <v>#N/A</v>
      </c>
      <c r="BH48" s="88"/>
      <c r="BI48" s="88" t="e">
        <f>SUM(BI46:BI50)</f>
        <v>#N/A</v>
      </c>
      <c r="BJ48" s="88" t="e">
        <f>SUM(BJ46:BJ50)</f>
        <v>#N/A</v>
      </c>
      <c r="BK48" s="62"/>
      <c r="BL48" s="126" t="e">
        <f>SUM(BL46:BL47)</f>
        <v>#N/A</v>
      </c>
      <c r="BM48" s="62"/>
      <c r="BN48" s="126" t="e">
        <f>SUM(BN46:BN47)</f>
        <v>#N/A</v>
      </c>
      <c r="BO48" s="62"/>
      <c r="BP48" s="88">
        <f>SUM(BP46:BP47)</f>
        <v>48008.700000000019</v>
      </c>
      <c r="BQ48" s="88">
        <f ca="1">SUM(BQ46:BQ50)</f>
        <v>600625.88399999996</v>
      </c>
      <c r="BR48" s="88">
        <f ca="1">SUM(BR46:BR50)</f>
        <v>244238.79640000002</v>
      </c>
      <c r="BS48" s="88">
        <f ca="1">SUM(BS46:BS50)</f>
        <v>669756.62239999999</v>
      </c>
      <c r="BT48" s="88">
        <f ca="1">SUM(BT46:BT50)</f>
        <v>-527608.80639999988</v>
      </c>
    </row>
    <row r="49" spans="1:72" ht="16.5" thickBot="1" x14ac:dyDescent="0.3">
      <c r="B49"/>
      <c r="C49"/>
      <c r="D49"/>
      <c r="E49"/>
      <c r="F49"/>
      <c r="G49"/>
      <c r="H49"/>
      <c r="R49"/>
      <c r="S49"/>
      <c r="T49"/>
      <c r="U49"/>
      <c r="V49"/>
      <c r="Z49" s="62"/>
      <c r="AA49" s="62"/>
      <c r="AC49" s="62"/>
      <c r="AG49" s="37"/>
      <c r="AH49" s="37"/>
    </row>
    <row r="50" spans="1:72" ht="16.5" thickBot="1" x14ac:dyDescent="0.3">
      <c r="B50"/>
      <c r="C50"/>
      <c r="D50"/>
      <c r="E50"/>
      <c r="F50"/>
      <c r="G50"/>
      <c r="H50"/>
      <c r="R50"/>
      <c r="S50"/>
      <c r="T50"/>
      <c r="U50"/>
      <c r="V50"/>
      <c r="Z50" s="62"/>
      <c r="AA50" s="62"/>
      <c r="AG50" s="37"/>
      <c r="AH50" s="37"/>
      <c r="AP50" s="128">
        <f>SUM(AP10,AP21,AP30,AP41,AP48)</f>
        <v>1860</v>
      </c>
      <c r="AQ50" s="129">
        <f t="shared" ref="AQ50:AS50" si="189">SUM(AQ10,AQ21,AQ30,AQ41,AQ48)</f>
        <v>880</v>
      </c>
      <c r="AR50" s="129">
        <f t="shared" si="189"/>
        <v>980</v>
      </c>
      <c r="AS50" s="130">
        <f t="shared" si="189"/>
        <v>240043.50000000009</v>
      </c>
      <c r="AY50" s="123">
        <f t="shared" ref="AY50:BA50" si="190">SUM(AY10,AY21,AY30,AY41,AY48)</f>
        <v>0</v>
      </c>
      <c r="BA50" s="123">
        <f t="shared" si="190"/>
        <v>240043.50000000009</v>
      </c>
      <c r="BL50" s="127" t="e">
        <f>SUM(BL10,BL21,BL30,BL41,BL48)</f>
        <v>#N/A</v>
      </c>
      <c r="BN50" s="127" t="e">
        <f t="shared" ref="BN50:BT50" si="191">SUM(BN10,BN21,BN30,BN41,BN48)</f>
        <v>#N/A</v>
      </c>
      <c r="BP50" s="127">
        <f>SUM(BP10,BP21,BP30,BP41,BP48)</f>
        <v>240043.50000000009</v>
      </c>
      <c r="BQ50" s="127">
        <f t="shared" ca="1" si="191"/>
        <v>1698625.8840000001</v>
      </c>
      <c r="BR50" s="127" t="e">
        <f t="shared" ca="1" si="191"/>
        <v>#N/A</v>
      </c>
      <c r="BS50" s="127" t="e">
        <f t="shared" ca="1" si="191"/>
        <v>#N/A</v>
      </c>
      <c r="BT50" s="127" t="e">
        <f t="shared" ca="1" si="191"/>
        <v>#N/A</v>
      </c>
    </row>
    <row r="51" spans="1:72" x14ac:dyDescent="0.25">
      <c r="AG51" s="37"/>
      <c r="AH51" s="37"/>
      <c r="BP51" s="78"/>
      <c r="BQ51" s="78"/>
      <c r="BR51" s="78"/>
      <c r="BS51" s="78"/>
      <c r="BT51" s="78"/>
    </row>
    <row r="52" spans="1:72" x14ac:dyDescent="0.25">
      <c r="A52" s="38" t="s">
        <v>167</v>
      </c>
      <c r="B52" s="217"/>
      <c r="AG52" s="37"/>
      <c r="AH52" s="37"/>
      <c r="BP52" s="78"/>
      <c r="BQ52" s="78"/>
      <c r="BR52" s="78"/>
      <c r="BS52" s="78"/>
      <c r="BT52" s="78"/>
    </row>
    <row r="53" spans="1:72" x14ac:dyDescent="0.25">
      <c r="A53" s="54" t="s">
        <v>6</v>
      </c>
      <c r="B53" t="s">
        <v>7</v>
      </c>
      <c r="O53" s="54" t="s">
        <v>6</v>
      </c>
      <c r="P53" t="s">
        <v>8</v>
      </c>
      <c r="AG53" s="37"/>
      <c r="AH53" s="37"/>
      <c r="BP53" s="78"/>
      <c r="BQ53" s="78"/>
      <c r="BR53" s="78"/>
      <c r="BS53" s="78"/>
      <c r="BT53" s="78"/>
    </row>
    <row r="54" spans="1:72" ht="16.5" thickBot="1" x14ac:dyDescent="0.3">
      <c r="W54" t="s">
        <v>172</v>
      </c>
      <c r="AG54" s="37"/>
      <c r="AH54" s="37"/>
      <c r="BP54" s="78"/>
      <c r="BQ54" s="78"/>
      <c r="BR54" s="78"/>
      <c r="BS54" s="78"/>
      <c r="BT54" s="78"/>
    </row>
    <row r="55" spans="1:72" x14ac:dyDescent="0.25">
      <c r="A55" s="54" t="s">
        <v>28</v>
      </c>
      <c r="B55" s="54" t="s">
        <v>108</v>
      </c>
      <c r="C55" s="54" t="s">
        <v>11</v>
      </c>
      <c r="D55" s="54" t="s">
        <v>4</v>
      </c>
      <c r="E55" s="54" t="s">
        <v>20</v>
      </c>
      <c r="F55" t="s">
        <v>229</v>
      </c>
      <c r="G55" s="15" t="s">
        <v>106</v>
      </c>
      <c r="H55" s="15" t="s">
        <v>110</v>
      </c>
      <c r="I55" t="s">
        <v>170</v>
      </c>
      <c r="J55" s="15" t="s">
        <v>101</v>
      </c>
      <c r="K55" t="s">
        <v>63</v>
      </c>
      <c r="O55" s="54" t="s">
        <v>28</v>
      </c>
      <c r="P55" s="54" t="s">
        <v>108</v>
      </c>
      <c r="Q55" s="54" t="s">
        <v>11</v>
      </c>
      <c r="R55" s="160" t="s">
        <v>4</v>
      </c>
      <c r="S55" s="160" t="s">
        <v>20</v>
      </c>
      <c r="T55" t="s">
        <v>229</v>
      </c>
      <c r="U55" s="15" t="s">
        <v>106</v>
      </c>
      <c r="V55" s="15" t="s">
        <v>110</v>
      </c>
      <c r="W55" t="s">
        <v>170</v>
      </c>
      <c r="X55" s="15" t="s">
        <v>101</v>
      </c>
      <c r="Y55" t="s">
        <v>169</v>
      </c>
      <c r="Z55" s="15"/>
      <c r="AA55" s="15"/>
      <c r="AC55" s="15"/>
      <c r="AG55" s="22"/>
      <c r="AH55" s="22"/>
      <c r="AJ55" s="15"/>
      <c r="AN55" s="15"/>
      <c r="AO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85" t="s">
        <v>123</v>
      </c>
      <c r="BQ55" s="85" t="s">
        <v>173</v>
      </c>
      <c r="BR55" s="85" t="s">
        <v>96</v>
      </c>
      <c r="BS55" s="85" t="s">
        <v>171</v>
      </c>
      <c r="BT55" s="85" t="s">
        <v>174</v>
      </c>
    </row>
    <row r="56" spans="1:72" x14ac:dyDescent="0.25">
      <c r="A56" t="s">
        <v>146</v>
      </c>
      <c r="B56" t="s">
        <v>212</v>
      </c>
      <c r="C56" t="s">
        <v>23</v>
      </c>
      <c r="D56" s="60">
        <v>45765</v>
      </c>
      <c r="E56" t="s">
        <v>159</v>
      </c>
      <c r="F56" s="387">
        <v>186</v>
      </c>
      <c r="G56" s="23">
        <v>88</v>
      </c>
      <c r="H56" s="388">
        <v>98</v>
      </c>
      <c r="I56" s="29">
        <v>0.4731182795698925</v>
      </c>
      <c r="J56" s="37">
        <v>24004.350000000009</v>
      </c>
      <c r="K56" s="9">
        <v>0</v>
      </c>
      <c r="O56" t="s">
        <v>5</v>
      </c>
      <c r="R56"/>
      <c r="S56"/>
      <c r="T56" s="387"/>
      <c r="U56" s="23"/>
      <c r="V56" s="388"/>
      <c r="W56" s="29" t="e">
        <v>#DIV/0!</v>
      </c>
      <c r="X56" s="62"/>
      <c r="Y56" s="9"/>
      <c r="Z56" s="62"/>
      <c r="AA56" s="62"/>
      <c r="AC56" s="62"/>
      <c r="AG56" s="37"/>
      <c r="AH56" s="37"/>
      <c r="AN56" s="62"/>
      <c r="AO56" s="62"/>
      <c r="AS56" s="98"/>
      <c r="AT56" s="62"/>
      <c r="AU56" s="62"/>
      <c r="AV56" s="62"/>
      <c r="AW56" s="62"/>
      <c r="AX56" s="62"/>
      <c r="AY56" s="62"/>
      <c r="AZ56" s="62"/>
      <c r="BA56" s="62"/>
      <c r="BB56" s="62"/>
      <c r="BC56" s="62"/>
      <c r="BD56" s="62"/>
      <c r="BE56" s="62"/>
      <c r="BF56" s="62"/>
      <c r="BG56" s="62"/>
      <c r="BH56" s="62"/>
      <c r="BI56" s="62"/>
      <c r="BJ56" s="62"/>
      <c r="BK56" s="62"/>
      <c r="BL56" s="62"/>
      <c r="BM56" s="62"/>
      <c r="BN56" s="62"/>
      <c r="BO56" s="62"/>
      <c r="BP56" s="87">
        <f t="shared" ref="BP56:BP81" si="192">IF(ISNUMBER(J56), IF(ISNUMBER(X56), J56 + X56, J56), IF(ISNUMBER(X56), X56,0))</f>
        <v>24004.350000000009</v>
      </c>
      <c r="BQ56" s="87">
        <v>46500</v>
      </c>
      <c r="BR56" s="87">
        <f t="shared" ref="BR56:BR81" si="193">L56+Y56</f>
        <v>0</v>
      </c>
      <c r="BS56" s="87">
        <f t="shared" ref="BS56:BS81" si="194">BQ56+BR56</f>
        <v>46500</v>
      </c>
      <c r="BT56" s="87">
        <f t="shared" ref="BT56:BT81" si="195">BP56-BS56</f>
        <v>-22495.649999999991</v>
      </c>
    </row>
    <row r="57" spans="1:72" x14ac:dyDescent="0.25">
      <c r="A57" t="s">
        <v>5</v>
      </c>
      <c r="B57"/>
      <c r="C57"/>
      <c r="D57"/>
      <c r="E57"/>
      <c r="F57" s="387">
        <v>186</v>
      </c>
      <c r="G57" s="23">
        <v>88</v>
      </c>
      <c r="H57" s="388">
        <v>98</v>
      </c>
      <c r="I57" s="29">
        <v>0.4731182795698925</v>
      </c>
      <c r="J57" s="37">
        <v>24004.350000000009</v>
      </c>
      <c r="K57" s="9">
        <v>0</v>
      </c>
      <c r="R57"/>
      <c r="S57"/>
      <c r="T57"/>
      <c r="U57"/>
      <c r="V57"/>
      <c r="Z57" s="62"/>
      <c r="AA57" s="62"/>
      <c r="AC57" s="62"/>
      <c r="AG57" s="37"/>
      <c r="AH57" s="37"/>
      <c r="AN57" s="62"/>
      <c r="AO57" s="62"/>
      <c r="AS57" s="98"/>
      <c r="AT57" s="62"/>
      <c r="AU57" s="62"/>
      <c r="AV57" s="62"/>
      <c r="AW57" s="62"/>
      <c r="AX57" s="62"/>
      <c r="AY57" s="62"/>
      <c r="AZ57" s="62"/>
      <c r="BA57" s="62"/>
      <c r="BB57" s="62"/>
      <c r="BC57" s="62"/>
      <c r="BD57" s="62"/>
      <c r="BE57" s="62"/>
      <c r="BF57" s="62"/>
      <c r="BG57" s="62"/>
      <c r="BH57" s="62"/>
      <c r="BI57" s="62"/>
      <c r="BJ57" s="62"/>
      <c r="BK57" s="62"/>
      <c r="BL57" s="62"/>
      <c r="BM57" s="62"/>
      <c r="BN57" s="62"/>
      <c r="BO57" s="62"/>
      <c r="BP57" s="87">
        <f t="shared" si="192"/>
        <v>24004.350000000009</v>
      </c>
      <c r="BQ57" s="87">
        <v>46500</v>
      </c>
      <c r="BR57" s="87">
        <f t="shared" si="193"/>
        <v>0</v>
      </c>
      <c r="BS57" s="87">
        <f t="shared" si="194"/>
        <v>46500</v>
      </c>
      <c r="BT57" s="87">
        <f t="shared" si="195"/>
        <v>-22495.649999999991</v>
      </c>
    </row>
    <row r="58" spans="1:72" x14ac:dyDescent="0.25">
      <c r="B58"/>
      <c r="C58"/>
      <c r="D58"/>
      <c r="E58"/>
      <c r="F58"/>
      <c r="G58"/>
      <c r="H58"/>
      <c r="R58"/>
      <c r="S58"/>
      <c r="T58"/>
      <c r="U58"/>
      <c r="V58"/>
      <c r="Z58" s="62"/>
      <c r="AA58" s="62"/>
      <c r="AC58" s="62"/>
      <c r="AG58" s="37"/>
      <c r="AH58" s="37"/>
      <c r="AN58" s="62"/>
      <c r="AO58" s="62"/>
      <c r="AS58" s="98"/>
      <c r="AT58" s="62"/>
      <c r="AU58" s="62"/>
      <c r="AV58" s="62"/>
      <c r="AW58" s="62"/>
      <c r="AX58" s="62"/>
      <c r="AY58" s="62"/>
      <c r="AZ58" s="62"/>
      <c r="BA58" s="62"/>
      <c r="BB58" s="62"/>
      <c r="BC58" s="62"/>
      <c r="BD58" s="62"/>
      <c r="BE58" s="62"/>
      <c r="BF58" s="62"/>
      <c r="BG58" s="62"/>
      <c r="BH58" s="62"/>
      <c r="BI58" s="62"/>
      <c r="BJ58" s="62"/>
      <c r="BK58" s="62"/>
      <c r="BL58" s="62"/>
      <c r="BM58" s="62"/>
      <c r="BN58" s="62"/>
      <c r="BO58" s="62"/>
      <c r="BP58" s="87">
        <f t="shared" si="192"/>
        <v>0</v>
      </c>
      <c r="BQ58" s="87">
        <v>46500</v>
      </c>
      <c r="BR58" s="87">
        <f t="shared" si="193"/>
        <v>0</v>
      </c>
      <c r="BS58" s="87">
        <f t="shared" si="194"/>
        <v>46500</v>
      </c>
      <c r="BT58" s="87">
        <f t="shared" si="195"/>
        <v>-46500</v>
      </c>
    </row>
    <row r="59" spans="1:72" x14ac:dyDescent="0.25">
      <c r="B59"/>
      <c r="C59"/>
      <c r="D59"/>
      <c r="E59"/>
      <c r="F59"/>
      <c r="G59"/>
      <c r="H59"/>
      <c r="R59"/>
      <c r="S59"/>
      <c r="T59"/>
      <c r="U59"/>
      <c r="V59"/>
      <c r="Z59" s="62"/>
      <c r="AA59" s="62"/>
      <c r="AC59" s="62"/>
      <c r="AG59" s="37"/>
      <c r="AH59" s="37"/>
      <c r="AN59" s="62"/>
      <c r="AO59" s="62"/>
      <c r="AS59" s="98"/>
      <c r="AT59" s="62"/>
      <c r="AU59" s="62"/>
      <c r="AV59" s="62"/>
      <c r="AW59" s="62"/>
      <c r="AX59" s="62"/>
      <c r="AY59" s="62"/>
      <c r="AZ59" s="62"/>
      <c r="BA59" s="62"/>
      <c r="BB59" s="62"/>
      <c r="BC59" s="62"/>
      <c r="BD59" s="62"/>
      <c r="BE59" s="62"/>
      <c r="BF59" s="62"/>
      <c r="BG59" s="62"/>
      <c r="BH59" s="62"/>
      <c r="BI59" s="62"/>
      <c r="BJ59" s="62"/>
      <c r="BK59" s="62"/>
      <c r="BL59" s="62"/>
      <c r="BM59" s="62"/>
      <c r="BN59" s="62"/>
      <c r="BO59" s="62"/>
      <c r="BP59" s="87">
        <f t="shared" si="192"/>
        <v>0</v>
      </c>
      <c r="BQ59" s="87">
        <v>46500</v>
      </c>
      <c r="BR59" s="87">
        <f t="shared" si="193"/>
        <v>0</v>
      </c>
      <c r="BS59" s="87">
        <f t="shared" si="194"/>
        <v>46500</v>
      </c>
      <c r="BT59" s="87">
        <f t="shared" si="195"/>
        <v>-46500</v>
      </c>
    </row>
    <row r="60" spans="1:72" x14ac:dyDescent="0.25">
      <c r="B60"/>
      <c r="C60"/>
      <c r="D60"/>
      <c r="E60"/>
      <c r="F60"/>
      <c r="G60"/>
      <c r="H60"/>
      <c r="R60"/>
      <c r="S60"/>
      <c r="T60"/>
      <c r="U60"/>
      <c r="V60"/>
      <c r="Z60" s="62"/>
      <c r="AA60" s="62"/>
      <c r="AC60" s="62"/>
      <c r="AG60" s="37"/>
      <c r="AH60" s="37"/>
      <c r="AN60" s="62"/>
      <c r="AO60" s="62"/>
      <c r="AS60" s="98"/>
      <c r="AT60" s="62"/>
      <c r="AU60" s="62"/>
      <c r="AV60" s="62"/>
      <c r="AW60" s="62"/>
      <c r="AX60" s="62"/>
      <c r="AY60" s="62"/>
      <c r="AZ60" s="62"/>
      <c r="BA60" s="62"/>
      <c r="BB60" s="62"/>
      <c r="BC60" s="62"/>
      <c r="BD60" s="62"/>
      <c r="BE60" s="62"/>
      <c r="BF60" s="62"/>
      <c r="BG60" s="62"/>
      <c r="BH60" s="62"/>
      <c r="BI60" s="62"/>
      <c r="BJ60" s="62"/>
      <c r="BK60" s="62"/>
      <c r="BL60" s="62"/>
      <c r="BM60" s="62"/>
      <c r="BN60" s="62"/>
      <c r="BO60" s="62"/>
      <c r="BP60" s="87">
        <f t="shared" si="192"/>
        <v>0</v>
      </c>
      <c r="BQ60" s="87">
        <v>46500</v>
      </c>
      <c r="BR60" s="87">
        <f t="shared" si="193"/>
        <v>0</v>
      </c>
      <c r="BS60" s="87">
        <f t="shared" si="194"/>
        <v>46500</v>
      </c>
      <c r="BT60" s="87">
        <f t="shared" si="195"/>
        <v>-46500</v>
      </c>
    </row>
    <row r="61" spans="1:72" x14ac:dyDescent="0.25">
      <c r="B61"/>
      <c r="C61"/>
      <c r="D61"/>
      <c r="E61"/>
      <c r="F61"/>
      <c r="G61"/>
      <c r="H61"/>
      <c r="R61"/>
      <c r="S61"/>
      <c r="T61"/>
      <c r="U61"/>
      <c r="V61"/>
      <c r="Z61" s="62"/>
      <c r="AA61" s="62"/>
      <c r="AC61" s="62"/>
      <c r="AG61" s="37"/>
      <c r="AH61" s="37"/>
      <c r="AN61" s="62"/>
      <c r="AO61" s="62"/>
      <c r="AS61" s="98"/>
      <c r="AT61" s="62"/>
      <c r="AU61" s="62"/>
      <c r="AV61" s="62"/>
      <c r="AW61" s="62"/>
      <c r="AX61" s="62"/>
      <c r="AY61" s="62"/>
      <c r="AZ61" s="62"/>
      <c r="BA61" s="62"/>
      <c r="BB61" s="62"/>
      <c r="BC61" s="62"/>
      <c r="BD61" s="62"/>
      <c r="BE61" s="62"/>
      <c r="BF61" s="62"/>
      <c r="BG61" s="62"/>
      <c r="BH61" s="62"/>
      <c r="BI61" s="62"/>
      <c r="BJ61" s="62"/>
      <c r="BK61" s="62"/>
      <c r="BL61" s="62"/>
      <c r="BM61" s="62"/>
      <c r="BN61" s="62"/>
      <c r="BO61" s="62"/>
      <c r="BP61" s="87">
        <f t="shared" si="192"/>
        <v>0</v>
      </c>
      <c r="BQ61" s="87">
        <v>46500</v>
      </c>
      <c r="BR61" s="87">
        <f t="shared" si="193"/>
        <v>0</v>
      </c>
      <c r="BS61" s="87">
        <f t="shared" si="194"/>
        <v>46500</v>
      </c>
      <c r="BT61" s="87">
        <f t="shared" si="195"/>
        <v>-46500</v>
      </c>
    </row>
    <row r="62" spans="1:72" x14ac:dyDescent="0.25">
      <c r="B62"/>
      <c r="C62"/>
      <c r="D62"/>
      <c r="E62"/>
      <c r="F62"/>
      <c r="G62"/>
      <c r="H62"/>
      <c r="R62"/>
      <c r="S62"/>
      <c r="T62"/>
      <c r="U62"/>
      <c r="V62"/>
      <c r="Z62" s="62"/>
      <c r="AA62" s="62"/>
      <c r="AC62" s="62"/>
      <c r="AG62" s="37"/>
      <c r="AH62" s="37"/>
      <c r="AN62" s="62"/>
      <c r="AO62" s="62"/>
      <c r="AS62" s="98"/>
      <c r="AT62" s="62"/>
      <c r="AU62" s="62"/>
      <c r="AV62" s="62"/>
      <c r="AW62" s="62"/>
      <c r="AX62" s="62"/>
      <c r="AY62" s="62"/>
      <c r="AZ62" s="62"/>
      <c r="BA62" s="62"/>
      <c r="BB62" s="62"/>
      <c r="BC62" s="62"/>
      <c r="BD62" s="62"/>
      <c r="BE62" s="62"/>
      <c r="BF62" s="62"/>
      <c r="BG62" s="62"/>
      <c r="BH62" s="62"/>
      <c r="BI62" s="62"/>
      <c r="BJ62" s="62"/>
      <c r="BK62" s="62"/>
      <c r="BL62" s="62"/>
      <c r="BM62" s="62"/>
      <c r="BN62" s="62"/>
      <c r="BO62" s="62"/>
      <c r="BP62" s="87">
        <f t="shared" si="192"/>
        <v>0</v>
      </c>
      <c r="BQ62" s="87">
        <v>46500</v>
      </c>
      <c r="BR62" s="87">
        <f t="shared" si="193"/>
        <v>0</v>
      </c>
      <c r="BS62" s="87">
        <f t="shared" si="194"/>
        <v>46500</v>
      </c>
      <c r="BT62" s="87">
        <f t="shared" si="195"/>
        <v>-46500</v>
      </c>
    </row>
    <row r="63" spans="1:72" x14ac:dyDescent="0.25">
      <c r="B63"/>
      <c r="C63"/>
      <c r="D63"/>
      <c r="E63"/>
      <c r="F63"/>
      <c r="G63"/>
      <c r="H63"/>
      <c r="R63"/>
      <c r="S63"/>
      <c r="T63"/>
      <c r="U63"/>
      <c r="V63"/>
      <c r="Z63" s="62"/>
      <c r="AA63" s="62"/>
      <c r="AC63" s="62"/>
      <c r="AG63" s="37"/>
      <c r="AH63" s="37"/>
      <c r="AN63" s="62"/>
      <c r="AO63" s="62"/>
      <c r="AS63" s="98"/>
      <c r="AT63" s="62"/>
      <c r="AU63" s="62"/>
      <c r="AV63" s="62"/>
      <c r="AW63" s="62"/>
      <c r="AX63" s="62"/>
      <c r="AY63" s="62"/>
      <c r="AZ63" s="62"/>
      <c r="BA63" s="62"/>
      <c r="BB63" s="62"/>
      <c r="BC63" s="62"/>
      <c r="BD63" s="62"/>
      <c r="BE63" s="62"/>
      <c r="BF63" s="62"/>
      <c r="BG63" s="62"/>
      <c r="BH63" s="62"/>
      <c r="BI63" s="62"/>
      <c r="BJ63" s="62"/>
      <c r="BK63" s="62"/>
      <c r="BL63" s="62"/>
      <c r="BM63" s="62"/>
      <c r="BN63" s="62"/>
      <c r="BO63" s="62"/>
      <c r="BP63" s="87">
        <f t="shared" si="192"/>
        <v>0</v>
      </c>
      <c r="BQ63" s="87">
        <v>46500</v>
      </c>
      <c r="BR63" s="87">
        <f t="shared" si="193"/>
        <v>0</v>
      </c>
      <c r="BS63" s="87">
        <f t="shared" si="194"/>
        <v>46500</v>
      </c>
      <c r="BT63" s="87">
        <f t="shared" si="195"/>
        <v>-46500</v>
      </c>
    </row>
    <row r="64" spans="1:72" x14ac:dyDescent="0.25">
      <c r="B64"/>
      <c r="C64"/>
      <c r="D64"/>
      <c r="E64"/>
      <c r="F64"/>
      <c r="G64"/>
      <c r="H64"/>
      <c r="R64"/>
      <c r="S64"/>
      <c r="T64"/>
      <c r="U64"/>
      <c r="V64"/>
      <c r="Z64" s="62"/>
      <c r="AA64" s="62"/>
      <c r="AC64" s="62"/>
      <c r="AG64" s="37"/>
      <c r="AH64" s="37"/>
      <c r="AN64" s="62"/>
      <c r="AO64" s="62"/>
      <c r="AS64" s="98"/>
      <c r="AT64" s="62"/>
      <c r="AU64" s="62"/>
      <c r="AV64" s="62"/>
      <c r="AW64" s="62"/>
      <c r="AX64" s="62"/>
      <c r="AY64" s="62"/>
      <c r="AZ64" s="62"/>
      <c r="BA64" s="62"/>
      <c r="BB64" s="62"/>
      <c r="BC64" s="62"/>
      <c r="BD64" s="62"/>
      <c r="BE64" s="62"/>
      <c r="BF64" s="62"/>
      <c r="BG64" s="62"/>
      <c r="BH64" s="62"/>
      <c r="BI64" s="62"/>
      <c r="BJ64" s="62"/>
      <c r="BK64" s="62"/>
      <c r="BL64" s="62"/>
      <c r="BM64" s="62"/>
      <c r="BN64" s="62"/>
      <c r="BO64" s="62"/>
      <c r="BP64" s="87">
        <f t="shared" si="192"/>
        <v>0</v>
      </c>
      <c r="BQ64" s="87">
        <v>46500</v>
      </c>
      <c r="BR64" s="87">
        <f t="shared" si="193"/>
        <v>0</v>
      </c>
      <c r="BS64" s="87">
        <f t="shared" si="194"/>
        <v>46500</v>
      </c>
      <c r="BT64" s="87">
        <f t="shared" si="195"/>
        <v>-46500</v>
      </c>
    </row>
    <row r="65" spans="2:72" x14ac:dyDescent="0.25">
      <c r="B65"/>
      <c r="C65"/>
      <c r="D65"/>
      <c r="E65"/>
      <c r="F65"/>
      <c r="G65"/>
      <c r="H65"/>
      <c r="R65"/>
      <c r="S65"/>
      <c r="T65"/>
      <c r="U65"/>
      <c r="V65"/>
      <c r="Z65" s="62"/>
      <c r="AA65" s="62"/>
      <c r="AC65" s="62"/>
      <c r="AG65" s="37"/>
      <c r="AH65" s="37"/>
      <c r="AN65" s="62"/>
      <c r="AO65" s="62"/>
      <c r="AS65" s="98"/>
      <c r="AT65" s="62"/>
      <c r="AU65" s="62"/>
      <c r="AV65" s="62"/>
      <c r="AW65" s="62"/>
      <c r="AX65" s="62"/>
      <c r="AY65" s="62"/>
      <c r="AZ65" s="62"/>
      <c r="BA65" s="62"/>
      <c r="BB65" s="62"/>
      <c r="BC65" s="62"/>
      <c r="BD65" s="62"/>
      <c r="BE65" s="62"/>
      <c r="BF65" s="62"/>
      <c r="BG65" s="62"/>
      <c r="BH65" s="62"/>
      <c r="BI65" s="62"/>
      <c r="BJ65" s="62"/>
      <c r="BK65" s="62"/>
      <c r="BL65" s="62"/>
      <c r="BM65" s="62"/>
      <c r="BN65" s="62"/>
      <c r="BO65" s="62"/>
      <c r="BP65" s="87">
        <f t="shared" si="192"/>
        <v>0</v>
      </c>
      <c r="BQ65" s="87">
        <v>46500</v>
      </c>
      <c r="BR65" s="87">
        <f t="shared" si="193"/>
        <v>0</v>
      </c>
      <c r="BS65" s="87">
        <f t="shared" si="194"/>
        <v>46500</v>
      </c>
      <c r="BT65" s="87">
        <f t="shared" si="195"/>
        <v>-46500</v>
      </c>
    </row>
    <row r="66" spans="2:72" x14ac:dyDescent="0.25">
      <c r="B66"/>
      <c r="C66"/>
      <c r="D66"/>
      <c r="E66"/>
      <c r="F66"/>
      <c r="G66"/>
      <c r="H66"/>
      <c r="R66"/>
      <c r="S66"/>
      <c r="T66"/>
      <c r="U66"/>
      <c r="V66"/>
      <c r="Z66" s="62"/>
      <c r="AA66" s="62"/>
      <c r="AC66" s="62"/>
      <c r="AG66" s="37"/>
      <c r="AH66" s="37"/>
      <c r="AN66" s="62"/>
      <c r="AO66" s="62"/>
      <c r="AS66" s="98"/>
      <c r="AT66" s="62"/>
      <c r="AU66" s="62"/>
      <c r="AV66" s="62"/>
      <c r="AW66" s="62"/>
      <c r="AX66" s="62"/>
      <c r="AY66" s="62"/>
      <c r="AZ66" s="62"/>
      <c r="BA66" s="62"/>
      <c r="BB66" s="62"/>
      <c r="BC66" s="62"/>
      <c r="BD66" s="62"/>
      <c r="BE66" s="62"/>
      <c r="BF66" s="62"/>
      <c r="BG66" s="62"/>
      <c r="BH66" s="62"/>
      <c r="BI66" s="62"/>
      <c r="BJ66" s="62"/>
      <c r="BK66" s="62"/>
      <c r="BL66" s="62"/>
      <c r="BM66" s="62"/>
      <c r="BN66" s="62"/>
      <c r="BO66" s="62"/>
      <c r="BP66" s="87">
        <f t="shared" si="192"/>
        <v>0</v>
      </c>
      <c r="BQ66" s="87">
        <v>46500</v>
      </c>
      <c r="BR66" s="87">
        <f t="shared" si="193"/>
        <v>0</v>
      </c>
      <c r="BS66" s="87">
        <f t="shared" si="194"/>
        <v>46500</v>
      </c>
      <c r="BT66" s="87">
        <f t="shared" si="195"/>
        <v>-46500</v>
      </c>
    </row>
    <row r="67" spans="2:72" x14ac:dyDescent="0.25">
      <c r="B67"/>
      <c r="C67"/>
      <c r="D67"/>
      <c r="E67"/>
      <c r="F67"/>
      <c r="G67"/>
      <c r="H67"/>
      <c r="R67"/>
      <c r="S67"/>
      <c r="T67"/>
      <c r="U67"/>
      <c r="V67"/>
      <c r="Z67" s="62"/>
      <c r="AA67" s="62"/>
      <c r="AC67" s="62"/>
      <c r="AG67" s="37"/>
      <c r="AH67" s="37"/>
      <c r="AN67" s="62"/>
      <c r="AO67" s="62"/>
      <c r="AS67" s="98"/>
      <c r="AT67" s="62"/>
      <c r="AU67" s="62"/>
      <c r="AV67" s="62"/>
      <c r="AW67" s="62"/>
      <c r="AX67" s="62"/>
      <c r="AY67" s="62"/>
      <c r="AZ67" s="62"/>
      <c r="BA67" s="62"/>
      <c r="BB67" s="62"/>
      <c r="BC67" s="62"/>
      <c r="BD67" s="62"/>
      <c r="BE67" s="62"/>
      <c r="BF67" s="62"/>
      <c r="BG67" s="62"/>
      <c r="BH67" s="62"/>
      <c r="BI67" s="62"/>
      <c r="BJ67" s="62"/>
      <c r="BK67" s="62"/>
      <c r="BL67" s="62"/>
      <c r="BM67" s="62"/>
      <c r="BN67" s="62"/>
      <c r="BO67" s="62"/>
      <c r="BP67" s="87">
        <f t="shared" si="192"/>
        <v>0</v>
      </c>
      <c r="BQ67" s="87">
        <v>46500</v>
      </c>
      <c r="BR67" s="87">
        <f t="shared" si="193"/>
        <v>0</v>
      </c>
      <c r="BS67" s="87">
        <f t="shared" si="194"/>
        <v>46500</v>
      </c>
      <c r="BT67" s="87">
        <f t="shared" si="195"/>
        <v>-46500</v>
      </c>
    </row>
    <row r="68" spans="2:72" x14ac:dyDescent="0.25">
      <c r="B68"/>
      <c r="C68"/>
      <c r="D68"/>
      <c r="E68"/>
      <c r="F68"/>
      <c r="G68"/>
      <c r="H68"/>
      <c r="R68"/>
      <c r="S68"/>
      <c r="T68"/>
      <c r="U68"/>
      <c r="V68"/>
      <c r="Z68" s="62"/>
      <c r="AA68" s="62"/>
      <c r="AC68" s="62"/>
      <c r="AG68" s="37"/>
      <c r="AH68" s="37"/>
      <c r="AN68" s="62"/>
      <c r="AO68" s="62"/>
      <c r="AS68" s="98"/>
      <c r="AT68" s="62"/>
      <c r="AU68" s="62"/>
      <c r="AV68" s="62"/>
      <c r="AW68" s="62"/>
      <c r="AX68" s="62"/>
      <c r="AY68" s="62"/>
      <c r="AZ68" s="62"/>
      <c r="BA68" s="62"/>
      <c r="BB68" s="62"/>
      <c r="BC68" s="62"/>
      <c r="BD68" s="62"/>
      <c r="BE68" s="62"/>
      <c r="BF68" s="62"/>
      <c r="BG68" s="62"/>
      <c r="BH68" s="62"/>
      <c r="BI68" s="62"/>
      <c r="BJ68" s="62"/>
      <c r="BK68" s="62"/>
      <c r="BL68" s="62"/>
      <c r="BM68" s="62"/>
      <c r="BN68" s="62"/>
      <c r="BO68" s="62"/>
      <c r="BP68" s="87">
        <f t="shared" si="192"/>
        <v>0</v>
      </c>
      <c r="BQ68" s="87">
        <v>46500</v>
      </c>
      <c r="BR68" s="87">
        <f t="shared" si="193"/>
        <v>0</v>
      </c>
      <c r="BS68" s="87">
        <f t="shared" si="194"/>
        <v>46500</v>
      </c>
      <c r="BT68" s="87">
        <f t="shared" si="195"/>
        <v>-46500</v>
      </c>
    </row>
    <row r="69" spans="2:72" x14ac:dyDescent="0.25">
      <c r="B69"/>
      <c r="C69"/>
      <c r="D69"/>
      <c r="E69"/>
      <c r="F69"/>
      <c r="G69"/>
      <c r="H69"/>
      <c r="R69"/>
      <c r="S69"/>
      <c r="T69"/>
      <c r="U69"/>
      <c r="V69"/>
      <c r="Z69" s="62"/>
      <c r="AA69" s="62"/>
      <c r="AC69" s="62"/>
      <c r="AG69" s="37"/>
      <c r="AH69" s="37"/>
      <c r="AN69" s="62"/>
      <c r="AO69" s="62"/>
      <c r="AS69" s="98"/>
      <c r="AT69" s="62"/>
      <c r="AU69" s="62"/>
      <c r="AV69" s="62"/>
      <c r="AW69" s="62"/>
      <c r="AX69" s="62"/>
      <c r="AY69" s="62"/>
      <c r="AZ69" s="62"/>
      <c r="BA69" s="62"/>
      <c r="BB69" s="62"/>
      <c r="BC69" s="62"/>
      <c r="BD69" s="62"/>
      <c r="BE69" s="62"/>
      <c r="BF69" s="62"/>
      <c r="BG69" s="62"/>
      <c r="BH69" s="62"/>
      <c r="BI69" s="62"/>
      <c r="BJ69" s="62"/>
      <c r="BK69" s="62"/>
      <c r="BL69" s="62"/>
      <c r="BM69" s="62"/>
      <c r="BN69" s="62"/>
      <c r="BO69" s="62"/>
      <c r="BP69" s="87">
        <f t="shared" si="192"/>
        <v>0</v>
      </c>
      <c r="BQ69" s="87">
        <v>46500</v>
      </c>
      <c r="BR69" s="87">
        <f t="shared" si="193"/>
        <v>0</v>
      </c>
      <c r="BS69" s="87">
        <f t="shared" si="194"/>
        <v>46500</v>
      </c>
      <c r="BT69" s="87">
        <f t="shared" si="195"/>
        <v>-46500</v>
      </c>
    </row>
    <row r="70" spans="2:72" x14ac:dyDescent="0.25">
      <c r="B70"/>
      <c r="C70"/>
      <c r="D70"/>
      <c r="E70"/>
      <c r="F70"/>
      <c r="G70"/>
      <c r="H70"/>
      <c r="R70"/>
      <c r="S70"/>
      <c r="T70"/>
      <c r="U70"/>
      <c r="V70"/>
      <c r="Z70" s="62"/>
      <c r="AA70" s="62"/>
      <c r="AC70" s="62"/>
      <c r="AG70" s="37"/>
      <c r="AH70" s="37"/>
      <c r="AN70" s="62"/>
      <c r="AO70" s="62"/>
      <c r="AS70" s="98"/>
      <c r="AT70" s="62"/>
      <c r="AU70" s="62"/>
      <c r="AV70" s="62"/>
      <c r="AW70" s="62"/>
      <c r="AX70" s="62"/>
      <c r="AY70" s="62"/>
      <c r="AZ70" s="62"/>
      <c r="BA70" s="62"/>
      <c r="BB70" s="62"/>
      <c r="BC70" s="62"/>
      <c r="BD70" s="62"/>
      <c r="BE70" s="62"/>
      <c r="BF70" s="62"/>
      <c r="BG70" s="62"/>
      <c r="BH70" s="62"/>
      <c r="BI70" s="62"/>
      <c r="BJ70" s="62"/>
      <c r="BK70" s="62"/>
      <c r="BL70" s="62"/>
      <c r="BM70" s="62"/>
      <c r="BN70" s="62"/>
      <c r="BO70" s="62"/>
      <c r="BP70" s="87">
        <f t="shared" si="192"/>
        <v>0</v>
      </c>
      <c r="BQ70" s="87">
        <v>46500</v>
      </c>
      <c r="BR70" s="87">
        <f t="shared" si="193"/>
        <v>0</v>
      </c>
      <c r="BS70" s="87">
        <f t="shared" si="194"/>
        <v>46500</v>
      </c>
      <c r="BT70" s="87">
        <f t="shared" si="195"/>
        <v>-46500</v>
      </c>
    </row>
    <row r="71" spans="2:72" x14ac:dyDescent="0.25">
      <c r="B71"/>
      <c r="C71"/>
      <c r="D71"/>
      <c r="E71"/>
      <c r="F71"/>
      <c r="G71"/>
      <c r="H71"/>
      <c r="R71"/>
      <c r="S71"/>
      <c r="T71"/>
      <c r="U71"/>
      <c r="V71"/>
      <c r="Z71" s="62"/>
      <c r="AA71" s="62"/>
      <c r="AC71" s="62"/>
      <c r="AG71" s="37"/>
      <c r="AH71" s="37"/>
      <c r="AN71" s="62"/>
      <c r="AO71" s="62"/>
      <c r="AS71" s="98"/>
      <c r="AT71" s="62"/>
      <c r="AU71" s="62"/>
      <c r="AV71" s="62"/>
      <c r="AW71" s="62"/>
      <c r="AX71" s="62"/>
      <c r="AY71" s="62"/>
      <c r="AZ71" s="62"/>
      <c r="BA71" s="62"/>
      <c r="BB71" s="62"/>
      <c r="BC71" s="62"/>
      <c r="BD71" s="62"/>
      <c r="BE71" s="62"/>
      <c r="BF71" s="62"/>
      <c r="BG71" s="62"/>
      <c r="BH71" s="62"/>
      <c r="BI71" s="62"/>
      <c r="BJ71" s="62"/>
      <c r="BK71" s="62"/>
      <c r="BL71" s="62"/>
      <c r="BM71" s="62"/>
      <c r="BN71" s="62"/>
      <c r="BO71" s="62"/>
      <c r="BP71" s="87">
        <f t="shared" si="192"/>
        <v>0</v>
      </c>
      <c r="BQ71" s="87">
        <v>46500</v>
      </c>
      <c r="BR71" s="87">
        <f t="shared" si="193"/>
        <v>0</v>
      </c>
      <c r="BS71" s="87">
        <f t="shared" si="194"/>
        <v>46500</v>
      </c>
      <c r="BT71" s="87">
        <f t="shared" si="195"/>
        <v>-46500</v>
      </c>
    </row>
    <row r="72" spans="2:72" x14ac:dyDescent="0.25">
      <c r="B72"/>
      <c r="C72"/>
      <c r="D72"/>
      <c r="E72"/>
      <c r="F72"/>
      <c r="G72"/>
      <c r="H72"/>
      <c r="R72"/>
      <c r="S72"/>
      <c r="T72"/>
      <c r="U72"/>
      <c r="V72"/>
      <c r="Z72" s="62"/>
      <c r="AA72" s="62"/>
      <c r="AC72" s="62"/>
      <c r="AG72" s="37"/>
      <c r="AH72" s="37"/>
      <c r="AN72" s="62"/>
      <c r="AO72" s="62"/>
      <c r="AS72" s="98"/>
      <c r="AT72" s="62"/>
      <c r="AU72" s="62"/>
      <c r="AV72" s="62"/>
      <c r="AW72" s="62"/>
      <c r="AX72" s="62"/>
      <c r="AY72" s="62"/>
      <c r="AZ72" s="62"/>
      <c r="BA72" s="62"/>
      <c r="BB72" s="62"/>
      <c r="BC72" s="62"/>
      <c r="BD72" s="62"/>
      <c r="BE72" s="62"/>
      <c r="BF72" s="62"/>
      <c r="BG72" s="62"/>
      <c r="BH72" s="62"/>
      <c r="BI72" s="62"/>
      <c r="BJ72" s="62"/>
      <c r="BK72" s="62"/>
      <c r="BL72" s="62"/>
      <c r="BM72" s="62"/>
      <c r="BN72" s="62"/>
      <c r="BO72" s="62"/>
      <c r="BP72" s="87">
        <f t="shared" si="192"/>
        <v>0</v>
      </c>
      <c r="BQ72" s="87">
        <v>46500</v>
      </c>
      <c r="BR72" s="87">
        <f t="shared" si="193"/>
        <v>0</v>
      </c>
      <c r="BS72" s="87">
        <f t="shared" si="194"/>
        <v>46500</v>
      </c>
      <c r="BT72" s="87">
        <f t="shared" si="195"/>
        <v>-46500</v>
      </c>
    </row>
    <row r="73" spans="2:72" x14ac:dyDescent="0.25">
      <c r="B73"/>
      <c r="C73"/>
      <c r="D73"/>
      <c r="E73"/>
      <c r="F73"/>
      <c r="G73"/>
      <c r="H73"/>
      <c r="R73"/>
      <c r="S73"/>
      <c r="T73"/>
      <c r="U73"/>
      <c r="V73"/>
      <c r="Z73" s="62"/>
      <c r="AA73" s="62"/>
      <c r="AC73" s="62"/>
      <c r="AG73" s="37"/>
      <c r="AH73" s="37"/>
      <c r="AN73" s="62"/>
      <c r="AO73" s="62"/>
      <c r="AS73" s="98"/>
      <c r="AT73" s="62"/>
      <c r="AU73" s="62"/>
      <c r="AV73" s="62"/>
      <c r="AW73" s="62"/>
      <c r="AX73" s="62"/>
      <c r="AY73" s="62"/>
      <c r="AZ73" s="62"/>
      <c r="BA73" s="62"/>
      <c r="BB73" s="62"/>
      <c r="BC73" s="62"/>
      <c r="BD73" s="62"/>
      <c r="BE73" s="62"/>
      <c r="BF73" s="62"/>
      <c r="BG73" s="62"/>
      <c r="BH73" s="62"/>
      <c r="BI73" s="62"/>
      <c r="BJ73" s="62"/>
      <c r="BK73" s="62"/>
      <c r="BL73" s="62"/>
      <c r="BM73" s="62"/>
      <c r="BN73" s="62"/>
      <c r="BO73" s="62"/>
      <c r="BP73" s="87">
        <f t="shared" si="192"/>
        <v>0</v>
      </c>
      <c r="BQ73" s="87">
        <v>46500</v>
      </c>
      <c r="BR73" s="87">
        <f t="shared" si="193"/>
        <v>0</v>
      </c>
      <c r="BS73" s="87">
        <f t="shared" si="194"/>
        <v>46500</v>
      </c>
      <c r="BT73" s="87">
        <f t="shared" si="195"/>
        <v>-46500</v>
      </c>
    </row>
    <row r="74" spans="2:72" x14ac:dyDescent="0.25">
      <c r="B74"/>
      <c r="C74"/>
      <c r="D74"/>
      <c r="E74"/>
      <c r="F74"/>
      <c r="G74"/>
      <c r="H74"/>
      <c r="R74"/>
      <c r="S74"/>
      <c r="T74"/>
      <c r="U74"/>
      <c r="V74"/>
      <c r="Z74" s="62"/>
      <c r="AA74" s="62"/>
      <c r="AC74" s="62"/>
      <c r="AG74" s="37"/>
      <c r="AH74" s="37"/>
      <c r="AN74" s="62"/>
      <c r="AO74" s="62"/>
      <c r="AS74" s="98"/>
      <c r="AT74" s="62"/>
      <c r="AU74" s="62"/>
      <c r="AV74" s="62"/>
      <c r="AW74" s="62"/>
      <c r="AX74" s="62"/>
      <c r="AY74" s="62"/>
      <c r="AZ74" s="62"/>
      <c r="BA74" s="62"/>
      <c r="BB74" s="62"/>
      <c r="BC74" s="62"/>
      <c r="BD74" s="62"/>
      <c r="BE74" s="62"/>
      <c r="BF74" s="62"/>
      <c r="BG74" s="62"/>
      <c r="BH74" s="62"/>
      <c r="BI74" s="62"/>
      <c r="BJ74" s="62"/>
      <c r="BK74" s="62"/>
      <c r="BL74" s="62"/>
      <c r="BM74" s="62"/>
      <c r="BN74" s="62"/>
      <c r="BO74" s="62"/>
      <c r="BP74" s="87">
        <f t="shared" si="192"/>
        <v>0</v>
      </c>
      <c r="BQ74" s="87">
        <v>46500</v>
      </c>
      <c r="BR74" s="87">
        <f t="shared" si="193"/>
        <v>0</v>
      </c>
      <c r="BS74" s="87">
        <f t="shared" si="194"/>
        <v>46500</v>
      </c>
      <c r="BT74" s="87">
        <f t="shared" si="195"/>
        <v>-46500</v>
      </c>
    </row>
    <row r="75" spans="2:72" x14ac:dyDescent="0.25">
      <c r="B75"/>
      <c r="C75"/>
      <c r="D75"/>
      <c r="E75"/>
      <c r="F75"/>
      <c r="G75"/>
      <c r="H75"/>
      <c r="R75"/>
      <c r="S75"/>
      <c r="T75"/>
      <c r="U75"/>
      <c r="V75"/>
      <c r="Z75" s="62"/>
      <c r="AA75" s="62"/>
      <c r="AC75" s="62"/>
      <c r="AG75" s="37"/>
      <c r="AH75" s="37"/>
      <c r="AN75" s="62"/>
      <c r="AO75" s="62"/>
      <c r="AS75" s="98"/>
      <c r="AT75" s="62"/>
      <c r="AU75" s="62"/>
      <c r="AV75" s="62"/>
      <c r="AW75" s="62"/>
      <c r="AX75" s="62"/>
      <c r="AY75" s="62"/>
      <c r="AZ75" s="62"/>
      <c r="BA75" s="62"/>
      <c r="BB75" s="62"/>
      <c r="BC75" s="62"/>
      <c r="BD75" s="62"/>
      <c r="BE75" s="62"/>
      <c r="BF75" s="62"/>
      <c r="BG75" s="62"/>
      <c r="BH75" s="62"/>
      <c r="BI75" s="62"/>
      <c r="BJ75" s="62"/>
      <c r="BK75" s="62"/>
      <c r="BL75" s="62"/>
      <c r="BM75" s="62"/>
      <c r="BN75" s="62"/>
      <c r="BO75" s="62"/>
      <c r="BP75" s="87">
        <f t="shared" si="192"/>
        <v>0</v>
      </c>
      <c r="BQ75" s="87">
        <v>46500</v>
      </c>
      <c r="BR75" s="87">
        <f t="shared" si="193"/>
        <v>0</v>
      </c>
      <c r="BS75" s="87">
        <f t="shared" si="194"/>
        <v>46500</v>
      </c>
      <c r="BT75" s="87">
        <f t="shared" si="195"/>
        <v>-46500</v>
      </c>
    </row>
    <row r="76" spans="2:72" x14ac:dyDescent="0.25">
      <c r="B76"/>
      <c r="C76"/>
      <c r="D76"/>
      <c r="E76"/>
      <c r="F76"/>
      <c r="G76"/>
      <c r="H76"/>
      <c r="R76"/>
      <c r="S76"/>
      <c r="T76"/>
      <c r="U76"/>
      <c r="V76"/>
      <c r="Z76" s="62"/>
      <c r="AA76" s="62"/>
      <c r="AC76" s="62"/>
      <c r="AG76" s="37"/>
      <c r="AH76" s="37"/>
      <c r="AN76" s="62"/>
      <c r="AO76" s="62"/>
      <c r="AS76" s="98"/>
      <c r="AT76" s="62"/>
      <c r="AU76" s="62"/>
      <c r="AV76" s="62"/>
      <c r="AW76" s="62"/>
      <c r="AX76" s="62"/>
      <c r="AY76" s="62"/>
      <c r="AZ76" s="62"/>
      <c r="BA76" s="62"/>
      <c r="BB76" s="62"/>
      <c r="BC76" s="62"/>
      <c r="BD76" s="62"/>
      <c r="BE76" s="62"/>
      <c r="BF76" s="62"/>
      <c r="BG76" s="62"/>
      <c r="BH76" s="62"/>
      <c r="BI76" s="62"/>
      <c r="BJ76" s="62"/>
      <c r="BK76" s="62"/>
      <c r="BL76" s="62"/>
      <c r="BM76" s="62"/>
      <c r="BN76" s="62"/>
      <c r="BO76" s="62"/>
      <c r="BP76" s="87">
        <f t="shared" si="192"/>
        <v>0</v>
      </c>
      <c r="BQ76" s="87">
        <v>46500</v>
      </c>
      <c r="BR76" s="87">
        <f t="shared" si="193"/>
        <v>0</v>
      </c>
      <c r="BS76" s="87">
        <f t="shared" si="194"/>
        <v>46500</v>
      </c>
      <c r="BT76" s="87">
        <f t="shared" si="195"/>
        <v>-46500</v>
      </c>
    </row>
    <row r="77" spans="2:72" x14ac:dyDescent="0.25">
      <c r="B77"/>
      <c r="C77"/>
      <c r="D77"/>
      <c r="E77"/>
      <c r="F77"/>
      <c r="G77"/>
      <c r="H77"/>
      <c r="R77"/>
      <c r="S77"/>
      <c r="T77"/>
      <c r="U77"/>
      <c r="V77"/>
      <c r="Z77" s="62"/>
      <c r="AA77" s="62"/>
      <c r="AC77" s="62"/>
      <c r="AG77" s="37"/>
      <c r="AH77" s="37"/>
      <c r="AN77" s="62"/>
      <c r="AO77" s="62"/>
      <c r="AS77" s="98"/>
      <c r="AT77" s="62"/>
      <c r="AU77" s="62"/>
      <c r="AV77" s="62"/>
      <c r="AW77" s="62"/>
      <c r="AX77" s="62"/>
      <c r="AY77" s="62"/>
      <c r="AZ77" s="62"/>
      <c r="BA77" s="62"/>
      <c r="BB77" s="62"/>
      <c r="BC77" s="62"/>
      <c r="BD77" s="62"/>
      <c r="BE77" s="62"/>
      <c r="BF77" s="62"/>
      <c r="BG77" s="62"/>
      <c r="BH77" s="62"/>
      <c r="BI77" s="62"/>
      <c r="BJ77" s="62"/>
      <c r="BK77" s="62"/>
      <c r="BL77" s="62"/>
      <c r="BM77" s="62"/>
      <c r="BN77" s="62"/>
      <c r="BO77" s="62"/>
      <c r="BP77" s="87">
        <f t="shared" si="192"/>
        <v>0</v>
      </c>
      <c r="BQ77" s="87">
        <v>46500</v>
      </c>
      <c r="BR77" s="87">
        <f t="shared" si="193"/>
        <v>0</v>
      </c>
      <c r="BS77" s="87">
        <f t="shared" si="194"/>
        <v>46500</v>
      </c>
      <c r="BT77" s="87">
        <f t="shared" si="195"/>
        <v>-46500</v>
      </c>
    </row>
    <row r="78" spans="2:72" x14ac:dyDescent="0.25">
      <c r="B78"/>
      <c r="C78"/>
      <c r="D78"/>
      <c r="E78"/>
      <c r="F78"/>
      <c r="G78"/>
      <c r="H78"/>
      <c r="R78"/>
      <c r="S78"/>
      <c r="T78"/>
      <c r="U78"/>
      <c r="V78"/>
      <c r="Z78" s="62"/>
      <c r="AA78" s="62"/>
      <c r="AC78" s="62"/>
      <c r="AG78" s="37"/>
      <c r="AH78" s="37"/>
      <c r="AN78" s="62"/>
      <c r="AO78" s="62"/>
      <c r="AS78" s="98"/>
      <c r="AT78" s="62"/>
      <c r="AU78" s="62"/>
      <c r="AV78" s="62"/>
      <c r="AW78" s="62"/>
      <c r="AX78" s="62"/>
      <c r="AY78" s="62"/>
      <c r="AZ78" s="62"/>
      <c r="BA78" s="62"/>
      <c r="BB78" s="62"/>
      <c r="BC78" s="62"/>
      <c r="BD78" s="62"/>
      <c r="BE78" s="62"/>
      <c r="BF78" s="62"/>
      <c r="BG78" s="62"/>
      <c r="BH78" s="62"/>
      <c r="BI78" s="62"/>
      <c r="BJ78" s="62"/>
      <c r="BK78" s="62"/>
      <c r="BL78" s="62"/>
      <c r="BM78" s="62"/>
      <c r="BN78" s="62"/>
      <c r="BO78" s="62"/>
      <c r="BP78" s="87">
        <f t="shared" si="192"/>
        <v>0</v>
      </c>
      <c r="BQ78" s="87">
        <v>46500</v>
      </c>
      <c r="BR78" s="87">
        <f t="shared" si="193"/>
        <v>0</v>
      </c>
      <c r="BS78" s="87">
        <f t="shared" si="194"/>
        <v>46500</v>
      </c>
      <c r="BT78" s="87">
        <f t="shared" si="195"/>
        <v>-46500</v>
      </c>
    </row>
    <row r="79" spans="2:72" x14ac:dyDescent="0.25">
      <c r="B79"/>
      <c r="C79"/>
      <c r="D79"/>
      <c r="E79"/>
      <c r="F79"/>
      <c r="G79"/>
      <c r="H79"/>
      <c r="R79"/>
      <c r="S79"/>
      <c r="T79"/>
      <c r="U79"/>
      <c r="V79"/>
      <c r="Z79" s="62"/>
      <c r="AA79" s="62"/>
      <c r="AC79" s="62"/>
      <c r="AG79" s="37"/>
      <c r="AH79" s="37"/>
      <c r="AN79" s="62"/>
      <c r="AO79" s="62"/>
      <c r="AS79" s="98"/>
      <c r="AT79" s="62"/>
      <c r="AU79" s="62"/>
      <c r="AV79" s="62"/>
      <c r="AW79" s="62"/>
      <c r="AX79" s="62"/>
      <c r="AY79" s="62"/>
      <c r="AZ79" s="62"/>
      <c r="BA79" s="62"/>
      <c r="BB79" s="62"/>
      <c r="BC79" s="62"/>
      <c r="BD79" s="62"/>
      <c r="BE79" s="62"/>
      <c r="BF79" s="62"/>
      <c r="BG79" s="62"/>
      <c r="BH79" s="62"/>
      <c r="BI79" s="62"/>
      <c r="BJ79" s="62"/>
      <c r="BK79" s="62"/>
      <c r="BL79" s="62"/>
      <c r="BM79" s="62"/>
      <c r="BN79" s="62"/>
      <c r="BO79" s="62"/>
      <c r="BP79" s="87">
        <f t="shared" si="192"/>
        <v>0</v>
      </c>
      <c r="BQ79" s="87">
        <v>46500</v>
      </c>
      <c r="BR79" s="87">
        <f t="shared" si="193"/>
        <v>0</v>
      </c>
      <c r="BS79" s="87">
        <f t="shared" si="194"/>
        <v>46500</v>
      </c>
      <c r="BT79" s="87">
        <f t="shared" si="195"/>
        <v>-46500</v>
      </c>
    </row>
    <row r="80" spans="2:72" x14ac:dyDescent="0.25">
      <c r="B80"/>
      <c r="C80"/>
      <c r="D80"/>
      <c r="E80"/>
      <c r="F80"/>
      <c r="G80"/>
      <c r="H80"/>
      <c r="R80"/>
      <c r="S80"/>
      <c r="T80"/>
      <c r="U80"/>
      <c r="V80"/>
      <c r="Z80" s="62"/>
      <c r="AA80" s="62"/>
      <c r="AC80" s="62"/>
      <c r="AG80" s="37"/>
      <c r="AH80" s="37"/>
      <c r="AN80" s="62"/>
      <c r="AO80" s="62"/>
      <c r="AS80" s="98"/>
      <c r="AT80" s="62"/>
      <c r="AU80" s="62"/>
      <c r="AV80" s="62"/>
      <c r="AW80" s="62"/>
      <c r="AX80" s="62"/>
      <c r="AY80" s="62"/>
      <c r="AZ80" s="62"/>
      <c r="BA80" s="62"/>
      <c r="BB80" s="62"/>
      <c r="BC80" s="62"/>
      <c r="BD80" s="62"/>
      <c r="BE80" s="62"/>
      <c r="BF80" s="62"/>
      <c r="BG80" s="62"/>
      <c r="BH80" s="62"/>
      <c r="BI80" s="62"/>
      <c r="BJ80" s="62"/>
      <c r="BK80" s="62"/>
      <c r="BL80" s="62"/>
      <c r="BM80" s="62"/>
      <c r="BN80" s="62"/>
      <c r="BO80" s="62"/>
      <c r="BP80" s="87">
        <f t="shared" si="192"/>
        <v>0</v>
      </c>
      <c r="BQ80" s="87">
        <v>46500</v>
      </c>
      <c r="BR80" s="87">
        <f t="shared" si="193"/>
        <v>0</v>
      </c>
      <c r="BS80" s="87">
        <f t="shared" si="194"/>
        <v>46500</v>
      </c>
      <c r="BT80" s="87">
        <f t="shared" si="195"/>
        <v>-46500</v>
      </c>
    </row>
    <row r="81" spans="1:72" x14ac:dyDescent="0.25">
      <c r="B81"/>
      <c r="C81"/>
      <c r="D81"/>
      <c r="E81"/>
      <c r="F81"/>
      <c r="G81"/>
      <c r="H81"/>
      <c r="R81"/>
      <c r="S81"/>
      <c r="T81"/>
      <c r="U81"/>
      <c r="V81"/>
      <c r="Z81" s="62"/>
      <c r="AA81" s="62"/>
      <c r="AC81" s="62"/>
      <c r="AG81" s="37"/>
      <c r="AH81" s="37"/>
      <c r="AN81" s="62"/>
      <c r="AO81" s="62"/>
      <c r="AS81" s="98"/>
      <c r="AT81" s="62"/>
      <c r="AU81" s="62"/>
      <c r="AV81" s="62"/>
      <c r="AW81" s="62"/>
      <c r="AX81" s="62"/>
      <c r="AY81" s="62"/>
      <c r="AZ81" s="62"/>
      <c r="BA81" s="62"/>
      <c r="BB81" s="62"/>
      <c r="BC81" s="62"/>
      <c r="BD81" s="62"/>
      <c r="BE81" s="62"/>
      <c r="BF81" s="62"/>
      <c r="BG81" s="62"/>
      <c r="BH81" s="62"/>
      <c r="BI81" s="62"/>
      <c r="BJ81" s="62"/>
      <c r="BK81" s="62"/>
      <c r="BL81" s="62"/>
      <c r="BM81" s="62"/>
      <c r="BN81" s="62"/>
      <c r="BO81" s="62"/>
      <c r="BP81" s="87">
        <f t="shared" si="192"/>
        <v>0</v>
      </c>
      <c r="BQ81" s="87">
        <v>46500</v>
      </c>
      <c r="BR81" s="87">
        <f t="shared" si="193"/>
        <v>0</v>
      </c>
      <c r="BS81" s="87">
        <f t="shared" si="194"/>
        <v>46500</v>
      </c>
      <c r="BT81" s="87">
        <f t="shared" si="195"/>
        <v>-46500</v>
      </c>
    </row>
    <row r="82" spans="1:72" x14ac:dyDescent="0.25">
      <c r="B82"/>
      <c r="C82"/>
      <c r="D82"/>
      <c r="E82"/>
      <c r="F82"/>
      <c r="G82"/>
      <c r="H82"/>
      <c r="R82"/>
      <c r="S82"/>
      <c r="T82"/>
      <c r="U82"/>
      <c r="V82"/>
      <c r="BP82" s="88">
        <f>SUM(BP56:BP81)</f>
        <v>48008.700000000019</v>
      </c>
      <c r="BQ82" s="88">
        <f t="shared" ref="BQ82:BT82" si="196">SUM(BQ56:BQ81)</f>
        <v>1209000</v>
      </c>
      <c r="BR82" s="88">
        <f>SUM(BR56:BR81)</f>
        <v>0</v>
      </c>
      <c r="BS82" s="88">
        <f>SUM(BS56:BS81)</f>
        <v>1209000</v>
      </c>
      <c r="BT82" s="88">
        <f t="shared" si="196"/>
        <v>-1160991.3</v>
      </c>
    </row>
    <row r="83" spans="1:72" x14ac:dyDescent="0.25">
      <c r="BP83" s="78"/>
      <c r="BQ83" s="78"/>
      <c r="BR83" s="78"/>
      <c r="BS83" s="78"/>
      <c r="BT83" s="78"/>
    </row>
    <row r="84" spans="1:72" x14ac:dyDescent="0.25">
      <c r="A84" s="54" t="s">
        <v>6</v>
      </c>
      <c r="B84" t="s">
        <v>7</v>
      </c>
      <c r="O84" s="54" t="s">
        <v>6</v>
      </c>
      <c r="P84" t="s">
        <v>8</v>
      </c>
      <c r="BP84" s="78"/>
      <c r="BQ84" s="78"/>
      <c r="BR84" s="78"/>
      <c r="BS84" s="78"/>
      <c r="BT84" s="78"/>
    </row>
    <row r="85" spans="1:72" ht="16.5" thickBot="1" x14ac:dyDescent="0.3">
      <c r="BP85" s="78"/>
      <c r="BQ85" s="78"/>
      <c r="BR85" s="78"/>
      <c r="BS85" s="78"/>
      <c r="BT85" s="78"/>
    </row>
    <row r="86" spans="1:72" x14ac:dyDescent="0.25">
      <c r="A86" s="54" t="s">
        <v>28</v>
      </c>
      <c r="B86" s="54" t="s">
        <v>108</v>
      </c>
      <c r="C86" s="54" t="s">
        <v>11</v>
      </c>
      <c r="D86" s="54" t="s">
        <v>4</v>
      </c>
      <c r="E86" s="54" t="s">
        <v>20</v>
      </c>
      <c r="F86" t="s">
        <v>230</v>
      </c>
      <c r="G86" s="15" t="s">
        <v>106</v>
      </c>
      <c r="H86" s="15" t="s">
        <v>110</v>
      </c>
      <c r="I86" t="s">
        <v>170</v>
      </c>
      <c r="J86" s="15" t="s">
        <v>101</v>
      </c>
      <c r="K86" t="s">
        <v>63</v>
      </c>
      <c r="O86" s="54" t="s">
        <v>28</v>
      </c>
      <c r="P86" s="54" t="s">
        <v>108</v>
      </c>
      <c r="Q86" s="54" t="s">
        <v>11</v>
      </c>
      <c r="R86" s="54" t="s">
        <v>4</v>
      </c>
      <c r="S86" s="54" t="s">
        <v>20</v>
      </c>
      <c r="T86" t="s">
        <v>229</v>
      </c>
      <c r="U86" s="15" t="s">
        <v>106</v>
      </c>
      <c r="V86" s="15" t="s">
        <v>110</v>
      </c>
      <c r="W86" t="s">
        <v>170</v>
      </c>
      <c r="X86" s="15" t="s">
        <v>101</v>
      </c>
      <c r="Y86" t="s">
        <v>63</v>
      </c>
      <c r="Z86" s="15"/>
      <c r="AA86" s="15"/>
      <c r="AC86" s="15"/>
      <c r="AG86" s="15"/>
      <c r="AH86" s="15"/>
      <c r="AJ86" s="15"/>
      <c r="AN86" s="15"/>
      <c r="AO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85" t="s">
        <v>123</v>
      </c>
      <c r="BQ86" s="85" t="s">
        <v>173</v>
      </c>
      <c r="BR86" s="85" t="s">
        <v>96</v>
      </c>
      <c r="BS86" s="85" t="s">
        <v>171</v>
      </c>
      <c r="BT86" s="85" t="s">
        <v>174</v>
      </c>
    </row>
    <row r="87" spans="1:72" x14ac:dyDescent="0.25">
      <c r="A87" t="s">
        <v>146</v>
      </c>
      <c r="B87" t="s">
        <v>212</v>
      </c>
      <c r="C87" t="s">
        <v>23</v>
      </c>
      <c r="D87" s="60">
        <v>45765</v>
      </c>
      <c r="E87" t="s">
        <v>159</v>
      </c>
      <c r="F87" s="387">
        <v>186</v>
      </c>
      <c r="G87" s="23">
        <v>88</v>
      </c>
      <c r="H87" s="388">
        <v>98</v>
      </c>
      <c r="I87" s="29">
        <v>0.4731182795698925</v>
      </c>
      <c r="J87" s="37">
        <v>24004.350000000009</v>
      </c>
      <c r="K87" s="9">
        <v>0</v>
      </c>
      <c r="O87" t="s">
        <v>5</v>
      </c>
      <c r="R87"/>
      <c r="S87"/>
      <c r="T87" s="387"/>
      <c r="U87" s="23"/>
      <c r="V87" s="388"/>
      <c r="W87" s="29" t="e">
        <v>#DIV/0!</v>
      </c>
      <c r="X87" s="37"/>
      <c r="Y87" s="9"/>
      <c r="Z87" s="62"/>
      <c r="AA87" s="62"/>
      <c r="AC87" s="62"/>
      <c r="AN87" s="62"/>
      <c r="AO87" s="62"/>
      <c r="AS87" s="98"/>
      <c r="AT87" s="62"/>
      <c r="AU87" s="62"/>
      <c r="AV87" s="62"/>
      <c r="AW87" s="62"/>
      <c r="AX87" s="62"/>
      <c r="AY87" s="62"/>
      <c r="AZ87" s="62"/>
      <c r="BA87" s="62"/>
      <c r="BB87" s="62"/>
      <c r="BC87" s="62"/>
      <c r="BD87" s="62"/>
      <c r="BE87" s="62"/>
      <c r="BF87" s="62"/>
      <c r="BG87" s="62"/>
      <c r="BH87" s="62"/>
      <c r="BI87" s="62"/>
      <c r="BJ87" s="62"/>
      <c r="BK87" s="62"/>
      <c r="BL87" s="62"/>
      <c r="BM87" s="62"/>
      <c r="BN87" s="62"/>
      <c r="BO87" s="62"/>
      <c r="BP87" s="87">
        <f t="shared" ref="BP87:BP93" si="197">IF(ISNUMBER(J87), IF(ISNUMBER(X87), J87 + X87, J87), IF(ISNUMBER(X87), X87,0))</f>
        <v>24004.350000000009</v>
      </c>
      <c r="BQ87" s="87">
        <v>57000</v>
      </c>
      <c r="BR87" s="87">
        <f t="shared" ref="BR87:BR93" si="198">L87+Y87</f>
        <v>0</v>
      </c>
      <c r="BS87" s="87">
        <f t="shared" ref="BS87:BS93" si="199">BQ87+BR87</f>
        <v>57000</v>
      </c>
      <c r="BT87" s="87">
        <f t="shared" ref="BT87:BT93" si="200">BP87-BS87</f>
        <v>-32995.649999999994</v>
      </c>
    </row>
    <row r="88" spans="1:72" x14ac:dyDescent="0.25">
      <c r="A88" t="s">
        <v>5</v>
      </c>
      <c r="B88"/>
      <c r="C88"/>
      <c r="D88"/>
      <c r="E88"/>
      <c r="F88" s="387">
        <v>186</v>
      </c>
      <c r="G88" s="23">
        <v>88</v>
      </c>
      <c r="H88" s="388">
        <v>98</v>
      </c>
      <c r="I88" s="29">
        <v>0.4731182795698925</v>
      </c>
      <c r="J88" s="37">
        <v>24004.350000000009</v>
      </c>
      <c r="K88" s="9">
        <v>0</v>
      </c>
      <c r="R88"/>
      <c r="S88"/>
      <c r="T88"/>
      <c r="U88"/>
      <c r="V88"/>
      <c r="Z88" s="62"/>
      <c r="AA88" s="62"/>
      <c r="AC88" s="62"/>
      <c r="AN88" s="62"/>
      <c r="AO88" s="62"/>
      <c r="AS88" s="98"/>
      <c r="AT88" s="62"/>
      <c r="AU88" s="62"/>
      <c r="AV88" s="62"/>
      <c r="AW88" s="62"/>
      <c r="AX88" s="62"/>
      <c r="AY88" s="62"/>
      <c r="AZ88" s="62"/>
      <c r="BA88" s="62"/>
      <c r="BB88" s="62"/>
      <c r="BC88" s="62"/>
      <c r="BD88" s="62"/>
      <c r="BE88" s="62"/>
      <c r="BF88" s="62"/>
      <c r="BG88" s="62"/>
      <c r="BH88" s="62"/>
      <c r="BI88" s="62"/>
      <c r="BJ88" s="62"/>
      <c r="BK88" s="62"/>
      <c r="BL88" s="62"/>
      <c r="BM88" s="62"/>
      <c r="BN88" s="62"/>
      <c r="BO88" s="62"/>
      <c r="BP88" s="87">
        <f t="shared" si="197"/>
        <v>24004.350000000009</v>
      </c>
      <c r="BQ88" s="87">
        <v>57000</v>
      </c>
      <c r="BR88" s="87">
        <f t="shared" si="198"/>
        <v>0</v>
      </c>
      <c r="BS88" s="87">
        <f t="shared" si="199"/>
        <v>57000</v>
      </c>
      <c r="BT88" s="87">
        <f t="shared" si="200"/>
        <v>-32995.649999999994</v>
      </c>
    </row>
    <row r="89" spans="1:72" x14ac:dyDescent="0.25">
      <c r="B89"/>
      <c r="C89"/>
      <c r="D89"/>
      <c r="E89"/>
      <c r="F89"/>
      <c r="G89"/>
      <c r="H89"/>
      <c r="R89"/>
      <c r="S89"/>
      <c r="T89"/>
      <c r="U89"/>
      <c r="V89"/>
      <c r="Z89" s="62"/>
      <c r="AA89" s="62"/>
      <c r="AC89" s="62"/>
      <c r="AN89" s="62"/>
      <c r="AO89" s="62"/>
      <c r="AS89" s="98"/>
      <c r="AT89" s="62"/>
      <c r="AU89" s="62"/>
      <c r="AV89" s="62"/>
      <c r="AW89" s="62"/>
      <c r="AX89" s="62"/>
      <c r="AY89" s="62"/>
      <c r="AZ89" s="62"/>
      <c r="BA89" s="62"/>
      <c r="BB89" s="62"/>
      <c r="BC89" s="62"/>
      <c r="BD89" s="62"/>
      <c r="BE89" s="62"/>
      <c r="BF89" s="62"/>
      <c r="BG89" s="62"/>
      <c r="BH89" s="62"/>
      <c r="BI89" s="62"/>
      <c r="BJ89" s="62"/>
      <c r="BK89" s="62"/>
      <c r="BL89" s="62"/>
      <c r="BM89" s="62"/>
      <c r="BN89" s="62"/>
      <c r="BO89" s="62"/>
      <c r="BP89" s="87">
        <f t="shared" si="197"/>
        <v>0</v>
      </c>
      <c r="BQ89" s="87">
        <v>57000</v>
      </c>
      <c r="BR89" s="87">
        <f t="shared" si="198"/>
        <v>0</v>
      </c>
      <c r="BS89" s="87">
        <f t="shared" si="199"/>
        <v>57000</v>
      </c>
      <c r="BT89" s="87">
        <f t="shared" si="200"/>
        <v>-57000</v>
      </c>
    </row>
    <row r="90" spans="1:72" x14ac:dyDescent="0.25">
      <c r="B90"/>
      <c r="C90"/>
      <c r="D90"/>
      <c r="E90"/>
      <c r="F90"/>
      <c r="G90"/>
      <c r="H90"/>
      <c r="R90"/>
      <c r="S90"/>
      <c r="T90"/>
      <c r="U90"/>
      <c r="V90"/>
      <c r="Z90" s="62"/>
      <c r="AA90" s="62"/>
      <c r="AC90" s="62"/>
      <c r="AN90" s="62"/>
      <c r="AO90" s="62"/>
      <c r="AS90" s="98"/>
      <c r="AT90" s="62"/>
      <c r="AU90" s="62"/>
      <c r="AV90" s="62"/>
      <c r="AW90" s="62"/>
      <c r="AX90" s="62"/>
      <c r="AY90" s="62"/>
      <c r="AZ90" s="62"/>
      <c r="BA90" s="62"/>
      <c r="BB90" s="62"/>
      <c r="BC90" s="62"/>
      <c r="BD90" s="62"/>
      <c r="BE90" s="62"/>
      <c r="BF90" s="62"/>
      <c r="BG90" s="62"/>
      <c r="BH90" s="62"/>
      <c r="BI90" s="62"/>
      <c r="BJ90" s="62"/>
      <c r="BK90" s="62"/>
      <c r="BL90" s="62"/>
      <c r="BM90" s="62"/>
      <c r="BN90" s="62"/>
      <c r="BO90" s="62"/>
      <c r="BP90" s="87">
        <f t="shared" si="197"/>
        <v>0</v>
      </c>
      <c r="BQ90" s="87">
        <v>57000</v>
      </c>
      <c r="BR90" s="87">
        <f t="shared" si="198"/>
        <v>0</v>
      </c>
      <c r="BS90" s="87">
        <f t="shared" si="199"/>
        <v>57000</v>
      </c>
      <c r="BT90" s="87">
        <f t="shared" si="200"/>
        <v>-57000</v>
      </c>
    </row>
    <row r="91" spans="1:72" x14ac:dyDescent="0.25">
      <c r="B91"/>
      <c r="C91"/>
      <c r="D91"/>
      <c r="E91"/>
      <c r="F91"/>
      <c r="G91"/>
      <c r="H91"/>
      <c r="R91"/>
      <c r="S91"/>
      <c r="T91"/>
      <c r="U91"/>
      <c r="V91"/>
      <c r="Z91" s="62"/>
      <c r="AA91" s="62"/>
      <c r="AC91" s="62"/>
      <c r="AN91" s="62"/>
      <c r="AO91" s="62"/>
      <c r="AS91" s="98"/>
      <c r="AT91" s="62"/>
      <c r="AU91" s="62"/>
      <c r="AV91" s="62"/>
      <c r="AW91" s="62"/>
      <c r="AX91" s="62"/>
      <c r="AY91" s="62"/>
      <c r="AZ91" s="62"/>
      <c r="BA91" s="62"/>
      <c r="BB91" s="62"/>
      <c r="BC91" s="62"/>
      <c r="BD91" s="62"/>
      <c r="BE91" s="62"/>
      <c r="BF91" s="62"/>
      <c r="BG91" s="62"/>
      <c r="BH91" s="62"/>
      <c r="BI91" s="62"/>
      <c r="BJ91" s="62"/>
      <c r="BK91" s="62"/>
      <c r="BL91" s="62"/>
      <c r="BM91" s="62"/>
      <c r="BN91" s="62"/>
      <c r="BO91" s="62"/>
      <c r="BP91" s="87">
        <f t="shared" si="197"/>
        <v>0</v>
      </c>
      <c r="BQ91" s="87">
        <v>57000</v>
      </c>
      <c r="BR91" s="87">
        <f t="shared" si="198"/>
        <v>0</v>
      </c>
      <c r="BS91" s="87">
        <f t="shared" si="199"/>
        <v>57000</v>
      </c>
      <c r="BT91" s="87">
        <f t="shared" si="200"/>
        <v>-57000</v>
      </c>
    </row>
    <row r="92" spans="1:72" x14ac:dyDescent="0.25">
      <c r="B92"/>
      <c r="C92"/>
      <c r="D92"/>
      <c r="E92"/>
      <c r="F92"/>
      <c r="G92"/>
      <c r="H92"/>
      <c r="R92"/>
      <c r="S92"/>
      <c r="T92"/>
      <c r="U92"/>
      <c r="V92"/>
      <c r="Z92" s="62"/>
      <c r="AA92" s="62"/>
      <c r="AC92" s="62"/>
      <c r="AN92" s="62"/>
      <c r="AO92" s="62"/>
      <c r="AS92" s="98"/>
      <c r="AT92" s="62"/>
      <c r="AU92" s="62"/>
      <c r="AV92" s="62"/>
      <c r="AW92" s="62"/>
      <c r="AX92" s="62"/>
      <c r="AY92" s="62"/>
      <c r="AZ92" s="62"/>
      <c r="BA92" s="62"/>
      <c r="BB92" s="62"/>
      <c r="BC92" s="62"/>
      <c r="BD92" s="62"/>
      <c r="BE92" s="62"/>
      <c r="BF92" s="62"/>
      <c r="BG92" s="62"/>
      <c r="BH92" s="62"/>
      <c r="BI92" s="62"/>
      <c r="BJ92" s="62"/>
      <c r="BK92" s="62"/>
      <c r="BL92" s="62"/>
      <c r="BM92" s="62"/>
      <c r="BN92" s="62"/>
      <c r="BO92" s="62"/>
      <c r="BP92" s="87">
        <f t="shared" si="197"/>
        <v>0</v>
      </c>
      <c r="BQ92" s="87">
        <v>57000</v>
      </c>
      <c r="BR92" s="87">
        <f t="shared" si="198"/>
        <v>0</v>
      </c>
      <c r="BS92" s="87">
        <f t="shared" si="199"/>
        <v>57000</v>
      </c>
      <c r="BT92" s="87">
        <f t="shared" si="200"/>
        <v>-57000</v>
      </c>
    </row>
    <row r="93" spans="1:72" x14ac:dyDescent="0.25">
      <c r="B93"/>
      <c r="C93"/>
      <c r="D93"/>
      <c r="E93"/>
      <c r="F93"/>
      <c r="G93"/>
      <c r="H93"/>
      <c r="R93"/>
      <c r="S93"/>
      <c r="T93"/>
      <c r="U93"/>
      <c r="V93"/>
      <c r="Z93" s="62"/>
      <c r="AA93" s="62"/>
      <c r="AC93" s="62"/>
      <c r="AN93" s="62"/>
      <c r="AO93" s="62"/>
      <c r="AS93" s="98"/>
      <c r="AT93" s="62"/>
      <c r="AU93" s="62"/>
      <c r="AV93" s="62"/>
      <c r="AW93" s="62"/>
      <c r="AX93" s="62"/>
      <c r="AY93" s="62"/>
      <c r="AZ93" s="62"/>
      <c r="BA93" s="62"/>
      <c r="BB93" s="62"/>
      <c r="BC93" s="62"/>
      <c r="BD93" s="62"/>
      <c r="BE93" s="62"/>
      <c r="BF93" s="62"/>
      <c r="BG93" s="62"/>
      <c r="BH93" s="62"/>
      <c r="BI93" s="62"/>
      <c r="BJ93" s="62"/>
      <c r="BK93" s="62"/>
      <c r="BL93" s="62"/>
      <c r="BM93" s="62"/>
      <c r="BN93" s="62"/>
      <c r="BO93" s="62"/>
      <c r="BP93" s="87">
        <f t="shared" si="197"/>
        <v>0</v>
      </c>
      <c r="BQ93" s="87">
        <v>57000</v>
      </c>
      <c r="BR93" s="87">
        <f t="shared" si="198"/>
        <v>0</v>
      </c>
      <c r="BS93" s="87">
        <f t="shared" si="199"/>
        <v>57000</v>
      </c>
      <c r="BT93" s="87">
        <f t="shared" si="200"/>
        <v>-57000</v>
      </c>
    </row>
    <row r="94" spans="1:72" x14ac:dyDescent="0.25">
      <c r="B94"/>
      <c r="C94"/>
      <c r="D94"/>
      <c r="E94"/>
      <c r="F94"/>
      <c r="G94"/>
      <c r="H94"/>
      <c r="R94"/>
      <c r="S94"/>
      <c r="T94"/>
      <c r="U94"/>
      <c r="V94"/>
      <c r="BP94" s="88">
        <f>SUM(BP87:BP93)</f>
        <v>48008.700000000019</v>
      </c>
      <c r="BQ94" s="88">
        <f>SUM(BQ87:BQ93)</f>
        <v>399000</v>
      </c>
      <c r="BR94" s="88">
        <f>SUM(BR87:BR93)</f>
        <v>0</v>
      </c>
      <c r="BS94" s="88">
        <f>SUM(BS87:BS93)</f>
        <v>399000</v>
      </c>
      <c r="BT94" s="88">
        <f>SUM(BT87:BT93)</f>
        <v>-350991.3</v>
      </c>
    </row>
    <row r="96" spans="1:72" x14ac:dyDescent="0.25">
      <c r="A96" s="54" t="s">
        <v>6</v>
      </c>
      <c r="B96" t="s">
        <v>7</v>
      </c>
      <c r="O96" s="54" t="s">
        <v>6</v>
      </c>
      <c r="P96" t="s">
        <v>8</v>
      </c>
      <c r="BP96" s="78"/>
      <c r="BQ96" s="78"/>
      <c r="BR96" s="78"/>
      <c r="BS96" s="78"/>
      <c r="BT96" s="78"/>
    </row>
    <row r="97" spans="1:72" ht="16.5" thickBot="1" x14ac:dyDescent="0.3">
      <c r="BP97" s="78"/>
      <c r="BQ97" s="78"/>
      <c r="BR97" s="78"/>
      <c r="BS97" s="78"/>
      <c r="BT97" s="78"/>
    </row>
    <row r="98" spans="1:72" x14ac:dyDescent="0.25">
      <c r="A98" s="54" t="s">
        <v>28</v>
      </c>
      <c r="B98" s="54" t="s">
        <v>108</v>
      </c>
      <c r="C98" s="54" t="s">
        <v>11</v>
      </c>
      <c r="D98" s="54" t="s">
        <v>4</v>
      </c>
      <c r="E98" s="54" t="s">
        <v>20</v>
      </c>
      <c r="F98" t="s">
        <v>229</v>
      </c>
      <c r="G98" s="15" t="s">
        <v>106</v>
      </c>
      <c r="H98" s="15" t="s">
        <v>110</v>
      </c>
      <c r="I98" t="s">
        <v>170</v>
      </c>
      <c r="J98" s="15" t="s">
        <v>101</v>
      </c>
      <c r="K98" t="s">
        <v>63</v>
      </c>
      <c r="O98" s="54" t="s">
        <v>28</v>
      </c>
      <c r="P98" s="54" t="s">
        <v>108</v>
      </c>
      <c r="Q98" s="54" t="s">
        <v>11</v>
      </c>
      <c r="R98" s="54" t="s">
        <v>4</v>
      </c>
      <c r="S98" s="54" t="s">
        <v>20</v>
      </c>
      <c r="T98" t="s">
        <v>229</v>
      </c>
      <c r="U98" s="15" t="s">
        <v>106</v>
      </c>
      <c r="V98" s="15" t="s">
        <v>110</v>
      </c>
      <c r="W98" t="s">
        <v>170</v>
      </c>
      <c r="X98" s="15" t="s">
        <v>101</v>
      </c>
      <c r="Y98" t="s">
        <v>63</v>
      </c>
      <c r="Z98" s="15"/>
      <c r="AA98" s="15"/>
      <c r="AC98" s="15"/>
      <c r="AG98" s="15"/>
      <c r="AH98" s="15"/>
      <c r="AJ98" s="15"/>
      <c r="AN98" s="15"/>
      <c r="AO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85" t="s">
        <v>123</v>
      </c>
      <c r="BQ98" s="85" t="s">
        <v>173</v>
      </c>
      <c r="BR98" s="85" t="s">
        <v>96</v>
      </c>
      <c r="BS98" s="85" t="s">
        <v>171</v>
      </c>
      <c r="BT98" s="85" t="s">
        <v>174</v>
      </c>
    </row>
    <row r="99" spans="1:72" x14ac:dyDescent="0.25">
      <c r="A99" t="s">
        <v>146</v>
      </c>
      <c r="B99" t="s">
        <v>212</v>
      </c>
      <c r="C99" t="s">
        <v>23</v>
      </c>
      <c r="D99" s="60">
        <v>45765</v>
      </c>
      <c r="E99" t="s">
        <v>159</v>
      </c>
      <c r="F99" s="387">
        <v>186</v>
      </c>
      <c r="G99" s="23">
        <v>88</v>
      </c>
      <c r="H99" s="388">
        <v>98</v>
      </c>
      <c r="I99" s="29">
        <v>0.4731182795698925</v>
      </c>
      <c r="J99" s="37">
        <v>24004.350000000009</v>
      </c>
      <c r="K99" s="9">
        <v>0</v>
      </c>
      <c r="O99" t="s">
        <v>5</v>
      </c>
      <c r="R99"/>
      <c r="S99"/>
      <c r="T99" s="387"/>
      <c r="U99" s="23"/>
      <c r="V99" s="388"/>
      <c r="W99" s="29" t="e">
        <v>#DIV/0!</v>
      </c>
      <c r="X99" s="37"/>
      <c r="Y99" s="9"/>
      <c r="Z99" s="62"/>
      <c r="AA99" s="62"/>
      <c r="AC99" s="62"/>
      <c r="AN99" s="62"/>
      <c r="AO99" s="62"/>
      <c r="AS99" s="98"/>
      <c r="AT99" s="62"/>
      <c r="AU99" s="62"/>
      <c r="AV99" s="62"/>
      <c r="AW99" s="62"/>
      <c r="AX99" s="62"/>
      <c r="AY99" s="62"/>
      <c r="AZ99" s="62"/>
      <c r="BA99" s="62"/>
      <c r="BB99" s="62"/>
      <c r="BC99" s="62"/>
      <c r="BD99" s="62"/>
      <c r="BE99" s="62"/>
      <c r="BF99" s="62"/>
      <c r="BG99" s="62"/>
      <c r="BH99" s="62"/>
      <c r="BI99" s="62"/>
      <c r="BJ99" s="62"/>
      <c r="BK99" s="62"/>
      <c r="BL99" s="62"/>
      <c r="BM99" s="62"/>
      <c r="BN99" s="62"/>
      <c r="BO99" s="62"/>
      <c r="BP99" s="87">
        <f t="shared" ref="BP99:BP105" si="201">IF(ISNUMBER(J99), IF(ISNUMBER(X99), J99 + X99, J99), IF(ISNUMBER(X99), X99,0))</f>
        <v>24004.350000000009</v>
      </c>
      <c r="BQ99" s="87">
        <v>57000</v>
      </c>
      <c r="BR99" s="87">
        <f t="shared" ref="BR99:BR105" si="202">L99+Y99</f>
        <v>0</v>
      </c>
      <c r="BS99" s="87">
        <f t="shared" ref="BS99:BS105" si="203">BQ99+BR99</f>
        <v>57000</v>
      </c>
      <c r="BT99" s="87">
        <f t="shared" ref="BT99:BT105" si="204">BP99-BS99</f>
        <v>-32995.649999999994</v>
      </c>
    </row>
    <row r="100" spans="1:72" x14ac:dyDescent="0.25">
      <c r="A100" t="s">
        <v>5</v>
      </c>
      <c r="B100"/>
      <c r="C100"/>
      <c r="D100"/>
      <c r="E100"/>
      <c r="F100" s="387">
        <v>186</v>
      </c>
      <c r="G100" s="23">
        <v>88</v>
      </c>
      <c r="H100" s="388">
        <v>98</v>
      </c>
      <c r="I100" s="29">
        <v>0.4731182795698925</v>
      </c>
      <c r="J100" s="37">
        <v>24004.350000000009</v>
      </c>
      <c r="K100" s="9">
        <v>0</v>
      </c>
      <c r="R100"/>
      <c r="S100"/>
      <c r="T100"/>
      <c r="U100"/>
      <c r="V100"/>
      <c r="Z100" s="62"/>
      <c r="AA100" s="62"/>
      <c r="AC100" s="62"/>
      <c r="AN100" s="62"/>
      <c r="AO100" s="62"/>
      <c r="AS100" s="98"/>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87">
        <f t="shared" si="201"/>
        <v>24004.350000000009</v>
      </c>
      <c r="BQ100" s="87">
        <v>57000</v>
      </c>
      <c r="BR100" s="87">
        <f t="shared" si="202"/>
        <v>0</v>
      </c>
      <c r="BS100" s="87">
        <f t="shared" si="203"/>
        <v>57000</v>
      </c>
      <c r="BT100" s="87">
        <f t="shared" si="204"/>
        <v>-32995.649999999994</v>
      </c>
    </row>
    <row r="101" spans="1:72" x14ac:dyDescent="0.25">
      <c r="B101"/>
      <c r="C101"/>
      <c r="D101"/>
      <c r="E101"/>
      <c r="F101"/>
      <c r="G101"/>
      <c r="H101"/>
      <c r="R101"/>
      <c r="S101"/>
      <c r="T101"/>
      <c r="U101"/>
      <c r="V101"/>
      <c r="Z101" s="62"/>
      <c r="AA101" s="62"/>
      <c r="AC101" s="62"/>
      <c r="AN101" s="62"/>
      <c r="AO101" s="62"/>
      <c r="AS101" s="98"/>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87">
        <f t="shared" si="201"/>
        <v>0</v>
      </c>
      <c r="BQ101" s="87">
        <v>57000</v>
      </c>
      <c r="BR101" s="87">
        <f t="shared" si="202"/>
        <v>0</v>
      </c>
      <c r="BS101" s="87">
        <f t="shared" si="203"/>
        <v>57000</v>
      </c>
      <c r="BT101" s="87">
        <f t="shared" si="204"/>
        <v>-57000</v>
      </c>
    </row>
    <row r="102" spans="1:72" x14ac:dyDescent="0.25">
      <c r="B102"/>
      <c r="C102"/>
      <c r="D102"/>
      <c r="E102"/>
      <c r="F102"/>
      <c r="G102"/>
      <c r="H102"/>
      <c r="R102"/>
      <c r="S102"/>
      <c r="T102"/>
      <c r="U102"/>
      <c r="V102"/>
      <c r="Z102" s="62"/>
      <c r="AA102" s="62"/>
      <c r="AC102" s="62"/>
      <c r="AN102" s="62"/>
      <c r="AO102" s="62"/>
      <c r="AS102" s="98"/>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87">
        <f t="shared" si="201"/>
        <v>0</v>
      </c>
      <c r="BQ102" s="87">
        <v>57000</v>
      </c>
      <c r="BR102" s="87">
        <f t="shared" si="202"/>
        <v>0</v>
      </c>
      <c r="BS102" s="87">
        <f t="shared" si="203"/>
        <v>57000</v>
      </c>
      <c r="BT102" s="87">
        <f t="shared" si="204"/>
        <v>-57000</v>
      </c>
    </row>
    <row r="103" spans="1:72" x14ac:dyDescent="0.25">
      <c r="B103"/>
      <c r="C103"/>
      <c r="D103"/>
      <c r="E103"/>
      <c r="F103"/>
      <c r="G103"/>
      <c r="H103"/>
      <c r="R103"/>
      <c r="S103"/>
      <c r="T103"/>
      <c r="U103"/>
      <c r="V103"/>
      <c r="Z103" s="62"/>
      <c r="AA103" s="62"/>
      <c r="AC103" s="62"/>
      <c r="AN103" s="62"/>
      <c r="AO103" s="62"/>
      <c r="AS103" s="98"/>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87">
        <f t="shared" si="201"/>
        <v>0</v>
      </c>
      <c r="BQ103" s="87">
        <v>57000</v>
      </c>
      <c r="BR103" s="87">
        <f t="shared" si="202"/>
        <v>0</v>
      </c>
      <c r="BS103" s="87">
        <f t="shared" si="203"/>
        <v>57000</v>
      </c>
      <c r="BT103" s="87">
        <f t="shared" si="204"/>
        <v>-57000</v>
      </c>
    </row>
    <row r="104" spans="1:72" x14ac:dyDescent="0.25">
      <c r="B104"/>
      <c r="C104"/>
      <c r="D104"/>
      <c r="E104"/>
      <c r="F104"/>
      <c r="G104"/>
      <c r="H104"/>
      <c r="R104"/>
      <c r="S104"/>
      <c r="T104"/>
      <c r="U104"/>
      <c r="V104"/>
      <c r="Z104" s="62"/>
      <c r="AA104" s="62"/>
      <c r="AC104" s="62"/>
      <c r="AN104" s="62"/>
      <c r="AO104" s="62"/>
      <c r="AS104" s="98"/>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87">
        <f t="shared" si="201"/>
        <v>0</v>
      </c>
      <c r="BQ104" s="87">
        <v>57000</v>
      </c>
      <c r="BR104" s="87">
        <f t="shared" si="202"/>
        <v>0</v>
      </c>
      <c r="BS104" s="87">
        <f t="shared" si="203"/>
        <v>57000</v>
      </c>
      <c r="BT104" s="87">
        <f t="shared" si="204"/>
        <v>-57000</v>
      </c>
    </row>
    <row r="105" spans="1:72" x14ac:dyDescent="0.25">
      <c r="B105"/>
      <c r="C105"/>
      <c r="D105"/>
      <c r="E105"/>
      <c r="F105"/>
      <c r="G105"/>
      <c r="H105"/>
      <c r="R105"/>
      <c r="S105"/>
      <c r="T105"/>
      <c r="U105"/>
      <c r="V105"/>
      <c r="Z105" s="62"/>
      <c r="AA105" s="62"/>
      <c r="AC105" s="62"/>
      <c r="AN105" s="62"/>
      <c r="AO105" s="62"/>
      <c r="AS105" s="98"/>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87">
        <f t="shared" si="201"/>
        <v>0</v>
      </c>
      <c r="BQ105" s="87">
        <v>57000</v>
      </c>
      <c r="BR105" s="87">
        <f t="shared" si="202"/>
        <v>0</v>
      </c>
      <c r="BS105" s="87">
        <f t="shared" si="203"/>
        <v>57000</v>
      </c>
      <c r="BT105" s="87">
        <f t="shared" si="204"/>
        <v>-57000</v>
      </c>
    </row>
    <row r="106" spans="1:72" x14ac:dyDescent="0.25">
      <c r="B106"/>
      <c r="C106"/>
      <c r="F106"/>
      <c r="G106"/>
      <c r="H106"/>
      <c r="R106"/>
      <c r="S106"/>
      <c r="T106"/>
      <c r="U106"/>
      <c r="V106"/>
      <c r="BP106" s="88">
        <f>SUM(BP99:BP105)</f>
        <v>48008.700000000019</v>
      </c>
      <c r="BQ106" s="88">
        <f>SUM(BQ99:BQ105)</f>
        <v>399000</v>
      </c>
      <c r="BR106" s="88">
        <f>SUM(BR99:BR105)</f>
        <v>0</v>
      </c>
      <c r="BS106" s="88">
        <f>SUM(BS99:BS105)</f>
        <v>399000</v>
      </c>
      <c r="BT106" s="88">
        <f>SUM(BT99:BT105)</f>
        <v>-350991.3</v>
      </c>
    </row>
    <row r="108" spans="1:72" x14ac:dyDescent="0.25">
      <c r="A108" s="54" t="s">
        <v>6</v>
      </c>
      <c r="B108" t="s">
        <v>7</v>
      </c>
      <c r="O108" s="54" t="s">
        <v>6</v>
      </c>
      <c r="P108" t="s">
        <v>8</v>
      </c>
      <c r="BP108" s="78"/>
      <c r="BQ108" s="78"/>
      <c r="BR108" s="78"/>
      <c r="BS108" s="78"/>
      <c r="BT108" s="78"/>
    </row>
    <row r="109" spans="1:72" ht="16.5" thickBot="1" x14ac:dyDescent="0.3">
      <c r="BP109" s="78"/>
      <c r="BQ109" s="78"/>
      <c r="BR109" s="78"/>
      <c r="BS109" s="78"/>
      <c r="BT109" s="78"/>
    </row>
    <row r="110" spans="1:72" x14ac:dyDescent="0.25">
      <c r="A110" s="54" t="s">
        <v>28</v>
      </c>
      <c r="B110" s="54" t="s">
        <v>108</v>
      </c>
      <c r="C110" s="54" t="s">
        <v>11</v>
      </c>
      <c r="D110" s="54" t="s">
        <v>4</v>
      </c>
      <c r="E110" s="54" t="s">
        <v>20</v>
      </c>
      <c r="F110" t="s">
        <v>229</v>
      </c>
      <c r="G110" s="15" t="s">
        <v>106</v>
      </c>
      <c r="H110" s="15" t="s">
        <v>110</v>
      </c>
      <c r="I110" t="s">
        <v>170</v>
      </c>
      <c r="J110" s="15" t="s">
        <v>101</v>
      </c>
      <c r="K110" t="s">
        <v>63</v>
      </c>
      <c r="O110" s="54" t="s">
        <v>28</v>
      </c>
      <c r="P110" s="54" t="s">
        <v>108</v>
      </c>
      <c r="Q110" s="54" t="s">
        <v>11</v>
      </c>
      <c r="R110" s="54" t="s">
        <v>4</v>
      </c>
      <c r="S110" s="54" t="s">
        <v>20</v>
      </c>
      <c r="T110" t="s">
        <v>229</v>
      </c>
      <c r="U110" s="15" t="s">
        <v>106</v>
      </c>
      <c r="V110" s="15" t="s">
        <v>110</v>
      </c>
      <c r="W110" t="s">
        <v>170</v>
      </c>
      <c r="X110" s="15" t="s">
        <v>101</v>
      </c>
      <c r="Y110" t="s">
        <v>63</v>
      </c>
      <c r="Z110" s="15"/>
      <c r="AA110" s="15"/>
      <c r="AC110" s="15"/>
      <c r="AG110" s="15"/>
      <c r="AH110" s="15"/>
      <c r="AJ110" s="15"/>
      <c r="AN110" s="15"/>
      <c r="AO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85" t="s">
        <v>123</v>
      </c>
      <c r="BQ110" s="85" t="s">
        <v>173</v>
      </c>
      <c r="BR110" s="85" t="s">
        <v>96</v>
      </c>
      <c r="BS110" s="85" t="s">
        <v>171</v>
      </c>
      <c r="BT110" s="85" t="s">
        <v>174</v>
      </c>
    </row>
    <row r="111" spans="1:72" x14ac:dyDescent="0.25">
      <c r="A111" t="s">
        <v>146</v>
      </c>
      <c r="B111" t="s">
        <v>212</v>
      </c>
      <c r="C111" t="s">
        <v>23</v>
      </c>
      <c r="D111" s="60">
        <v>45765</v>
      </c>
      <c r="E111" t="s">
        <v>159</v>
      </c>
      <c r="F111" s="387">
        <v>186</v>
      </c>
      <c r="G111" s="23">
        <v>88</v>
      </c>
      <c r="H111" s="388">
        <v>98</v>
      </c>
      <c r="I111" s="29">
        <v>0.4731182795698925</v>
      </c>
      <c r="J111" s="37">
        <v>24004.350000000009</v>
      </c>
      <c r="K111" s="9">
        <v>0</v>
      </c>
      <c r="O111" t="s">
        <v>5</v>
      </c>
      <c r="R111"/>
      <c r="S111"/>
      <c r="T111" s="387"/>
      <c r="U111" s="23"/>
      <c r="V111" s="388"/>
      <c r="W111" s="29" t="e">
        <v>#DIV/0!</v>
      </c>
      <c r="X111" s="37"/>
      <c r="Y111" s="9"/>
      <c r="Z111" s="62"/>
      <c r="AA111" s="62"/>
      <c r="AC111" s="62"/>
      <c r="AN111" s="62"/>
      <c r="AO111" s="62"/>
      <c r="AS111" s="98"/>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87">
        <f t="shared" ref="BP111:BP117" si="205">IF(ISNUMBER(J111), IF(ISNUMBER(X111), J111 + X111, J111), IF(ISNUMBER(X111), X111,0))</f>
        <v>24004.350000000009</v>
      </c>
      <c r="BQ111" s="87">
        <v>46500</v>
      </c>
      <c r="BR111" s="87">
        <f t="shared" ref="BR111:BR117" si="206">L111+Y111</f>
        <v>0</v>
      </c>
      <c r="BS111" s="87">
        <f t="shared" ref="BS111:BS117" si="207">BQ111+BR111</f>
        <v>46500</v>
      </c>
      <c r="BT111" s="87">
        <f t="shared" ref="BT111:BT117" si="208">BP111-BS111</f>
        <v>-22495.649999999991</v>
      </c>
    </row>
    <row r="112" spans="1:72" x14ac:dyDescent="0.25">
      <c r="A112" t="s">
        <v>5</v>
      </c>
      <c r="B112"/>
      <c r="C112"/>
      <c r="D112"/>
      <c r="E112"/>
      <c r="F112" s="387">
        <v>186</v>
      </c>
      <c r="G112" s="23">
        <v>88</v>
      </c>
      <c r="H112" s="388">
        <v>98</v>
      </c>
      <c r="I112" s="29">
        <v>0.4731182795698925</v>
      </c>
      <c r="J112" s="37">
        <v>24004.350000000009</v>
      </c>
      <c r="K112" s="9">
        <v>0</v>
      </c>
      <c r="R112"/>
      <c r="S112"/>
      <c r="T112"/>
      <c r="U112"/>
      <c r="V112"/>
      <c r="Z112" s="62"/>
      <c r="AA112" s="62"/>
      <c r="AC112" s="62"/>
      <c r="AN112" s="62"/>
      <c r="AO112" s="62"/>
      <c r="AS112" s="98"/>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87">
        <f t="shared" si="205"/>
        <v>24004.350000000009</v>
      </c>
      <c r="BQ112" s="87">
        <v>46500</v>
      </c>
      <c r="BR112" s="87">
        <f t="shared" si="206"/>
        <v>0</v>
      </c>
      <c r="BS112" s="87">
        <f t="shared" si="207"/>
        <v>46500</v>
      </c>
      <c r="BT112" s="87">
        <f t="shared" si="208"/>
        <v>-22495.649999999991</v>
      </c>
    </row>
    <row r="113" spans="2:72" x14ac:dyDescent="0.25">
      <c r="B113"/>
      <c r="C113"/>
      <c r="D113"/>
      <c r="E113"/>
      <c r="F113"/>
      <c r="G113"/>
      <c r="H113"/>
      <c r="R113"/>
      <c r="S113"/>
      <c r="T113"/>
      <c r="U113"/>
      <c r="V113"/>
      <c r="Z113" s="62"/>
      <c r="AA113" s="62"/>
      <c r="AC113" s="62"/>
      <c r="AN113" s="62"/>
      <c r="AO113" s="62"/>
      <c r="AS113" s="98"/>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87">
        <f t="shared" si="205"/>
        <v>0</v>
      </c>
      <c r="BQ113" s="87">
        <v>46500</v>
      </c>
      <c r="BR113" s="87">
        <f t="shared" si="206"/>
        <v>0</v>
      </c>
      <c r="BS113" s="87">
        <f t="shared" si="207"/>
        <v>46500</v>
      </c>
      <c r="BT113" s="87">
        <f t="shared" si="208"/>
        <v>-46500</v>
      </c>
    </row>
    <row r="114" spans="2:72" x14ac:dyDescent="0.25">
      <c r="B114"/>
      <c r="C114"/>
      <c r="D114"/>
      <c r="E114"/>
      <c r="F114"/>
      <c r="G114"/>
      <c r="H114"/>
      <c r="R114"/>
      <c r="S114"/>
      <c r="T114"/>
      <c r="U114"/>
      <c r="V114"/>
      <c r="Z114" s="62"/>
      <c r="AA114" s="62"/>
      <c r="AC114" s="62"/>
      <c r="AN114" s="62"/>
      <c r="AO114" s="62"/>
      <c r="AS114" s="98"/>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87">
        <f t="shared" si="205"/>
        <v>0</v>
      </c>
      <c r="BQ114" s="87">
        <v>46500</v>
      </c>
      <c r="BR114" s="87">
        <f t="shared" si="206"/>
        <v>0</v>
      </c>
      <c r="BS114" s="87">
        <f t="shared" si="207"/>
        <v>46500</v>
      </c>
      <c r="BT114" s="87">
        <f t="shared" si="208"/>
        <v>-46500</v>
      </c>
    </row>
    <row r="115" spans="2:72" x14ac:dyDescent="0.25">
      <c r="B115"/>
      <c r="C115"/>
      <c r="D115"/>
      <c r="E115"/>
      <c r="F115"/>
      <c r="G115"/>
      <c r="H115"/>
      <c r="R115"/>
      <c r="S115"/>
      <c r="T115"/>
      <c r="U115"/>
      <c r="V115"/>
      <c r="Z115" s="62"/>
      <c r="AA115" s="62"/>
      <c r="AC115" s="62"/>
      <c r="AN115" s="62"/>
      <c r="AO115" s="62"/>
      <c r="AS115" s="98"/>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87">
        <f t="shared" si="205"/>
        <v>0</v>
      </c>
      <c r="BQ115" s="87">
        <v>46500</v>
      </c>
      <c r="BR115" s="87">
        <f t="shared" si="206"/>
        <v>0</v>
      </c>
      <c r="BS115" s="87">
        <f t="shared" si="207"/>
        <v>46500</v>
      </c>
      <c r="BT115" s="87">
        <f t="shared" si="208"/>
        <v>-46500</v>
      </c>
    </row>
    <row r="116" spans="2:72" x14ac:dyDescent="0.25">
      <c r="B116"/>
      <c r="C116"/>
      <c r="D116"/>
      <c r="E116"/>
      <c r="F116"/>
      <c r="G116"/>
      <c r="H116"/>
      <c r="R116"/>
      <c r="S116"/>
      <c r="T116"/>
      <c r="U116"/>
      <c r="V116"/>
      <c r="Z116" s="62"/>
      <c r="AA116" s="62"/>
      <c r="AC116" s="62"/>
      <c r="AN116" s="62"/>
      <c r="AO116" s="62"/>
      <c r="AS116" s="98"/>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87">
        <f t="shared" si="205"/>
        <v>0</v>
      </c>
      <c r="BQ116" s="87">
        <v>46500</v>
      </c>
      <c r="BR116" s="87">
        <f t="shared" si="206"/>
        <v>0</v>
      </c>
      <c r="BS116" s="87">
        <f t="shared" si="207"/>
        <v>46500</v>
      </c>
      <c r="BT116" s="87">
        <f t="shared" si="208"/>
        <v>-46500</v>
      </c>
    </row>
    <row r="117" spans="2:72" x14ac:dyDescent="0.25">
      <c r="B117"/>
      <c r="C117"/>
      <c r="D117"/>
      <c r="E117"/>
      <c r="F117"/>
      <c r="G117"/>
      <c r="H117"/>
      <c r="R117"/>
      <c r="S117"/>
      <c r="T117"/>
      <c r="U117"/>
      <c r="V117"/>
      <c r="Z117" s="62"/>
      <c r="AA117" s="62"/>
      <c r="AC117" s="62"/>
      <c r="AN117" s="62"/>
      <c r="AO117" s="62"/>
      <c r="AS117" s="98"/>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87">
        <f t="shared" si="205"/>
        <v>0</v>
      </c>
      <c r="BQ117" s="87">
        <v>46500</v>
      </c>
      <c r="BR117" s="87">
        <f t="shared" si="206"/>
        <v>0</v>
      </c>
      <c r="BS117" s="87">
        <f t="shared" si="207"/>
        <v>46500</v>
      </c>
      <c r="BT117" s="87">
        <f t="shared" si="208"/>
        <v>-46500</v>
      </c>
    </row>
    <row r="118" spans="2:72" x14ac:dyDescent="0.25">
      <c r="B118"/>
      <c r="C118"/>
      <c r="D118"/>
      <c r="E118"/>
      <c r="F118"/>
      <c r="G118"/>
      <c r="H118"/>
      <c r="R118"/>
      <c r="S118"/>
      <c r="T118"/>
      <c r="U118"/>
      <c r="V118"/>
      <c r="BP118" s="88">
        <f>SUM(BP111:BP117)</f>
        <v>48008.700000000019</v>
      </c>
      <c r="BQ118" s="88">
        <f>SUM(BQ111:BQ117)</f>
        <v>325500</v>
      </c>
      <c r="BR118" s="88">
        <f>SUM(BR111:BR117)</f>
        <v>0</v>
      </c>
      <c r="BS118" s="88">
        <f>SUM(BS111:BS117)</f>
        <v>325500</v>
      </c>
      <c r="BT118" s="88">
        <f>SUM(BT111:BT117)</f>
        <v>-277491.3</v>
      </c>
    </row>
    <row r="121" spans="2:72" ht="18.95" customHeight="1" x14ac:dyDescent="0.3">
      <c r="AB121" s="93"/>
      <c r="AC121" s="89" t="s">
        <v>122</v>
      </c>
      <c r="AD121" s="93"/>
      <c r="AE121" s="93"/>
      <c r="AF121" s="93"/>
      <c r="AG121" s="91"/>
      <c r="AH121" s="102"/>
      <c r="AI121" s="93"/>
      <c r="AJ121" s="91"/>
      <c r="AK121" s="93"/>
      <c r="AL121" s="93"/>
      <c r="AM121" s="93"/>
      <c r="AN121" s="89"/>
      <c r="AO121" s="106"/>
      <c r="AP121" s="93"/>
      <c r="AQ121" s="93"/>
      <c r="AR121" s="93"/>
      <c r="AS121" s="9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f>SUM(BP10,BP21,BP30,BP41,BP82,BP94,BP118)</f>
        <v>336060.90000000014</v>
      </c>
      <c r="BQ121" s="89">
        <f>SUM(BQ10,BQ21,BQ30,BQ41,BQ82,BQ94,BQ118)</f>
        <v>3031500</v>
      </c>
      <c r="BR121" s="89">
        <f>SUM(BR10,BR21,BR30,BR41,BR82,BR94,BR118)</f>
        <v>0</v>
      </c>
      <c r="BS121" s="89">
        <f>SUM(BS10,BS21,BS30,BS41,BS82,BS94,BS118)</f>
        <v>3031500</v>
      </c>
      <c r="BT121" s="89">
        <f>SUM(BT10,BT21,BT30,BT41,BT82,BT94,BT118)</f>
        <v>-2695439.0999999996</v>
      </c>
    </row>
    <row r="122" spans="2:72" ht="4.5" customHeight="1" x14ac:dyDescent="0.3">
      <c r="AB122" s="94"/>
      <c r="AC122" s="90"/>
      <c r="AD122" s="94"/>
      <c r="AE122" s="94"/>
      <c r="AF122" s="94"/>
      <c r="AG122" s="92"/>
      <c r="AH122" s="102"/>
      <c r="AI122" s="94"/>
      <c r="AJ122" s="92"/>
      <c r="AK122" s="94"/>
      <c r="AL122" s="94"/>
      <c r="AM122" s="94"/>
      <c r="AN122" s="90"/>
      <c r="AO122" s="106"/>
      <c r="AP122" s="94"/>
      <c r="AQ122" s="94"/>
      <c r="AR122" s="94"/>
      <c r="AS122" s="100"/>
      <c r="AT122" s="90"/>
      <c r="AU122" s="90"/>
      <c r="AV122" s="90"/>
      <c r="AW122" s="90"/>
      <c r="AX122" s="90"/>
      <c r="AY122" s="90"/>
      <c r="AZ122" s="90"/>
      <c r="BA122" s="90"/>
      <c r="BB122" s="90"/>
      <c r="BC122" s="90"/>
      <c r="BD122" s="90"/>
      <c r="BE122" s="90"/>
      <c r="BF122" s="90"/>
      <c r="BG122" s="90"/>
      <c r="BH122" s="90"/>
      <c r="BI122" s="90"/>
      <c r="BJ122" s="90"/>
      <c r="BK122" s="90"/>
      <c r="BL122" s="90"/>
      <c r="BM122" s="90"/>
      <c r="BN122" s="90"/>
      <c r="BO122" s="90"/>
      <c r="BP122" s="90">
        <f>BP121</f>
        <v>336060.90000000014</v>
      </c>
      <c r="BQ122" s="90">
        <f t="shared" ref="BQ122:BS122" si="209">BQ121</f>
        <v>3031500</v>
      </c>
      <c r="BR122" s="90">
        <f t="shared" si="209"/>
        <v>0</v>
      </c>
      <c r="BS122" s="90">
        <f t="shared" si="209"/>
        <v>3031500</v>
      </c>
      <c r="BT122" s="90">
        <f>BP122-BS122</f>
        <v>-2695439.0999999996</v>
      </c>
    </row>
  </sheetData>
  <conditionalFormatting pivot="1" sqref="I6:I7">
    <cfRule type="dataBar" priority="19">
      <dataBar>
        <cfvo type="num" val="0"/>
        <cfvo type="num" val="1"/>
        <color rgb="FF00FF99"/>
      </dataBar>
      <extLst>
        <ext xmlns:x14="http://schemas.microsoft.com/office/spreadsheetml/2009/9/main" uri="{B025F937-C7B1-47D3-B67F-A62EFF666E3E}">
          <x14:id>{67F1A0D1-6012-4905-A11D-108B84AE9AE7}</x14:id>
        </ext>
      </extLst>
    </cfRule>
  </conditionalFormatting>
  <conditionalFormatting pivot="1" sqref="W6">
    <cfRule type="dataBar" priority="18">
      <dataBar>
        <cfvo type="num" val="0"/>
        <cfvo type="num" val="1"/>
        <color rgb="FF00FF99"/>
      </dataBar>
      <extLst>
        <ext xmlns:x14="http://schemas.microsoft.com/office/spreadsheetml/2009/9/main" uri="{B025F937-C7B1-47D3-B67F-A62EFF666E3E}">
          <x14:id>{9F691535-8F2A-40D5-86DB-1AEDD153F5EC}</x14:id>
        </ext>
      </extLst>
    </cfRule>
  </conditionalFormatting>
  <conditionalFormatting pivot="1" sqref="W56">
    <cfRule type="dataBar" priority="16">
      <dataBar>
        <cfvo type="num" val="0"/>
        <cfvo type="num" val="1"/>
        <color rgb="FF00FF99"/>
      </dataBar>
      <extLst>
        <ext xmlns:x14="http://schemas.microsoft.com/office/spreadsheetml/2009/9/main" uri="{B025F937-C7B1-47D3-B67F-A62EFF666E3E}">
          <x14:id>{DBE0AC8E-AFF1-4D78-8379-32FA518C0348}</x14:id>
        </ext>
      </extLst>
    </cfRule>
  </conditionalFormatting>
  <conditionalFormatting pivot="1" sqref="I16:I17">
    <cfRule type="dataBar" priority="15">
      <dataBar>
        <cfvo type="num" val="0"/>
        <cfvo type="num" val="1"/>
        <color rgb="FF00FF99"/>
      </dataBar>
      <extLst>
        <ext xmlns:x14="http://schemas.microsoft.com/office/spreadsheetml/2009/9/main" uri="{B025F937-C7B1-47D3-B67F-A62EFF666E3E}">
          <x14:id>{03EE4114-2977-4BD7-9CCF-7519804F3B6F}</x14:id>
        </ext>
      </extLst>
    </cfRule>
  </conditionalFormatting>
  <conditionalFormatting pivot="1" sqref="W16">
    <cfRule type="dataBar" priority="13">
      <dataBar>
        <cfvo type="num" val="0"/>
        <cfvo type="num" val="1"/>
        <color rgb="FF00FF99"/>
      </dataBar>
      <extLst>
        <ext xmlns:x14="http://schemas.microsoft.com/office/spreadsheetml/2009/9/main" uri="{B025F937-C7B1-47D3-B67F-A62EFF666E3E}">
          <x14:id>{F77D581A-744D-4006-B7DE-A8323261ED23}</x14:id>
        </ext>
      </extLst>
    </cfRule>
  </conditionalFormatting>
  <conditionalFormatting pivot="1" sqref="W26">
    <cfRule type="dataBar" priority="12">
      <dataBar>
        <cfvo type="num" val="0"/>
        <cfvo type="num" val="1"/>
        <color rgb="FF00FF99"/>
      </dataBar>
      <extLst>
        <ext xmlns:x14="http://schemas.microsoft.com/office/spreadsheetml/2009/9/main" uri="{B025F937-C7B1-47D3-B67F-A62EFF666E3E}">
          <x14:id>{B8A722CF-8CAF-4530-A1AA-F8E828A63FE5}</x14:id>
        </ext>
      </extLst>
    </cfRule>
  </conditionalFormatting>
  <conditionalFormatting pivot="1" sqref="W87">
    <cfRule type="dataBar" priority="10">
      <dataBar>
        <cfvo type="num" val="0"/>
        <cfvo type="num" val="1"/>
        <color rgb="FF00FF99"/>
      </dataBar>
      <extLst>
        <ext xmlns:x14="http://schemas.microsoft.com/office/spreadsheetml/2009/9/main" uri="{B025F937-C7B1-47D3-B67F-A62EFF666E3E}">
          <x14:id>{FADFDE37-39FA-4EA8-9E2C-A78C8DFB400C}</x14:id>
        </ext>
      </extLst>
    </cfRule>
  </conditionalFormatting>
  <conditionalFormatting pivot="1" sqref="W111">
    <cfRule type="dataBar" priority="9">
      <dataBar>
        <cfvo type="num" val="0"/>
        <cfvo type="num" val="1"/>
        <color rgb="FF00FF99"/>
      </dataBar>
      <extLst>
        <ext xmlns:x14="http://schemas.microsoft.com/office/spreadsheetml/2009/9/main" uri="{B025F937-C7B1-47D3-B67F-A62EFF666E3E}">
          <x14:id>{B07AD9E6-2E56-450C-AD75-C0A98CD1111F}</x14:id>
        </ext>
      </extLst>
    </cfRule>
  </conditionalFormatting>
  <conditionalFormatting pivot="1" sqref="I26:I27">
    <cfRule type="dataBar" priority="8">
      <dataBar>
        <cfvo type="num" val="0"/>
        <cfvo type="num" val="1"/>
        <color rgb="FF00FF99"/>
      </dataBar>
      <extLst>
        <ext xmlns:x14="http://schemas.microsoft.com/office/spreadsheetml/2009/9/main" uri="{B025F937-C7B1-47D3-B67F-A62EFF666E3E}">
          <x14:id>{596F1C56-CD28-4BEF-B76F-CA34BB4D5C97}</x14:id>
        </ext>
      </extLst>
    </cfRule>
  </conditionalFormatting>
  <conditionalFormatting pivot="1" sqref="I36:I37">
    <cfRule type="dataBar" priority="7">
      <dataBar>
        <cfvo type="num" val="0"/>
        <cfvo type="num" val="1"/>
        <color rgb="FF00FF99"/>
      </dataBar>
      <extLst>
        <ext xmlns:x14="http://schemas.microsoft.com/office/spreadsheetml/2009/9/main" uri="{B025F937-C7B1-47D3-B67F-A62EFF666E3E}">
          <x14:id>{D22B3663-0E8F-45AD-A58A-E6C562C1E25D}</x14:id>
        </ext>
      </extLst>
    </cfRule>
  </conditionalFormatting>
  <conditionalFormatting pivot="1" sqref="I56:I57">
    <cfRule type="dataBar" priority="6">
      <dataBar>
        <cfvo type="num" val="0"/>
        <cfvo type="num" val="1"/>
        <color rgb="FF00FF99"/>
      </dataBar>
      <extLst>
        <ext xmlns:x14="http://schemas.microsoft.com/office/spreadsheetml/2009/9/main" uri="{B025F937-C7B1-47D3-B67F-A62EFF666E3E}">
          <x14:id>{509CF0F8-C24A-4C30-8515-CFE182ACB040}</x14:id>
        </ext>
      </extLst>
    </cfRule>
  </conditionalFormatting>
  <conditionalFormatting pivot="1" sqref="I87:I88">
    <cfRule type="dataBar" priority="5">
      <dataBar>
        <cfvo type="num" val="0"/>
        <cfvo type="num" val="1"/>
        <color rgb="FF00FF99"/>
      </dataBar>
      <extLst>
        <ext xmlns:x14="http://schemas.microsoft.com/office/spreadsheetml/2009/9/main" uri="{B025F937-C7B1-47D3-B67F-A62EFF666E3E}">
          <x14:id>{BCFA4229-3B50-419D-BF54-2B1883F962F5}</x14:id>
        </ext>
      </extLst>
    </cfRule>
  </conditionalFormatting>
  <conditionalFormatting pivot="1" sqref="I111:I112">
    <cfRule type="dataBar" priority="4">
      <dataBar>
        <cfvo type="num" val="0"/>
        <cfvo type="num" val="1"/>
        <color rgb="FF00FF99"/>
      </dataBar>
      <extLst>
        <ext xmlns:x14="http://schemas.microsoft.com/office/spreadsheetml/2009/9/main" uri="{B025F937-C7B1-47D3-B67F-A62EFF666E3E}">
          <x14:id>{9FC13AB1-1B3C-4DB7-A803-603D7057EDDF}</x14:id>
        </ext>
      </extLst>
    </cfRule>
  </conditionalFormatting>
  <conditionalFormatting pivot="1" sqref="W99">
    <cfRule type="dataBar" priority="3">
      <dataBar>
        <cfvo type="num" val="0"/>
        <cfvo type="num" val="1"/>
        <color rgb="FF00FF99"/>
      </dataBar>
      <extLst>
        <ext xmlns:x14="http://schemas.microsoft.com/office/spreadsheetml/2009/9/main" uri="{B025F937-C7B1-47D3-B67F-A62EFF666E3E}">
          <x14:id>{76E8E7F4-8600-4807-94C2-018E21AFBB17}</x14:id>
        </ext>
      </extLst>
    </cfRule>
  </conditionalFormatting>
  <conditionalFormatting pivot="1" sqref="I99:I100">
    <cfRule type="dataBar" priority="2">
      <dataBar>
        <cfvo type="num" val="0"/>
        <cfvo type="num" val="1"/>
        <color rgb="FF00FF99"/>
      </dataBar>
      <extLst>
        <ext xmlns:x14="http://schemas.microsoft.com/office/spreadsheetml/2009/9/main" uri="{B025F937-C7B1-47D3-B67F-A62EFF666E3E}">
          <x14:id>{7C3554D2-0AB7-4816-9DA5-57BA4340C276}</x14:id>
        </ext>
      </extLst>
    </cfRule>
  </conditionalFormatting>
  <conditionalFormatting pivot="1" sqref="I46:I47">
    <cfRule type="dataBar" priority="1">
      <dataBar>
        <cfvo type="num" val="0"/>
        <cfvo type="num" val="1"/>
        <color rgb="FF00FF99"/>
      </dataBar>
      <extLst>
        <ext xmlns:x14="http://schemas.microsoft.com/office/spreadsheetml/2009/9/main" uri="{B025F937-C7B1-47D3-B67F-A62EFF666E3E}">
          <x14:id>{2D8067AD-2446-4584-B8C6-8C22234F58A8}</x14:id>
        </ext>
      </extLst>
    </cfRule>
  </conditionalFormatting>
  <pageMargins left="0.7" right="0.7" top="0.75" bottom="0.75" header="0.3" footer="0.3"/>
  <ignoredErrors>
    <ignoredError sqref="AB7:AB9 AW21 AV30:AW30 AV41 AV10:AW10 AV48" formula="1"/>
  </ignoredErrors>
  <extLst>
    <ext xmlns:x14="http://schemas.microsoft.com/office/spreadsheetml/2009/9/main" uri="{78C0D931-6437-407d-A8EE-F0AAD7539E65}">
      <x14:conditionalFormattings>
        <x14:conditionalFormatting xmlns:xm="http://schemas.microsoft.com/office/excel/2006/main" pivot="1">
          <x14:cfRule type="dataBar" id="{67F1A0D1-6012-4905-A11D-108B84AE9AE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I6:I7</xm:sqref>
        </x14:conditionalFormatting>
        <x14:conditionalFormatting xmlns:xm="http://schemas.microsoft.com/office/excel/2006/main" pivot="1">
          <x14:cfRule type="dataBar" id="{9F691535-8F2A-40D5-86DB-1AEDD153F5E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W6</xm:sqref>
        </x14:conditionalFormatting>
        <x14:conditionalFormatting xmlns:xm="http://schemas.microsoft.com/office/excel/2006/main" pivot="1">
          <x14:cfRule type="dataBar" id="{DBE0AC8E-AFF1-4D78-8379-32FA518C034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W56</xm:sqref>
        </x14:conditionalFormatting>
        <x14:conditionalFormatting xmlns:xm="http://schemas.microsoft.com/office/excel/2006/main" pivot="1">
          <x14:cfRule type="dataBar" id="{03EE4114-2977-4BD7-9CCF-7519804F3B6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I16:I17</xm:sqref>
        </x14:conditionalFormatting>
        <x14:conditionalFormatting xmlns:xm="http://schemas.microsoft.com/office/excel/2006/main" pivot="1">
          <x14:cfRule type="dataBar" id="{F77D581A-744D-4006-B7DE-A8323261ED23}">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W16</xm:sqref>
        </x14:conditionalFormatting>
        <x14:conditionalFormatting xmlns:xm="http://schemas.microsoft.com/office/excel/2006/main" pivot="1">
          <x14:cfRule type="dataBar" id="{B8A722CF-8CAF-4530-A1AA-F8E828A63FE5}">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W26</xm:sqref>
        </x14:conditionalFormatting>
        <x14:conditionalFormatting xmlns:xm="http://schemas.microsoft.com/office/excel/2006/main" pivot="1">
          <x14:cfRule type="dataBar" id="{FADFDE37-39FA-4EA8-9E2C-A78C8DFB400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W87</xm:sqref>
        </x14:conditionalFormatting>
        <x14:conditionalFormatting xmlns:xm="http://schemas.microsoft.com/office/excel/2006/main" pivot="1">
          <x14:cfRule type="dataBar" id="{B07AD9E6-2E56-450C-AD75-C0A98CD1111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W111</xm:sqref>
        </x14:conditionalFormatting>
        <x14:conditionalFormatting xmlns:xm="http://schemas.microsoft.com/office/excel/2006/main" pivot="1">
          <x14:cfRule type="dataBar" id="{596F1C56-CD28-4BEF-B76F-CA34BB4D5C9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I26:I27</xm:sqref>
        </x14:conditionalFormatting>
        <x14:conditionalFormatting xmlns:xm="http://schemas.microsoft.com/office/excel/2006/main" pivot="1">
          <x14:cfRule type="dataBar" id="{D22B3663-0E8F-45AD-A58A-E6C562C1E25D}">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I36:I37</xm:sqref>
        </x14:conditionalFormatting>
        <x14:conditionalFormatting xmlns:xm="http://schemas.microsoft.com/office/excel/2006/main" pivot="1">
          <x14:cfRule type="dataBar" id="{509CF0F8-C24A-4C30-8515-CFE182ACB040}">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I56:I57</xm:sqref>
        </x14:conditionalFormatting>
        <x14:conditionalFormatting xmlns:xm="http://schemas.microsoft.com/office/excel/2006/main" pivot="1">
          <x14:cfRule type="dataBar" id="{BCFA4229-3B50-419D-BF54-2B1883F962F5}">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I87:I88</xm:sqref>
        </x14:conditionalFormatting>
        <x14:conditionalFormatting xmlns:xm="http://schemas.microsoft.com/office/excel/2006/main" pivot="1">
          <x14:cfRule type="dataBar" id="{9FC13AB1-1B3C-4DB7-A803-603D7057EDD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I111:I112</xm:sqref>
        </x14:conditionalFormatting>
        <x14:conditionalFormatting xmlns:xm="http://schemas.microsoft.com/office/excel/2006/main" pivot="1">
          <x14:cfRule type="dataBar" id="{76E8E7F4-8600-4807-94C2-018E21AFBB17}">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W99</xm:sqref>
        </x14:conditionalFormatting>
        <x14:conditionalFormatting xmlns:xm="http://schemas.microsoft.com/office/excel/2006/main" pivot="1">
          <x14:cfRule type="dataBar" id="{7C3554D2-0AB7-4816-9DA5-57BA4340C27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I99:I100</xm:sqref>
        </x14:conditionalFormatting>
        <x14:conditionalFormatting xmlns:xm="http://schemas.microsoft.com/office/excel/2006/main" pivot="1">
          <x14:cfRule type="dataBar" id="{2D8067AD-2446-4584-B8C6-8C22234F58A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I46:I47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AA77-1817-4CDA-AC17-792E331D26ED}">
  <sheetPr>
    <tabColor rgb="FF66FFFF"/>
  </sheetPr>
  <dimension ref="A2:AE103"/>
  <sheetViews>
    <sheetView showGridLines="0" workbookViewId="0">
      <selection activeCell="H12" sqref="H12"/>
    </sheetView>
  </sheetViews>
  <sheetFormatPr defaultColWidth="8.875" defaultRowHeight="15.75" x14ac:dyDescent="0.25"/>
  <cols>
    <col min="1" max="1" width="11" bestFit="1" customWidth="1"/>
    <col min="2" max="2" width="13.5" bestFit="1" customWidth="1"/>
    <col min="3" max="3" width="9.875" bestFit="1" customWidth="1"/>
    <col min="4" max="4" width="9.625" bestFit="1" customWidth="1"/>
    <col min="5" max="5" width="13.5" bestFit="1" customWidth="1"/>
    <col min="6" max="6" width="17.125" style="15" bestFit="1" customWidth="1"/>
    <col min="7" max="7" width="9.5" style="15" bestFit="1" customWidth="1"/>
    <col min="8" max="8" width="13.75" style="15" bestFit="1" customWidth="1"/>
    <col min="9" max="9" width="17.125" bestFit="1" customWidth="1"/>
    <col min="10" max="10" width="13.625" bestFit="1" customWidth="1"/>
    <col min="11" max="11" width="10.5" hidden="1" customWidth="1"/>
    <col min="12" max="13" width="3.875" customWidth="1"/>
    <col min="14" max="14" width="11" bestFit="1" customWidth="1"/>
    <col min="15" max="15" width="13.5" bestFit="1" customWidth="1"/>
    <col min="16" max="16" width="9.875" bestFit="1" customWidth="1"/>
    <col min="17" max="17" width="9.625" bestFit="1" customWidth="1"/>
    <col min="18" max="18" width="13.5" bestFit="1" customWidth="1"/>
    <col min="19" max="19" width="17.125" style="15" bestFit="1" customWidth="1"/>
    <col min="20" max="20" width="9.5" style="15" bestFit="1" customWidth="1"/>
    <col min="21" max="21" width="13.75" style="15" bestFit="1" customWidth="1"/>
    <col min="22" max="22" width="10.875" bestFit="1" customWidth="1"/>
    <col min="23" max="23" width="13.625" bestFit="1" customWidth="1"/>
    <col min="24" max="24" width="10.5" hidden="1" customWidth="1"/>
    <col min="25" max="25" width="3.5" customWidth="1"/>
    <col min="26" max="26" width="15" customWidth="1"/>
    <col min="27" max="28" width="19" customWidth="1"/>
    <col min="29" max="29" width="14.875" customWidth="1"/>
    <col min="30" max="31" width="19" customWidth="1"/>
  </cols>
  <sheetData>
    <row r="2" spans="1:31" x14ac:dyDescent="0.25">
      <c r="A2" s="38" t="s">
        <v>168</v>
      </c>
      <c r="B2" s="86"/>
    </row>
    <row r="3" spans="1:31" x14ac:dyDescent="0.25">
      <c r="A3" s="54" t="s">
        <v>6</v>
      </c>
      <c r="B3" t="s">
        <v>7</v>
      </c>
      <c r="N3" s="54" t="s">
        <v>6</v>
      </c>
      <c r="O3" t="s">
        <v>8</v>
      </c>
    </row>
    <row r="4" spans="1:31" ht="16.5" thickBot="1" x14ac:dyDescent="0.3"/>
    <row r="5" spans="1:31" x14ac:dyDescent="0.25">
      <c r="A5" s="54" t="s">
        <v>28</v>
      </c>
      <c r="B5" s="54" t="s">
        <v>11</v>
      </c>
      <c r="C5" s="54" t="s">
        <v>4</v>
      </c>
      <c r="D5" s="54" t="s">
        <v>20</v>
      </c>
      <c r="E5" s="15" t="s">
        <v>106</v>
      </c>
      <c r="F5" s="15" t="s">
        <v>110</v>
      </c>
      <c r="G5" t="s">
        <v>170</v>
      </c>
      <c r="H5" s="15" t="s">
        <v>101</v>
      </c>
      <c r="I5" t="s">
        <v>63</v>
      </c>
      <c r="N5" s="54" t="s">
        <v>28</v>
      </c>
      <c r="O5" s="54" t="s">
        <v>11</v>
      </c>
      <c r="P5" s="54" t="s">
        <v>4</v>
      </c>
      <c r="Q5" s="54" t="s">
        <v>20</v>
      </c>
      <c r="R5" s="15" t="s">
        <v>106</v>
      </c>
      <c r="S5" s="15" t="s">
        <v>110</v>
      </c>
      <c r="T5" t="s">
        <v>170</v>
      </c>
      <c r="U5" s="15" t="s">
        <v>101</v>
      </c>
      <c r="V5" t="s">
        <v>63</v>
      </c>
      <c r="Y5" s="15"/>
      <c r="Z5" s="15"/>
      <c r="AA5" s="85" t="s">
        <v>123</v>
      </c>
      <c r="AB5" s="85" t="s">
        <v>173</v>
      </c>
      <c r="AC5" s="85" t="s">
        <v>96</v>
      </c>
      <c r="AD5" s="85" t="s">
        <v>171</v>
      </c>
      <c r="AE5" s="85" t="s">
        <v>174</v>
      </c>
    </row>
    <row r="6" spans="1:31" x14ac:dyDescent="0.25">
      <c r="A6" t="s">
        <v>146</v>
      </c>
      <c r="B6" t="s">
        <v>23</v>
      </c>
      <c r="C6" s="60">
        <v>45765</v>
      </c>
      <c r="D6" t="s">
        <v>159</v>
      </c>
      <c r="E6" s="23">
        <v>88</v>
      </c>
      <c r="F6" s="388">
        <v>98</v>
      </c>
      <c r="G6" s="29">
        <v>0.4731182795698925</v>
      </c>
      <c r="H6" s="37">
        <v>24004.350000000009</v>
      </c>
      <c r="I6" s="9">
        <v>0</v>
      </c>
      <c r="S6"/>
      <c r="T6"/>
      <c r="U6"/>
      <c r="Y6" s="62"/>
      <c r="Z6" s="62"/>
      <c r="AA6" s="87">
        <f>IF(ISNUMBER(J6), IF(ISNUMBER(W6), J6 + W6, J6), IF(ISNUMBER(W6), W6,0))</f>
        <v>0</v>
      </c>
      <c r="AB6" s="87">
        <v>45000</v>
      </c>
      <c r="AC6" s="87">
        <f>K6+X6</f>
        <v>0</v>
      </c>
      <c r="AD6" s="87">
        <f>AB6+AC6</f>
        <v>45000</v>
      </c>
      <c r="AE6" s="87">
        <f>AA6-AD6</f>
        <v>-45000</v>
      </c>
    </row>
    <row r="7" spans="1:31" x14ac:dyDescent="0.25">
      <c r="F7"/>
      <c r="G7"/>
      <c r="H7"/>
      <c r="S7"/>
      <c r="T7"/>
      <c r="U7"/>
      <c r="Y7" s="62"/>
      <c r="Z7" s="62"/>
      <c r="AA7" s="87">
        <f t="shared" ref="AA7:AA11" si="0">IF(ISNUMBER(J7), IF(ISNUMBER(W7), J7 + W7, J7), IF(ISNUMBER(W7), W7,0))</f>
        <v>0</v>
      </c>
      <c r="AB7" s="87">
        <v>45000</v>
      </c>
      <c r="AC7" s="87">
        <f t="shared" ref="AC7:AC11" si="1">K7+X7</f>
        <v>0</v>
      </c>
      <c r="AD7" s="87">
        <f t="shared" ref="AD7:AD11" si="2">AB7+AC7</f>
        <v>45000</v>
      </c>
      <c r="AE7" s="87">
        <f t="shared" ref="AE7:AE11" si="3">AA7-AD7</f>
        <v>-45000</v>
      </c>
    </row>
    <row r="8" spans="1:31" x14ac:dyDescent="0.25">
      <c r="F8"/>
      <c r="G8"/>
      <c r="H8"/>
      <c r="S8"/>
      <c r="T8"/>
      <c r="U8"/>
      <c r="Y8" s="62"/>
      <c r="Z8" s="62"/>
      <c r="AA8" s="87">
        <f t="shared" si="0"/>
        <v>0</v>
      </c>
      <c r="AB8" s="87">
        <v>45000</v>
      </c>
      <c r="AC8" s="87">
        <f t="shared" si="1"/>
        <v>0</v>
      </c>
      <c r="AD8" s="87">
        <f t="shared" si="2"/>
        <v>45000</v>
      </c>
      <c r="AE8" s="87">
        <f t="shared" si="3"/>
        <v>-45000</v>
      </c>
    </row>
    <row r="9" spans="1:31" x14ac:dyDescent="0.25">
      <c r="F9"/>
      <c r="G9"/>
      <c r="H9"/>
      <c r="S9"/>
      <c r="T9"/>
      <c r="U9"/>
      <c r="Y9" s="62"/>
      <c r="Z9" s="62"/>
      <c r="AA9" s="87">
        <f t="shared" si="0"/>
        <v>0</v>
      </c>
      <c r="AB9" s="87">
        <v>45000</v>
      </c>
      <c r="AC9" s="87">
        <f t="shared" si="1"/>
        <v>0</v>
      </c>
      <c r="AD9" s="87">
        <f t="shared" si="2"/>
        <v>45000</v>
      </c>
      <c r="AE9" s="87">
        <f t="shared" si="3"/>
        <v>-45000</v>
      </c>
    </row>
    <row r="10" spans="1:31" x14ac:dyDescent="0.25">
      <c r="F10"/>
      <c r="G10"/>
      <c r="H10"/>
      <c r="S10"/>
      <c r="T10"/>
      <c r="U10"/>
      <c r="Y10" s="62"/>
      <c r="Z10" s="62"/>
      <c r="AA10" s="87">
        <f t="shared" si="0"/>
        <v>0</v>
      </c>
      <c r="AB10" s="87">
        <v>45000</v>
      </c>
      <c r="AC10" s="87">
        <f t="shared" si="1"/>
        <v>0</v>
      </c>
      <c r="AD10" s="87">
        <f t="shared" si="2"/>
        <v>45000</v>
      </c>
      <c r="AE10" s="87">
        <f t="shared" si="3"/>
        <v>-45000</v>
      </c>
    </row>
    <row r="11" spans="1:31" x14ac:dyDescent="0.25">
      <c r="F11"/>
      <c r="G11"/>
      <c r="H11"/>
      <c r="S11"/>
      <c r="T11"/>
      <c r="U11"/>
      <c r="Y11" s="62"/>
      <c r="Z11" s="62"/>
      <c r="AA11" s="87">
        <f t="shared" si="0"/>
        <v>0</v>
      </c>
      <c r="AB11" s="87">
        <v>45000</v>
      </c>
      <c r="AC11" s="87">
        <f t="shared" si="1"/>
        <v>0</v>
      </c>
      <c r="AD11" s="87">
        <f t="shared" si="2"/>
        <v>45000</v>
      </c>
      <c r="AE11" s="87">
        <f t="shared" si="3"/>
        <v>-45000</v>
      </c>
    </row>
    <row r="12" spans="1:31" x14ac:dyDescent="0.25">
      <c r="F12"/>
      <c r="G12"/>
      <c r="H12"/>
      <c r="Q12" s="60"/>
      <c r="T12" s="23"/>
      <c r="V12" s="62"/>
      <c r="W12" s="62"/>
      <c r="X12" s="62"/>
      <c r="Y12" s="62"/>
      <c r="Z12" s="62"/>
      <c r="AA12" s="88">
        <f>SUM(AA6:AA11)</f>
        <v>0</v>
      </c>
      <c r="AB12" s="88">
        <f t="shared" ref="AB12:AE12" si="4">SUM(AB6:AB11)</f>
        <v>270000</v>
      </c>
      <c r="AC12" s="88">
        <f>SUM(AC6:AC11)</f>
        <v>0</v>
      </c>
      <c r="AD12" s="88">
        <f>SUM(AD6:AD11)</f>
        <v>270000</v>
      </c>
      <c r="AE12" s="88">
        <f t="shared" si="4"/>
        <v>-270000</v>
      </c>
    </row>
    <row r="13" spans="1:31" hidden="1" x14ac:dyDescent="0.25">
      <c r="A13" s="54" t="s">
        <v>6</v>
      </c>
      <c r="B13" t="s">
        <v>7</v>
      </c>
      <c r="N13" s="54" t="s">
        <v>6</v>
      </c>
      <c r="O13" t="s">
        <v>8</v>
      </c>
    </row>
    <row r="14" spans="1:31" ht="16.5" thickBot="1" x14ac:dyDescent="0.3">
      <c r="AA14" s="78"/>
      <c r="AB14" s="78"/>
      <c r="AC14" s="78"/>
      <c r="AD14" s="78"/>
      <c r="AE14" s="78"/>
    </row>
    <row r="15" spans="1:31" x14ac:dyDescent="0.25">
      <c r="A15" s="54" t="s">
        <v>28</v>
      </c>
      <c r="B15" s="54" t="s">
        <v>11</v>
      </c>
      <c r="C15" s="54" t="s">
        <v>4</v>
      </c>
      <c r="D15" s="54" t="s">
        <v>20</v>
      </c>
      <c r="E15" s="15" t="s">
        <v>106</v>
      </c>
      <c r="F15" s="15" t="s">
        <v>110</v>
      </c>
      <c r="G15" t="s">
        <v>170</v>
      </c>
      <c r="H15" s="15" t="s">
        <v>101</v>
      </c>
      <c r="I15" t="s">
        <v>63</v>
      </c>
      <c r="N15" s="54" t="s">
        <v>28</v>
      </c>
      <c r="O15" s="54" t="s">
        <v>11</v>
      </c>
      <c r="P15" s="54" t="s">
        <v>4</v>
      </c>
      <c r="Q15" s="54" t="s">
        <v>20</v>
      </c>
      <c r="R15" s="15" t="s">
        <v>106</v>
      </c>
      <c r="S15" s="15" t="s">
        <v>110</v>
      </c>
      <c r="T15" t="s">
        <v>170</v>
      </c>
      <c r="U15" s="15" t="s">
        <v>101</v>
      </c>
      <c r="V15" t="s">
        <v>63</v>
      </c>
      <c r="Y15" s="15"/>
      <c r="Z15" s="15"/>
      <c r="AA15" s="85" t="s">
        <v>123</v>
      </c>
      <c r="AB15" s="85" t="s">
        <v>173</v>
      </c>
      <c r="AC15" s="85" t="s">
        <v>96</v>
      </c>
      <c r="AD15" s="85" t="s">
        <v>171</v>
      </c>
      <c r="AE15" s="85" t="s">
        <v>174</v>
      </c>
    </row>
    <row r="16" spans="1:31" x14ac:dyDescent="0.25">
      <c r="A16" t="s">
        <v>146</v>
      </c>
      <c r="B16" t="s">
        <v>23</v>
      </c>
      <c r="C16" s="60">
        <v>45765</v>
      </c>
      <c r="D16" t="s">
        <v>159</v>
      </c>
      <c r="E16" s="23">
        <v>88</v>
      </c>
      <c r="F16" s="388">
        <v>98</v>
      </c>
      <c r="G16" s="29">
        <v>0.4731182795698925</v>
      </c>
      <c r="H16" s="37">
        <v>24004.350000000009</v>
      </c>
      <c r="I16" s="9">
        <v>0</v>
      </c>
      <c r="S16"/>
      <c r="T16"/>
      <c r="U16"/>
      <c r="Y16" s="62"/>
      <c r="Z16" s="62"/>
      <c r="AA16" s="87">
        <f t="shared" ref="AA16:AA21" si="5">IF(ISNUMBER(J16), IF(ISNUMBER(W16), J16 + W16, J16), IF(ISNUMBER(W16), W16,0))</f>
        <v>0</v>
      </c>
      <c r="AB16" s="87">
        <v>45000</v>
      </c>
      <c r="AC16" s="87">
        <f t="shared" ref="AC16:AC21" si="6">K16+X16</f>
        <v>0</v>
      </c>
      <c r="AD16" s="87">
        <f t="shared" ref="AD16:AD21" si="7">AB16+AC16</f>
        <v>45000</v>
      </c>
      <c r="AE16" s="87">
        <f t="shared" ref="AE16:AE21" si="8">AA16-AD16</f>
        <v>-45000</v>
      </c>
    </row>
    <row r="17" spans="1:31" x14ac:dyDescent="0.25">
      <c r="F17"/>
      <c r="G17"/>
      <c r="H17"/>
      <c r="S17"/>
      <c r="T17"/>
      <c r="U17"/>
      <c r="Y17" s="62"/>
      <c r="Z17" s="62"/>
      <c r="AA17" s="87">
        <f t="shared" si="5"/>
        <v>0</v>
      </c>
      <c r="AB17" s="87">
        <v>45000</v>
      </c>
      <c r="AC17" s="87">
        <f t="shared" si="6"/>
        <v>0</v>
      </c>
      <c r="AD17" s="87">
        <f t="shared" si="7"/>
        <v>45000</v>
      </c>
      <c r="AE17" s="87">
        <f t="shared" si="8"/>
        <v>-45000</v>
      </c>
    </row>
    <row r="18" spans="1:31" x14ac:dyDescent="0.25">
      <c r="F18"/>
      <c r="G18"/>
      <c r="H18"/>
      <c r="S18"/>
      <c r="T18"/>
      <c r="U18"/>
      <c r="Y18" s="62"/>
      <c r="Z18" s="62"/>
      <c r="AA18" s="87">
        <f t="shared" si="5"/>
        <v>0</v>
      </c>
      <c r="AB18" s="87">
        <v>45000</v>
      </c>
      <c r="AC18" s="87">
        <f t="shared" si="6"/>
        <v>0</v>
      </c>
      <c r="AD18" s="87">
        <f t="shared" si="7"/>
        <v>45000</v>
      </c>
      <c r="AE18" s="87">
        <f t="shared" si="8"/>
        <v>-45000</v>
      </c>
    </row>
    <row r="19" spans="1:31" x14ac:dyDescent="0.25">
      <c r="F19"/>
      <c r="G19"/>
      <c r="H19"/>
      <c r="S19"/>
      <c r="T19"/>
      <c r="U19"/>
      <c r="Y19" s="62"/>
      <c r="Z19" s="62"/>
      <c r="AA19" s="87">
        <f t="shared" si="5"/>
        <v>0</v>
      </c>
      <c r="AB19" s="87">
        <v>45000</v>
      </c>
      <c r="AC19" s="87">
        <f t="shared" si="6"/>
        <v>0</v>
      </c>
      <c r="AD19" s="87">
        <f t="shared" si="7"/>
        <v>45000</v>
      </c>
      <c r="AE19" s="87">
        <f t="shared" si="8"/>
        <v>-45000</v>
      </c>
    </row>
    <row r="20" spans="1:31" x14ac:dyDescent="0.25">
      <c r="F20"/>
      <c r="G20"/>
      <c r="H20"/>
      <c r="S20"/>
      <c r="T20"/>
      <c r="U20"/>
      <c r="Y20" s="62"/>
      <c r="Z20" s="62"/>
      <c r="AA20" s="87">
        <f t="shared" si="5"/>
        <v>0</v>
      </c>
      <c r="AB20" s="87">
        <v>45000</v>
      </c>
      <c r="AC20" s="87">
        <f t="shared" si="6"/>
        <v>0</v>
      </c>
      <c r="AD20" s="87">
        <f t="shared" si="7"/>
        <v>45000</v>
      </c>
      <c r="AE20" s="87">
        <f t="shared" si="8"/>
        <v>-45000</v>
      </c>
    </row>
    <row r="21" spans="1:31" x14ac:dyDescent="0.25">
      <c r="F21"/>
      <c r="G21"/>
      <c r="H21"/>
      <c r="S21"/>
      <c r="T21"/>
      <c r="U21"/>
      <c r="Y21" s="62"/>
      <c r="Z21" s="62"/>
      <c r="AA21" s="87">
        <f t="shared" si="5"/>
        <v>0</v>
      </c>
      <c r="AB21" s="87">
        <v>45000</v>
      </c>
      <c r="AC21" s="87">
        <f t="shared" si="6"/>
        <v>0</v>
      </c>
      <c r="AD21" s="87">
        <f t="shared" si="7"/>
        <v>45000</v>
      </c>
      <c r="AE21" s="87">
        <f t="shared" si="8"/>
        <v>-45000</v>
      </c>
    </row>
    <row r="22" spans="1:31" x14ac:dyDescent="0.25">
      <c r="F22"/>
      <c r="G22"/>
      <c r="H22"/>
      <c r="AA22" s="88">
        <f>SUM(AA16:AA21)</f>
        <v>0</v>
      </c>
      <c r="AB22" s="88">
        <f t="shared" ref="AB22" si="9">SUM(AB16:AB21)</f>
        <v>270000</v>
      </c>
      <c r="AC22" s="88">
        <f>SUM(AC16:AC21)</f>
        <v>0</v>
      </c>
      <c r="AD22" s="88">
        <f>SUM(AD16:AD21)</f>
        <v>270000</v>
      </c>
      <c r="AE22" s="88">
        <f t="shared" ref="AE22" si="10">SUM(AE16:AE21)</f>
        <v>-270000</v>
      </c>
    </row>
    <row r="23" spans="1:31" hidden="1" x14ac:dyDescent="0.25">
      <c r="A23" s="54" t="s">
        <v>6</v>
      </c>
      <c r="B23" t="s">
        <v>7</v>
      </c>
      <c r="N23" s="54" t="s">
        <v>6</v>
      </c>
      <c r="O23" t="s">
        <v>8</v>
      </c>
      <c r="AA23" s="78"/>
      <c r="AB23" s="78"/>
      <c r="AC23" s="78"/>
      <c r="AD23" s="78"/>
      <c r="AE23" s="78"/>
    </row>
    <row r="24" spans="1:31" ht="16.5" thickBot="1" x14ac:dyDescent="0.3">
      <c r="AA24" s="78"/>
      <c r="AB24" s="78"/>
      <c r="AC24" s="78"/>
      <c r="AD24" s="78"/>
      <c r="AE24" s="78"/>
    </row>
    <row r="25" spans="1:31" x14ac:dyDescent="0.25">
      <c r="A25" s="54" t="s">
        <v>28</v>
      </c>
      <c r="B25" s="54" t="s">
        <v>11</v>
      </c>
      <c r="C25" s="54" t="s">
        <v>4</v>
      </c>
      <c r="D25" s="54" t="s">
        <v>20</v>
      </c>
      <c r="E25" s="15" t="s">
        <v>106</v>
      </c>
      <c r="F25" s="15" t="s">
        <v>110</v>
      </c>
      <c r="G25" t="s">
        <v>170</v>
      </c>
      <c r="H25" s="15" t="s">
        <v>101</v>
      </c>
      <c r="I25" t="s">
        <v>169</v>
      </c>
      <c r="N25" s="54" t="s">
        <v>28</v>
      </c>
      <c r="O25" s="54" t="s">
        <v>11</v>
      </c>
      <c r="P25" s="54" t="s">
        <v>4</v>
      </c>
      <c r="Q25" s="54" t="s">
        <v>20</v>
      </c>
      <c r="R25" s="15" t="s">
        <v>106</v>
      </c>
      <c r="S25" s="15" t="s">
        <v>110</v>
      </c>
      <c r="T25" t="s">
        <v>170</v>
      </c>
      <c r="U25" s="15" t="s">
        <v>101</v>
      </c>
      <c r="V25" t="s">
        <v>169</v>
      </c>
      <c r="Y25" s="15"/>
      <c r="Z25" s="15"/>
      <c r="AA25" s="85" t="s">
        <v>123</v>
      </c>
      <c r="AB25" s="85" t="s">
        <v>173</v>
      </c>
      <c r="AC25" s="85" t="s">
        <v>96</v>
      </c>
      <c r="AD25" s="85" t="s">
        <v>171</v>
      </c>
      <c r="AE25" s="85" t="s">
        <v>174</v>
      </c>
    </row>
    <row r="26" spans="1:31" x14ac:dyDescent="0.25">
      <c r="A26" t="s">
        <v>146</v>
      </c>
      <c r="B26" t="s">
        <v>23</v>
      </c>
      <c r="C26" s="60">
        <v>45765</v>
      </c>
      <c r="D26" t="s">
        <v>159</v>
      </c>
      <c r="E26" s="23">
        <v>88</v>
      </c>
      <c r="F26" s="388">
        <v>98</v>
      </c>
      <c r="G26" s="29">
        <v>0.4731182795698925</v>
      </c>
      <c r="H26" s="37">
        <v>24004.350000000009</v>
      </c>
      <c r="I26" s="9">
        <v>0</v>
      </c>
      <c r="S26"/>
      <c r="T26"/>
      <c r="U26"/>
      <c r="Y26" s="62"/>
      <c r="Z26" s="62"/>
      <c r="AA26" s="87">
        <f t="shared" ref="AA26:AA30" si="11">IF(ISNUMBER(J26), IF(ISNUMBER(W26), J26 + W26, J26), IF(ISNUMBER(W26), W26,0))</f>
        <v>0</v>
      </c>
      <c r="AB26" s="87">
        <v>57000</v>
      </c>
      <c r="AC26" s="87">
        <f t="shared" ref="AC26:AC30" si="12">K26+X26</f>
        <v>0</v>
      </c>
      <c r="AD26" s="87">
        <f t="shared" ref="AD26:AD30" si="13">AB26+AC26</f>
        <v>57000</v>
      </c>
      <c r="AE26" s="87">
        <f t="shared" ref="AE26:AE30" si="14">AA26-AD26</f>
        <v>-57000</v>
      </c>
    </row>
    <row r="27" spans="1:31" x14ac:dyDescent="0.25">
      <c r="F27"/>
      <c r="G27"/>
      <c r="H27"/>
      <c r="S27"/>
      <c r="T27"/>
      <c r="U27"/>
      <c r="Y27" s="62"/>
      <c r="Z27" s="62"/>
      <c r="AA27" s="87">
        <f t="shared" si="11"/>
        <v>0</v>
      </c>
      <c r="AB27" s="87">
        <v>57000</v>
      </c>
      <c r="AC27" s="87">
        <f t="shared" si="12"/>
        <v>0</v>
      </c>
      <c r="AD27" s="87">
        <f t="shared" si="13"/>
        <v>57000</v>
      </c>
      <c r="AE27" s="87">
        <f t="shared" si="14"/>
        <v>-57000</v>
      </c>
    </row>
    <row r="28" spans="1:31" x14ac:dyDescent="0.25">
      <c r="F28"/>
      <c r="G28"/>
      <c r="H28"/>
      <c r="S28"/>
      <c r="T28"/>
      <c r="U28"/>
      <c r="Y28" s="62"/>
      <c r="Z28" s="62"/>
      <c r="AA28" s="87">
        <f t="shared" si="11"/>
        <v>0</v>
      </c>
      <c r="AB28" s="87">
        <v>57000</v>
      </c>
      <c r="AC28" s="87">
        <f t="shared" si="12"/>
        <v>0</v>
      </c>
      <c r="AD28" s="87">
        <f t="shared" si="13"/>
        <v>57000</v>
      </c>
      <c r="AE28" s="87">
        <f t="shared" si="14"/>
        <v>-57000</v>
      </c>
    </row>
    <row r="29" spans="1:31" x14ac:dyDescent="0.25">
      <c r="F29"/>
      <c r="G29"/>
      <c r="H29"/>
      <c r="S29"/>
      <c r="T29"/>
      <c r="U29"/>
      <c r="Y29" s="62"/>
      <c r="Z29" s="62"/>
      <c r="AA29" s="87">
        <f t="shared" si="11"/>
        <v>0</v>
      </c>
      <c r="AB29" s="87">
        <v>57000</v>
      </c>
      <c r="AC29" s="87">
        <f t="shared" si="12"/>
        <v>0</v>
      </c>
      <c r="AD29" s="87">
        <f t="shared" si="13"/>
        <v>57000</v>
      </c>
      <c r="AE29" s="87">
        <f t="shared" si="14"/>
        <v>-57000</v>
      </c>
    </row>
    <row r="30" spans="1:31" x14ac:dyDescent="0.25">
      <c r="F30"/>
      <c r="G30"/>
      <c r="H30"/>
      <c r="S30"/>
      <c r="T30"/>
      <c r="U30"/>
      <c r="Y30" s="62"/>
      <c r="Z30" s="62"/>
      <c r="AA30" s="87">
        <f t="shared" si="11"/>
        <v>0</v>
      </c>
      <c r="AB30" s="87">
        <v>57000</v>
      </c>
      <c r="AC30" s="87">
        <f t="shared" si="12"/>
        <v>0</v>
      </c>
      <c r="AD30" s="87">
        <f t="shared" si="13"/>
        <v>57000</v>
      </c>
      <c r="AE30" s="87">
        <f t="shared" si="14"/>
        <v>-57000</v>
      </c>
    </row>
    <row r="31" spans="1:31" x14ac:dyDescent="0.25">
      <c r="I31" s="29"/>
      <c r="V31" s="29"/>
      <c r="AA31" s="88">
        <f>SUM(AA26:AA30)</f>
        <v>0</v>
      </c>
      <c r="AB31" s="88">
        <f t="shared" ref="AB31:AE31" si="15">SUM(AB26:AB30)</f>
        <v>285000</v>
      </c>
      <c r="AC31" s="88">
        <f>SUM(AC26:AC30)</f>
        <v>0</v>
      </c>
      <c r="AD31" s="88">
        <f>SUM(AD26:AD30)</f>
        <v>285000</v>
      </c>
      <c r="AE31" s="88">
        <f t="shared" si="15"/>
        <v>-285000</v>
      </c>
    </row>
    <row r="32" spans="1:31" x14ac:dyDescent="0.25">
      <c r="AA32" s="78"/>
      <c r="AB32" s="78"/>
      <c r="AC32" s="78"/>
      <c r="AD32" s="78"/>
      <c r="AE32" s="78"/>
    </row>
    <row r="33" spans="1:31" hidden="1" x14ac:dyDescent="0.25">
      <c r="A33" s="54" t="s">
        <v>6</v>
      </c>
      <c r="B33" t="s">
        <v>7</v>
      </c>
      <c r="N33" s="54" t="s">
        <v>6</v>
      </c>
      <c r="O33" t="s">
        <v>8</v>
      </c>
      <c r="AA33" s="78"/>
      <c r="AB33" s="78"/>
      <c r="AC33" s="78"/>
      <c r="AD33" s="78"/>
      <c r="AE33" s="78"/>
    </row>
    <row r="34" spans="1:31" ht="16.5" thickBot="1" x14ac:dyDescent="0.3">
      <c r="AA34" s="78"/>
      <c r="AB34" s="78"/>
      <c r="AC34" s="78"/>
      <c r="AD34" s="78"/>
      <c r="AE34" s="78"/>
    </row>
    <row r="35" spans="1:31" x14ac:dyDescent="0.25">
      <c r="A35" s="54" t="s">
        <v>28</v>
      </c>
      <c r="B35" s="54" t="s">
        <v>11</v>
      </c>
      <c r="C35" s="54" t="s">
        <v>4</v>
      </c>
      <c r="D35" s="54" t="s">
        <v>20</v>
      </c>
      <c r="E35" s="15" t="s">
        <v>106</v>
      </c>
      <c r="F35" s="15" t="s">
        <v>110</v>
      </c>
      <c r="G35" t="s">
        <v>170</v>
      </c>
      <c r="H35" s="15" t="s">
        <v>101</v>
      </c>
      <c r="I35" t="s">
        <v>169</v>
      </c>
      <c r="N35" s="54" t="s">
        <v>28</v>
      </c>
      <c r="O35" s="54" t="s">
        <v>11</v>
      </c>
      <c r="P35" s="54" t="s">
        <v>4</v>
      </c>
      <c r="Q35" s="54" t="s">
        <v>20</v>
      </c>
      <c r="R35" s="15" t="s">
        <v>106</v>
      </c>
      <c r="S35" s="15" t="s">
        <v>110</v>
      </c>
      <c r="T35" t="s">
        <v>170</v>
      </c>
      <c r="U35" s="15" t="s">
        <v>101</v>
      </c>
      <c r="V35" t="s">
        <v>169</v>
      </c>
      <c r="Y35" s="15"/>
      <c r="Z35" s="15"/>
      <c r="AA35" s="85" t="s">
        <v>123</v>
      </c>
      <c r="AB35" s="85" t="s">
        <v>173</v>
      </c>
      <c r="AC35" s="85" t="s">
        <v>96</v>
      </c>
      <c r="AD35" s="85" t="s">
        <v>171</v>
      </c>
      <c r="AE35" s="85" t="s">
        <v>174</v>
      </c>
    </row>
    <row r="36" spans="1:31" x14ac:dyDescent="0.25">
      <c r="A36" t="s">
        <v>146</v>
      </c>
      <c r="B36" t="s">
        <v>23</v>
      </c>
      <c r="C36" s="60">
        <v>45765</v>
      </c>
      <c r="D36" t="s">
        <v>159</v>
      </c>
      <c r="E36" s="23">
        <v>88</v>
      </c>
      <c r="F36" s="388">
        <v>98</v>
      </c>
      <c r="G36" s="29">
        <v>0.4731182795698925</v>
      </c>
      <c r="H36" s="37">
        <v>24004.350000000009</v>
      </c>
      <c r="I36" s="9">
        <v>0</v>
      </c>
      <c r="S36"/>
      <c r="T36"/>
      <c r="U36"/>
      <c r="Y36" s="62"/>
      <c r="Z36" s="62"/>
      <c r="AA36" s="87">
        <f t="shared" ref="AA36:AA41" si="16">IF(ISNUMBER(J36), IF(ISNUMBER(W36), J36 + W36, J36), IF(ISNUMBER(W36), W36,0))</f>
        <v>0</v>
      </c>
      <c r="AB36" s="87">
        <v>53000</v>
      </c>
      <c r="AC36" s="87">
        <f t="shared" ref="AC36:AC41" si="17">K36+X36</f>
        <v>0</v>
      </c>
      <c r="AD36" s="87">
        <f t="shared" ref="AD36:AD41" si="18">AB36+AC36</f>
        <v>53000</v>
      </c>
      <c r="AE36" s="87">
        <f t="shared" ref="AE36:AE41" si="19">AA36-AD36</f>
        <v>-53000</v>
      </c>
    </row>
    <row r="37" spans="1:31" x14ac:dyDescent="0.25">
      <c r="F37"/>
      <c r="G37"/>
      <c r="H37"/>
      <c r="S37"/>
      <c r="T37"/>
      <c r="U37"/>
      <c r="Y37" s="62"/>
      <c r="Z37" s="62"/>
      <c r="AA37" s="87">
        <f t="shared" si="16"/>
        <v>0</v>
      </c>
      <c r="AB37" s="87">
        <v>53000</v>
      </c>
      <c r="AC37" s="87">
        <f t="shared" si="17"/>
        <v>0</v>
      </c>
      <c r="AD37" s="87">
        <f t="shared" si="18"/>
        <v>53000</v>
      </c>
      <c r="AE37" s="87">
        <f t="shared" si="19"/>
        <v>-53000</v>
      </c>
    </row>
    <row r="38" spans="1:31" x14ac:dyDescent="0.25">
      <c r="F38"/>
      <c r="G38"/>
      <c r="H38"/>
      <c r="S38"/>
      <c r="T38"/>
      <c r="U38"/>
      <c r="Y38" s="62"/>
      <c r="Z38" s="62"/>
      <c r="AA38" s="87">
        <f t="shared" si="16"/>
        <v>0</v>
      </c>
      <c r="AB38" s="87">
        <v>53000</v>
      </c>
      <c r="AC38" s="87">
        <f t="shared" si="17"/>
        <v>0</v>
      </c>
      <c r="AD38" s="87">
        <f t="shared" si="18"/>
        <v>53000</v>
      </c>
      <c r="AE38" s="87">
        <f t="shared" si="19"/>
        <v>-53000</v>
      </c>
    </row>
    <row r="39" spans="1:31" x14ac:dyDescent="0.25">
      <c r="F39"/>
      <c r="G39"/>
      <c r="H39"/>
      <c r="S39"/>
      <c r="T39"/>
      <c r="U39"/>
      <c r="Y39" s="62"/>
      <c r="Z39" s="62"/>
      <c r="AA39" s="87">
        <f t="shared" si="16"/>
        <v>0</v>
      </c>
      <c r="AB39" s="87">
        <v>53000</v>
      </c>
      <c r="AC39" s="87">
        <f t="shared" si="17"/>
        <v>0</v>
      </c>
      <c r="AD39" s="87">
        <f t="shared" si="18"/>
        <v>53000</v>
      </c>
      <c r="AE39" s="87">
        <f t="shared" si="19"/>
        <v>-53000</v>
      </c>
    </row>
    <row r="40" spans="1:31" x14ac:dyDescent="0.25">
      <c r="F40"/>
      <c r="G40"/>
      <c r="H40"/>
      <c r="S40"/>
      <c r="T40"/>
      <c r="U40"/>
      <c r="Y40" s="62"/>
      <c r="Z40" s="62"/>
      <c r="AA40" s="87">
        <f t="shared" si="16"/>
        <v>0</v>
      </c>
      <c r="AB40" s="87">
        <v>53000</v>
      </c>
      <c r="AC40" s="87">
        <f t="shared" si="17"/>
        <v>0</v>
      </c>
      <c r="AD40" s="87">
        <f t="shared" si="18"/>
        <v>53000</v>
      </c>
      <c r="AE40" s="87">
        <f t="shared" si="19"/>
        <v>-53000</v>
      </c>
    </row>
    <row r="41" spans="1:31" x14ac:dyDescent="0.25">
      <c r="F41"/>
      <c r="G41"/>
      <c r="H41"/>
      <c r="S41"/>
      <c r="T41"/>
      <c r="U41"/>
      <c r="Y41" s="62"/>
      <c r="Z41" s="62"/>
      <c r="AA41" s="87">
        <f t="shared" si="16"/>
        <v>0</v>
      </c>
      <c r="AB41" s="87">
        <v>53000</v>
      </c>
      <c r="AC41" s="87">
        <f t="shared" si="17"/>
        <v>0</v>
      </c>
      <c r="AD41" s="87">
        <f t="shared" si="18"/>
        <v>53000</v>
      </c>
      <c r="AE41" s="87">
        <f t="shared" si="19"/>
        <v>-53000</v>
      </c>
    </row>
    <row r="42" spans="1:31" x14ac:dyDescent="0.25">
      <c r="AA42" s="88">
        <f>SUM(AA36:AA41)</f>
        <v>0</v>
      </c>
      <c r="AB42" s="88">
        <f t="shared" ref="AB42:AE42" si="20">SUM(AB36:AB41)</f>
        <v>318000</v>
      </c>
      <c r="AC42" s="88">
        <f>SUM(AC36:AC41)</f>
        <v>0</v>
      </c>
      <c r="AD42" s="88">
        <f>SUM(AD36:AD41)</f>
        <v>318000</v>
      </c>
      <c r="AE42" s="88">
        <f t="shared" si="20"/>
        <v>-318000</v>
      </c>
    </row>
    <row r="43" spans="1:31" x14ac:dyDescent="0.25">
      <c r="AA43" s="78"/>
      <c r="AB43" s="78"/>
      <c r="AC43" s="78"/>
      <c r="AD43" s="78"/>
      <c r="AE43" s="78"/>
    </row>
    <row r="44" spans="1:31" x14ac:dyDescent="0.25">
      <c r="AA44" s="78"/>
      <c r="AB44" s="78"/>
      <c r="AC44" s="78"/>
      <c r="AD44" s="78"/>
      <c r="AE44" s="78"/>
    </row>
    <row r="45" spans="1:31" x14ac:dyDescent="0.25">
      <c r="A45" s="38" t="s">
        <v>167</v>
      </c>
      <c r="B45" s="86"/>
      <c r="AA45" s="78"/>
      <c r="AB45" s="78"/>
      <c r="AC45" s="78"/>
      <c r="AD45" s="78"/>
      <c r="AE45" s="78"/>
    </row>
    <row r="46" spans="1:31" x14ac:dyDescent="0.25">
      <c r="A46" s="54" t="s">
        <v>6</v>
      </c>
      <c r="B46" t="s">
        <v>7</v>
      </c>
      <c r="N46" s="54" t="s">
        <v>6</v>
      </c>
      <c r="O46" t="s">
        <v>8</v>
      </c>
      <c r="AA46" s="78"/>
      <c r="AB46" s="78"/>
      <c r="AC46" s="78"/>
      <c r="AD46" s="78"/>
      <c r="AE46" s="78"/>
    </row>
    <row r="47" spans="1:31" ht="16.5" thickBot="1" x14ac:dyDescent="0.3">
      <c r="V47" t="s">
        <v>172</v>
      </c>
      <c r="AA47" s="78"/>
      <c r="AB47" s="78"/>
      <c r="AC47" s="78"/>
      <c r="AD47" s="78"/>
      <c r="AE47" s="78"/>
    </row>
    <row r="48" spans="1:31" x14ac:dyDescent="0.25">
      <c r="A48" s="54" t="s">
        <v>28</v>
      </c>
      <c r="B48" s="54" t="s">
        <v>11</v>
      </c>
      <c r="C48" s="54" t="s">
        <v>4</v>
      </c>
      <c r="D48" s="54" t="s">
        <v>20</v>
      </c>
      <c r="E48" s="15" t="s">
        <v>106</v>
      </c>
      <c r="F48" s="15" t="s">
        <v>110</v>
      </c>
      <c r="G48" t="s">
        <v>170</v>
      </c>
      <c r="H48" s="15" t="s">
        <v>101</v>
      </c>
      <c r="I48" t="s">
        <v>63</v>
      </c>
      <c r="N48" s="54" t="s">
        <v>28</v>
      </c>
      <c r="O48" s="54" t="s">
        <v>11</v>
      </c>
      <c r="P48" s="54" t="s">
        <v>4</v>
      </c>
      <c r="Q48" s="54" t="s">
        <v>20</v>
      </c>
      <c r="R48" s="15" t="s">
        <v>106</v>
      </c>
      <c r="S48" s="15" t="s">
        <v>110</v>
      </c>
      <c r="T48" t="s">
        <v>170</v>
      </c>
      <c r="U48" s="15" t="s">
        <v>101</v>
      </c>
      <c r="V48" t="s">
        <v>169</v>
      </c>
      <c r="Y48" s="15"/>
      <c r="Z48" s="15"/>
      <c r="AA48" s="85" t="s">
        <v>123</v>
      </c>
      <c r="AB48" s="85" t="s">
        <v>173</v>
      </c>
      <c r="AC48" s="85" t="s">
        <v>96</v>
      </c>
      <c r="AD48" s="85" t="s">
        <v>171</v>
      </c>
      <c r="AE48" s="85" t="s">
        <v>174</v>
      </c>
    </row>
    <row r="49" spans="1:31" x14ac:dyDescent="0.25">
      <c r="A49" t="s">
        <v>146</v>
      </c>
      <c r="B49" t="s">
        <v>23</v>
      </c>
      <c r="C49" s="60">
        <v>45765</v>
      </c>
      <c r="D49" t="s">
        <v>159</v>
      </c>
      <c r="E49" s="23">
        <v>88</v>
      </c>
      <c r="F49" s="388">
        <v>98</v>
      </c>
      <c r="G49" s="29">
        <v>0.4731182795698925</v>
      </c>
      <c r="H49" s="37">
        <v>24004.350000000009</v>
      </c>
      <c r="I49" s="9">
        <v>0</v>
      </c>
      <c r="S49"/>
      <c r="T49"/>
      <c r="U49"/>
      <c r="Y49" s="62"/>
      <c r="Z49" s="62"/>
      <c r="AA49" s="87">
        <f t="shared" ref="AA49:AA74" si="21">IF(ISNUMBER(J49), IF(ISNUMBER(W49), J49 + W49, J49), IF(ISNUMBER(W49), W49,0))</f>
        <v>0</v>
      </c>
      <c r="AB49" s="87">
        <v>46500</v>
      </c>
      <c r="AC49" s="87">
        <f t="shared" ref="AC49:AC74" si="22">K49+X49</f>
        <v>0</v>
      </c>
      <c r="AD49" s="87">
        <f t="shared" ref="AD49:AD74" si="23">AB49+AC49</f>
        <v>46500</v>
      </c>
      <c r="AE49" s="87">
        <f t="shared" ref="AE49:AE74" si="24">AA49-AD49</f>
        <v>-46500</v>
      </c>
    </row>
    <row r="50" spans="1:31" x14ac:dyDescent="0.25">
      <c r="F50"/>
      <c r="G50"/>
      <c r="H50"/>
      <c r="S50"/>
      <c r="T50"/>
      <c r="U50"/>
      <c r="Y50" s="62"/>
      <c r="Z50" s="62"/>
      <c r="AA50" s="87">
        <f t="shared" si="21"/>
        <v>0</v>
      </c>
      <c r="AB50" s="87">
        <v>46500</v>
      </c>
      <c r="AC50" s="87">
        <f t="shared" si="22"/>
        <v>0</v>
      </c>
      <c r="AD50" s="87">
        <f t="shared" si="23"/>
        <v>46500</v>
      </c>
      <c r="AE50" s="87">
        <f t="shared" si="24"/>
        <v>-46500</v>
      </c>
    </row>
    <row r="51" spans="1:31" x14ac:dyDescent="0.25">
      <c r="F51"/>
      <c r="G51"/>
      <c r="H51"/>
      <c r="S51"/>
      <c r="T51"/>
      <c r="U51"/>
      <c r="Y51" s="62"/>
      <c r="Z51" s="62"/>
      <c r="AA51" s="87">
        <f t="shared" si="21"/>
        <v>0</v>
      </c>
      <c r="AB51" s="87">
        <v>46500</v>
      </c>
      <c r="AC51" s="87">
        <f t="shared" si="22"/>
        <v>0</v>
      </c>
      <c r="AD51" s="87">
        <f t="shared" si="23"/>
        <v>46500</v>
      </c>
      <c r="AE51" s="87">
        <f t="shared" si="24"/>
        <v>-46500</v>
      </c>
    </row>
    <row r="52" spans="1:31" x14ac:dyDescent="0.25">
      <c r="F52"/>
      <c r="G52"/>
      <c r="H52"/>
      <c r="S52"/>
      <c r="T52"/>
      <c r="U52"/>
      <c r="Y52" s="62"/>
      <c r="Z52" s="62"/>
      <c r="AA52" s="87">
        <f t="shared" si="21"/>
        <v>0</v>
      </c>
      <c r="AB52" s="87">
        <v>46500</v>
      </c>
      <c r="AC52" s="87">
        <f t="shared" si="22"/>
        <v>0</v>
      </c>
      <c r="AD52" s="87">
        <f t="shared" si="23"/>
        <v>46500</v>
      </c>
      <c r="AE52" s="87">
        <f t="shared" si="24"/>
        <v>-46500</v>
      </c>
    </row>
    <row r="53" spans="1:31" x14ac:dyDescent="0.25">
      <c r="F53"/>
      <c r="G53"/>
      <c r="H53"/>
      <c r="S53"/>
      <c r="T53"/>
      <c r="U53"/>
      <c r="Y53" s="62"/>
      <c r="Z53" s="62"/>
      <c r="AA53" s="87">
        <f t="shared" si="21"/>
        <v>0</v>
      </c>
      <c r="AB53" s="87">
        <v>46500</v>
      </c>
      <c r="AC53" s="87">
        <f t="shared" si="22"/>
        <v>0</v>
      </c>
      <c r="AD53" s="87">
        <f t="shared" si="23"/>
        <v>46500</v>
      </c>
      <c r="AE53" s="87">
        <f t="shared" si="24"/>
        <v>-46500</v>
      </c>
    </row>
    <row r="54" spans="1:31" x14ac:dyDescent="0.25">
      <c r="F54"/>
      <c r="G54"/>
      <c r="H54"/>
      <c r="S54"/>
      <c r="T54"/>
      <c r="U54"/>
      <c r="Y54" s="62"/>
      <c r="Z54" s="62"/>
      <c r="AA54" s="87">
        <f t="shared" si="21"/>
        <v>0</v>
      </c>
      <c r="AB54" s="87">
        <v>46500</v>
      </c>
      <c r="AC54" s="87">
        <f t="shared" si="22"/>
        <v>0</v>
      </c>
      <c r="AD54" s="87">
        <f t="shared" si="23"/>
        <v>46500</v>
      </c>
      <c r="AE54" s="87">
        <f t="shared" si="24"/>
        <v>-46500</v>
      </c>
    </row>
    <row r="55" spans="1:31" x14ac:dyDescent="0.25">
      <c r="F55"/>
      <c r="G55"/>
      <c r="H55"/>
      <c r="S55"/>
      <c r="T55"/>
      <c r="U55"/>
      <c r="Y55" s="62"/>
      <c r="Z55" s="62"/>
      <c r="AA55" s="87">
        <f t="shared" si="21"/>
        <v>0</v>
      </c>
      <c r="AB55" s="87">
        <v>46500</v>
      </c>
      <c r="AC55" s="87">
        <f t="shared" si="22"/>
        <v>0</v>
      </c>
      <c r="AD55" s="87">
        <f t="shared" si="23"/>
        <v>46500</v>
      </c>
      <c r="AE55" s="87">
        <f t="shared" si="24"/>
        <v>-46500</v>
      </c>
    </row>
    <row r="56" spans="1:31" x14ac:dyDescent="0.25">
      <c r="F56"/>
      <c r="G56"/>
      <c r="H56"/>
      <c r="S56"/>
      <c r="T56"/>
      <c r="U56"/>
      <c r="Y56" s="62"/>
      <c r="Z56" s="62"/>
      <c r="AA56" s="87">
        <f t="shared" si="21"/>
        <v>0</v>
      </c>
      <c r="AB56" s="87">
        <v>46500</v>
      </c>
      <c r="AC56" s="87">
        <f t="shared" si="22"/>
        <v>0</v>
      </c>
      <c r="AD56" s="87">
        <f t="shared" si="23"/>
        <v>46500</v>
      </c>
      <c r="AE56" s="87">
        <f t="shared" si="24"/>
        <v>-46500</v>
      </c>
    </row>
    <row r="57" spans="1:31" x14ac:dyDescent="0.25">
      <c r="F57"/>
      <c r="G57"/>
      <c r="H57"/>
      <c r="S57"/>
      <c r="T57"/>
      <c r="U57"/>
      <c r="Y57" s="62"/>
      <c r="Z57" s="62"/>
      <c r="AA57" s="87">
        <f t="shared" si="21"/>
        <v>0</v>
      </c>
      <c r="AB57" s="87">
        <v>46500</v>
      </c>
      <c r="AC57" s="87">
        <f t="shared" si="22"/>
        <v>0</v>
      </c>
      <c r="AD57" s="87">
        <f t="shared" si="23"/>
        <v>46500</v>
      </c>
      <c r="AE57" s="87">
        <f t="shared" si="24"/>
        <v>-46500</v>
      </c>
    </row>
    <row r="58" spans="1:31" x14ac:dyDescent="0.25">
      <c r="F58"/>
      <c r="G58"/>
      <c r="H58"/>
      <c r="S58"/>
      <c r="T58"/>
      <c r="U58"/>
      <c r="Y58" s="62"/>
      <c r="Z58" s="62"/>
      <c r="AA58" s="87">
        <f t="shared" si="21"/>
        <v>0</v>
      </c>
      <c r="AB58" s="87">
        <v>46500</v>
      </c>
      <c r="AC58" s="87">
        <f t="shared" si="22"/>
        <v>0</v>
      </c>
      <c r="AD58" s="87">
        <f t="shared" si="23"/>
        <v>46500</v>
      </c>
      <c r="AE58" s="87">
        <f t="shared" si="24"/>
        <v>-46500</v>
      </c>
    </row>
    <row r="59" spans="1:31" x14ac:dyDescent="0.25">
      <c r="F59"/>
      <c r="G59"/>
      <c r="H59"/>
      <c r="S59"/>
      <c r="T59"/>
      <c r="U59"/>
      <c r="Y59" s="62"/>
      <c r="Z59" s="62"/>
      <c r="AA59" s="87">
        <f t="shared" si="21"/>
        <v>0</v>
      </c>
      <c r="AB59" s="87">
        <v>46500</v>
      </c>
      <c r="AC59" s="87">
        <f t="shared" si="22"/>
        <v>0</v>
      </c>
      <c r="AD59" s="87">
        <f t="shared" si="23"/>
        <v>46500</v>
      </c>
      <c r="AE59" s="87">
        <f t="shared" si="24"/>
        <v>-46500</v>
      </c>
    </row>
    <row r="60" spans="1:31" x14ac:dyDescent="0.25">
      <c r="F60"/>
      <c r="G60"/>
      <c r="H60"/>
      <c r="S60"/>
      <c r="T60"/>
      <c r="U60"/>
      <c r="Y60" s="62"/>
      <c r="Z60" s="62"/>
      <c r="AA60" s="87">
        <f t="shared" si="21"/>
        <v>0</v>
      </c>
      <c r="AB60" s="87">
        <v>46500</v>
      </c>
      <c r="AC60" s="87">
        <f t="shared" si="22"/>
        <v>0</v>
      </c>
      <c r="AD60" s="87">
        <f t="shared" si="23"/>
        <v>46500</v>
      </c>
      <c r="AE60" s="87">
        <f t="shared" si="24"/>
        <v>-46500</v>
      </c>
    </row>
    <row r="61" spans="1:31" x14ac:dyDescent="0.25">
      <c r="F61"/>
      <c r="G61"/>
      <c r="H61"/>
      <c r="S61"/>
      <c r="T61"/>
      <c r="U61"/>
      <c r="Y61" s="62"/>
      <c r="Z61" s="62"/>
      <c r="AA61" s="87">
        <f t="shared" si="21"/>
        <v>0</v>
      </c>
      <c r="AB61" s="87">
        <v>46500</v>
      </c>
      <c r="AC61" s="87">
        <f t="shared" si="22"/>
        <v>0</v>
      </c>
      <c r="AD61" s="87">
        <f t="shared" si="23"/>
        <v>46500</v>
      </c>
      <c r="AE61" s="87">
        <f t="shared" si="24"/>
        <v>-46500</v>
      </c>
    </row>
    <row r="62" spans="1:31" x14ac:dyDescent="0.25">
      <c r="F62"/>
      <c r="G62"/>
      <c r="H62"/>
      <c r="S62"/>
      <c r="T62"/>
      <c r="U62"/>
      <c r="Y62" s="62"/>
      <c r="Z62" s="62"/>
      <c r="AA62" s="87">
        <f t="shared" si="21"/>
        <v>0</v>
      </c>
      <c r="AB62" s="87">
        <v>46500</v>
      </c>
      <c r="AC62" s="87">
        <f t="shared" si="22"/>
        <v>0</v>
      </c>
      <c r="AD62" s="87">
        <f t="shared" si="23"/>
        <v>46500</v>
      </c>
      <c r="AE62" s="87">
        <f t="shared" si="24"/>
        <v>-46500</v>
      </c>
    </row>
    <row r="63" spans="1:31" x14ac:dyDescent="0.25">
      <c r="F63"/>
      <c r="G63"/>
      <c r="H63"/>
      <c r="S63"/>
      <c r="T63"/>
      <c r="U63"/>
      <c r="Y63" s="62"/>
      <c r="Z63" s="62"/>
      <c r="AA63" s="87">
        <f t="shared" si="21"/>
        <v>0</v>
      </c>
      <c r="AB63" s="87">
        <v>46500</v>
      </c>
      <c r="AC63" s="87">
        <f t="shared" si="22"/>
        <v>0</v>
      </c>
      <c r="AD63" s="87">
        <f t="shared" si="23"/>
        <v>46500</v>
      </c>
      <c r="AE63" s="87">
        <f t="shared" si="24"/>
        <v>-46500</v>
      </c>
    </row>
    <row r="64" spans="1:31" x14ac:dyDescent="0.25">
      <c r="F64"/>
      <c r="G64"/>
      <c r="H64"/>
      <c r="S64"/>
      <c r="T64"/>
      <c r="U64"/>
      <c r="Y64" s="62"/>
      <c r="Z64" s="62"/>
      <c r="AA64" s="87">
        <f t="shared" si="21"/>
        <v>0</v>
      </c>
      <c r="AB64" s="87">
        <v>46500</v>
      </c>
      <c r="AC64" s="87">
        <f t="shared" si="22"/>
        <v>0</v>
      </c>
      <c r="AD64" s="87">
        <f t="shared" si="23"/>
        <v>46500</v>
      </c>
      <c r="AE64" s="87">
        <f t="shared" si="24"/>
        <v>-46500</v>
      </c>
    </row>
    <row r="65" spans="1:31" x14ac:dyDescent="0.25">
      <c r="F65"/>
      <c r="G65"/>
      <c r="H65"/>
      <c r="S65"/>
      <c r="T65"/>
      <c r="U65"/>
      <c r="Y65" s="62"/>
      <c r="Z65" s="62"/>
      <c r="AA65" s="87">
        <f t="shared" si="21"/>
        <v>0</v>
      </c>
      <c r="AB65" s="87">
        <v>46500</v>
      </c>
      <c r="AC65" s="87">
        <f t="shared" si="22"/>
        <v>0</v>
      </c>
      <c r="AD65" s="87">
        <f t="shared" si="23"/>
        <v>46500</v>
      </c>
      <c r="AE65" s="87">
        <f t="shared" si="24"/>
        <v>-46500</v>
      </c>
    </row>
    <row r="66" spans="1:31" x14ac:dyDescent="0.25">
      <c r="F66"/>
      <c r="G66"/>
      <c r="H66"/>
      <c r="S66"/>
      <c r="T66"/>
      <c r="U66"/>
      <c r="Y66" s="62"/>
      <c r="Z66" s="62"/>
      <c r="AA66" s="87">
        <f t="shared" si="21"/>
        <v>0</v>
      </c>
      <c r="AB66" s="87">
        <v>46500</v>
      </c>
      <c r="AC66" s="87">
        <f t="shared" si="22"/>
        <v>0</v>
      </c>
      <c r="AD66" s="87">
        <f t="shared" si="23"/>
        <v>46500</v>
      </c>
      <c r="AE66" s="87">
        <f t="shared" si="24"/>
        <v>-46500</v>
      </c>
    </row>
    <row r="67" spans="1:31" x14ac:dyDescent="0.25">
      <c r="F67"/>
      <c r="G67"/>
      <c r="H67"/>
      <c r="S67"/>
      <c r="T67"/>
      <c r="U67"/>
      <c r="Y67" s="62"/>
      <c r="Z67" s="62"/>
      <c r="AA67" s="87">
        <f t="shared" si="21"/>
        <v>0</v>
      </c>
      <c r="AB67" s="87">
        <v>46500</v>
      </c>
      <c r="AC67" s="87">
        <f t="shared" si="22"/>
        <v>0</v>
      </c>
      <c r="AD67" s="87">
        <f t="shared" si="23"/>
        <v>46500</v>
      </c>
      <c r="AE67" s="87">
        <f t="shared" si="24"/>
        <v>-46500</v>
      </c>
    </row>
    <row r="68" spans="1:31" x14ac:dyDescent="0.25">
      <c r="F68"/>
      <c r="G68"/>
      <c r="H68"/>
      <c r="S68"/>
      <c r="T68"/>
      <c r="U68"/>
      <c r="Y68" s="62"/>
      <c r="Z68" s="62"/>
      <c r="AA68" s="87">
        <f t="shared" si="21"/>
        <v>0</v>
      </c>
      <c r="AB68" s="87">
        <v>46500</v>
      </c>
      <c r="AC68" s="87">
        <f t="shared" si="22"/>
        <v>0</v>
      </c>
      <c r="AD68" s="87">
        <f t="shared" si="23"/>
        <v>46500</v>
      </c>
      <c r="AE68" s="87">
        <f t="shared" si="24"/>
        <v>-46500</v>
      </c>
    </row>
    <row r="69" spans="1:31" x14ac:dyDescent="0.25">
      <c r="F69"/>
      <c r="G69"/>
      <c r="H69"/>
      <c r="S69"/>
      <c r="T69"/>
      <c r="U69"/>
      <c r="Y69" s="62"/>
      <c r="Z69" s="62"/>
      <c r="AA69" s="87">
        <f t="shared" si="21"/>
        <v>0</v>
      </c>
      <c r="AB69" s="87">
        <v>46500</v>
      </c>
      <c r="AC69" s="87">
        <f t="shared" si="22"/>
        <v>0</v>
      </c>
      <c r="AD69" s="87">
        <f t="shared" si="23"/>
        <v>46500</v>
      </c>
      <c r="AE69" s="87">
        <f t="shared" si="24"/>
        <v>-46500</v>
      </c>
    </row>
    <row r="70" spans="1:31" x14ac:dyDescent="0.25">
      <c r="F70"/>
      <c r="G70"/>
      <c r="H70"/>
      <c r="S70"/>
      <c r="T70"/>
      <c r="U70"/>
      <c r="Y70" s="62"/>
      <c r="Z70" s="62"/>
      <c r="AA70" s="87">
        <f t="shared" si="21"/>
        <v>0</v>
      </c>
      <c r="AB70" s="87">
        <v>46500</v>
      </c>
      <c r="AC70" s="87">
        <f t="shared" si="22"/>
        <v>0</v>
      </c>
      <c r="AD70" s="87">
        <f t="shared" si="23"/>
        <v>46500</v>
      </c>
      <c r="AE70" s="87">
        <f t="shared" si="24"/>
        <v>-46500</v>
      </c>
    </row>
    <row r="71" spans="1:31" x14ac:dyDescent="0.25">
      <c r="F71"/>
      <c r="G71"/>
      <c r="H71"/>
      <c r="S71"/>
      <c r="T71"/>
      <c r="U71"/>
      <c r="Y71" s="62"/>
      <c r="Z71" s="62"/>
      <c r="AA71" s="87">
        <f t="shared" si="21"/>
        <v>0</v>
      </c>
      <c r="AB71" s="87">
        <v>46500</v>
      </c>
      <c r="AC71" s="87">
        <f t="shared" si="22"/>
        <v>0</v>
      </c>
      <c r="AD71" s="87">
        <f t="shared" si="23"/>
        <v>46500</v>
      </c>
      <c r="AE71" s="87">
        <f t="shared" si="24"/>
        <v>-46500</v>
      </c>
    </row>
    <row r="72" spans="1:31" x14ac:dyDescent="0.25">
      <c r="F72"/>
      <c r="G72"/>
      <c r="H72"/>
      <c r="S72"/>
      <c r="T72"/>
      <c r="U72"/>
      <c r="Y72" s="62"/>
      <c r="Z72" s="62"/>
      <c r="AA72" s="87">
        <f t="shared" si="21"/>
        <v>0</v>
      </c>
      <c r="AB72" s="87">
        <v>46500</v>
      </c>
      <c r="AC72" s="87">
        <f t="shared" si="22"/>
        <v>0</v>
      </c>
      <c r="AD72" s="87">
        <f t="shared" si="23"/>
        <v>46500</v>
      </c>
      <c r="AE72" s="87">
        <f t="shared" si="24"/>
        <v>-46500</v>
      </c>
    </row>
    <row r="73" spans="1:31" x14ac:dyDescent="0.25">
      <c r="F73"/>
      <c r="G73"/>
      <c r="H73"/>
      <c r="S73"/>
      <c r="T73"/>
      <c r="U73"/>
      <c r="Y73" s="62"/>
      <c r="Z73" s="62"/>
      <c r="AA73" s="87">
        <f t="shared" si="21"/>
        <v>0</v>
      </c>
      <c r="AB73" s="87">
        <v>46500</v>
      </c>
      <c r="AC73" s="87">
        <f t="shared" si="22"/>
        <v>0</v>
      </c>
      <c r="AD73" s="87">
        <f t="shared" si="23"/>
        <v>46500</v>
      </c>
      <c r="AE73" s="87">
        <f t="shared" si="24"/>
        <v>-46500</v>
      </c>
    </row>
    <row r="74" spans="1:31" x14ac:dyDescent="0.25">
      <c r="F74"/>
      <c r="G74"/>
      <c r="H74"/>
      <c r="S74"/>
      <c r="T74"/>
      <c r="U74"/>
      <c r="Y74" s="62"/>
      <c r="Z74" s="62"/>
      <c r="AA74" s="87">
        <f t="shared" si="21"/>
        <v>0</v>
      </c>
      <c r="AB74" s="87">
        <v>46500</v>
      </c>
      <c r="AC74" s="87">
        <f t="shared" si="22"/>
        <v>0</v>
      </c>
      <c r="AD74" s="87">
        <f t="shared" si="23"/>
        <v>46500</v>
      </c>
      <c r="AE74" s="87">
        <f t="shared" si="24"/>
        <v>-46500</v>
      </c>
    </row>
    <row r="75" spans="1:31" x14ac:dyDescent="0.25">
      <c r="AA75" s="88">
        <f>SUM(AA49:AA74)</f>
        <v>0</v>
      </c>
      <c r="AB75" s="88">
        <f t="shared" ref="AB75:AE75" si="25">SUM(AB49:AB74)</f>
        <v>1209000</v>
      </c>
      <c r="AC75" s="88">
        <f>SUM(AC49:AC74)</f>
        <v>0</v>
      </c>
      <c r="AD75" s="88">
        <f>SUM(AD49:AD74)</f>
        <v>1209000</v>
      </c>
      <c r="AE75" s="88">
        <f t="shared" si="25"/>
        <v>-1209000</v>
      </c>
    </row>
    <row r="76" spans="1:31" x14ac:dyDescent="0.25">
      <c r="AA76" s="78"/>
      <c r="AB76" s="78"/>
      <c r="AC76" s="78"/>
      <c r="AD76" s="78"/>
      <c r="AE76" s="78"/>
    </row>
    <row r="77" spans="1:31" hidden="1" x14ac:dyDescent="0.25">
      <c r="A77" s="54" t="s">
        <v>6</v>
      </c>
      <c r="B77" t="s">
        <v>7</v>
      </c>
      <c r="N77" s="54" t="s">
        <v>6</v>
      </c>
      <c r="O77" t="s">
        <v>8</v>
      </c>
      <c r="AA77" s="78"/>
      <c r="AB77" s="78"/>
      <c r="AC77" s="78"/>
      <c r="AD77" s="78"/>
      <c r="AE77" s="78"/>
    </row>
    <row r="78" spans="1:31" ht="16.5" thickBot="1" x14ac:dyDescent="0.3">
      <c r="AA78" s="78"/>
      <c r="AB78" s="78"/>
      <c r="AC78" s="78"/>
      <c r="AD78" s="78"/>
      <c r="AE78" s="78"/>
    </row>
    <row r="79" spans="1:31" x14ac:dyDescent="0.25">
      <c r="A79" s="54" t="s">
        <v>28</v>
      </c>
      <c r="B79" s="54" t="s">
        <v>11</v>
      </c>
      <c r="C79" s="54" t="s">
        <v>4</v>
      </c>
      <c r="D79" s="54" t="s">
        <v>20</v>
      </c>
      <c r="E79" s="15" t="s">
        <v>106</v>
      </c>
      <c r="F79" s="15" t="s">
        <v>110</v>
      </c>
      <c r="G79" t="s">
        <v>170</v>
      </c>
      <c r="H79" s="15" t="s">
        <v>101</v>
      </c>
      <c r="I79" t="s">
        <v>63</v>
      </c>
      <c r="N79" s="54" t="s">
        <v>28</v>
      </c>
      <c r="O79" s="54" t="s">
        <v>11</v>
      </c>
      <c r="P79" s="54" t="s">
        <v>4</v>
      </c>
      <c r="Q79" s="54" t="s">
        <v>20</v>
      </c>
      <c r="R79" s="15" t="s">
        <v>106</v>
      </c>
      <c r="S79" s="15" t="s">
        <v>110</v>
      </c>
      <c r="T79" t="s">
        <v>170</v>
      </c>
      <c r="U79" s="15" t="s">
        <v>101</v>
      </c>
      <c r="V79" t="s">
        <v>63</v>
      </c>
      <c r="Y79" s="15"/>
      <c r="Z79" s="15"/>
      <c r="AA79" s="85" t="s">
        <v>123</v>
      </c>
      <c r="AB79" s="85" t="s">
        <v>173</v>
      </c>
      <c r="AC79" s="85" t="s">
        <v>96</v>
      </c>
      <c r="AD79" s="85" t="s">
        <v>171</v>
      </c>
      <c r="AE79" s="85" t="s">
        <v>174</v>
      </c>
    </row>
    <row r="80" spans="1:31" x14ac:dyDescent="0.25">
      <c r="A80" t="s">
        <v>146</v>
      </c>
      <c r="B80" t="s">
        <v>23</v>
      </c>
      <c r="C80" s="60">
        <v>45765</v>
      </c>
      <c r="D80" t="s">
        <v>159</v>
      </c>
      <c r="E80" s="23">
        <v>88</v>
      </c>
      <c r="F80" s="388">
        <v>98</v>
      </c>
      <c r="G80" s="29">
        <v>0.4731182795698925</v>
      </c>
      <c r="H80" s="37">
        <v>24004.350000000009</v>
      </c>
      <c r="I80" s="9">
        <v>0</v>
      </c>
      <c r="S80"/>
      <c r="T80"/>
      <c r="U80"/>
      <c r="Y80" s="62"/>
      <c r="Z80" s="62"/>
      <c r="AA80" s="87">
        <f t="shared" ref="AA80:AA86" si="26">IF(ISNUMBER(J80), IF(ISNUMBER(W80), J80 + W80, J80), IF(ISNUMBER(W80), W80,0))</f>
        <v>0</v>
      </c>
      <c r="AB80" s="87">
        <v>57000</v>
      </c>
      <c r="AC80" s="87">
        <f t="shared" ref="AC80:AC86" si="27">K80+X80</f>
        <v>0</v>
      </c>
      <c r="AD80" s="87">
        <f t="shared" ref="AD80:AD86" si="28">AB80+AC80</f>
        <v>57000</v>
      </c>
      <c r="AE80" s="87">
        <f t="shared" ref="AE80:AE86" si="29">AA80-AD80</f>
        <v>-57000</v>
      </c>
    </row>
    <row r="81" spans="1:31" x14ac:dyDescent="0.25">
      <c r="F81"/>
      <c r="G81"/>
      <c r="H81"/>
      <c r="S81"/>
      <c r="T81"/>
      <c r="U81"/>
      <c r="Y81" s="62"/>
      <c r="Z81" s="62"/>
      <c r="AA81" s="87">
        <f t="shared" si="26"/>
        <v>0</v>
      </c>
      <c r="AB81" s="87">
        <v>57000</v>
      </c>
      <c r="AC81" s="87">
        <f t="shared" si="27"/>
        <v>0</v>
      </c>
      <c r="AD81" s="87">
        <f t="shared" si="28"/>
        <v>57000</v>
      </c>
      <c r="AE81" s="87">
        <f t="shared" si="29"/>
        <v>-57000</v>
      </c>
    </row>
    <row r="82" spans="1:31" x14ac:dyDescent="0.25">
      <c r="F82"/>
      <c r="G82"/>
      <c r="H82"/>
      <c r="S82"/>
      <c r="T82"/>
      <c r="U82"/>
      <c r="Y82" s="62"/>
      <c r="Z82" s="62"/>
      <c r="AA82" s="87">
        <f t="shared" si="26"/>
        <v>0</v>
      </c>
      <c r="AB82" s="87">
        <v>57000</v>
      </c>
      <c r="AC82" s="87">
        <f t="shared" si="27"/>
        <v>0</v>
      </c>
      <c r="AD82" s="87">
        <f t="shared" si="28"/>
        <v>57000</v>
      </c>
      <c r="AE82" s="87">
        <f t="shared" si="29"/>
        <v>-57000</v>
      </c>
    </row>
    <row r="83" spans="1:31" x14ac:dyDescent="0.25">
      <c r="F83"/>
      <c r="G83"/>
      <c r="H83"/>
      <c r="S83"/>
      <c r="T83"/>
      <c r="U83"/>
      <c r="Y83" s="62"/>
      <c r="Z83" s="62"/>
      <c r="AA83" s="87">
        <f t="shared" si="26"/>
        <v>0</v>
      </c>
      <c r="AB83" s="87">
        <v>57000</v>
      </c>
      <c r="AC83" s="87">
        <f t="shared" si="27"/>
        <v>0</v>
      </c>
      <c r="AD83" s="87">
        <f t="shared" si="28"/>
        <v>57000</v>
      </c>
      <c r="AE83" s="87">
        <f t="shared" si="29"/>
        <v>-57000</v>
      </c>
    </row>
    <row r="84" spans="1:31" x14ac:dyDescent="0.25">
      <c r="F84"/>
      <c r="G84"/>
      <c r="H84"/>
      <c r="S84"/>
      <c r="T84"/>
      <c r="U84"/>
      <c r="Y84" s="62"/>
      <c r="Z84" s="62"/>
      <c r="AA84" s="87">
        <f t="shared" si="26"/>
        <v>0</v>
      </c>
      <c r="AB84" s="87">
        <v>57000</v>
      </c>
      <c r="AC84" s="87">
        <f t="shared" si="27"/>
        <v>0</v>
      </c>
      <c r="AD84" s="87">
        <f t="shared" si="28"/>
        <v>57000</v>
      </c>
      <c r="AE84" s="87">
        <f t="shared" si="29"/>
        <v>-57000</v>
      </c>
    </row>
    <row r="85" spans="1:31" x14ac:dyDescent="0.25">
      <c r="F85"/>
      <c r="G85"/>
      <c r="H85"/>
      <c r="S85"/>
      <c r="T85"/>
      <c r="U85"/>
      <c r="Y85" s="62"/>
      <c r="Z85" s="62"/>
      <c r="AA85" s="87">
        <f t="shared" si="26"/>
        <v>0</v>
      </c>
      <c r="AB85" s="87">
        <v>57000</v>
      </c>
      <c r="AC85" s="87">
        <f t="shared" si="27"/>
        <v>0</v>
      </c>
      <c r="AD85" s="87">
        <f t="shared" si="28"/>
        <v>57000</v>
      </c>
      <c r="AE85" s="87">
        <f t="shared" si="29"/>
        <v>-57000</v>
      </c>
    </row>
    <row r="86" spans="1:31" x14ac:dyDescent="0.25">
      <c r="F86"/>
      <c r="G86"/>
      <c r="H86"/>
      <c r="S86"/>
      <c r="T86"/>
      <c r="U86"/>
      <c r="Y86" s="62"/>
      <c r="Z86" s="62"/>
      <c r="AA86" s="87">
        <f t="shared" si="26"/>
        <v>0</v>
      </c>
      <c r="AB86" s="87">
        <v>57000</v>
      </c>
      <c r="AC86" s="87">
        <f t="shared" si="27"/>
        <v>0</v>
      </c>
      <c r="AD86" s="87">
        <f t="shared" si="28"/>
        <v>57000</v>
      </c>
      <c r="AE86" s="87">
        <f t="shared" si="29"/>
        <v>-57000</v>
      </c>
    </row>
    <row r="87" spans="1:31" x14ac:dyDescent="0.25">
      <c r="AA87" s="88">
        <f>SUM(AA80:AA86)</f>
        <v>0</v>
      </c>
      <c r="AB87" s="88">
        <f>SUM(AB80:AB86)</f>
        <v>399000</v>
      </c>
      <c r="AC87" s="88">
        <f>SUM(AC80:AC86)</f>
        <v>0</v>
      </c>
      <c r="AD87" s="88">
        <f>SUM(AD80:AD86)</f>
        <v>399000</v>
      </c>
      <c r="AE87" s="88">
        <f>SUM(AE80:AE86)</f>
        <v>-399000</v>
      </c>
    </row>
    <row r="89" spans="1:31" hidden="1" x14ac:dyDescent="0.25">
      <c r="A89" s="54" t="s">
        <v>6</v>
      </c>
      <c r="B89" t="s">
        <v>7</v>
      </c>
      <c r="N89" s="54" t="s">
        <v>6</v>
      </c>
      <c r="O89" t="s">
        <v>8</v>
      </c>
      <c r="AA89" s="78"/>
      <c r="AB89" s="78"/>
      <c r="AC89" s="78"/>
      <c r="AD89" s="78"/>
      <c r="AE89" s="78"/>
    </row>
    <row r="90" spans="1:31" ht="16.5" thickBot="1" x14ac:dyDescent="0.3">
      <c r="AA90" s="78"/>
      <c r="AB90" s="78"/>
      <c r="AC90" s="78"/>
      <c r="AD90" s="78"/>
      <c r="AE90" s="78"/>
    </row>
    <row r="91" spans="1:31" x14ac:dyDescent="0.25">
      <c r="A91" s="54" t="s">
        <v>28</v>
      </c>
      <c r="B91" s="54" t="s">
        <v>11</v>
      </c>
      <c r="C91" s="54" t="s">
        <v>4</v>
      </c>
      <c r="D91" s="54" t="s">
        <v>20</v>
      </c>
      <c r="E91" s="15" t="s">
        <v>106</v>
      </c>
      <c r="F91" s="15" t="s">
        <v>110</v>
      </c>
      <c r="G91" t="s">
        <v>170</v>
      </c>
      <c r="H91" s="15" t="s">
        <v>101</v>
      </c>
      <c r="I91" t="s">
        <v>63</v>
      </c>
      <c r="N91" s="54" t="s">
        <v>28</v>
      </c>
      <c r="O91" s="54" t="s">
        <v>11</v>
      </c>
      <c r="P91" s="54" t="s">
        <v>4</v>
      </c>
      <c r="Q91" s="54" t="s">
        <v>20</v>
      </c>
      <c r="R91" s="15" t="s">
        <v>106</v>
      </c>
      <c r="S91" s="15" t="s">
        <v>110</v>
      </c>
      <c r="T91" t="s">
        <v>170</v>
      </c>
      <c r="U91" s="15" t="s">
        <v>101</v>
      </c>
      <c r="V91" t="s">
        <v>63</v>
      </c>
      <c r="Y91" s="15"/>
      <c r="Z91" s="15"/>
      <c r="AA91" s="85" t="s">
        <v>123</v>
      </c>
      <c r="AB91" s="85" t="s">
        <v>173</v>
      </c>
      <c r="AC91" s="85" t="s">
        <v>96</v>
      </c>
      <c r="AD91" s="85" t="s">
        <v>171</v>
      </c>
      <c r="AE91" s="85" t="s">
        <v>174</v>
      </c>
    </row>
    <row r="92" spans="1:31" x14ac:dyDescent="0.25">
      <c r="A92" t="s">
        <v>146</v>
      </c>
      <c r="B92" t="s">
        <v>23</v>
      </c>
      <c r="C92" s="60">
        <v>45765</v>
      </c>
      <c r="D92" t="s">
        <v>159</v>
      </c>
      <c r="E92" s="23">
        <v>88</v>
      </c>
      <c r="F92" s="388">
        <v>98</v>
      </c>
      <c r="G92" s="29">
        <v>0.4731182795698925</v>
      </c>
      <c r="H92" s="37">
        <v>24004.350000000009</v>
      </c>
      <c r="I92" s="9">
        <v>0</v>
      </c>
      <c r="S92"/>
      <c r="T92"/>
      <c r="U92"/>
      <c r="Y92" s="62"/>
      <c r="Z92" s="62"/>
      <c r="AA92" s="87">
        <f t="shared" ref="AA92:AA98" si="30">IF(ISNUMBER(J92), IF(ISNUMBER(W92), J92 + W92, J92), IF(ISNUMBER(W92), W92,0))</f>
        <v>0</v>
      </c>
      <c r="AB92" s="87">
        <v>46500</v>
      </c>
      <c r="AC92" s="87">
        <f t="shared" ref="AC92:AC98" si="31">K92+X92</f>
        <v>0</v>
      </c>
      <c r="AD92" s="87">
        <f t="shared" ref="AD92:AD98" si="32">AB92+AC92</f>
        <v>46500</v>
      </c>
      <c r="AE92" s="87">
        <f t="shared" ref="AE92:AE98" si="33">AA92-AD92</f>
        <v>-46500</v>
      </c>
    </row>
    <row r="93" spans="1:31" x14ac:dyDescent="0.25">
      <c r="F93"/>
      <c r="G93"/>
      <c r="H93"/>
      <c r="S93"/>
      <c r="T93"/>
      <c r="U93"/>
      <c r="Y93" s="62"/>
      <c r="Z93" s="62"/>
      <c r="AA93" s="87">
        <f t="shared" si="30"/>
        <v>0</v>
      </c>
      <c r="AB93" s="87">
        <v>46500</v>
      </c>
      <c r="AC93" s="87">
        <f t="shared" si="31"/>
        <v>0</v>
      </c>
      <c r="AD93" s="87">
        <f t="shared" si="32"/>
        <v>46500</v>
      </c>
      <c r="AE93" s="87">
        <f t="shared" si="33"/>
        <v>-46500</v>
      </c>
    </row>
    <row r="94" spans="1:31" x14ac:dyDescent="0.25">
      <c r="F94"/>
      <c r="G94"/>
      <c r="H94"/>
      <c r="S94"/>
      <c r="T94"/>
      <c r="U94"/>
      <c r="Y94" s="62"/>
      <c r="Z94" s="62"/>
      <c r="AA94" s="87">
        <f t="shared" si="30"/>
        <v>0</v>
      </c>
      <c r="AB94" s="87">
        <v>46500</v>
      </c>
      <c r="AC94" s="87">
        <f t="shared" si="31"/>
        <v>0</v>
      </c>
      <c r="AD94" s="87">
        <f t="shared" si="32"/>
        <v>46500</v>
      </c>
      <c r="AE94" s="87">
        <f t="shared" si="33"/>
        <v>-46500</v>
      </c>
    </row>
    <row r="95" spans="1:31" x14ac:dyDescent="0.25">
      <c r="F95"/>
      <c r="G95"/>
      <c r="H95"/>
      <c r="S95"/>
      <c r="T95"/>
      <c r="U95"/>
      <c r="Y95" s="62"/>
      <c r="Z95" s="62"/>
      <c r="AA95" s="87">
        <f t="shared" si="30"/>
        <v>0</v>
      </c>
      <c r="AB95" s="87">
        <v>46500</v>
      </c>
      <c r="AC95" s="87">
        <f t="shared" si="31"/>
        <v>0</v>
      </c>
      <c r="AD95" s="87">
        <f t="shared" si="32"/>
        <v>46500</v>
      </c>
      <c r="AE95" s="87">
        <f t="shared" si="33"/>
        <v>-46500</v>
      </c>
    </row>
    <row r="96" spans="1:31" x14ac:dyDescent="0.25">
      <c r="F96"/>
      <c r="G96"/>
      <c r="H96"/>
      <c r="S96"/>
      <c r="T96"/>
      <c r="U96"/>
      <c r="Y96" s="62"/>
      <c r="Z96" s="62"/>
      <c r="AA96" s="87">
        <f t="shared" si="30"/>
        <v>0</v>
      </c>
      <c r="AB96" s="87">
        <v>46500</v>
      </c>
      <c r="AC96" s="87">
        <f t="shared" si="31"/>
        <v>0</v>
      </c>
      <c r="AD96" s="87">
        <f t="shared" si="32"/>
        <v>46500</v>
      </c>
      <c r="AE96" s="87">
        <f t="shared" si="33"/>
        <v>-46500</v>
      </c>
    </row>
    <row r="97" spans="6:31" x14ac:dyDescent="0.25">
      <c r="F97"/>
      <c r="G97"/>
      <c r="H97"/>
      <c r="S97"/>
      <c r="T97"/>
      <c r="U97"/>
      <c r="Y97" s="62"/>
      <c r="Z97" s="62"/>
      <c r="AA97" s="87">
        <f t="shared" si="30"/>
        <v>0</v>
      </c>
      <c r="AB97" s="87">
        <v>46500</v>
      </c>
      <c r="AC97" s="87">
        <f t="shared" si="31"/>
        <v>0</v>
      </c>
      <c r="AD97" s="87">
        <f t="shared" si="32"/>
        <v>46500</v>
      </c>
      <c r="AE97" s="87">
        <f t="shared" si="33"/>
        <v>-46500</v>
      </c>
    </row>
    <row r="98" spans="6:31" x14ac:dyDescent="0.25">
      <c r="F98"/>
      <c r="G98"/>
      <c r="H98"/>
      <c r="S98"/>
      <c r="T98"/>
      <c r="U98"/>
      <c r="Y98" s="62"/>
      <c r="Z98" s="62"/>
      <c r="AA98" s="87">
        <f t="shared" si="30"/>
        <v>0</v>
      </c>
      <c r="AB98" s="87">
        <v>46500</v>
      </c>
      <c r="AC98" s="87">
        <f t="shared" si="31"/>
        <v>0</v>
      </c>
      <c r="AD98" s="87">
        <f t="shared" si="32"/>
        <v>46500</v>
      </c>
      <c r="AE98" s="87">
        <f t="shared" si="33"/>
        <v>-46500</v>
      </c>
    </row>
    <row r="99" spans="6:31" x14ac:dyDescent="0.25">
      <c r="AA99" s="88">
        <f>SUM(AA92:AA98)</f>
        <v>0</v>
      </c>
      <c r="AB99" s="88">
        <f>SUM(AB92:AB98)</f>
        <v>325500</v>
      </c>
      <c r="AC99" s="88">
        <f>SUM(AC92:AC98)</f>
        <v>0</v>
      </c>
      <c r="AD99" s="88">
        <f>SUM(AD92:AD98)</f>
        <v>325500</v>
      </c>
      <c r="AE99" s="88">
        <f>SUM(AE92:AE98)</f>
        <v>-325500</v>
      </c>
    </row>
    <row r="102" spans="6:31" ht="18.95" customHeight="1" x14ac:dyDescent="0.3">
      <c r="Z102" s="89" t="s">
        <v>122</v>
      </c>
      <c r="AA102" s="89">
        <f>SUM(AA12,AA22,AA31,AA42,AA75,AA87,AA99)</f>
        <v>0</v>
      </c>
      <c r="AB102" s="89">
        <f t="shared" ref="AB102:AE102" si="34">SUM(AB12,AB22,AB31,AB42,AB75,AB87,AB99)</f>
        <v>3076500</v>
      </c>
      <c r="AC102" s="89">
        <f t="shared" si="34"/>
        <v>0</v>
      </c>
      <c r="AD102" s="89">
        <f t="shared" si="34"/>
        <v>3076500</v>
      </c>
      <c r="AE102" s="89">
        <f t="shared" si="34"/>
        <v>-3076500</v>
      </c>
    </row>
    <row r="103" spans="6:31" ht="4.5" customHeight="1" x14ac:dyDescent="0.3">
      <c r="Z103" s="90"/>
      <c r="AA103" s="90">
        <f>AA102</f>
        <v>0</v>
      </c>
      <c r="AB103" s="90">
        <f t="shared" ref="AB103:AD103" si="35">AB102</f>
        <v>3076500</v>
      </c>
      <c r="AC103" s="90">
        <f t="shared" si="35"/>
        <v>0</v>
      </c>
      <c r="AD103" s="90">
        <f t="shared" si="35"/>
        <v>3076500</v>
      </c>
      <c r="AE103" s="90">
        <f>AA103-AD103</f>
        <v>-3076500</v>
      </c>
    </row>
  </sheetData>
  <conditionalFormatting pivot="1" sqref="G6">
    <cfRule type="dataBar" priority="39">
      <dataBar>
        <cfvo type="num" val="0"/>
        <cfvo type="num" val="1"/>
        <color rgb="FF00FF99"/>
      </dataBar>
      <extLst>
        <ext xmlns:x14="http://schemas.microsoft.com/office/spreadsheetml/2009/9/main" uri="{B025F937-C7B1-47D3-B67F-A62EFF666E3E}">
          <x14:id>{A30C6603-BD64-4962-B6F5-429D7DA903FF}</x14:id>
        </ext>
      </extLst>
    </cfRule>
  </conditionalFormatting>
  <conditionalFormatting pivot="1">
    <cfRule type="dataBar" priority="38">
      <dataBar>
        <cfvo type="num" val="0"/>
        <cfvo type="num" val="1"/>
        <color rgb="FF00FF99"/>
      </dataBar>
      <extLst>
        <ext xmlns:x14="http://schemas.microsoft.com/office/spreadsheetml/2009/9/main" uri="{B025F937-C7B1-47D3-B67F-A62EFF666E3E}">
          <x14:id>{30305B4E-2CAE-41A3-8FEC-2BCD6FC6A8FC}</x14:id>
        </ext>
      </extLst>
    </cfRule>
  </conditionalFormatting>
  <conditionalFormatting sqref="I31">
    <cfRule type="dataBar" priority="35">
      <dataBar>
        <cfvo type="num" val="0"/>
        <cfvo type="num" val="1"/>
        <color rgb="FF00FF99"/>
      </dataBar>
      <extLst>
        <ext xmlns:x14="http://schemas.microsoft.com/office/spreadsheetml/2009/9/main" uri="{B025F937-C7B1-47D3-B67F-A62EFF666E3E}">
          <x14:id>{3D395657-FD36-4CE6-9159-E615AF598321}</x14:id>
        </ext>
      </extLst>
    </cfRule>
  </conditionalFormatting>
  <conditionalFormatting pivot="1">
    <cfRule type="dataBar" priority="25">
      <dataBar>
        <cfvo type="num" val="0"/>
        <cfvo type="num" val="1"/>
        <color rgb="FF00FF99"/>
      </dataBar>
      <extLst>
        <ext xmlns:x14="http://schemas.microsoft.com/office/spreadsheetml/2009/9/main" uri="{B025F937-C7B1-47D3-B67F-A62EFF666E3E}">
          <x14:id>{6FADCEF7-FF7F-4DD4-99FA-F40E18DE8506}</x14:id>
        </ext>
      </extLst>
    </cfRule>
  </conditionalFormatting>
  <conditionalFormatting pivot="1" sqref="G16">
    <cfRule type="dataBar" priority="20">
      <dataBar>
        <cfvo type="num" val="0"/>
        <cfvo type="num" val="1"/>
        <color rgb="FF00FF99"/>
      </dataBar>
      <extLst>
        <ext xmlns:x14="http://schemas.microsoft.com/office/spreadsheetml/2009/9/main" uri="{B025F937-C7B1-47D3-B67F-A62EFF666E3E}">
          <x14:id>{3006F275-6A37-4F0F-9EF0-AF412D4D4FF8}</x14:id>
        </ext>
      </extLst>
    </cfRule>
  </conditionalFormatting>
  <conditionalFormatting sqref="V31">
    <cfRule type="dataBar" priority="18">
      <dataBar>
        <cfvo type="num" val="0"/>
        <cfvo type="num" val="1"/>
        <color rgb="FF00FF99"/>
      </dataBar>
      <extLst>
        <ext xmlns:x14="http://schemas.microsoft.com/office/spreadsheetml/2009/9/main" uri="{B025F937-C7B1-47D3-B67F-A62EFF666E3E}">
          <x14:id>{36825773-DB66-4B7D-A50F-86B292A421D6}</x14:id>
        </ext>
      </extLst>
    </cfRule>
  </conditionalFormatting>
  <conditionalFormatting pivot="1">
    <cfRule type="dataBar" priority="10">
      <dataBar>
        <cfvo type="num" val="0"/>
        <cfvo type="num" val="1"/>
        <color rgb="FF00FF99"/>
      </dataBar>
      <extLst>
        <ext xmlns:x14="http://schemas.microsoft.com/office/spreadsheetml/2009/9/main" uri="{B025F937-C7B1-47D3-B67F-A62EFF666E3E}">
          <x14:id>{7F06B9E2-2517-452F-9C64-97DE4B8FA671}</x14:id>
        </ext>
      </extLst>
    </cfRule>
  </conditionalFormatting>
  <conditionalFormatting pivot="1">
    <cfRule type="dataBar" priority="9">
      <dataBar>
        <cfvo type="num" val="0"/>
        <cfvo type="num" val="1"/>
        <color rgb="FF00FF99"/>
      </dataBar>
      <extLst>
        <ext xmlns:x14="http://schemas.microsoft.com/office/spreadsheetml/2009/9/main" uri="{B025F937-C7B1-47D3-B67F-A62EFF666E3E}">
          <x14:id>{4DAB86B9-72D2-4C8B-A4F8-543D658AF103}</x14:id>
        </ext>
      </extLst>
    </cfRule>
  </conditionalFormatting>
  <conditionalFormatting pivot="1">
    <cfRule type="dataBar" priority="7">
      <dataBar>
        <cfvo type="num" val="0"/>
        <cfvo type="num" val="1"/>
        <color rgb="FF00FF99"/>
      </dataBar>
      <extLst>
        <ext xmlns:x14="http://schemas.microsoft.com/office/spreadsheetml/2009/9/main" uri="{B025F937-C7B1-47D3-B67F-A62EFF666E3E}">
          <x14:id>{0EB648C6-94F9-475D-8126-CBCD593904BF}</x14:id>
        </ext>
      </extLst>
    </cfRule>
  </conditionalFormatting>
  <conditionalFormatting pivot="1">
    <cfRule type="dataBar" priority="6">
      <dataBar>
        <cfvo type="num" val="0"/>
        <cfvo type="num" val="1"/>
        <color rgb="FF00FF99"/>
      </dataBar>
      <extLst>
        <ext xmlns:x14="http://schemas.microsoft.com/office/spreadsheetml/2009/9/main" uri="{B025F937-C7B1-47D3-B67F-A62EFF666E3E}">
          <x14:id>{28D31C58-F511-47DC-A9F7-517D63771C40}</x14:id>
        </ext>
      </extLst>
    </cfRule>
  </conditionalFormatting>
  <conditionalFormatting pivot="1" sqref="G26">
    <cfRule type="dataBar" priority="5">
      <dataBar>
        <cfvo type="num" val="0"/>
        <cfvo type="num" val="1"/>
        <color rgb="FF00FF99"/>
      </dataBar>
      <extLst>
        <ext xmlns:x14="http://schemas.microsoft.com/office/spreadsheetml/2009/9/main" uri="{B025F937-C7B1-47D3-B67F-A62EFF666E3E}">
          <x14:id>{3097A66C-DB65-40E3-90D8-F4C39B9C5BD4}</x14:id>
        </ext>
      </extLst>
    </cfRule>
  </conditionalFormatting>
  <conditionalFormatting pivot="1" sqref="G36">
    <cfRule type="dataBar" priority="4">
      <dataBar>
        <cfvo type="num" val="0"/>
        <cfvo type="num" val="1"/>
        <color rgb="FF00FF99"/>
      </dataBar>
      <extLst>
        <ext xmlns:x14="http://schemas.microsoft.com/office/spreadsheetml/2009/9/main" uri="{B025F937-C7B1-47D3-B67F-A62EFF666E3E}">
          <x14:id>{E16A9DBF-35DD-4607-9C97-42BE1174409F}</x14:id>
        </ext>
      </extLst>
    </cfRule>
  </conditionalFormatting>
  <conditionalFormatting pivot="1" sqref="G49">
    <cfRule type="dataBar" priority="3">
      <dataBar>
        <cfvo type="num" val="0"/>
        <cfvo type="num" val="1"/>
        <color rgb="FF00FF99"/>
      </dataBar>
      <extLst>
        <ext xmlns:x14="http://schemas.microsoft.com/office/spreadsheetml/2009/9/main" uri="{B025F937-C7B1-47D3-B67F-A62EFF666E3E}">
          <x14:id>{7C8A3088-270A-4802-B32A-67D07B443124}</x14:id>
        </ext>
      </extLst>
    </cfRule>
  </conditionalFormatting>
  <conditionalFormatting pivot="1" sqref="G80">
    <cfRule type="dataBar" priority="2">
      <dataBar>
        <cfvo type="num" val="0"/>
        <cfvo type="num" val="1"/>
        <color rgb="FF00FF99"/>
      </dataBar>
      <extLst>
        <ext xmlns:x14="http://schemas.microsoft.com/office/spreadsheetml/2009/9/main" uri="{B025F937-C7B1-47D3-B67F-A62EFF666E3E}">
          <x14:id>{7A6D1DD0-524E-4B34-AF6F-4BF97B0ADF34}</x14:id>
        </ext>
      </extLst>
    </cfRule>
  </conditionalFormatting>
  <conditionalFormatting pivot="1" sqref="G92">
    <cfRule type="dataBar" priority="1">
      <dataBar>
        <cfvo type="num" val="0"/>
        <cfvo type="num" val="1"/>
        <color rgb="FF00FF99"/>
      </dataBar>
      <extLst>
        <ext xmlns:x14="http://schemas.microsoft.com/office/spreadsheetml/2009/9/main" uri="{B025F937-C7B1-47D3-B67F-A62EFF666E3E}">
          <x14:id>{ACE7051E-CA5C-41E6-9974-66B3E899C1DD}</x14:id>
        </ext>
      </extLst>
    </cfRule>
  </conditionalFormatting>
  <pageMargins left="0.7" right="0.7" top="0.75" bottom="0.75" header="0.3" footer="0.3"/>
  <ignoredErrors>
    <ignoredError sqref="AE22" formula="1"/>
  </ignoredErrors>
  <extLst>
    <ext xmlns:x14="http://schemas.microsoft.com/office/spreadsheetml/2009/9/main" uri="{78C0D931-6437-407d-A8EE-F0AAD7539E65}">
      <x14:conditionalFormattings>
        <x14:conditionalFormatting xmlns:xm="http://schemas.microsoft.com/office/excel/2006/main" pivot="1">
          <x14:cfRule type="dataBar" id="{A30C6603-BD64-4962-B6F5-429D7DA903F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G6</xm:sqref>
        </x14:conditionalFormatting>
        <x14:conditionalFormatting xmlns:xm="http://schemas.microsoft.com/office/excel/2006/main" pivot="1">
          <x14:cfRule type="dataBar" id="{30305B4E-2CAE-41A3-8FEC-2BCD6FC6A8FC}">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x14:cfRule type="dataBar" id="{3D395657-FD36-4CE6-9159-E615AF598321}">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I31</xm:sqref>
        </x14:conditionalFormatting>
        <x14:conditionalFormatting xmlns:xm="http://schemas.microsoft.com/office/excel/2006/main" pivot="1">
          <x14:cfRule type="dataBar" id="{6FADCEF7-FF7F-4DD4-99FA-F40E18DE850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3006F275-6A37-4F0F-9EF0-AF412D4D4FF8}">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G16</xm:sqref>
        </x14:conditionalFormatting>
        <x14:conditionalFormatting xmlns:xm="http://schemas.microsoft.com/office/excel/2006/main">
          <x14:cfRule type="dataBar" id="{36825773-DB66-4B7D-A50F-86B292A421D6}">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V31</xm:sqref>
        </x14:conditionalFormatting>
        <x14:conditionalFormatting xmlns:xm="http://schemas.microsoft.com/office/excel/2006/main" pivot="1">
          <x14:cfRule type="dataBar" id="{7F06B9E2-2517-452F-9C64-97DE4B8FA671}">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4DAB86B9-72D2-4C8B-A4F8-543D658AF103}">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0EB648C6-94F9-475D-8126-CBCD593904B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28D31C58-F511-47DC-A9F7-517D63771C40}">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14:conditionalFormatting>
        <x14:conditionalFormatting xmlns:xm="http://schemas.microsoft.com/office/excel/2006/main" pivot="1">
          <x14:cfRule type="dataBar" id="{3097A66C-DB65-40E3-90D8-F4C39B9C5BD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G26</xm:sqref>
        </x14:conditionalFormatting>
        <x14:conditionalFormatting xmlns:xm="http://schemas.microsoft.com/office/excel/2006/main" pivot="1">
          <x14:cfRule type="dataBar" id="{E16A9DBF-35DD-4607-9C97-42BE1174409F}">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G36</xm:sqref>
        </x14:conditionalFormatting>
        <x14:conditionalFormatting xmlns:xm="http://schemas.microsoft.com/office/excel/2006/main" pivot="1">
          <x14:cfRule type="dataBar" id="{7C8A3088-270A-4802-B32A-67D07B44312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G49</xm:sqref>
        </x14:conditionalFormatting>
        <x14:conditionalFormatting xmlns:xm="http://schemas.microsoft.com/office/excel/2006/main" pivot="1">
          <x14:cfRule type="dataBar" id="{7A6D1DD0-524E-4B34-AF6F-4BF97B0ADF34}">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G80</xm:sqref>
        </x14:conditionalFormatting>
        <x14:conditionalFormatting xmlns:xm="http://schemas.microsoft.com/office/excel/2006/main" pivot="1">
          <x14:cfRule type="dataBar" id="{ACE7051E-CA5C-41E6-9974-66B3E899C1DD}">
            <x14:dataBar minLength="0" maxLength="100" border="1" negativeBarBorderColorSameAsPositive="0">
              <x14:cfvo type="num">
                <xm:f>0</xm:f>
              </x14:cfvo>
              <x14:cfvo type="num">
                <xm:f>1</xm:f>
              </x14:cfvo>
              <x14:borderColor rgb="FF00FF99"/>
              <x14:negativeFillColor rgb="FFFF0000"/>
              <x14:negativeBorderColor rgb="FFFF0000"/>
              <x14:axisColor rgb="FF000000"/>
            </x14:dataBar>
          </x14:cfRule>
          <xm:sqref>G92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832D-BA1E-41DE-A620-32BCCB0A29A6}">
  <sheetPr>
    <tabColor rgb="FFFFC000"/>
  </sheetPr>
  <dimension ref="E20:K36"/>
  <sheetViews>
    <sheetView showGridLines="0" topLeftCell="B13" zoomScale="85" zoomScaleNormal="85" workbookViewId="0">
      <selection activeCell="O38" sqref="O38"/>
    </sheetView>
  </sheetViews>
  <sheetFormatPr defaultColWidth="8.875" defaultRowHeight="15.75" x14ac:dyDescent="0.25"/>
  <cols>
    <col min="5" max="5" width="14" bestFit="1" customWidth="1"/>
    <col min="6" max="6" width="17.5" bestFit="1" customWidth="1"/>
    <col min="7" max="8" width="15" bestFit="1" customWidth="1"/>
    <col min="9" max="9" width="14.875" bestFit="1" customWidth="1"/>
    <col min="10" max="10" width="20.125" bestFit="1" customWidth="1"/>
    <col min="11" max="11" width="14.125" bestFit="1" customWidth="1"/>
    <col min="12" max="15" width="14" bestFit="1" customWidth="1"/>
    <col min="16" max="16" width="14" customWidth="1"/>
    <col min="17" max="17" width="16" bestFit="1" customWidth="1"/>
    <col min="18" max="18" width="14.875" bestFit="1" customWidth="1"/>
    <col min="19" max="19" width="14" bestFit="1" customWidth="1"/>
    <col min="20" max="20" width="13.5" bestFit="1" customWidth="1"/>
    <col min="21" max="24" width="15" bestFit="1" customWidth="1"/>
    <col min="25" max="25" width="20" bestFit="1" customWidth="1"/>
    <col min="26" max="26" width="18.5" bestFit="1" customWidth="1"/>
  </cols>
  <sheetData>
    <row r="20" spans="5:11" x14ac:dyDescent="0.25">
      <c r="E20" s="54" t="s">
        <v>90</v>
      </c>
      <c r="F20" t="s">
        <v>66</v>
      </c>
    </row>
    <row r="21" spans="5:11" x14ac:dyDescent="0.25">
      <c r="E21" s="54" t="s">
        <v>89</v>
      </c>
      <c r="F21" t="s">
        <v>66</v>
      </c>
    </row>
    <row r="22" spans="5:11" x14ac:dyDescent="0.25">
      <c r="E22" s="54" t="s">
        <v>6</v>
      </c>
      <c r="F22" t="s">
        <v>66</v>
      </c>
    </row>
    <row r="24" spans="5:11" x14ac:dyDescent="0.25">
      <c r="E24" s="54" t="s">
        <v>91</v>
      </c>
      <c r="F24" s="54" t="s">
        <v>108</v>
      </c>
      <c r="G24" s="54" t="s">
        <v>11</v>
      </c>
      <c r="H24" s="54" t="s">
        <v>92</v>
      </c>
      <c r="I24" s="42" t="s">
        <v>100</v>
      </c>
      <c r="J24" t="s">
        <v>113</v>
      </c>
      <c r="K24" t="s">
        <v>101</v>
      </c>
    </row>
    <row r="25" spans="5:11" x14ac:dyDescent="0.25">
      <c r="E25" t="s">
        <v>145</v>
      </c>
      <c r="F25" t="s">
        <v>212</v>
      </c>
      <c r="G25" t="s">
        <v>23</v>
      </c>
      <c r="H25" s="77">
        <v>45765</v>
      </c>
      <c r="I25" s="40">
        <v>10</v>
      </c>
      <c r="J25" s="62">
        <v>275</v>
      </c>
      <c r="K25" s="62">
        <v>2750</v>
      </c>
    </row>
    <row r="26" spans="5:11" x14ac:dyDescent="0.25">
      <c r="E26" t="s">
        <v>145</v>
      </c>
      <c r="F26" t="s">
        <v>217</v>
      </c>
      <c r="G26" t="s">
        <v>23</v>
      </c>
      <c r="H26" s="77">
        <v>45765</v>
      </c>
      <c r="I26" s="40">
        <v>15</v>
      </c>
      <c r="J26" s="62">
        <v>290</v>
      </c>
      <c r="K26" s="62">
        <v>4350</v>
      </c>
    </row>
    <row r="27" spans="5:11" x14ac:dyDescent="0.25">
      <c r="E27" t="s">
        <v>161</v>
      </c>
      <c r="F27" t="s">
        <v>124</v>
      </c>
      <c r="G27" t="s">
        <v>23</v>
      </c>
      <c r="H27" s="77">
        <v>45760</v>
      </c>
      <c r="I27" s="40">
        <v>12</v>
      </c>
      <c r="J27" s="62">
        <v>146.66666666666666</v>
      </c>
      <c r="K27" s="62">
        <v>1760</v>
      </c>
    </row>
    <row r="28" spans="5:11" x14ac:dyDescent="0.25">
      <c r="E28" t="s">
        <v>161</v>
      </c>
      <c r="F28" t="s">
        <v>212</v>
      </c>
      <c r="G28" t="s">
        <v>23</v>
      </c>
      <c r="H28" s="77">
        <v>45765</v>
      </c>
      <c r="I28" s="40">
        <v>2</v>
      </c>
      <c r="J28" s="62">
        <v>275</v>
      </c>
      <c r="K28" s="62">
        <v>550</v>
      </c>
    </row>
    <row r="29" spans="5:11" x14ac:dyDescent="0.25">
      <c r="E29" t="s">
        <v>205</v>
      </c>
      <c r="F29" t="s">
        <v>124</v>
      </c>
      <c r="G29" t="s">
        <v>23</v>
      </c>
      <c r="H29" s="77">
        <v>45760</v>
      </c>
      <c r="I29" s="40">
        <v>6</v>
      </c>
      <c r="J29" s="62">
        <v>155.70666666666665</v>
      </c>
      <c r="K29" s="62">
        <v>934.2399999999999</v>
      </c>
    </row>
    <row r="30" spans="5:11" x14ac:dyDescent="0.25">
      <c r="E30" t="s">
        <v>205</v>
      </c>
      <c r="F30" t="s">
        <v>212</v>
      </c>
      <c r="G30" t="s">
        <v>23</v>
      </c>
      <c r="H30" s="77">
        <v>45765</v>
      </c>
      <c r="I30" s="40">
        <v>15</v>
      </c>
      <c r="J30" s="62">
        <v>321.28999999999996</v>
      </c>
      <c r="K30" s="62">
        <v>4819.3499999999995</v>
      </c>
    </row>
    <row r="31" spans="5:11" x14ac:dyDescent="0.25">
      <c r="E31" t="s">
        <v>205</v>
      </c>
      <c r="F31" t="s">
        <v>253</v>
      </c>
      <c r="G31" t="s">
        <v>23</v>
      </c>
      <c r="H31" s="77">
        <v>45753</v>
      </c>
      <c r="I31" s="40">
        <v>8</v>
      </c>
      <c r="J31" s="62">
        <v>160.91499999999999</v>
      </c>
      <c r="K31" s="62">
        <v>1287.32</v>
      </c>
    </row>
    <row r="32" spans="5:11" x14ac:dyDescent="0.25">
      <c r="E32" t="s">
        <v>205</v>
      </c>
      <c r="F32" t="s">
        <v>254</v>
      </c>
      <c r="G32" t="s">
        <v>24</v>
      </c>
      <c r="H32" s="77">
        <v>45760</v>
      </c>
      <c r="I32" s="40">
        <v>7</v>
      </c>
      <c r="J32" s="62">
        <v>165.34857142857146</v>
      </c>
      <c r="K32" s="62">
        <v>1157.4400000000003</v>
      </c>
    </row>
    <row r="33" spans="5:11" x14ac:dyDescent="0.25">
      <c r="E33" t="s">
        <v>216</v>
      </c>
      <c r="F33" t="s">
        <v>212</v>
      </c>
      <c r="G33" t="s">
        <v>23</v>
      </c>
      <c r="H33" s="77">
        <v>45765</v>
      </c>
      <c r="I33" s="40">
        <v>61</v>
      </c>
      <c r="J33" s="62">
        <v>260.40983606557376</v>
      </c>
      <c r="K33" s="62">
        <v>15885</v>
      </c>
    </row>
    <row r="34" spans="5:11" x14ac:dyDescent="0.25">
      <c r="E34" t="s">
        <v>216</v>
      </c>
      <c r="F34" t="s">
        <v>217</v>
      </c>
      <c r="G34" t="s">
        <v>23</v>
      </c>
      <c r="H34" s="77">
        <v>45765</v>
      </c>
      <c r="I34" s="40">
        <v>40</v>
      </c>
      <c r="J34" s="62">
        <v>285</v>
      </c>
      <c r="K34" s="62">
        <v>11400</v>
      </c>
    </row>
    <row r="35" spans="5:11" x14ac:dyDescent="0.25">
      <c r="E35" t="s">
        <v>257</v>
      </c>
      <c r="F35" t="s">
        <v>124</v>
      </c>
      <c r="G35" t="s">
        <v>23</v>
      </c>
      <c r="H35" s="77">
        <v>45760</v>
      </c>
      <c r="I35" s="40">
        <v>4</v>
      </c>
      <c r="J35" s="62">
        <v>147.42250000000001</v>
      </c>
      <c r="K35" s="62">
        <v>589.69000000000005</v>
      </c>
    </row>
    <row r="36" spans="5:11" x14ac:dyDescent="0.25">
      <c r="E36" t="s">
        <v>5</v>
      </c>
      <c r="I36" s="40">
        <v>180</v>
      </c>
      <c r="J36" s="62">
        <v>252.68355555555564</v>
      </c>
      <c r="K36" s="62">
        <v>45483.040000000001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761D-7EF0-4D63-885B-7F6FB8678AA4}">
  <sheetPr codeName="Sheet9">
    <tabColor rgb="FF00B050"/>
  </sheetPr>
  <dimension ref="A1:G19"/>
  <sheetViews>
    <sheetView showGridLines="0" zoomScale="85" zoomScaleNormal="85" workbookViewId="0">
      <selection activeCell="D16" sqref="D16"/>
    </sheetView>
  </sheetViews>
  <sheetFormatPr defaultColWidth="8.875" defaultRowHeight="15.75" x14ac:dyDescent="0.25"/>
  <cols>
    <col min="1" max="1" width="17.5" bestFit="1" customWidth="1"/>
    <col min="2" max="2" width="9.5" customWidth="1"/>
    <col min="3" max="3" width="20" bestFit="1" customWidth="1"/>
    <col min="4" max="4" width="20.375" bestFit="1" customWidth="1"/>
    <col min="5" max="5" width="18.5" bestFit="1" customWidth="1"/>
    <col min="6" max="6" width="15.25" bestFit="1" customWidth="1"/>
    <col min="7" max="7" width="14.125" bestFit="1" customWidth="1"/>
    <col min="8" max="8" width="14" bestFit="1" customWidth="1"/>
  </cols>
  <sheetData>
    <row r="1" spans="1:7" x14ac:dyDescent="0.25">
      <c r="A1" s="49" t="s">
        <v>71</v>
      </c>
      <c r="B1" s="50"/>
      <c r="C1" s="49"/>
    </row>
    <row r="14" spans="1:7" x14ac:dyDescent="0.25">
      <c r="C14" s="384" t="s">
        <v>91</v>
      </c>
      <c r="D14" s="384" t="s">
        <v>112</v>
      </c>
      <c r="E14" s="384" t="s">
        <v>114</v>
      </c>
      <c r="F14" s="384" t="s">
        <v>100</v>
      </c>
      <c r="G14" s="384" t="s">
        <v>101</v>
      </c>
    </row>
    <row r="15" spans="1:7" x14ac:dyDescent="0.25">
      <c r="C15" s="384" t="s">
        <v>205</v>
      </c>
      <c r="D15" s="384" t="s">
        <v>163</v>
      </c>
      <c r="E15" s="385">
        <v>36</v>
      </c>
      <c r="F15" s="385">
        <v>36</v>
      </c>
      <c r="G15" s="386">
        <v>8198.35</v>
      </c>
    </row>
    <row r="16" spans="1:7" x14ac:dyDescent="0.25">
      <c r="C16" s="384" t="s">
        <v>206</v>
      </c>
      <c r="D16" s="384"/>
      <c r="E16" s="385">
        <v>36</v>
      </c>
      <c r="F16" s="385">
        <v>36</v>
      </c>
      <c r="G16" s="386">
        <v>8198.35</v>
      </c>
    </row>
    <row r="17" spans="3:7" x14ac:dyDescent="0.25">
      <c r="C17" s="384" t="s">
        <v>161</v>
      </c>
      <c r="D17" s="384" t="s">
        <v>163</v>
      </c>
      <c r="E17" s="385">
        <v>14</v>
      </c>
      <c r="F17" s="385">
        <v>14</v>
      </c>
      <c r="G17" s="386">
        <v>2310</v>
      </c>
    </row>
    <row r="18" spans="3:7" x14ac:dyDescent="0.25">
      <c r="C18" s="384" t="s">
        <v>164</v>
      </c>
      <c r="D18" s="384"/>
      <c r="E18" s="385">
        <v>14</v>
      </c>
      <c r="F18" s="385">
        <v>14</v>
      </c>
      <c r="G18" s="386">
        <v>2310</v>
      </c>
    </row>
    <row r="19" spans="3:7" x14ac:dyDescent="0.25">
      <c r="C19" s="384" t="s">
        <v>5</v>
      </c>
      <c r="D19" s="384"/>
      <c r="E19" s="385">
        <v>50</v>
      </c>
      <c r="F19" s="385">
        <v>50</v>
      </c>
      <c r="G19" s="386">
        <v>10508.35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7C9D-9445-44EA-8346-2318F152F979}">
  <sheetPr>
    <tabColor rgb="FFFFFF00"/>
  </sheetPr>
  <dimension ref="A1:W51"/>
  <sheetViews>
    <sheetView zoomScale="90" zoomScaleNormal="90" workbookViewId="0">
      <pane ySplit="1" topLeftCell="A23" activePane="bottomLeft" state="frozen"/>
      <selection activeCell="D27" sqref="D27"/>
      <selection pane="bottomLeft" activeCell="B12" sqref="B12"/>
    </sheetView>
  </sheetViews>
  <sheetFormatPr defaultColWidth="8.5" defaultRowHeight="15" x14ac:dyDescent="0.25"/>
  <cols>
    <col min="1" max="1" width="17" style="75" bestFit="1" customWidth="1"/>
    <col min="2" max="2" width="22.125" style="66" bestFit="1" customWidth="1"/>
    <col min="3" max="4" width="19.5" style="65" customWidth="1"/>
    <col min="5" max="5" width="19.375" style="75" customWidth="1"/>
    <col min="6" max="6" width="19.5" style="65" customWidth="1"/>
    <col min="7" max="7" width="13" style="65" customWidth="1"/>
    <col min="8" max="8" width="14.5" style="65" bestFit="1" customWidth="1"/>
    <col min="9" max="9" width="9.5" style="66" customWidth="1"/>
    <col min="10" max="10" width="23" style="64" customWidth="1"/>
    <col min="11" max="11" width="19.5" style="65" bestFit="1" customWidth="1"/>
    <col min="12" max="12" width="18.5" style="66" customWidth="1"/>
    <col min="13" max="13" width="17.5" style="65" customWidth="1"/>
    <col min="14" max="14" width="19.5" style="66" bestFit="1" customWidth="1"/>
    <col min="15" max="15" width="17" style="66" bestFit="1" customWidth="1"/>
    <col min="16" max="16" width="16" style="66" customWidth="1"/>
    <col min="17" max="17" width="16.375" style="65" customWidth="1"/>
    <col min="18" max="18" width="22.625" style="67" customWidth="1"/>
    <col min="19" max="19" width="16" style="74" bestFit="1" customWidth="1"/>
    <col min="20" max="20" width="13" style="74" bestFit="1" customWidth="1"/>
    <col min="21" max="21" width="20.5" style="65" customWidth="1"/>
    <col min="22" max="22" width="12.5" style="65" customWidth="1"/>
    <col min="23" max="23" width="17" style="74" bestFit="1" customWidth="1"/>
    <col min="24" max="24" width="6" style="61" bestFit="1" customWidth="1"/>
    <col min="25" max="16384" width="8.5" style="61"/>
  </cols>
  <sheetData>
    <row r="1" spans="1:23" x14ac:dyDescent="0.25">
      <c r="A1" s="80" t="s">
        <v>90</v>
      </c>
      <c r="B1" s="68" t="s">
        <v>91</v>
      </c>
      <c r="C1" s="68" t="s">
        <v>99</v>
      </c>
      <c r="D1" s="245" t="s">
        <v>241</v>
      </c>
      <c r="E1" s="68" t="s">
        <v>88</v>
      </c>
      <c r="F1" s="68" t="s">
        <v>89</v>
      </c>
      <c r="G1" s="134" t="s">
        <v>6</v>
      </c>
      <c r="H1" s="68" t="s">
        <v>108</v>
      </c>
      <c r="I1" s="69" t="s">
        <v>11</v>
      </c>
      <c r="J1" s="79" t="s">
        <v>92</v>
      </c>
      <c r="K1" s="70" t="s">
        <v>93</v>
      </c>
      <c r="L1" s="351" t="s">
        <v>94</v>
      </c>
      <c r="M1" s="71" t="s">
        <v>95</v>
      </c>
      <c r="N1" s="71" t="s">
        <v>96</v>
      </c>
      <c r="O1" s="71" t="s">
        <v>97</v>
      </c>
      <c r="P1" s="72" t="s">
        <v>98</v>
      </c>
      <c r="Q1" s="68" t="s">
        <v>111</v>
      </c>
      <c r="R1" s="68" t="s">
        <v>112</v>
      </c>
      <c r="S1" s="73" t="s">
        <v>9</v>
      </c>
      <c r="T1" s="73" t="s">
        <v>10</v>
      </c>
      <c r="U1" s="73" t="s">
        <v>107</v>
      </c>
      <c r="V1" s="73" t="s">
        <v>0</v>
      </c>
      <c r="W1" s="73" t="s">
        <v>109</v>
      </c>
    </row>
    <row r="2" spans="1:23" x14ac:dyDescent="0.25">
      <c r="A2" s="144">
        <v>45681</v>
      </c>
      <c r="B2" s="145" t="s">
        <v>145</v>
      </c>
      <c r="C2" s="131" t="s">
        <v>116</v>
      </c>
      <c r="D2" s="131"/>
      <c r="E2" s="145"/>
      <c r="F2" s="145" t="s">
        <v>47</v>
      </c>
      <c r="G2" s="145" t="s">
        <v>7</v>
      </c>
      <c r="H2" s="145" t="s">
        <v>212</v>
      </c>
      <c r="I2" s="146" t="s">
        <v>23</v>
      </c>
      <c r="J2" s="144">
        <v>45765</v>
      </c>
      <c r="K2" s="147">
        <v>10</v>
      </c>
      <c r="L2" s="148">
        <v>10</v>
      </c>
      <c r="M2" s="149">
        <v>275</v>
      </c>
      <c r="N2" s="150">
        <v>0</v>
      </c>
      <c r="O2" s="150">
        <v>0</v>
      </c>
      <c r="P2" s="151">
        <f>SUM(Table1[[#This Row],[BASE_FARE]:[SURCHARGES]])*Table1[[#This Row],[SEATS_BOOKED]]</f>
        <v>2750</v>
      </c>
      <c r="Q2" s="143" t="s">
        <v>117</v>
      </c>
      <c r="R2" s="161" t="s">
        <v>204</v>
      </c>
      <c r="S2" s="145" t="str">
        <f>LEFT(Table1[[#This Row],[SECTOR]],3)</f>
        <v>NAP</v>
      </c>
      <c r="T2" s="145" t="str">
        <f>RIGHT(Table1[[#This Row],[SECTOR]],3)</f>
        <v>SSH</v>
      </c>
      <c r="U2" s="145" t="str">
        <f t="shared" ref="U2" si="0">IF(AND(S2&lt;&gt;"SSH", S2&lt;&gt;"RMF", S2&lt;&gt;"CAI", S2&lt;&gt;"HRG", S2&lt;&gt;"LXR", S2&lt;&gt;"DXB", OR(T2="SSH", T2="RMF", T2="CAI", T2="HRG", T2="LXR", T2="DXB")), S2,
    IF(AND(T2&lt;&gt;"SSH", T2&lt;&gt;"RMF", T2&lt;&gt;"CAI", T2&lt;&gt;"HRG", T2&lt;&gt;"LXR", T2&lt;&gt;"DXB", OR(S2="SSH", S2="RMF", S2="CAI", S2="HRG", S2="LXR", S2="DXB")), T2,
    "VIE"))</f>
        <v>NAP</v>
      </c>
      <c r="V2" s="145">
        <f>WEEKDAY(Table1[[#This Row],[FLIGHT_DATE]],2)</f>
        <v>5</v>
      </c>
      <c r="W2" s="145">
        <f>Table1[[#This Row],[FLIGHT_DATE]]-Table1[[#This Row],[DATE_BOOKED]]</f>
        <v>84</v>
      </c>
    </row>
    <row r="3" spans="1:23" x14ac:dyDescent="0.25">
      <c r="A3" s="152">
        <v>45684</v>
      </c>
      <c r="B3" s="153" t="s">
        <v>161</v>
      </c>
      <c r="C3" s="131" t="s">
        <v>162</v>
      </c>
      <c r="D3" s="131"/>
      <c r="E3" s="153"/>
      <c r="F3" s="153" t="s">
        <v>49</v>
      </c>
      <c r="G3" s="153" t="s">
        <v>7</v>
      </c>
      <c r="H3" s="153" t="s">
        <v>212</v>
      </c>
      <c r="I3" s="154" t="s">
        <v>23</v>
      </c>
      <c r="J3" s="152">
        <v>45765</v>
      </c>
      <c r="K3" s="155">
        <v>2</v>
      </c>
      <c r="L3" s="156">
        <v>2</v>
      </c>
      <c r="M3" s="157">
        <v>275</v>
      </c>
      <c r="N3" s="158">
        <v>0</v>
      </c>
      <c r="O3" s="158">
        <v>0</v>
      </c>
      <c r="P3" s="159">
        <f>SUM(Table1[[#This Row],[BASE_FARE]:[SURCHARGES]])*Table1[[#This Row],[SEATS_BOOKED]]</f>
        <v>550</v>
      </c>
      <c r="Q3" s="158" t="s">
        <v>117</v>
      </c>
      <c r="R3" s="135" t="s">
        <v>163</v>
      </c>
      <c r="S3" s="153" t="str">
        <f>LEFT(Table1[[#This Row],[SECTOR]],3)</f>
        <v>NAP</v>
      </c>
      <c r="T3" s="153" t="str">
        <f>RIGHT(Table1[[#This Row],[SECTOR]],3)</f>
        <v>SSH</v>
      </c>
      <c r="U3" s="153" t="str">
        <f t="shared" ref="U3" si="1">IF(AND(S3&lt;&gt;"SSH", S3&lt;&gt;"RMF", S3&lt;&gt;"CAI", S3&lt;&gt;"HRG", S3&lt;&gt;"LXR", S3&lt;&gt;"DXB", OR(T3="SSH", T3="RMF", T3="CAI", T3="HRG", T3="LXR", T3="DXB")), S3,
    IF(AND(T3&lt;&gt;"SSH", T3&lt;&gt;"RMF", T3&lt;&gt;"CAI", T3&lt;&gt;"HRG", T3&lt;&gt;"LXR", T3&lt;&gt;"DXB", OR(S3="SSH", S3="RMF", S3="CAI", S3="HRG", S3="LXR", S3="DXB")), T3,
    "VIE"))</f>
        <v>NAP</v>
      </c>
      <c r="V3" s="153">
        <f>WEEKDAY(Table1[[#This Row],[FLIGHT_DATE]],2)</f>
        <v>5</v>
      </c>
      <c r="W3" s="153">
        <f>Table1[[#This Row],[FLIGHT_DATE]]-Table1[[#This Row],[DATE_BOOKED]]</f>
        <v>81</v>
      </c>
    </row>
    <row r="4" spans="1:23" x14ac:dyDescent="0.25">
      <c r="A4" s="164">
        <v>45686</v>
      </c>
      <c r="B4" s="165" t="s">
        <v>205</v>
      </c>
      <c r="C4" s="131" t="s">
        <v>162</v>
      </c>
      <c r="D4" s="131"/>
      <c r="E4" s="165"/>
      <c r="F4" s="165" t="s">
        <v>49</v>
      </c>
      <c r="G4" s="165" t="s">
        <v>7</v>
      </c>
      <c r="H4" s="165" t="s">
        <v>212</v>
      </c>
      <c r="I4" s="166" t="s">
        <v>23</v>
      </c>
      <c r="J4" s="164">
        <v>45765</v>
      </c>
      <c r="K4" s="167">
        <v>1</v>
      </c>
      <c r="L4" s="168">
        <v>1</v>
      </c>
      <c r="M4" s="169">
        <v>206.25</v>
      </c>
      <c r="N4" s="170">
        <v>34.04</v>
      </c>
      <c r="O4" s="170">
        <v>30</v>
      </c>
      <c r="P4" s="171">
        <f>SUM(Table1[[#This Row],[BASE_FARE]:[SURCHARGES]])*Table1[[#This Row],[SEATS_BOOKED]]</f>
        <v>270.28999999999996</v>
      </c>
      <c r="Q4" s="162" t="s">
        <v>117</v>
      </c>
      <c r="R4" s="163" t="s">
        <v>163</v>
      </c>
      <c r="S4" s="165" t="str">
        <f>LEFT(Table1[[#This Row],[SECTOR]],3)</f>
        <v>NAP</v>
      </c>
      <c r="T4" s="165" t="str">
        <f>RIGHT(Table1[[#This Row],[SECTOR]],3)</f>
        <v>SSH</v>
      </c>
      <c r="U4" s="165" t="str">
        <f t="shared" ref="U4:U6" si="2">IF(AND(S4&lt;&gt;"SSH", S4&lt;&gt;"RMF", S4&lt;&gt;"CAI", S4&lt;&gt;"HRG", S4&lt;&gt;"LXR", S4&lt;&gt;"DXB", OR(T4="SSH", T4="RMF", T4="CAI", T4="HRG", T4="LXR", T4="DXB")), S4,
    IF(AND(T4&lt;&gt;"SSH", T4&lt;&gt;"RMF", T4&lt;&gt;"CAI", T4&lt;&gt;"HRG", T4&lt;&gt;"LXR", T4&lt;&gt;"DXB", OR(S4="SSH", S4="RMF", S4="CAI", S4="HRG", S4="LXR", S4="DXB")), T4,
    "VIE"))</f>
        <v>NAP</v>
      </c>
      <c r="V4" s="165">
        <f>WEEKDAY(Table1[[#This Row],[FLIGHT_DATE]],2)</f>
        <v>5</v>
      </c>
      <c r="W4" s="165">
        <f>Table1[[#This Row],[FLIGHT_DATE]]-Table1[[#This Row],[DATE_BOOKED]]</f>
        <v>79</v>
      </c>
    </row>
    <row r="5" spans="1:23" x14ac:dyDescent="0.25">
      <c r="A5" s="164">
        <v>45686</v>
      </c>
      <c r="B5" s="165" t="s">
        <v>205</v>
      </c>
      <c r="C5" s="131" t="s">
        <v>162</v>
      </c>
      <c r="D5" s="131"/>
      <c r="E5" s="165"/>
      <c r="F5" s="165" t="s">
        <v>49</v>
      </c>
      <c r="G5" s="165" t="s">
        <v>7</v>
      </c>
      <c r="H5" s="165" t="s">
        <v>212</v>
      </c>
      <c r="I5" s="166" t="s">
        <v>23</v>
      </c>
      <c r="J5" s="164">
        <v>45765</v>
      </c>
      <c r="K5" s="167">
        <v>1</v>
      </c>
      <c r="L5" s="168">
        <v>1</v>
      </c>
      <c r="M5" s="169">
        <v>275</v>
      </c>
      <c r="N5" s="170">
        <v>34.04</v>
      </c>
      <c r="O5" s="170">
        <v>30</v>
      </c>
      <c r="P5" s="171">
        <f>SUM(Table1[[#This Row],[BASE_FARE]:[SURCHARGES]])*Table1[[#This Row],[SEATS_BOOKED]]</f>
        <v>339.04</v>
      </c>
      <c r="Q5" s="162" t="s">
        <v>117</v>
      </c>
      <c r="R5" s="163" t="s">
        <v>163</v>
      </c>
      <c r="S5" s="165" t="str">
        <f>LEFT(Table1[[#This Row],[SECTOR]],3)</f>
        <v>NAP</v>
      </c>
      <c r="T5" s="165" t="str">
        <f>RIGHT(Table1[[#This Row],[SECTOR]],3)</f>
        <v>SSH</v>
      </c>
      <c r="U5" s="165" t="str">
        <f t="shared" si="2"/>
        <v>NAP</v>
      </c>
      <c r="V5" s="165">
        <f>WEEKDAY(Table1[[#This Row],[FLIGHT_DATE]],2)</f>
        <v>5</v>
      </c>
      <c r="W5" s="165">
        <f>Table1[[#This Row],[FLIGHT_DATE]]-Table1[[#This Row],[DATE_BOOKED]]</f>
        <v>79</v>
      </c>
    </row>
    <row r="6" spans="1:23" x14ac:dyDescent="0.25">
      <c r="A6" s="164">
        <v>45686</v>
      </c>
      <c r="B6" s="165" t="s">
        <v>205</v>
      </c>
      <c r="C6" s="131" t="s">
        <v>162</v>
      </c>
      <c r="D6" s="131"/>
      <c r="E6" s="165"/>
      <c r="F6" s="165" t="s">
        <v>49</v>
      </c>
      <c r="G6" s="165" t="s">
        <v>7</v>
      </c>
      <c r="H6" s="165" t="s">
        <v>212</v>
      </c>
      <c r="I6" s="166" t="s">
        <v>23</v>
      </c>
      <c r="J6" s="164">
        <v>45765</v>
      </c>
      <c r="K6" s="167">
        <v>1</v>
      </c>
      <c r="L6" s="168">
        <v>1</v>
      </c>
      <c r="M6" s="169">
        <v>275</v>
      </c>
      <c r="N6" s="170">
        <v>34.04</v>
      </c>
      <c r="O6" s="170">
        <v>30</v>
      </c>
      <c r="P6" s="171">
        <f>SUM(Table1[[#This Row],[BASE_FARE]:[SURCHARGES]])*Table1[[#This Row],[SEATS_BOOKED]]</f>
        <v>339.04</v>
      </c>
      <c r="Q6" s="162" t="s">
        <v>117</v>
      </c>
      <c r="R6" s="163" t="s">
        <v>163</v>
      </c>
      <c r="S6" s="165" t="str">
        <f>LEFT(Table1[[#This Row],[SECTOR]],3)</f>
        <v>NAP</v>
      </c>
      <c r="T6" s="165" t="str">
        <f>RIGHT(Table1[[#This Row],[SECTOR]],3)</f>
        <v>SSH</v>
      </c>
      <c r="U6" s="165" t="str">
        <f t="shared" si="2"/>
        <v>NAP</v>
      </c>
      <c r="V6" s="165">
        <f>WEEKDAY(Table1[[#This Row],[FLIGHT_DATE]],2)</f>
        <v>5</v>
      </c>
      <c r="W6" s="165">
        <f>Table1[[#This Row],[FLIGHT_DATE]]-Table1[[#This Row],[DATE_BOOKED]]</f>
        <v>79</v>
      </c>
    </row>
    <row r="7" spans="1:23" x14ac:dyDescent="0.25">
      <c r="A7" s="172">
        <v>45687</v>
      </c>
      <c r="B7" s="180" t="s">
        <v>216</v>
      </c>
      <c r="C7" s="131" t="s">
        <v>116</v>
      </c>
      <c r="D7" s="131"/>
      <c r="E7" s="173"/>
      <c r="F7" s="173" t="s">
        <v>47</v>
      </c>
      <c r="G7" s="173" t="s">
        <v>7</v>
      </c>
      <c r="H7" s="173" t="s">
        <v>212</v>
      </c>
      <c r="I7" s="174" t="s">
        <v>23</v>
      </c>
      <c r="J7" s="164">
        <v>45765</v>
      </c>
      <c r="K7" s="175">
        <v>60</v>
      </c>
      <c r="L7" s="176">
        <v>60</v>
      </c>
      <c r="M7" s="177">
        <v>260</v>
      </c>
      <c r="N7" s="178">
        <v>0</v>
      </c>
      <c r="O7" s="178">
        <v>0</v>
      </c>
      <c r="P7" s="179">
        <f>SUM(Table1[[#This Row],[BASE_FARE]:[SURCHARGES]])*Table1[[#This Row],[SEATS_BOOKED]]</f>
        <v>15600</v>
      </c>
      <c r="Q7" s="173" t="s">
        <v>117</v>
      </c>
      <c r="R7" s="216" t="s">
        <v>204</v>
      </c>
      <c r="S7" s="173" t="str">
        <f>LEFT(Table1[[#This Row],[SECTOR]],3)</f>
        <v>NAP</v>
      </c>
      <c r="T7" s="173" t="str">
        <f>RIGHT(Table1[[#This Row],[SECTOR]],3)</f>
        <v>SSH</v>
      </c>
      <c r="U7" s="173" t="str">
        <f>IF(AND(S7&lt;&gt;"SSH", S7&lt;&gt;"RMF", S7&lt;&gt;"CAI", S7&lt;&gt;"HRG", S7&lt;&gt;"LXR", S7&lt;&gt;"DXB", OR(T7="SSH", T7="RMF", T7="CAI", T7="HRG", T7="LXR", T7="DXB")), S7,
    IF(AND(T7&lt;&gt;"SSH", T7&lt;&gt;"RMF", T7&lt;&gt;"CAI", T7&lt;&gt;"HRG", T7&lt;&gt;"LXR", T7&lt;&gt;"DXB", OR(S7="SSH", S7="RMF", S7="CAI", S7="HRG", S7="LXR", S7="DXB")), T7,
    "VIE"))</f>
        <v>NAP</v>
      </c>
      <c r="V7" s="173">
        <f>WEEKDAY(Table1[[#This Row],[FLIGHT_DATE]],2)</f>
        <v>5</v>
      </c>
      <c r="W7" s="173">
        <f>Table1[[#This Row],[FLIGHT_DATE]]-Table1[[#This Row],[DATE_BOOKED]]</f>
        <v>78</v>
      </c>
    </row>
    <row r="8" spans="1:23" x14ac:dyDescent="0.25">
      <c r="A8" s="190">
        <v>45687</v>
      </c>
      <c r="B8" s="191" t="s">
        <v>205</v>
      </c>
      <c r="C8" s="131" t="s">
        <v>162</v>
      </c>
      <c r="D8" s="131"/>
      <c r="E8" s="191"/>
      <c r="F8" s="191" t="s">
        <v>47</v>
      </c>
      <c r="G8" s="191" t="s">
        <v>7</v>
      </c>
      <c r="H8" s="191" t="s">
        <v>212</v>
      </c>
      <c r="I8" s="192" t="s">
        <v>23</v>
      </c>
      <c r="J8" s="190">
        <v>45765</v>
      </c>
      <c r="K8" s="193">
        <v>1</v>
      </c>
      <c r="L8" s="194">
        <v>1</v>
      </c>
      <c r="M8" s="195">
        <v>275</v>
      </c>
      <c r="N8" s="196">
        <v>34.04</v>
      </c>
      <c r="O8" s="196">
        <v>30</v>
      </c>
      <c r="P8" s="197">
        <f>SUM(Table1[[#This Row],[BASE_FARE]:[SURCHARGES]])*Table1[[#This Row],[SEATS_BOOKED]]</f>
        <v>339.04</v>
      </c>
      <c r="Q8" s="191" t="s">
        <v>117</v>
      </c>
      <c r="R8" s="193" t="s">
        <v>163</v>
      </c>
      <c r="S8" s="191" t="str">
        <f>LEFT(Table1[[#This Row],[SECTOR]],3)</f>
        <v>NAP</v>
      </c>
      <c r="T8" s="191" t="str">
        <f>RIGHT(Table1[[#This Row],[SECTOR]],3)</f>
        <v>SSH</v>
      </c>
      <c r="U8" s="191" t="str">
        <f t="shared" ref="U8:U11" si="3">IF(AND(S8&lt;&gt;"SSH", S8&lt;&gt;"RMF", S8&lt;&gt;"CAI", S8&lt;&gt;"HRG", S8&lt;&gt;"LXR", S8&lt;&gt;"DXB", OR(T8="SSH", T8="RMF", T8="CAI", T8="HRG", T8="LXR", T8="DXB")), S8,
    IF(AND(T8&lt;&gt;"SSH", T8&lt;&gt;"RMF", T8&lt;&gt;"CAI", T8&lt;&gt;"HRG", T8&lt;&gt;"LXR", T8&lt;&gt;"DXB", OR(S8="SSH", S8="RMF", S8="CAI", S8="HRG", S8="LXR", S8="DXB")), T8,
    "VIE"))</f>
        <v>NAP</v>
      </c>
      <c r="V8" s="191">
        <f>WEEKDAY(Table1[[#This Row],[FLIGHT_DATE]],2)</f>
        <v>5</v>
      </c>
      <c r="W8" s="191">
        <f>Table1[[#This Row],[FLIGHT_DATE]]-Table1[[#This Row],[DATE_BOOKED]]</f>
        <v>78</v>
      </c>
    </row>
    <row r="9" spans="1:23" x14ac:dyDescent="0.25">
      <c r="A9" s="190">
        <v>45687</v>
      </c>
      <c r="B9" s="191" t="s">
        <v>205</v>
      </c>
      <c r="C9" s="131" t="s">
        <v>162</v>
      </c>
      <c r="D9" s="131"/>
      <c r="E9" s="191"/>
      <c r="F9" s="191" t="s">
        <v>47</v>
      </c>
      <c r="G9" s="191" t="s">
        <v>7</v>
      </c>
      <c r="H9" s="191" t="s">
        <v>212</v>
      </c>
      <c r="I9" s="192" t="s">
        <v>23</v>
      </c>
      <c r="J9" s="190">
        <v>45765</v>
      </c>
      <c r="K9" s="193">
        <v>1</v>
      </c>
      <c r="L9" s="194">
        <v>1</v>
      </c>
      <c r="M9" s="195">
        <v>275</v>
      </c>
      <c r="N9" s="196">
        <v>34.04</v>
      </c>
      <c r="O9" s="196">
        <v>30</v>
      </c>
      <c r="P9" s="197">
        <f>SUM(Table1[[#This Row],[BASE_FARE]:[SURCHARGES]])*Table1[[#This Row],[SEATS_BOOKED]]</f>
        <v>339.04</v>
      </c>
      <c r="Q9" s="191" t="s">
        <v>117</v>
      </c>
      <c r="R9" s="193" t="s">
        <v>163</v>
      </c>
      <c r="S9" s="191" t="str">
        <f>LEFT(Table1[[#This Row],[SECTOR]],3)</f>
        <v>NAP</v>
      </c>
      <c r="T9" s="191" t="str">
        <f>RIGHT(Table1[[#This Row],[SECTOR]],3)</f>
        <v>SSH</v>
      </c>
      <c r="U9" s="191" t="str">
        <f t="shared" si="3"/>
        <v>NAP</v>
      </c>
      <c r="V9" s="191">
        <f>WEEKDAY(Table1[[#This Row],[FLIGHT_DATE]],2)</f>
        <v>5</v>
      </c>
      <c r="W9" s="191">
        <f>Table1[[#This Row],[FLIGHT_DATE]]-Table1[[#This Row],[DATE_BOOKED]]</f>
        <v>78</v>
      </c>
    </row>
    <row r="10" spans="1:23" x14ac:dyDescent="0.25">
      <c r="A10" s="190">
        <v>45687</v>
      </c>
      <c r="B10" s="191" t="s">
        <v>205</v>
      </c>
      <c r="C10" s="131" t="s">
        <v>162</v>
      </c>
      <c r="D10" s="131"/>
      <c r="E10" s="191"/>
      <c r="F10" s="191" t="s">
        <v>47</v>
      </c>
      <c r="G10" s="191" t="s">
        <v>7</v>
      </c>
      <c r="H10" s="191" t="s">
        <v>212</v>
      </c>
      <c r="I10" s="192" t="s">
        <v>23</v>
      </c>
      <c r="J10" s="190">
        <v>45765</v>
      </c>
      <c r="K10" s="193">
        <v>1</v>
      </c>
      <c r="L10" s="194">
        <v>1</v>
      </c>
      <c r="M10" s="195">
        <v>206.25</v>
      </c>
      <c r="N10" s="196">
        <v>34.04</v>
      </c>
      <c r="O10" s="196">
        <v>30</v>
      </c>
      <c r="P10" s="197">
        <f>SUM(Table1[[#This Row],[BASE_FARE]:[SURCHARGES]])*Table1[[#This Row],[SEATS_BOOKED]]</f>
        <v>270.28999999999996</v>
      </c>
      <c r="Q10" s="191" t="s">
        <v>117</v>
      </c>
      <c r="R10" s="193" t="s">
        <v>163</v>
      </c>
      <c r="S10" s="191" t="str">
        <f>LEFT(Table1[[#This Row],[SECTOR]],3)</f>
        <v>NAP</v>
      </c>
      <c r="T10" s="191" t="str">
        <f>RIGHT(Table1[[#This Row],[SECTOR]],3)</f>
        <v>SSH</v>
      </c>
      <c r="U10" s="191" t="str">
        <f t="shared" si="3"/>
        <v>NAP</v>
      </c>
      <c r="V10" s="191">
        <f>WEEKDAY(Table1[[#This Row],[FLIGHT_DATE]],2)</f>
        <v>5</v>
      </c>
      <c r="W10" s="191">
        <f>Table1[[#This Row],[FLIGHT_DATE]]-Table1[[#This Row],[DATE_BOOKED]]</f>
        <v>78</v>
      </c>
    </row>
    <row r="11" spans="1:23" x14ac:dyDescent="0.25">
      <c r="A11" s="190">
        <v>45687</v>
      </c>
      <c r="B11" s="191" t="s">
        <v>205</v>
      </c>
      <c r="C11" s="131" t="s">
        <v>162</v>
      </c>
      <c r="D11" s="131"/>
      <c r="E11" s="191"/>
      <c r="F11" s="191" t="s">
        <v>47</v>
      </c>
      <c r="G11" s="191" t="s">
        <v>7</v>
      </c>
      <c r="H11" s="191" t="s">
        <v>212</v>
      </c>
      <c r="I11" s="192" t="s">
        <v>23</v>
      </c>
      <c r="J11" s="190">
        <v>45765</v>
      </c>
      <c r="K11" s="193">
        <v>1</v>
      </c>
      <c r="L11" s="194">
        <v>1</v>
      </c>
      <c r="M11" s="195">
        <v>206.25</v>
      </c>
      <c r="N11" s="196">
        <v>34.04</v>
      </c>
      <c r="O11" s="196">
        <v>30</v>
      </c>
      <c r="P11" s="197">
        <f>SUM(Table1[[#This Row],[BASE_FARE]:[SURCHARGES]])*Table1[[#This Row],[SEATS_BOOKED]]</f>
        <v>270.28999999999996</v>
      </c>
      <c r="Q11" s="191" t="s">
        <v>117</v>
      </c>
      <c r="R11" s="193" t="s">
        <v>163</v>
      </c>
      <c r="S11" s="191" t="str">
        <f>LEFT(Table1[[#This Row],[SECTOR]],3)</f>
        <v>NAP</v>
      </c>
      <c r="T11" s="191" t="str">
        <f>RIGHT(Table1[[#This Row],[SECTOR]],3)</f>
        <v>SSH</v>
      </c>
      <c r="U11" s="191" t="str">
        <f t="shared" si="3"/>
        <v>NAP</v>
      </c>
      <c r="V11" s="191">
        <f>WEEKDAY(Table1[[#This Row],[FLIGHT_DATE]],2)</f>
        <v>5</v>
      </c>
      <c r="W11" s="191">
        <f>Table1[[#This Row],[FLIGHT_DATE]]-Table1[[#This Row],[DATE_BOOKED]]</f>
        <v>78</v>
      </c>
    </row>
    <row r="12" spans="1:23" x14ac:dyDescent="0.25">
      <c r="A12" s="200">
        <v>45688</v>
      </c>
      <c r="B12" s="201" t="s">
        <v>205</v>
      </c>
      <c r="C12" s="131" t="s">
        <v>162</v>
      </c>
      <c r="D12" s="131"/>
      <c r="E12" s="201"/>
      <c r="F12" s="201" t="s">
        <v>49</v>
      </c>
      <c r="G12" s="201" t="s">
        <v>7</v>
      </c>
      <c r="H12" s="201" t="s">
        <v>212</v>
      </c>
      <c r="I12" s="205" t="s">
        <v>23</v>
      </c>
      <c r="J12" s="200">
        <v>45765</v>
      </c>
      <c r="K12" s="204">
        <v>1</v>
      </c>
      <c r="L12" s="206">
        <v>1</v>
      </c>
      <c r="M12" s="207">
        <v>230</v>
      </c>
      <c r="N12" s="202">
        <v>34.04</v>
      </c>
      <c r="O12" s="202">
        <v>30</v>
      </c>
      <c r="P12" s="203">
        <f>SUM(Table1[[#This Row],[BASE_FARE]:[SURCHARGES]])*Table1[[#This Row],[SEATS_BOOKED]]</f>
        <v>294.04000000000002</v>
      </c>
      <c r="Q12" s="198" t="s">
        <v>117</v>
      </c>
      <c r="R12" s="199" t="s">
        <v>163</v>
      </c>
      <c r="S12" s="201" t="str">
        <f>LEFT(Table1[[#This Row],[SECTOR]],3)</f>
        <v>NAP</v>
      </c>
      <c r="T12" s="201" t="str">
        <f>RIGHT(Table1[[#This Row],[SECTOR]],3)</f>
        <v>SSH</v>
      </c>
      <c r="U12" s="201" t="str">
        <f t="shared" ref="U12:U13" si="4">IF(AND(S12&lt;&gt;"SSH", S12&lt;&gt;"RMF", S12&lt;&gt;"CAI", S12&lt;&gt;"HRG", S12&lt;&gt;"LXR", S12&lt;&gt;"DXB", OR(T12="SSH", T12="RMF", T12="CAI", T12="HRG", T12="LXR", T12="DXB")), S12,
    IF(AND(T12&lt;&gt;"SSH", T12&lt;&gt;"RMF", T12&lt;&gt;"CAI", T12&lt;&gt;"HRG", T12&lt;&gt;"LXR", T12&lt;&gt;"DXB", OR(S12="SSH", S12="RMF", S12="CAI", S12="HRG", S12="LXR", S12="DXB")), T12,
    "VIE"))</f>
        <v>NAP</v>
      </c>
      <c r="V12" s="201">
        <f>WEEKDAY(Table1[[#This Row],[FLIGHT_DATE]],2)</f>
        <v>5</v>
      </c>
      <c r="W12" s="201">
        <f>Table1[[#This Row],[FLIGHT_DATE]]-Table1[[#This Row],[DATE_BOOKED]]</f>
        <v>77</v>
      </c>
    </row>
    <row r="13" spans="1:23" x14ac:dyDescent="0.25">
      <c r="A13" s="200">
        <v>45688</v>
      </c>
      <c r="B13" s="201" t="s">
        <v>205</v>
      </c>
      <c r="C13" s="131" t="s">
        <v>162</v>
      </c>
      <c r="D13" s="131"/>
      <c r="E13" s="201"/>
      <c r="F13" s="201" t="s">
        <v>49</v>
      </c>
      <c r="G13" s="201" t="s">
        <v>7</v>
      </c>
      <c r="H13" s="201" t="s">
        <v>212</v>
      </c>
      <c r="I13" s="205" t="s">
        <v>23</v>
      </c>
      <c r="J13" s="200">
        <v>45765</v>
      </c>
      <c r="K13" s="204">
        <v>1</v>
      </c>
      <c r="L13" s="206">
        <v>1</v>
      </c>
      <c r="M13" s="207">
        <v>230</v>
      </c>
      <c r="N13" s="202">
        <v>34.04</v>
      </c>
      <c r="O13" s="202">
        <v>30</v>
      </c>
      <c r="P13" s="203">
        <f>SUM(Table1[[#This Row],[BASE_FARE]:[SURCHARGES]])*Table1[[#This Row],[SEATS_BOOKED]]</f>
        <v>294.04000000000002</v>
      </c>
      <c r="Q13" s="198" t="s">
        <v>117</v>
      </c>
      <c r="R13" s="199" t="s">
        <v>163</v>
      </c>
      <c r="S13" s="201" t="str">
        <f>LEFT(Table1[[#This Row],[SECTOR]],3)</f>
        <v>NAP</v>
      </c>
      <c r="T13" s="201" t="str">
        <f>RIGHT(Table1[[#This Row],[SECTOR]],3)</f>
        <v>SSH</v>
      </c>
      <c r="U13" s="201" t="str">
        <f t="shared" si="4"/>
        <v>NAP</v>
      </c>
      <c r="V13" s="201">
        <f>WEEKDAY(Table1[[#This Row],[FLIGHT_DATE]],2)</f>
        <v>5</v>
      </c>
      <c r="W13" s="201">
        <f>Table1[[#This Row],[FLIGHT_DATE]]-Table1[[#This Row],[DATE_BOOKED]]</f>
        <v>77</v>
      </c>
    </row>
    <row r="14" spans="1:23" x14ac:dyDescent="0.25">
      <c r="A14" s="208">
        <v>45690</v>
      </c>
      <c r="B14" s="209" t="s">
        <v>205</v>
      </c>
      <c r="C14" s="131" t="s">
        <v>162</v>
      </c>
      <c r="D14" s="131"/>
      <c r="E14" s="209"/>
      <c r="F14" s="209" t="s">
        <v>49</v>
      </c>
      <c r="G14" s="209" t="s">
        <v>7</v>
      </c>
      <c r="H14" s="209" t="s">
        <v>212</v>
      </c>
      <c r="I14" s="210" t="s">
        <v>23</v>
      </c>
      <c r="J14" s="208">
        <v>45765</v>
      </c>
      <c r="K14" s="211">
        <v>1</v>
      </c>
      <c r="L14" s="212">
        <v>1</v>
      </c>
      <c r="M14" s="213">
        <v>280</v>
      </c>
      <c r="N14" s="214">
        <v>34.04</v>
      </c>
      <c r="O14" s="214">
        <v>30</v>
      </c>
      <c r="P14" s="215">
        <f>SUM(Table1[[#This Row],[BASE_FARE]:[SURCHARGES]])*Table1[[#This Row],[SEATS_BOOKED]]</f>
        <v>344.04</v>
      </c>
      <c r="Q14" s="198" t="s">
        <v>117</v>
      </c>
      <c r="R14" s="199" t="s">
        <v>163</v>
      </c>
      <c r="S14" s="209" t="str">
        <f>LEFT(Table1[[#This Row],[SECTOR]],3)</f>
        <v>NAP</v>
      </c>
      <c r="T14" s="209" t="str">
        <f>RIGHT(Table1[[#This Row],[SECTOR]],3)</f>
        <v>SSH</v>
      </c>
      <c r="U14" s="209" t="str">
        <f t="shared" ref="U14:U19" si="5">IF(AND(S14&lt;&gt;"SSH", S14&lt;&gt;"RMF", S14&lt;&gt;"CAI", S14&lt;&gt;"HRG", S14&lt;&gt;"LXR", S14&lt;&gt;"DXB", OR(T14="SSH", T14="RMF", T14="CAI", T14="HRG", T14="LXR", T14="DXB")), S14,
    IF(AND(T14&lt;&gt;"SSH", T14&lt;&gt;"RMF", T14&lt;&gt;"CAI", T14&lt;&gt;"HRG", T14&lt;&gt;"LXR", T14&lt;&gt;"DXB", OR(S14="SSH", S14="RMF", S14="CAI", S14="HRG", S14="LXR", S14="DXB")), T14,
    "VIE"))</f>
        <v>NAP</v>
      </c>
      <c r="V14" s="209">
        <f>WEEKDAY(Table1[[#This Row],[FLIGHT_DATE]],2)</f>
        <v>5</v>
      </c>
      <c r="W14" s="209">
        <f>Table1[[#This Row],[FLIGHT_DATE]]-Table1[[#This Row],[DATE_BOOKED]]</f>
        <v>75</v>
      </c>
    </row>
    <row r="15" spans="1:23" x14ac:dyDescent="0.25">
      <c r="A15" s="208">
        <v>45690</v>
      </c>
      <c r="B15" s="209" t="s">
        <v>205</v>
      </c>
      <c r="C15" s="131" t="s">
        <v>162</v>
      </c>
      <c r="D15" s="131"/>
      <c r="E15" s="209"/>
      <c r="F15" s="209" t="s">
        <v>49</v>
      </c>
      <c r="G15" s="209" t="s">
        <v>7</v>
      </c>
      <c r="H15" s="209" t="s">
        <v>212</v>
      </c>
      <c r="I15" s="210" t="s">
        <v>23</v>
      </c>
      <c r="J15" s="208">
        <v>45765</v>
      </c>
      <c r="K15" s="211">
        <v>1</v>
      </c>
      <c r="L15" s="212">
        <v>1</v>
      </c>
      <c r="M15" s="213">
        <v>280</v>
      </c>
      <c r="N15" s="214">
        <v>34.04</v>
      </c>
      <c r="O15" s="214">
        <v>30</v>
      </c>
      <c r="P15" s="215">
        <f>SUM(Table1[[#This Row],[BASE_FARE]:[SURCHARGES]])*Table1[[#This Row],[SEATS_BOOKED]]</f>
        <v>344.04</v>
      </c>
      <c r="Q15" s="198" t="s">
        <v>117</v>
      </c>
      <c r="R15" s="199" t="s">
        <v>163</v>
      </c>
      <c r="S15" s="209" t="str">
        <f>LEFT(Table1[[#This Row],[SECTOR]],3)</f>
        <v>NAP</v>
      </c>
      <c r="T15" s="209" t="str">
        <f>RIGHT(Table1[[#This Row],[SECTOR]],3)</f>
        <v>SSH</v>
      </c>
      <c r="U15" s="209" t="str">
        <f t="shared" si="5"/>
        <v>NAP</v>
      </c>
      <c r="V15" s="209">
        <f>WEEKDAY(Table1[[#This Row],[FLIGHT_DATE]],2)</f>
        <v>5</v>
      </c>
      <c r="W15" s="209">
        <f>Table1[[#This Row],[FLIGHT_DATE]]-Table1[[#This Row],[DATE_BOOKED]]</f>
        <v>75</v>
      </c>
    </row>
    <row r="16" spans="1:23" x14ac:dyDescent="0.25">
      <c r="A16" s="208">
        <v>45690</v>
      </c>
      <c r="B16" s="209" t="s">
        <v>205</v>
      </c>
      <c r="C16" s="131" t="s">
        <v>162</v>
      </c>
      <c r="D16" s="131"/>
      <c r="E16" s="209"/>
      <c r="F16" s="209" t="s">
        <v>49</v>
      </c>
      <c r="G16" s="209" t="s">
        <v>7</v>
      </c>
      <c r="H16" s="209" t="s">
        <v>212</v>
      </c>
      <c r="I16" s="210" t="s">
        <v>23</v>
      </c>
      <c r="J16" s="208">
        <v>45765</v>
      </c>
      <c r="K16" s="211">
        <v>1</v>
      </c>
      <c r="L16" s="212">
        <v>1</v>
      </c>
      <c r="M16" s="213">
        <v>280</v>
      </c>
      <c r="N16" s="214">
        <v>34.04</v>
      </c>
      <c r="O16" s="214">
        <v>30</v>
      </c>
      <c r="P16" s="215">
        <f>SUM(Table1[[#This Row],[BASE_FARE]:[SURCHARGES]])*Table1[[#This Row],[SEATS_BOOKED]]</f>
        <v>344.04</v>
      </c>
      <c r="Q16" s="198" t="s">
        <v>117</v>
      </c>
      <c r="R16" s="199" t="s">
        <v>163</v>
      </c>
      <c r="S16" s="209" t="str">
        <f>LEFT(Table1[[#This Row],[SECTOR]],3)</f>
        <v>NAP</v>
      </c>
      <c r="T16" s="209" t="str">
        <f>RIGHT(Table1[[#This Row],[SECTOR]],3)</f>
        <v>SSH</v>
      </c>
      <c r="U16" s="209" t="str">
        <f t="shared" si="5"/>
        <v>NAP</v>
      </c>
      <c r="V16" s="209">
        <f>WEEKDAY(Table1[[#This Row],[FLIGHT_DATE]],2)</f>
        <v>5</v>
      </c>
      <c r="W16" s="209">
        <f>Table1[[#This Row],[FLIGHT_DATE]]-Table1[[#This Row],[DATE_BOOKED]]</f>
        <v>75</v>
      </c>
    </row>
    <row r="17" spans="1:23" x14ac:dyDescent="0.25">
      <c r="A17" s="208">
        <v>45690</v>
      </c>
      <c r="B17" s="209" t="s">
        <v>205</v>
      </c>
      <c r="C17" s="131" t="s">
        <v>162</v>
      </c>
      <c r="D17" s="131"/>
      <c r="E17" s="209"/>
      <c r="F17" s="209" t="s">
        <v>49</v>
      </c>
      <c r="G17" s="209" t="s">
        <v>7</v>
      </c>
      <c r="H17" s="209" t="s">
        <v>212</v>
      </c>
      <c r="I17" s="210" t="s">
        <v>23</v>
      </c>
      <c r="J17" s="208">
        <v>45765</v>
      </c>
      <c r="K17" s="211">
        <v>1</v>
      </c>
      <c r="L17" s="212">
        <v>1</v>
      </c>
      <c r="M17" s="213">
        <v>280</v>
      </c>
      <c r="N17" s="214">
        <v>34.04</v>
      </c>
      <c r="O17" s="214">
        <v>30</v>
      </c>
      <c r="P17" s="215">
        <f>SUM(Table1[[#This Row],[BASE_FARE]:[SURCHARGES]])*Table1[[#This Row],[SEATS_BOOKED]]</f>
        <v>344.04</v>
      </c>
      <c r="Q17" s="198" t="s">
        <v>117</v>
      </c>
      <c r="R17" s="199" t="s">
        <v>163</v>
      </c>
      <c r="S17" s="209" t="str">
        <f>LEFT(Table1[[#This Row],[SECTOR]],3)</f>
        <v>NAP</v>
      </c>
      <c r="T17" s="209" t="str">
        <f>RIGHT(Table1[[#This Row],[SECTOR]],3)</f>
        <v>SSH</v>
      </c>
      <c r="U17" s="209" t="str">
        <f t="shared" si="5"/>
        <v>NAP</v>
      </c>
      <c r="V17" s="209">
        <f>WEEKDAY(Table1[[#This Row],[FLIGHT_DATE]],2)</f>
        <v>5</v>
      </c>
      <c r="W17" s="209">
        <f>Table1[[#This Row],[FLIGHT_DATE]]-Table1[[#This Row],[DATE_BOOKED]]</f>
        <v>75</v>
      </c>
    </row>
    <row r="18" spans="1:23" x14ac:dyDescent="0.25">
      <c r="A18" s="208">
        <v>45690</v>
      </c>
      <c r="B18" s="209" t="s">
        <v>205</v>
      </c>
      <c r="C18" s="131" t="s">
        <v>162</v>
      </c>
      <c r="D18" s="131"/>
      <c r="E18" s="209"/>
      <c r="F18" s="209" t="s">
        <v>49</v>
      </c>
      <c r="G18" s="209" t="s">
        <v>7</v>
      </c>
      <c r="H18" s="209" t="s">
        <v>212</v>
      </c>
      <c r="I18" s="210" t="s">
        <v>23</v>
      </c>
      <c r="J18" s="208">
        <v>45765</v>
      </c>
      <c r="K18" s="211">
        <v>1</v>
      </c>
      <c r="L18" s="212">
        <v>1</v>
      </c>
      <c r="M18" s="213">
        <v>280</v>
      </c>
      <c r="N18" s="214">
        <v>34.04</v>
      </c>
      <c r="O18" s="214">
        <v>30</v>
      </c>
      <c r="P18" s="215">
        <f>SUM(Table1[[#This Row],[BASE_FARE]:[SURCHARGES]])*Table1[[#This Row],[SEATS_BOOKED]]</f>
        <v>344.04</v>
      </c>
      <c r="Q18" s="198" t="s">
        <v>117</v>
      </c>
      <c r="R18" s="199" t="s">
        <v>163</v>
      </c>
      <c r="S18" s="209" t="str">
        <f>LEFT(Table1[[#This Row],[SECTOR]],3)</f>
        <v>NAP</v>
      </c>
      <c r="T18" s="209" t="str">
        <f>RIGHT(Table1[[#This Row],[SECTOR]],3)</f>
        <v>SSH</v>
      </c>
      <c r="U18" s="209" t="str">
        <f t="shared" si="5"/>
        <v>NAP</v>
      </c>
      <c r="V18" s="209">
        <f>WEEKDAY(Table1[[#This Row],[FLIGHT_DATE]],2)</f>
        <v>5</v>
      </c>
      <c r="W18" s="209">
        <f>Table1[[#This Row],[FLIGHT_DATE]]-Table1[[#This Row],[DATE_BOOKED]]</f>
        <v>75</v>
      </c>
    </row>
    <row r="19" spans="1:23" x14ac:dyDescent="0.25">
      <c r="A19" s="208">
        <v>45690</v>
      </c>
      <c r="B19" s="209" t="s">
        <v>205</v>
      </c>
      <c r="C19" s="131" t="s">
        <v>162</v>
      </c>
      <c r="D19" s="131"/>
      <c r="E19" s="209"/>
      <c r="F19" s="209" t="s">
        <v>49</v>
      </c>
      <c r="G19" s="209" t="s">
        <v>7</v>
      </c>
      <c r="H19" s="209" t="s">
        <v>212</v>
      </c>
      <c r="I19" s="210" t="s">
        <v>23</v>
      </c>
      <c r="J19" s="208">
        <v>45765</v>
      </c>
      <c r="K19" s="211">
        <v>1</v>
      </c>
      <c r="L19" s="212">
        <v>1</v>
      </c>
      <c r="M19" s="213">
        <v>280</v>
      </c>
      <c r="N19" s="214">
        <v>34.04</v>
      </c>
      <c r="O19" s="214">
        <v>30</v>
      </c>
      <c r="P19" s="215">
        <f>SUM(Table1[[#This Row],[BASE_FARE]:[SURCHARGES]])*Table1[[#This Row],[SEATS_BOOKED]]</f>
        <v>344.04</v>
      </c>
      <c r="Q19" s="198" t="s">
        <v>117</v>
      </c>
      <c r="R19" s="199" t="s">
        <v>163</v>
      </c>
      <c r="S19" s="209" t="str">
        <f>LEFT(Table1[[#This Row],[SECTOR]],3)</f>
        <v>NAP</v>
      </c>
      <c r="T19" s="209" t="str">
        <f>RIGHT(Table1[[#This Row],[SECTOR]],3)</f>
        <v>SSH</v>
      </c>
      <c r="U19" s="209" t="str">
        <f t="shared" si="5"/>
        <v>NAP</v>
      </c>
      <c r="V19" s="209">
        <f>WEEKDAY(Table1[[#This Row],[FLIGHT_DATE]],2)</f>
        <v>5</v>
      </c>
      <c r="W19" s="209">
        <f>Table1[[#This Row],[FLIGHT_DATE]]-Table1[[#This Row],[DATE_BOOKED]]</f>
        <v>75</v>
      </c>
    </row>
    <row r="20" spans="1:23" x14ac:dyDescent="0.25">
      <c r="A20" s="228">
        <v>45698</v>
      </c>
      <c r="B20" s="229" t="s">
        <v>161</v>
      </c>
      <c r="C20" s="131" t="s">
        <v>162</v>
      </c>
      <c r="D20" s="131"/>
      <c r="E20" s="229"/>
      <c r="F20" s="229" t="s">
        <v>49</v>
      </c>
      <c r="G20" s="229" t="s">
        <v>7</v>
      </c>
      <c r="H20" s="229" t="s">
        <v>124</v>
      </c>
      <c r="I20" s="230" t="s">
        <v>23</v>
      </c>
      <c r="J20" s="228">
        <v>45760</v>
      </c>
      <c r="K20" s="231">
        <v>4</v>
      </c>
      <c r="L20" s="232">
        <v>4</v>
      </c>
      <c r="M20" s="233">
        <v>150</v>
      </c>
      <c r="N20" s="227">
        <v>0</v>
      </c>
      <c r="O20" s="227">
        <v>0</v>
      </c>
      <c r="P20" s="234">
        <f>SUM(Table1[[#This Row],[BASE_FARE]:[SURCHARGES]])*Table1[[#This Row],[SEATS_BOOKED]]</f>
        <v>600</v>
      </c>
      <c r="Q20" s="225" t="s">
        <v>117</v>
      </c>
      <c r="R20" s="226" t="s">
        <v>163</v>
      </c>
      <c r="S20" s="229" t="str">
        <f>LEFT(Table1[[#This Row],[SECTOR]],3)</f>
        <v>NAP</v>
      </c>
      <c r="T20" s="229" t="str">
        <f>RIGHT(Table1[[#This Row],[SECTOR]],3)</f>
        <v>SSH</v>
      </c>
      <c r="U20" s="229" t="str">
        <f t="shared" ref="U20" si="6">IF(AND(S20&lt;&gt;"SSH", S20&lt;&gt;"RMF", S20&lt;&gt;"CAI", S20&lt;&gt;"HRG", S20&lt;&gt;"LXR", S20&lt;&gt;"DXB", OR(T20="SSH", T20="RMF", T20="CAI", T20="HRG", T20="LXR", T20="DXB")), S20,
    IF(AND(T20&lt;&gt;"SSH", T20&lt;&gt;"RMF", T20&lt;&gt;"CAI", T20&lt;&gt;"HRG", T20&lt;&gt;"LXR", T20&lt;&gt;"DXB", OR(S20="SSH", S20="RMF", S20="CAI", S20="HRG", S20="LXR", S20="DXB")), T20,
    "VIE"))</f>
        <v>NAP</v>
      </c>
      <c r="V20" s="229">
        <f>WEEKDAY(Table1[[#This Row],[FLIGHT_DATE]],2)</f>
        <v>7</v>
      </c>
      <c r="W20" s="229">
        <f>Table1[[#This Row],[FLIGHT_DATE]]-Table1[[#This Row],[DATE_BOOKED]]</f>
        <v>62</v>
      </c>
    </row>
    <row r="21" spans="1:23" x14ac:dyDescent="0.25">
      <c r="A21" s="238">
        <v>45698</v>
      </c>
      <c r="B21" s="239" t="s">
        <v>205</v>
      </c>
      <c r="C21" s="131" t="s">
        <v>162</v>
      </c>
      <c r="D21" s="131"/>
      <c r="E21" s="239"/>
      <c r="F21" s="239" t="s">
        <v>47</v>
      </c>
      <c r="G21" s="239" t="s">
        <v>7</v>
      </c>
      <c r="H21" s="298" t="s">
        <v>253</v>
      </c>
      <c r="I21" s="237" t="s">
        <v>23</v>
      </c>
      <c r="J21" s="238">
        <v>45753</v>
      </c>
      <c r="K21" s="240">
        <v>1</v>
      </c>
      <c r="L21" s="241">
        <v>1</v>
      </c>
      <c r="M21" s="242">
        <v>75</v>
      </c>
      <c r="N21" s="243">
        <v>34.04</v>
      </c>
      <c r="O21" s="243">
        <v>30</v>
      </c>
      <c r="P21" s="244">
        <f>SUM(Table1[[#This Row],[BASE_FARE]:[SURCHARGES]])*Table1[[#This Row],[SEATS_BOOKED]]</f>
        <v>139.04</v>
      </c>
      <c r="Q21" s="235" t="s">
        <v>117</v>
      </c>
      <c r="R21" s="236" t="s">
        <v>163</v>
      </c>
      <c r="S21" s="239" t="str">
        <f>LEFT(Table1[[#This Row],[SECTOR]],3)</f>
        <v>NAP</v>
      </c>
      <c r="T21" s="239" t="str">
        <f>RIGHT(Table1[[#This Row],[SECTOR]],3)</f>
        <v>SSH</v>
      </c>
      <c r="U21" s="239" t="str">
        <f t="shared" ref="U21:U24" si="7">IF(AND(S21&lt;&gt;"SSH", S21&lt;&gt;"RMF", S21&lt;&gt;"CAI", S21&lt;&gt;"HRG", S21&lt;&gt;"LXR", S21&lt;&gt;"DXB", OR(T21="SSH", T21="RMF", T21="CAI", T21="HRG", T21="LXR", T21="DXB")), S21,
    IF(AND(T21&lt;&gt;"SSH", T21&lt;&gt;"RMF", T21&lt;&gt;"CAI", T21&lt;&gt;"HRG", T21&lt;&gt;"LXR", T21&lt;&gt;"DXB", OR(S21="SSH", S21="RMF", S21="CAI", S21="HRG", S21="LXR", S21="DXB")), T21,
    "VIE"))</f>
        <v>NAP</v>
      </c>
      <c r="V21" s="239">
        <f>WEEKDAY(Table1[[#This Row],[FLIGHT_DATE]],2)</f>
        <v>7</v>
      </c>
      <c r="W21" s="239">
        <f>Table1[[#This Row],[FLIGHT_DATE]]-Table1[[#This Row],[DATE_BOOKED]]</f>
        <v>55</v>
      </c>
    </row>
    <row r="22" spans="1:23" x14ac:dyDescent="0.25">
      <c r="A22" s="238">
        <v>45698</v>
      </c>
      <c r="B22" s="239" t="s">
        <v>205</v>
      </c>
      <c r="C22" s="131" t="s">
        <v>162</v>
      </c>
      <c r="D22" s="131"/>
      <c r="E22" s="239"/>
      <c r="F22" s="239" t="s">
        <v>47</v>
      </c>
      <c r="G22" s="239" t="s">
        <v>8</v>
      </c>
      <c r="H22" s="298" t="s">
        <v>254</v>
      </c>
      <c r="I22" s="237" t="s">
        <v>24</v>
      </c>
      <c r="J22" s="238">
        <v>45760</v>
      </c>
      <c r="K22" s="240">
        <v>1</v>
      </c>
      <c r="L22" s="241">
        <v>1</v>
      </c>
      <c r="M22" s="242">
        <v>75</v>
      </c>
      <c r="N22" s="243">
        <v>38.92</v>
      </c>
      <c r="O22" s="243">
        <v>30</v>
      </c>
      <c r="P22" s="244">
        <f>SUM(Table1[[#This Row],[BASE_FARE]:[SURCHARGES]])*Table1[[#This Row],[SEATS_BOOKED]]</f>
        <v>143.92000000000002</v>
      </c>
      <c r="Q22" s="235" t="s">
        <v>117</v>
      </c>
      <c r="R22" s="236" t="s">
        <v>163</v>
      </c>
      <c r="S22" s="239" t="str">
        <f>LEFT(Table1[[#This Row],[SECTOR]],3)</f>
        <v>SSH</v>
      </c>
      <c r="T22" s="239" t="str">
        <f>RIGHT(Table1[[#This Row],[SECTOR]],3)</f>
        <v>NAP</v>
      </c>
      <c r="U22" s="239" t="str">
        <f t="shared" si="7"/>
        <v>NAP</v>
      </c>
      <c r="V22" s="239">
        <f>WEEKDAY(Table1[[#This Row],[FLIGHT_DATE]],2)</f>
        <v>7</v>
      </c>
      <c r="W22" s="239">
        <f>Table1[[#This Row],[FLIGHT_DATE]]-Table1[[#This Row],[DATE_BOOKED]]</f>
        <v>62</v>
      </c>
    </row>
    <row r="23" spans="1:23" x14ac:dyDescent="0.25">
      <c r="A23" s="238">
        <v>45698</v>
      </c>
      <c r="B23" s="239" t="s">
        <v>205</v>
      </c>
      <c r="C23" s="131" t="s">
        <v>162</v>
      </c>
      <c r="D23" s="131"/>
      <c r="E23" s="239"/>
      <c r="F23" s="239" t="s">
        <v>47</v>
      </c>
      <c r="G23" s="239" t="s">
        <v>7</v>
      </c>
      <c r="H23" s="298" t="s">
        <v>253</v>
      </c>
      <c r="I23" s="237" t="s">
        <v>23</v>
      </c>
      <c r="J23" s="238">
        <v>45753</v>
      </c>
      <c r="K23" s="240">
        <v>1</v>
      </c>
      <c r="L23" s="241">
        <v>1</v>
      </c>
      <c r="M23" s="242">
        <v>100</v>
      </c>
      <c r="N23" s="243">
        <v>34.04</v>
      </c>
      <c r="O23" s="243">
        <v>30</v>
      </c>
      <c r="P23" s="244">
        <f>SUM(Table1[[#This Row],[BASE_FARE]:[SURCHARGES]])*Table1[[#This Row],[SEATS_BOOKED]]</f>
        <v>164.04</v>
      </c>
      <c r="Q23" s="235" t="s">
        <v>117</v>
      </c>
      <c r="R23" s="236" t="s">
        <v>163</v>
      </c>
      <c r="S23" s="239" t="str">
        <f>LEFT(Table1[[#This Row],[SECTOR]],3)</f>
        <v>NAP</v>
      </c>
      <c r="T23" s="239" t="str">
        <f>RIGHT(Table1[[#This Row],[SECTOR]],3)</f>
        <v>SSH</v>
      </c>
      <c r="U23" s="239" t="str">
        <f t="shared" si="7"/>
        <v>NAP</v>
      </c>
      <c r="V23" s="239">
        <f>WEEKDAY(Table1[[#This Row],[FLIGHT_DATE]],2)</f>
        <v>7</v>
      </c>
      <c r="W23" s="239">
        <f>Table1[[#This Row],[FLIGHT_DATE]]-Table1[[#This Row],[DATE_BOOKED]]</f>
        <v>55</v>
      </c>
    </row>
    <row r="24" spans="1:23" x14ac:dyDescent="0.25">
      <c r="A24" s="238">
        <v>45698</v>
      </c>
      <c r="B24" s="239" t="s">
        <v>205</v>
      </c>
      <c r="C24" s="131" t="s">
        <v>162</v>
      </c>
      <c r="D24" s="131"/>
      <c r="E24" s="239"/>
      <c r="F24" s="239" t="s">
        <v>47</v>
      </c>
      <c r="G24" s="239" t="s">
        <v>8</v>
      </c>
      <c r="H24" s="298" t="s">
        <v>254</v>
      </c>
      <c r="I24" s="237" t="s">
        <v>24</v>
      </c>
      <c r="J24" s="238">
        <v>45760</v>
      </c>
      <c r="K24" s="240">
        <v>1</v>
      </c>
      <c r="L24" s="241">
        <v>1</v>
      </c>
      <c r="M24" s="242">
        <v>100</v>
      </c>
      <c r="N24" s="243">
        <v>38.92</v>
      </c>
      <c r="O24" s="243">
        <v>30</v>
      </c>
      <c r="P24" s="244">
        <f>SUM(Table1[[#This Row],[BASE_FARE]:[SURCHARGES]])*Table1[[#This Row],[SEATS_BOOKED]]</f>
        <v>168.92000000000002</v>
      </c>
      <c r="Q24" s="235" t="s">
        <v>117</v>
      </c>
      <c r="R24" s="236" t="s">
        <v>163</v>
      </c>
      <c r="S24" s="239" t="str">
        <f>LEFT(Table1[[#This Row],[SECTOR]],3)</f>
        <v>SSH</v>
      </c>
      <c r="T24" s="239" t="str">
        <f>RIGHT(Table1[[#This Row],[SECTOR]],3)</f>
        <v>NAP</v>
      </c>
      <c r="U24" s="239" t="str">
        <f t="shared" si="7"/>
        <v>NAP</v>
      </c>
      <c r="V24" s="239">
        <f>WEEKDAY(Table1[[#This Row],[FLIGHT_DATE]],2)</f>
        <v>7</v>
      </c>
      <c r="W24" s="239">
        <f>Table1[[#This Row],[FLIGHT_DATE]]-Table1[[#This Row],[DATE_BOOKED]]</f>
        <v>62</v>
      </c>
    </row>
    <row r="25" spans="1:23" x14ac:dyDescent="0.25">
      <c r="A25" s="246">
        <v>45698</v>
      </c>
      <c r="B25" s="247" t="s">
        <v>205</v>
      </c>
      <c r="C25" s="131" t="s">
        <v>162</v>
      </c>
      <c r="D25" s="131"/>
      <c r="E25" s="247"/>
      <c r="F25" s="247" t="s">
        <v>47</v>
      </c>
      <c r="G25" s="247" t="s">
        <v>7</v>
      </c>
      <c r="H25" s="298" t="s">
        <v>253</v>
      </c>
      <c r="I25" s="248" t="s">
        <v>23</v>
      </c>
      <c r="J25" s="246">
        <v>45753</v>
      </c>
      <c r="K25" s="249">
        <v>1</v>
      </c>
      <c r="L25" s="250">
        <v>1</v>
      </c>
      <c r="M25" s="251">
        <v>100</v>
      </c>
      <c r="N25" s="252">
        <v>34.04</v>
      </c>
      <c r="O25" s="252">
        <v>30</v>
      </c>
      <c r="P25" s="253">
        <f>SUM(Table1[[#This Row],[BASE_FARE]:[SURCHARGES]])*Table1[[#This Row],[SEATS_BOOKED]]</f>
        <v>164.04</v>
      </c>
      <c r="Q25" s="235" t="s">
        <v>117</v>
      </c>
      <c r="R25" s="236" t="s">
        <v>163</v>
      </c>
      <c r="S25" s="247" t="str">
        <f>LEFT(Table1[[#This Row],[SECTOR]],3)</f>
        <v>NAP</v>
      </c>
      <c r="T25" s="247" t="str">
        <f>RIGHT(Table1[[#This Row],[SECTOR]],3)</f>
        <v>SSH</v>
      </c>
      <c r="U25" s="247" t="str">
        <f t="shared" ref="U25:U26" si="8">IF(AND(S25&lt;&gt;"SSH", S25&lt;&gt;"RMF", S25&lt;&gt;"CAI", S25&lt;&gt;"HRG", S25&lt;&gt;"LXR", S25&lt;&gt;"DXB", OR(T25="SSH", T25="RMF", T25="CAI", T25="HRG", T25="LXR", T25="DXB")), S25,
    IF(AND(T25&lt;&gt;"SSH", T25&lt;&gt;"RMF", T25&lt;&gt;"CAI", T25&lt;&gt;"HRG", T25&lt;&gt;"LXR", T25&lt;&gt;"DXB", OR(S25="SSH", S25="RMF", S25="CAI", S25="HRG", S25="LXR", S25="DXB")), T25,
    "VIE"))</f>
        <v>NAP</v>
      </c>
      <c r="V25" s="247">
        <f>WEEKDAY(Table1[[#This Row],[FLIGHT_DATE]],2)</f>
        <v>7</v>
      </c>
      <c r="W25" s="247">
        <f>Table1[[#This Row],[FLIGHT_DATE]]-Table1[[#This Row],[DATE_BOOKED]]</f>
        <v>55</v>
      </c>
    </row>
    <row r="26" spans="1:23" x14ac:dyDescent="0.25">
      <c r="A26" s="246">
        <v>45698</v>
      </c>
      <c r="B26" s="247" t="s">
        <v>205</v>
      </c>
      <c r="C26" s="131" t="s">
        <v>162</v>
      </c>
      <c r="D26" s="131"/>
      <c r="E26" s="247"/>
      <c r="F26" s="247" t="s">
        <v>47</v>
      </c>
      <c r="G26" s="247" t="s">
        <v>8</v>
      </c>
      <c r="H26" s="298" t="s">
        <v>254</v>
      </c>
      <c r="I26" s="248" t="s">
        <v>24</v>
      </c>
      <c r="J26" s="246">
        <v>45760</v>
      </c>
      <c r="K26" s="249">
        <v>1</v>
      </c>
      <c r="L26" s="250">
        <v>1</v>
      </c>
      <c r="M26" s="251">
        <v>100</v>
      </c>
      <c r="N26" s="252">
        <v>38.92</v>
      </c>
      <c r="O26" s="252">
        <v>30</v>
      </c>
      <c r="P26" s="253">
        <f>SUM(Table1[[#This Row],[BASE_FARE]:[SURCHARGES]])*Table1[[#This Row],[SEATS_BOOKED]]</f>
        <v>168.92000000000002</v>
      </c>
      <c r="Q26" s="235" t="s">
        <v>117</v>
      </c>
      <c r="R26" s="236" t="s">
        <v>163</v>
      </c>
      <c r="S26" s="247" t="str">
        <f>LEFT(Table1[[#This Row],[SECTOR]],3)</f>
        <v>SSH</v>
      </c>
      <c r="T26" s="247" t="str">
        <f>RIGHT(Table1[[#This Row],[SECTOR]],3)</f>
        <v>NAP</v>
      </c>
      <c r="U26" s="247" t="str">
        <f t="shared" si="8"/>
        <v>NAP</v>
      </c>
      <c r="V26" s="247">
        <f>WEEKDAY(Table1[[#This Row],[FLIGHT_DATE]],2)</f>
        <v>7</v>
      </c>
      <c r="W26" s="247">
        <f>Table1[[#This Row],[FLIGHT_DATE]]-Table1[[#This Row],[DATE_BOOKED]]</f>
        <v>62</v>
      </c>
    </row>
    <row r="27" spans="1:23" x14ac:dyDescent="0.25">
      <c r="A27" s="254">
        <v>45700</v>
      </c>
      <c r="B27" s="255" t="s">
        <v>205</v>
      </c>
      <c r="C27" s="131" t="s">
        <v>162</v>
      </c>
      <c r="D27" s="131" t="s">
        <v>245</v>
      </c>
      <c r="E27" s="255"/>
      <c r="F27" s="255" t="s">
        <v>49</v>
      </c>
      <c r="G27" s="255" t="s">
        <v>7</v>
      </c>
      <c r="H27" s="298" t="s">
        <v>253</v>
      </c>
      <c r="I27" s="256" t="s">
        <v>23</v>
      </c>
      <c r="J27" s="254">
        <v>45753</v>
      </c>
      <c r="K27" s="257">
        <v>1</v>
      </c>
      <c r="L27" s="258">
        <v>1</v>
      </c>
      <c r="M27" s="259">
        <v>100</v>
      </c>
      <c r="N27" s="260">
        <v>34.04</v>
      </c>
      <c r="O27" s="260">
        <v>30</v>
      </c>
      <c r="P27" s="261">
        <f>SUM(Table1[[#This Row],[BASE_FARE]:[SURCHARGES]])*Table1[[#This Row],[SEATS_BOOKED]]</f>
        <v>164.04</v>
      </c>
      <c r="Q27" s="255" t="s">
        <v>117</v>
      </c>
      <c r="R27" s="257" t="s">
        <v>163</v>
      </c>
      <c r="S27" s="255" t="str">
        <f>LEFT(Table1[[#This Row],[SECTOR]],3)</f>
        <v>NAP</v>
      </c>
      <c r="T27" s="255" t="str">
        <f>RIGHT(Table1[[#This Row],[SECTOR]],3)</f>
        <v>SSH</v>
      </c>
      <c r="U27" s="255" t="str">
        <f>IF(AND(S27&lt;&gt;"SSH", S27&lt;&gt;"RMF", S27&lt;&gt;"CAI", S27&lt;&gt;"HRG", S27&lt;&gt;"LXR", S27&lt;&gt;"DXB", OR(T27="SSH", T27="RMF", T27="CAI", T27="HRG", T27="LXR", T27="DXB")), S27,
    IF(AND(T27&lt;&gt;"SSH", T27&lt;&gt;"RMF", T27&lt;&gt;"CAI", T27&lt;&gt;"HRG", T27&lt;&gt;"LXR", T27&lt;&gt;"DXB", OR(S27="SSH", S27="RMF", S27="CAI", S27="HRG", S27="LXR", S27="DXB")), T27,
    "VIE"))</f>
        <v>NAP</v>
      </c>
      <c r="V27" s="255">
        <f>WEEKDAY(Table1[[#This Row],[FLIGHT_DATE]],2)</f>
        <v>7</v>
      </c>
      <c r="W27" s="255">
        <f>Table1[[#This Row],[FLIGHT_DATE]]-Table1[[#This Row],[DATE_BOOKED]]</f>
        <v>53</v>
      </c>
    </row>
    <row r="28" spans="1:23" x14ac:dyDescent="0.25">
      <c r="A28" s="274">
        <v>45706</v>
      </c>
      <c r="B28" s="275" t="s">
        <v>161</v>
      </c>
      <c r="C28" s="131" t="s">
        <v>162</v>
      </c>
      <c r="D28" s="131"/>
      <c r="E28" s="275"/>
      <c r="F28" s="275" t="s">
        <v>49</v>
      </c>
      <c r="G28" s="275" t="s">
        <v>7</v>
      </c>
      <c r="H28" s="275" t="s">
        <v>124</v>
      </c>
      <c r="I28" s="276" t="s">
        <v>23</v>
      </c>
      <c r="J28" s="274">
        <v>45760</v>
      </c>
      <c r="K28" s="277">
        <v>1</v>
      </c>
      <c r="L28" s="278">
        <v>1</v>
      </c>
      <c r="M28" s="279">
        <v>150</v>
      </c>
      <c r="N28" s="280">
        <v>0</v>
      </c>
      <c r="O28" s="280">
        <v>0</v>
      </c>
      <c r="P28" s="281">
        <f>SUM(Table1[[#This Row],[BASE_FARE]:[SURCHARGES]])*Table1[[#This Row],[SEATS_BOOKED]]</f>
        <v>150</v>
      </c>
      <c r="Q28" s="275" t="s">
        <v>117</v>
      </c>
      <c r="R28" s="277" t="s">
        <v>163</v>
      </c>
      <c r="S28" s="275" t="str">
        <f>LEFT(Table1[[#This Row],[SECTOR]],3)</f>
        <v>NAP</v>
      </c>
      <c r="T28" s="275" t="str">
        <f>RIGHT(Table1[[#This Row],[SECTOR]],3)</f>
        <v>SSH</v>
      </c>
      <c r="U28" s="275" t="str">
        <f t="shared" ref="U28" si="9">IF(AND(S28&lt;&gt;"SSH", S28&lt;&gt;"RMF", S28&lt;&gt;"CAI", S28&lt;&gt;"HRG", S28&lt;&gt;"LXR", S28&lt;&gt;"DXB", OR(T28="SSH", T28="RMF", T28="CAI", T28="HRG", T28="LXR", T28="DXB")), S28,
    IF(AND(T28&lt;&gt;"SSH", T28&lt;&gt;"RMF", T28&lt;&gt;"CAI", T28&lt;&gt;"HRG", T28&lt;&gt;"LXR", T28&lt;&gt;"DXB", OR(S28="SSH", S28="RMF", S28="CAI", S28="HRG", S28="LXR", S28="DXB")), T28,
    "VIE"))</f>
        <v>NAP</v>
      </c>
      <c r="V28" s="275">
        <f>WEEKDAY(Table1[[#This Row],[FLIGHT_DATE]],2)</f>
        <v>7</v>
      </c>
      <c r="W28" s="275">
        <f>Table1[[#This Row],[FLIGHT_DATE]]-Table1[[#This Row],[DATE_BOOKED]]</f>
        <v>54</v>
      </c>
    </row>
    <row r="29" spans="1:23" x14ac:dyDescent="0.25">
      <c r="A29" s="282">
        <v>45699</v>
      </c>
      <c r="B29" s="283" t="s">
        <v>205</v>
      </c>
      <c r="C29" s="131" t="s">
        <v>162</v>
      </c>
      <c r="D29" s="131" t="s">
        <v>245</v>
      </c>
      <c r="E29" s="283"/>
      <c r="F29" s="283" t="s">
        <v>47</v>
      </c>
      <c r="G29" s="283" t="s">
        <v>7</v>
      </c>
      <c r="H29" s="298" t="s">
        <v>253</v>
      </c>
      <c r="I29" s="284" t="s">
        <v>23</v>
      </c>
      <c r="J29" s="282">
        <v>45753</v>
      </c>
      <c r="K29" s="285">
        <v>1</v>
      </c>
      <c r="L29" s="286">
        <v>1</v>
      </c>
      <c r="M29" s="287">
        <v>100</v>
      </c>
      <c r="N29" s="288">
        <v>34.04</v>
      </c>
      <c r="O29" s="288">
        <v>30</v>
      </c>
      <c r="P29" s="289">
        <f>SUM(Table1[[#This Row],[BASE_FARE]:[SURCHARGES]])*Table1[[#This Row],[SEATS_BOOKED]]</f>
        <v>164.04</v>
      </c>
      <c r="Q29" s="283" t="s">
        <v>117</v>
      </c>
      <c r="R29" s="285" t="s">
        <v>163</v>
      </c>
      <c r="S29" s="283" t="str">
        <f>LEFT(Table1[[#This Row],[SECTOR]],3)</f>
        <v>NAP</v>
      </c>
      <c r="T29" s="283" t="str">
        <f>RIGHT(Table1[[#This Row],[SECTOR]],3)</f>
        <v>SSH</v>
      </c>
      <c r="U29" s="283" t="str">
        <f t="shared" ref="U29:U36" si="10">IF(AND(S29&lt;&gt;"SSH", S29&lt;&gt;"RMF", S29&lt;&gt;"CAI", S29&lt;&gt;"HRG", S29&lt;&gt;"LXR", S29&lt;&gt;"DXB", OR(T29="SSH", T29="RMF", T29="CAI", T29="HRG", T29="LXR", T29="DXB")), S29,
    IF(AND(T29&lt;&gt;"SSH", T29&lt;&gt;"RMF", T29&lt;&gt;"CAI", T29&lt;&gt;"HRG", T29&lt;&gt;"LXR", T29&lt;&gt;"DXB", OR(S29="SSH", S29="RMF", S29="CAI", S29="HRG", S29="LXR", S29="DXB")), T29,
    "VIE"))</f>
        <v>NAP</v>
      </c>
      <c r="V29" s="283">
        <f>WEEKDAY(Table1[[#This Row],[FLIGHT_DATE]],2)</f>
        <v>7</v>
      </c>
      <c r="W29" s="283">
        <f>Table1[[#This Row],[FLIGHT_DATE]]-Table1[[#This Row],[DATE_BOOKED]]</f>
        <v>54</v>
      </c>
    </row>
    <row r="30" spans="1:23" x14ac:dyDescent="0.25">
      <c r="A30" s="282">
        <v>45699</v>
      </c>
      <c r="B30" s="283" t="s">
        <v>205</v>
      </c>
      <c r="C30" s="131" t="s">
        <v>162</v>
      </c>
      <c r="D30" s="131" t="s">
        <v>245</v>
      </c>
      <c r="E30" s="283"/>
      <c r="F30" s="283" t="s">
        <v>47</v>
      </c>
      <c r="G30" s="283" t="s">
        <v>8</v>
      </c>
      <c r="H30" s="298" t="s">
        <v>254</v>
      </c>
      <c r="I30" s="284" t="s">
        <v>24</v>
      </c>
      <c r="J30" s="282">
        <v>45760</v>
      </c>
      <c r="K30" s="285">
        <v>1</v>
      </c>
      <c r="L30" s="286">
        <v>1</v>
      </c>
      <c r="M30" s="287">
        <v>100</v>
      </c>
      <c r="N30" s="288">
        <v>38.92</v>
      </c>
      <c r="O30" s="288">
        <v>30</v>
      </c>
      <c r="P30" s="289">
        <f>SUM(Table1[[#This Row],[BASE_FARE]:[SURCHARGES]])*Table1[[#This Row],[SEATS_BOOKED]]</f>
        <v>168.92000000000002</v>
      </c>
      <c r="Q30" s="283" t="s">
        <v>117</v>
      </c>
      <c r="R30" s="285" t="s">
        <v>163</v>
      </c>
      <c r="S30" s="283" t="str">
        <f>LEFT(Table1[[#This Row],[SECTOR]],3)</f>
        <v>SSH</v>
      </c>
      <c r="T30" s="283" t="str">
        <f>RIGHT(Table1[[#This Row],[SECTOR]],3)</f>
        <v>NAP</v>
      </c>
      <c r="U30" s="283" t="str">
        <f t="shared" si="10"/>
        <v>NAP</v>
      </c>
      <c r="V30" s="283">
        <f>WEEKDAY(Table1[[#This Row],[FLIGHT_DATE]],2)</f>
        <v>7</v>
      </c>
      <c r="W30" s="283">
        <f>Table1[[#This Row],[FLIGHT_DATE]]-Table1[[#This Row],[DATE_BOOKED]]</f>
        <v>61</v>
      </c>
    </row>
    <row r="31" spans="1:23" x14ac:dyDescent="0.25">
      <c r="A31" s="282">
        <v>45699</v>
      </c>
      <c r="B31" s="283" t="s">
        <v>205</v>
      </c>
      <c r="C31" s="131" t="s">
        <v>162</v>
      </c>
      <c r="D31" s="131" t="s">
        <v>245</v>
      </c>
      <c r="E31" s="283"/>
      <c r="F31" s="283" t="s">
        <v>47</v>
      </c>
      <c r="G31" s="283" t="s">
        <v>7</v>
      </c>
      <c r="H31" s="298" t="s">
        <v>253</v>
      </c>
      <c r="I31" s="284" t="s">
        <v>23</v>
      </c>
      <c r="J31" s="282">
        <v>45753</v>
      </c>
      <c r="K31" s="285">
        <v>1</v>
      </c>
      <c r="L31" s="286">
        <v>1</v>
      </c>
      <c r="M31" s="287">
        <v>100</v>
      </c>
      <c r="N31" s="288">
        <v>34.04</v>
      </c>
      <c r="O31" s="288">
        <v>30</v>
      </c>
      <c r="P31" s="289">
        <f>SUM(Table1[[#This Row],[BASE_FARE]:[SURCHARGES]])*Table1[[#This Row],[SEATS_BOOKED]]</f>
        <v>164.04</v>
      </c>
      <c r="Q31" s="283" t="s">
        <v>117</v>
      </c>
      <c r="R31" s="285" t="s">
        <v>163</v>
      </c>
      <c r="S31" s="283" t="str">
        <f>LEFT(Table1[[#This Row],[SECTOR]],3)</f>
        <v>NAP</v>
      </c>
      <c r="T31" s="283" t="str">
        <f>RIGHT(Table1[[#This Row],[SECTOR]],3)</f>
        <v>SSH</v>
      </c>
      <c r="U31" s="283" t="str">
        <f t="shared" si="10"/>
        <v>NAP</v>
      </c>
      <c r="V31" s="283">
        <f>WEEKDAY(Table1[[#This Row],[FLIGHT_DATE]],2)</f>
        <v>7</v>
      </c>
      <c r="W31" s="283">
        <f>Table1[[#This Row],[FLIGHT_DATE]]-Table1[[#This Row],[DATE_BOOKED]]</f>
        <v>54</v>
      </c>
    </row>
    <row r="32" spans="1:23" x14ac:dyDescent="0.25">
      <c r="A32" s="282">
        <v>45699</v>
      </c>
      <c r="B32" s="283" t="s">
        <v>205</v>
      </c>
      <c r="C32" s="131" t="s">
        <v>162</v>
      </c>
      <c r="D32" s="131" t="s">
        <v>245</v>
      </c>
      <c r="E32" s="283"/>
      <c r="F32" s="283" t="s">
        <v>47</v>
      </c>
      <c r="G32" s="283" t="s">
        <v>8</v>
      </c>
      <c r="H32" s="298" t="s">
        <v>254</v>
      </c>
      <c r="I32" s="284" t="s">
        <v>24</v>
      </c>
      <c r="J32" s="282">
        <v>45760</v>
      </c>
      <c r="K32" s="285">
        <v>1</v>
      </c>
      <c r="L32" s="286">
        <v>1</v>
      </c>
      <c r="M32" s="287">
        <v>100</v>
      </c>
      <c r="N32" s="288">
        <v>38.92</v>
      </c>
      <c r="O32" s="288">
        <v>30</v>
      </c>
      <c r="P32" s="289">
        <f>SUM(Table1[[#This Row],[BASE_FARE]:[SURCHARGES]])*Table1[[#This Row],[SEATS_BOOKED]]</f>
        <v>168.92000000000002</v>
      </c>
      <c r="Q32" s="283" t="s">
        <v>117</v>
      </c>
      <c r="R32" s="285" t="s">
        <v>163</v>
      </c>
      <c r="S32" s="283" t="str">
        <f>LEFT(Table1[[#This Row],[SECTOR]],3)</f>
        <v>SSH</v>
      </c>
      <c r="T32" s="283" t="str">
        <f>RIGHT(Table1[[#This Row],[SECTOR]],3)</f>
        <v>NAP</v>
      </c>
      <c r="U32" s="283" t="str">
        <f t="shared" si="10"/>
        <v>NAP</v>
      </c>
      <c r="V32" s="283">
        <f>WEEKDAY(Table1[[#This Row],[FLIGHT_DATE]],2)</f>
        <v>7</v>
      </c>
      <c r="W32" s="283">
        <f>Table1[[#This Row],[FLIGHT_DATE]]-Table1[[#This Row],[DATE_BOOKED]]</f>
        <v>61</v>
      </c>
    </row>
    <row r="33" spans="1:23" x14ac:dyDescent="0.25">
      <c r="A33" s="282">
        <v>45699</v>
      </c>
      <c r="B33" s="283" t="s">
        <v>205</v>
      </c>
      <c r="C33" s="131" t="s">
        <v>162</v>
      </c>
      <c r="D33" s="131" t="s">
        <v>245</v>
      </c>
      <c r="E33" s="283"/>
      <c r="F33" s="283" t="s">
        <v>47</v>
      </c>
      <c r="G33" s="283" t="s">
        <v>7</v>
      </c>
      <c r="H33" s="298" t="s">
        <v>253</v>
      </c>
      <c r="I33" s="284" t="s">
        <v>23</v>
      </c>
      <c r="J33" s="282">
        <v>45753</v>
      </c>
      <c r="K33" s="285">
        <v>1</v>
      </c>
      <c r="L33" s="286">
        <v>1</v>
      </c>
      <c r="M33" s="287">
        <v>100</v>
      </c>
      <c r="N33" s="288">
        <v>34.04</v>
      </c>
      <c r="O33" s="288">
        <v>30</v>
      </c>
      <c r="P33" s="289">
        <f>SUM(Table1[[#This Row],[BASE_FARE]:[SURCHARGES]])*Table1[[#This Row],[SEATS_BOOKED]]</f>
        <v>164.04</v>
      </c>
      <c r="Q33" s="283" t="s">
        <v>117</v>
      </c>
      <c r="R33" s="285" t="s">
        <v>163</v>
      </c>
      <c r="S33" s="283" t="str">
        <f>LEFT(Table1[[#This Row],[SECTOR]],3)</f>
        <v>NAP</v>
      </c>
      <c r="T33" s="283" t="str">
        <f>RIGHT(Table1[[#This Row],[SECTOR]],3)</f>
        <v>SSH</v>
      </c>
      <c r="U33" s="283" t="str">
        <f t="shared" si="10"/>
        <v>NAP</v>
      </c>
      <c r="V33" s="283">
        <f>WEEKDAY(Table1[[#This Row],[FLIGHT_DATE]],2)</f>
        <v>7</v>
      </c>
      <c r="W33" s="283">
        <f>Table1[[#This Row],[FLIGHT_DATE]]-Table1[[#This Row],[DATE_BOOKED]]</f>
        <v>54</v>
      </c>
    </row>
    <row r="34" spans="1:23" x14ac:dyDescent="0.25">
      <c r="A34" s="282">
        <v>45699</v>
      </c>
      <c r="B34" s="283" t="s">
        <v>205</v>
      </c>
      <c r="C34" s="131" t="s">
        <v>162</v>
      </c>
      <c r="D34" s="131" t="s">
        <v>245</v>
      </c>
      <c r="E34" s="283"/>
      <c r="F34" s="283" t="s">
        <v>47</v>
      </c>
      <c r="G34" s="283" t="s">
        <v>8</v>
      </c>
      <c r="H34" s="298" t="s">
        <v>254</v>
      </c>
      <c r="I34" s="284" t="s">
        <v>24</v>
      </c>
      <c r="J34" s="282">
        <v>45760</v>
      </c>
      <c r="K34" s="285">
        <v>1</v>
      </c>
      <c r="L34" s="286">
        <v>1</v>
      </c>
      <c r="M34" s="287">
        <v>100</v>
      </c>
      <c r="N34" s="288">
        <v>38.92</v>
      </c>
      <c r="O34" s="288">
        <v>30</v>
      </c>
      <c r="P34" s="289">
        <f>SUM(Table1[[#This Row],[BASE_FARE]:[SURCHARGES]])*Table1[[#This Row],[SEATS_BOOKED]]</f>
        <v>168.92000000000002</v>
      </c>
      <c r="Q34" s="283" t="s">
        <v>117</v>
      </c>
      <c r="R34" s="285" t="s">
        <v>163</v>
      </c>
      <c r="S34" s="283" t="str">
        <f>LEFT(Table1[[#This Row],[SECTOR]],3)</f>
        <v>SSH</v>
      </c>
      <c r="T34" s="283" t="str">
        <f>RIGHT(Table1[[#This Row],[SECTOR]],3)</f>
        <v>NAP</v>
      </c>
      <c r="U34" s="283" t="str">
        <f t="shared" si="10"/>
        <v>NAP</v>
      </c>
      <c r="V34" s="283">
        <f>WEEKDAY(Table1[[#This Row],[FLIGHT_DATE]],2)</f>
        <v>7</v>
      </c>
      <c r="W34" s="283">
        <f>Table1[[#This Row],[FLIGHT_DATE]]-Table1[[#This Row],[DATE_BOOKED]]</f>
        <v>61</v>
      </c>
    </row>
    <row r="35" spans="1:23" x14ac:dyDescent="0.25">
      <c r="A35" s="282">
        <v>45699</v>
      </c>
      <c r="B35" s="283" t="s">
        <v>205</v>
      </c>
      <c r="C35" s="131" t="s">
        <v>162</v>
      </c>
      <c r="D35" s="131" t="s">
        <v>245</v>
      </c>
      <c r="E35" s="283"/>
      <c r="F35" s="283" t="s">
        <v>47</v>
      </c>
      <c r="G35" s="283" t="s">
        <v>7</v>
      </c>
      <c r="H35" s="298" t="s">
        <v>253</v>
      </c>
      <c r="I35" s="284" t="s">
        <v>23</v>
      </c>
      <c r="J35" s="282">
        <v>45753</v>
      </c>
      <c r="K35" s="285">
        <v>1</v>
      </c>
      <c r="L35" s="286">
        <v>1</v>
      </c>
      <c r="M35" s="287">
        <v>100</v>
      </c>
      <c r="N35" s="288">
        <v>34.04</v>
      </c>
      <c r="O35" s="288">
        <v>30</v>
      </c>
      <c r="P35" s="289">
        <f>SUM(Table1[[#This Row],[BASE_FARE]:[SURCHARGES]])*Table1[[#This Row],[SEATS_BOOKED]]</f>
        <v>164.04</v>
      </c>
      <c r="Q35" s="283" t="s">
        <v>117</v>
      </c>
      <c r="R35" s="285" t="s">
        <v>163</v>
      </c>
      <c r="S35" s="283" t="str">
        <f>LEFT(Table1[[#This Row],[SECTOR]],3)</f>
        <v>NAP</v>
      </c>
      <c r="T35" s="283" t="str">
        <f>RIGHT(Table1[[#This Row],[SECTOR]],3)</f>
        <v>SSH</v>
      </c>
      <c r="U35" s="283" t="str">
        <f t="shared" si="10"/>
        <v>NAP</v>
      </c>
      <c r="V35" s="283">
        <f>WEEKDAY(Table1[[#This Row],[FLIGHT_DATE]],2)</f>
        <v>7</v>
      </c>
      <c r="W35" s="283">
        <f>Table1[[#This Row],[FLIGHT_DATE]]-Table1[[#This Row],[DATE_BOOKED]]</f>
        <v>54</v>
      </c>
    </row>
    <row r="36" spans="1:23" x14ac:dyDescent="0.25">
      <c r="A36" s="282">
        <v>45699</v>
      </c>
      <c r="B36" s="283" t="s">
        <v>205</v>
      </c>
      <c r="C36" s="131" t="s">
        <v>162</v>
      </c>
      <c r="D36" s="131" t="s">
        <v>245</v>
      </c>
      <c r="E36" s="283"/>
      <c r="F36" s="283" t="s">
        <v>47</v>
      </c>
      <c r="G36" s="283" t="s">
        <v>8</v>
      </c>
      <c r="H36" s="298" t="s">
        <v>254</v>
      </c>
      <c r="I36" s="284" t="s">
        <v>24</v>
      </c>
      <c r="J36" s="282">
        <v>45760</v>
      </c>
      <c r="K36" s="285">
        <v>1</v>
      </c>
      <c r="L36" s="286">
        <v>1</v>
      </c>
      <c r="M36" s="287">
        <v>100</v>
      </c>
      <c r="N36" s="288">
        <v>38.92</v>
      </c>
      <c r="O36" s="288">
        <v>30</v>
      </c>
      <c r="P36" s="289">
        <f>SUM(Table1[[#This Row],[BASE_FARE]:[SURCHARGES]])*Table1[[#This Row],[SEATS_BOOKED]]</f>
        <v>168.92000000000002</v>
      </c>
      <c r="Q36" s="283" t="s">
        <v>117</v>
      </c>
      <c r="R36" s="285" t="s">
        <v>163</v>
      </c>
      <c r="S36" s="283" t="str">
        <f>LEFT(Table1[[#This Row],[SECTOR]],3)</f>
        <v>SSH</v>
      </c>
      <c r="T36" s="283" t="str">
        <f>RIGHT(Table1[[#This Row],[SECTOR]],3)</f>
        <v>NAP</v>
      </c>
      <c r="U36" s="283" t="str">
        <f t="shared" si="10"/>
        <v>NAP</v>
      </c>
      <c r="V36" s="283">
        <f>WEEKDAY(Table1[[#This Row],[FLIGHT_DATE]],2)</f>
        <v>7</v>
      </c>
      <c r="W36" s="283">
        <f>Table1[[#This Row],[FLIGHT_DATE]]-Table1[[#This Row],[DATE_BOOKED]]</f>
        <v>61</v>
      </c>
    </row>
    <row r="37" spans="1:23" x14ac:dyDescent="0.25">
      <c r="A37" s="290">
        <v>45707</v>
      </c>
      <c r="B37" s="291" t="s">
        <v>161</v>
      </c>
      <c r="C37" s="131" t="s">
        <v>162</v>
      </c>
      <c r="D37" s="131"/>
      <c r="E37" s="291"/>
      <c r="F37" s="291" t="s">
        <v>49</v>
      </c>
      <c r="G37" s="291" t="s">
        <v>7</v>
      </c>
      <c r="H37" s="291" t="s">
        <v>124</v>
      </c>
      <c r="I37" s="292" t="s">
        <v>23</v>
      </c>
      <c r="J37" s="290">
        <v>45760</v>
      </c>
      <c r="K37" s="293">
        <v>3</v>
      </c>
      <c r="L37" s="294">
        <v>3</v>
      </c>
      <c r="M37" s="295">
        <v>150</v>
      </c>
      <c r="N37" s="296">
        <v>0</v>
      </c>
      <c r="O37" s="296">
        <v>0</v>
      </c>
      <c r="P37" s="297">
        <f>SUM(Table1[[#This Row],[BASE_FARE]:[SURCHARGES]])*Table1[[#This Row],[SEATS_BOOKED]]</f>
        <v>450</v>
      </c>
      <c r="Q37" s="291" t="s">
        <v>117</v>
      </c>
      <c r="R37" s="293" t="s">
        <v>163</v>
      </c>
      <c r="S37" s="291" t="str">
        <f>LEFT(Table1[[#This Row],[SECTOR]],3)</f>
        <v>NAP</v>
      </c>
      <c r="T37" s="291" t="str">
        <f>RIGHT(Table1[[#This Row],[SECTOR]],3)</f>
        <v>SSH</v>
      </c>
      <c r="U37" s="291" t="str">
        <f t="shared" ref="U37" si="11">IF(AND(S37&lt;&gt;"SSH", S37&lt;&gt;"RMF", S37&lt;&gt;"CAI", S37&lt;&gt;"HRG", S37&lt;&gt;"LXR", S37&lt;&gt;"DXB", OR(T37="SSH", T37="RMF", T37="CAI", T37="HRG", T37="LXR", T37="DXB")), S37,
    IF(AND(T37&lt;&gt;"SSH", T37&lt;&gt;"RMF", T37&lt;&gt;"CAI", T37&lt;&gt;"HRG", T37&lt;&gt;"LXR", T37&lt;&gt;"DXB", OR(S37="SSH", S37="RMF", S37="CAI", S37="HRG", S37="LXR", S37="DXB")), T37,
    "VIE"))</f>
        <v>NAP</v>
      </c>
      <c r="V37" s="291">
        <f>WEEKDAY(Table1[[#This Row],[FLIGHT_DATE]],2)</f>
        <v>7</v>
      </c>
      <c r="W37" s="291">
        <f>Table1[[#This Row],[FLIGHT_DATE]]-Table1[[#This Row],[DATE_BOOKED]]</f>
        <v>53</v>
      </c>
    </row>
    <row r="38" spans="1:23" x14ac:dyDescent="0.25">
      <c r="A38" s="299">
        <v>45703</v>
      </c>
      <c r="B38" s="300" t="s">
        <v>257</v>
      </c>
      <c r="C38" s="131" t="s">
        <v>162</v>
      </c>
      <c r="D38" s="131"/>
      <c r="E38" s="300"/>
      <c r="F38" s="300" t="s">
        <v>47</v>
      </c>
      <c r="G38" s="300" t="s">
        <v>7</v>
      </c>
      <c r="H38" s="300" t="s">
        <v>124</v>
      </c>
      <c r="I38" s="301" t="s">
        <v>23</v>
      </c>
      <c r="J38" s="299">
        <v>45760</v>
      </c>
      <c r="K38" s="302">
        <v>1</v>
      </c>
      <c r="L38" s="303">
        <v>1</v>
      </c>
      <c r="M38" s="304">
        <v>100</v>
      </c>
      <c r="N38" s="305">
        <v>24.82</v>
      </c>
      <c r="O38" s="305">
        <v>30</v>
      </c>
      <c r="P38" s="306">
        <f>SUM(Table1[[#This Row],[BASE_FARE]:[SURCHARGES]])*Table1[[#This Row],[SEATS_BOOKED]]</f>
        <v>154.82</v>
      </c>
      <c r="Q38" s="300" t="s">
        <v>117</v>
      </c>
      <c r="R38" s="302" t="s">
        <v>163</v>
      </c>
      <c r="S38" s="300" t="str">
        <f>LEFT(Table1[[#This Row],[SECTOR]],3)</f>
        <v>NAP</v>
      </c>
      <c r="T38" s="300" t="str">
        <f>RIGHT(Table1[[#This Row],[SECTOR]],3)</f>
        <v>SSH</v>
      </c>
      <c r="U38" s="300" t="str">
        <f t="shared" ref="U38:U41" si="12">IF(AND(S38&lt;&gt;"SSH", S38&lt;&gt;"RMF", S38&lt;&gt;"CAI", S38&lt;&gt;"HRG", S38&lt;&gt;"LXR", S38&lt;&gt;"DXB", OR(T38="SSH", T38="RMF", T38="CAI", T38="HRG", T38="LXR", T38="DXB")), S38,
    IF(AND(T38&lt;&gt;"SSH", T38&lt;&gt;"RMF", T38&lt;&gt;"CAI", T38&lt;&gt;"HRG", T38&lt;&gt;"LXR", T38&lt;&gt;"DXB", OR(S38="SSH", S38="RMF", S38="CAI", S38="HRG", S38="LXR", S38="DXB")), T38,
    "VIE"))</f>
        <v>NAP</v>
      </c>
      <c r="V38" s="300">
        <f>WEEKDAY(Table1[[#This Row],[FLIGHT_DATE]],2)</f>
        <v>7</v>
      </c>
      <c r="W38" s="300">
        <f>Table1[[#This Row],[FLIGHT_DATE]]-Table1[[#This Row],[DATE_BOOKED]]</f>
        <v>57</v>
      </c>
    </row>
    <row r="39" spans="1:23" x14ac:dyDescent="0.25">
      <c r="A39" s="299">
        <v>45703</v>
      </c>
      <c r="B39" s="300" t="s">
        <v>257</v>
      </c>
      <c r="C39" s="131" t="s">
        <v>162</v>
      </c>
      <c r="D39" s="131"/>
      <c r="E39" s="300"/>
      <c r="F39" s="300" t="s">
        <v>47</v>
      </c>
      <c r="G39" s="300" t="s">
        <v>7</v>
      </c>
      <c r="H39" s="300" t="s">
        <v>124</v>
      </c>
      <c r="I39" s="301" t="s">
        <v>23</v>
      </c>
      <c r="J39" s="299">
        <v>45760</v>
      </c>
      <c r="K39" s="302">
        <v>1</v>
      </c>
      <c r="L39" s="303">
        <v>1</v>
      </c>
      <c r="M39" s="304">
        <v>100</v>
      </c>
      <c r="N39" s="305">
        <v>24.82</v>
      </c>
      <c r="O39" s="305">
        <v>30</v>
      </c>
      <c r="P39" s="306">
        <f>SUM(Table1[[#This Row],[BASE_FARE]:[SURCHARGES]])*Table1[[#This Row],[SEATS_BOOKED]]</f>
        <v>154.82</v>
      </c>
      <c r="Q39" s="300" t="s">
        <v>117</v>
      </c>
      <c r="R39" s="302" t="s">
        <v>163</v>
      </c>
      <c r="S39" s="300" t="str">
        <f>LEFT(Table1[[#This Row],[SECTOR]],3)</f>
        <v>NAP</v>
      </c>
      <c r="T39" s="300" t="str">
        <f>RIGHT(Table1[[#This Row],[SECTOR]],3)</f>
        <v>SSH</v>
      </c>
      <c r="U39" s="300" t="str">
        <f t="shared" si="12"/>
        <v>NAP</v>
      </c>
      <c r="V39" s="300">
        <f>WEEKDAY(Table1[[#This Row],[FLIGHT_DATE]],2)</f>
        <v>7</v>
      </c>
      <c r="W39" s="300">
        <f>Table1[[#This Row],[FLIGHT_DATE]]-Table1[[#This Row],[DATE_BOOKED]]</f>
        <v>57</v>
      </c>
    </row>
    <row r="40" spans="1:23" x14ac:dyDescent="0.25">
      <c r="A40" s="299">
        <v>45703</v>
      </c>
      <c r="B40" s="300" t="s">
        <v>257</v>
      </c>
      <c r="C40" s="131" t="s">
        <v>162</v>
      </c>
      <c r="D40" s="131"/>
      <c r="E40" s="300"/>
      <c r="F40" s="300" t="s">
        <v>47</v>
      </c>
      <c r="G40" s="300" t="s">
        <v>7</v>
      </c>
      <c r="H40" s="300" t="s">
        <v>124</v>
      </c>
      <c r="I40" s="301" t="s">
        <v>23</v>
      </c>
      <c r="J40" s="299">
        <v>45760</v>
      </c>
      <c r="K40" s="302">
        <v>1</v>
      </c>
      <c r="L40" s="303">
        <v>1</v>
      </c>
      <c r="M40" s="304">
        <v>75</v>
      </c>
      <c r="N40" s="305">
        <v>20.23</v>
      </c>
      <c r="O40" s="305">
        <v>30</v>
      </c>
      <c r="P40" s="306">
        <f>SUM(Table1[[#This Row],[BASE_FARE]:[SURCHARGES]])*Table1[[#This Row],[SEATS_BOOKED]]</f>
        <v>125.23</v>
      </c>
      <c r="Q40" s="300" t="s">
        <v>117</v>
      </c>
      <c r="R40" s="302" t="s">
        <v>163</v>
      </c>
      <c r="S40" s="300" t="str">
        <f>LEFT(Table1[[#This Row],[SECTOR]],3)</f>
        <v>NAP</v>
      </c>
      <c r="T40" s="300" t="str">
        <f>RIGHT(Table1[[#This Row],[SECTOR]],3)</f>
        <v>SSH</v>
      </c>
      <c r="U40" s="300" t="str">
        <f t="shared" si="12"/>
        <v>NAP</v>
      </c>
      <c r="V40" s="300">
        <f>WEEKDAY(Table1[[#This Row],[FLIGHT_DATE]],2)</f>
        <v>7</v>
      </c>
      <c r="W40" s="300">
        <f>Table1[[#This Row],[FLIGHT_DATE]]-Table1[[#This Row],[DATE_BOOKED]]</f>
        <v>57</v>
      </c>
    </row>
    <row r="41" spans="1:23" x14ac:dyDescent="0.25">
      <c r="A41" s="299">
        <v>45705</v>
      </c>
      <c r="B41" s="300" t="s">
        <v>257</v>
      </c>
      <c r="C41" s="131" t="s">
        <v>162</v>
      </c>
      <c r="D41" s="131"/>
      <c r="E41" s="300"/>
      <c r="F41" s="300" t="s">
        <v>47</v>
      </c>
      <c r="G41" s="300" t="s">
        <v>7</v>
      </c>
      <c r="H41" s="300" t="s">
        <v>124</v>
      </c>
      <c r="I41" s="301" t="s">
        <v>23</v>
      </c>
      <c r="J41" s="299">
        <v>45760</v>
      </c>
      <c r="K41" s="302">
        <v>1</v>
      </c>
      <c r="L41" s="303">
        <v>1</v>
      </c>
      <c r="M41" s="304">
        <v>100</v>
      </c>
      <c r="N41" s="305">
        <v>24.82</v>
      </c>
      <c r="O41" s="305">
        <v>30</v>
      </c>
      <c r="P41" s="306">
        <f>SUM(Table1[[#This Row],[BASE_FARE]:[SURCHARGES]])*Table1[[#This Row],[SEATS_BOOKED]]</f>
        <v>154.82</v>
      </c>
      <c r="Q41" s="300" t="s">
        <v>117</v>
      </c>
      <c r="R41" s="302" t="s">
        <v>163</v>
      </c>
      <c r="S41" s="300" t="str">
        <f>LEFT(Table1[[#This Row],[SECTOR]],3)</f>
        <v>NAP</v>
      </c>
      <c r="T41" s="300" t="str">
        <f>RIGHT(Table1[[#This Row],[SECTOR]],3)</f>
        <v>SSH</v>
      </c>
      <c r="U41" s="300" t="str">
        <f t="shared" si="12"/>
        <v>NAP</v>
      </c>
      <c r="V41" s="300">
        <f>WEEKDAY(Table1[[#This Row],[FLIGHT_DATE]],2)</f>
        <v>7</v>
      </c>
      <c r="W41" s="300">
        <f>Table1[[#This Row],[FLIGHT_DATE]]-Table1[[#This Row],[DATE_BOOKED]]</f>
        <v>55</v>
      </c>
    </row>
    <row r="42" spans="1:23" x14ac:dyDescent="0.25">
      <c r="A42" s="307">
        <v>45707</v>
      </c>
      <c r="B42" s="308" t="s">
        <v>205</v>
      </c>
      <c r="C42" s="131" t="s">
        <v>162</v>
      </c>
      <c r="D42" s="131" t="s">
        <v>245</v>
      </c>
      <c r="E42" s="308"/>
      <c r="F42" s="308" t="s">
        <v>49</v>
      </c>
      <c r="G42" s="308" t="s">
        <v>7</v>
      </c>
      <c r="H42" s="308" t="s">
        <v>124</v>
      </c>
      <c r="I42" s="309" t="s">
        <v>23</v>
      </c>
      <c r="J42" s="307">
        <v>45760</v>
      </c>
      <c r="K42" s="310">
        <v>1</v>
      </c>
      <c r="L42" s="311">
        <v>1</v>
      </c>
      <c r="M42" s="312">
        <v>100</v>
      </c>
      <c r="N42" s="313">
        <v>34.04</v>
      </c>
      <c r="O42" s="313">
        <v>30</v>
      </c>
      <c r="P42" s="314">
        <f>SUM(Table1[[#This Row],[BASE_FARE]:[SURCHARGES]])*Table1[[#This Row],[SEATS_BOOKED]]</f>
        <v>164.04</v>
      </c>
      <c r="Q42" s="308" t="s">
        <v>117</v>
      </c>
      <c r="R42" s="310" t="s">
        <v>163</v>
      </c>
      <c r="S42" s="308" t="str">
        <f>LEFT(Table1[[#This Row],[SECTOR]],3)</f>
        <v>NAP</v>
      </c>
      <c r="T42" s="308" t="str">
        <f>RIGHT(Table1[[#This Row],[SECTOR]],3)</f>
        <v>SSH</v>
      </c>
      <c r="U42" s="308" t="str">
        <f t="shared" ref="U42:U43" si="13">IF(AND(S42&lt;&gt;"SSH", S42&lt;&gt;"RMF", S42&lt;&gt;"CAI", S42&lt;&gt;"HRG", S42&lt;&gt;"LXR", S42&lt;&gt;"DXB", OR(T42="SSH", T42="RMF", T42="CAI", T42="HRG", T42="LXR", T42="DXB")), S42,
    IF(AND(T42&lt;&gt;"SSH", T42&lt;&gt;"RMF", T42&lt;&gt;"CAI", T42&lt;&gt;"HRG", T42&lt;&gt;"LXR", T42&lt;&gt;"DXB", OR(S42="SSH", S42="RMF", S42="CAI", S42="HRG", S42="LXR", S42="DXB")), T42,
    "VIE"))</f>
        <v>NAP</v>
      </c>
      <c r="V42" s="308">
        <f>WEEKDAY(Table1[[#This Row],[FLIGHT_DATE]],2)</f>
        <v>7</v>
      </c>
      <c r="W42" s="308">
        <f>Table1[[#This Row],[FLIGHT_DATE]]-Table1[[#This Row],[DATE_BOOKED]]</f>
        <v>53</v>
      </c>
    </row>
    <row r="43" spans="1:23" x14ac:dyDescent="0.25">
      <c r="A43" s="307">
        <v>45707</v>
      </c>
      <c r="B43" s="308" t="s">
        <v>205</v>
      </c>
      <c r="C43" s="131" t="s">
        <v>162</v>
      </c>
      <c r="D43" s="131" t="s">
        <v>245</v>
      </c>
      <c r="E43" s="308"/>
      <c r="F43" s="308" t="s">
        <v>49</v>
      </c>
      <c r="G43" s="308" t="s">
        <v>7</v>
      </c>
      <c r="H43" s="308" t="s">
        <v>124</v>
      </c>
      <c r="I43" s="309" t="s">
        <v>23</v>
      </c>
      <c r="J43" s="307">
        <v>45760</v>
      </c>
      <c r="K43" s="310">
        <v>1</v>
      </c>
      <c r="L43" s="311">
        <v>1</v>
      </c>
      <c r="M43" s="312">
        <v>100</v>
      </c>
      <c r="N43" s="313">
        <v>34.04</v>
      </c>
      <c r="O43" s="313">
        <v>30</v>
      </c>
      <c r="P43" s="314">
        <f>SUM(Table1[[#This Row],[BASE_FARE]:[SURCHARGES]])*Table1[[#This Row],[SEATS_BOOKED]]</f>
        <v>164.04</v>
      </c>
      <c r="Q43" s="308" t="s">
        <v>117</v>
      </c>
      <c r="R43" s="310" t="s">
        <v>163</v>
      </c>
      <c r="S43" s="308" t="str">
        <f>LEFT(Table1[[#This Row],[SECTOR]],3)</f>
        <v>NAP</v>
      </c>
      <c r="T43" s="308" t="str">
        <f>RIGHT(Table1[[#This Row],[SECTOR]],3)</f>
        <v>SSH</v>
      </c>
      <c r="U43" s="308" t="str">
        <f t="shared" si="13"/>
        <v>NAP</v>
      </c>
      <c r="V43" s="308">
        <f>WEEKDAY(Table1[[#This Row],[FLIGHT_DATE]],2)</f>
        <v>7</v>
      </c>
      <c r="W43" s="308">
        <f>Table1[[#This Row],[FLIGHT_DATE]]-Table1[[#This Row],[DATE_BOOKED]]</f>
        <v>53</v>
      </c>
    </row>
    <row r="44" spans="1:23" x14ac:dyDescent="0.25">
      <c r="A44" s="316">
        <v>45712</v>
      </c>
      <c r="B44" s="317" t="s">
        <v>145</v>
      </c>
      <c r="C44" s="131" t="s">
        <v>116</v>
      </c>
      <c r="D44" s="131"/>
      <c r="E44" s="317"/>
      <c r="F44" s="317" t="s">
        <v>47</v>
      </c>
      <c r="G44" s="317" t="s">
        <v>7</v>
      </c>
      <c r="H44" s="340" t="s">
        <v>217</v>
      </c>
      <c r="I44" s="318" t="s">
        <v>23</v>
      </c>
      <c r="J44" s="316">
        <v>45765</v>
      </c>
      <c r="K44" s="319">
        <v>15</v>
      </c>
      <c r="L44" s="320">
        <v>15</v>
      </c>
      <c r="M44" s="321">
        <v>290</v>
      </c>
      <c r="N44" s="322">
        <v>0</v>
      </c>
      <c r="O44" s="322">
        <v>0</v>
      </c>
      <c r="P44" s="323">
        <f>SUM(Table1[[#This Row],[BASE_FARE]:[SURCHARGES]])*Table1[[#This Row],[SEATS_BOOKED]]</f>
        <v>4350</v>
      </c>
      <c r="Q44" s="315" t="s">
        <v>117</v>
      </c>
      <c r="R44" s="350" t="s">
        <v>204</v>
      </c>
      <c r="S44" s="317" t="str">
        <f>LEFT(Table1[[#This Row],[SECTOR]],3)</f>
        <v>NAP</v>
      </c>
      <c r="T44" s="317" t="str">
        <f>RIGHT(Table1[[#This Row],[SECTOR]],3)</f>
        <v>SSH</v>
      </c>
      <c r="U44" s="317" t="str">
        <f>IF(AND(S44&lt;&gt;"SSH", S44&lt;&gt;"RMF", S44&lt;&gt;"CAI", S44&lt;&gt;"HRG", S44&lt;&gt;"LXR", S44&lt;&gt;"DXB", OR(T44="SSH", T44="RMF", T44="CAI", T44="HRG", T44="LXR", T44="DXB")), S44,
    IF(AND(T44&lt;&gt;"SSH", T44&lt;&gt;"RMF", T44&lt;&gt;"CAI", T44&lt;&gt;"HRG", T44&lt;&gt;"LXR", T44&lt;&gt;"DXB", OR(S44="SSH", S44="RMF", S44="CAI", S44="HRG", S44="LXR", S44="DXB")), T44,
    "VIE"))</f>
        <v>NAP</v>
      </c>
      <c r="V44" s="317">
        <f>WEEKDAY(Table1[[#This Row],[FLIGHT_DATE]],2)</f>
        <v>5</v>
      </c>
      <c r="W44" s="317">
        <f>Table1[[#This Row],[FLIGHT_DATE]]-Table1[[#This Row],[DATE_BOOKED]]</f>
        <v>53</v>
      </c>
    </row>
    <row r="45" spans="1:23" x14ac:dyDescent="0.25">
      <c r="A45" s="324">
        <v>45711</v>
      </c>
      <c r="B45" s="325" t="s">
        <v>205</v>
      </c>
      <c r="C45" s="131" t="s">
        <v>162</v>
      </c>
      <c r="D45" s="131" t="s">
        <v>245</v>
      </c>
      <c r="E45" s="325"/>
      <c r="F45" s="325" t="s">
        <v>49</v>
      </c>
      <c r="G45" s="325" t="s">
        <v>7</v>
      </c>
      <c r="H45" s="325" t="s">
        <v>124</v>
      </c>
      <c r="I45" s="326" t="s">
        <v>23</v>
      </c>
      <c r="J45" s="324">
        <v>45760</v>
      </c>
      <c r="K45" s="327">
        <v>1</v>
      </c>
      <c r="L45" s="328">
        <v>1</v>
      </c>
      <c r="M45" s="329">
        <v>100</v>
      </c>
      <c r="N45" s="330">
        <v>34.04</v>
      </c>
      <c r="O45" s="330">
        <v>30</v>
      </c>
      <c r="P45" s="331">
        <f>SUM(Table1[[#This Row],[BASE_FARE]:[SURCHARGES]])*Table1[[#This Row],[SEATS_BOOKED]]</f>
        <v>164.04</v>
      </c>
      <c r="Q45" s="325" t="s">
        <v>117</v>
      </c>
      <c r="R45" s="327" t="s">
        <v>163</v>
      </c>
      <c r="S45" s="325" t="str">
        <f>LEFT(Table1[[#This Row],[SECTOR]],3)</f>
        <v>NAP</v>
      </c>
      <c r="T45" s="325" t="str">
        <f>RIGHT(Table1[[#This Row],[SECTOR]],3)</f>
        <v>SSH</v>
      </c>
      <c r="U45" s="325" t="str">
        <f t="shared" ref="U45:U48" si="14">IF(AND(S45&lt;&gt;"SSH", S45&lt;&gt;"RMF", S45&lt;&gt;"CAI", S45&lt;&gt;"HRG", S45&lt;&gt;"LXR", S45&lt;&gt;"DXB", OR(T45="SSH", T45="RMF", T45="CAI", T45="HRG", T45="LXR", T45="DXB")), S45,
    IF(AND(T45&lt;&gt;"SSH", T45&lt;&gt;"RMF", T45&lt;&gt;"CAI", T45&lt;&gt;"HRG", T45&lt;&gt;"LXR", T45&lt;&gt;"DXB", OR(S45="SSH", S45="RMF", S45="CAI", S45="HRG", S45="LXR", S45="DXB")), T45,
    "VIE"))</f>
        <v>NAP</v>
      </c>
      <c r="V45" s="325">
        <f>WEEKDAY(Table1[[#This Row],[FLIGHT_DATE]],2)</f>
        <v>7</v>
      </c>
      <c r="W45" s="325">
        <f>Table1[[#This Row],[FLIGHT_DATE]]-Table1[[#This Row],[DATE_BOOKED]]</f>
        <v>49</v>
      </c>
    </row>
    <row r="46" spans="1:23" x14ac:dyDescent="0.25">
      <c r="A46" s="324">
        <v>45711</v>
      </c>
      <c r="B46" s="325" t="s">
        <v>205</v>
      </c>
      <c r="C46" s="131" t="s">
        <v>162</v>
      </c>
      <c r="D46" s="131" t="s">
        <v>245</v>
      </c>
      <c r="E46" s="325"/>
      <c r="F46" s="325" t="s">
        <v>49</v>
      </c>
      <c r="G46" s="325" t="s">
        <v>7</v>
      </c>
      <c r="H46" s="325" t="s">
        <v>124</v>
      </c>
      <c r="I46" s="326" t="s">
        <v>23</v>
      </c>
      <c r="J46" s="324">
        <v>45760</v>
      </c>
      <c r="K46" s="327">
        <v>1</v>
      </c>
      <c r="L46" s="328">
        <v>1</v>
      </c>
      <c r="M46" s="329">
        <v>75</v>
      </c>
      <c r="N46" s="330">
        <v>34.04</v>
      </c>
      <c r="O46" s="330">
        <v>30</v>
      </c>
      <c r="P46" s="331">
        <f>SUM(Table1[[#This Row],[BASE_FARE]:[SURCHARGES]])*Table1[[#This Row],[SEATS_BOOKED]]</f>
        <v>139.04</v>
      </c>
      <c r="Q46" s="325" t="s">
        <v>117</v>
      </c>
      <c r="R46" s="327" t="s">
        <v>163</v>
      </c>
      <c r="S46" s="325" t="str">
        <f>LEFT(Table1[[#This Row],[SECTOR]],3)</f>
        <v>NAP</v>
      </c>
      <c r="T46" s="325" t="str">
        <f>RIGHT(Table1[[#This Row],[SECTOR]],3)</f>
        <v>SSH</v>
      </c>
      <c r="U46" s="325" t="str">
        <f t="shared" si="14"/>
        <v>NAP</v>
      </c>
      <c r="V46" s="325">
        <f>WEEKDAY(Table1[[#This Row],[FLIGHT_DATE]],2)</f>
        <v>7</v>
      </c>
      <c r="W46" s="325">
        <f>Table1[[#This Row],[FLIGHT_DATE]]-Table1[[#This Row],[DATE_BOOKED]]</f>
        <v>49</v>
      </c>
    </row>
    <row r="47" spans="1:23" x14ac:dyDescent="0.25">
      <c r="A47" s="324">
        <v>45711</v>
      </c>
      <c r="B47" s="325" t="s">
        <v>205</v>
      </c>
      <c r="C47" s="131" t="s">
        <v>162</v>
      </c>
      <c r="D47" s="131" t="s">
        <v>245</v>
      </c>
      <c r="E47" s="325"/>
      <c r="F47" s="325" t="s">
        <v>49</v>
      </c>
      <c r="G47" s="325" t="s">
        <v>7</v>
      </c>
      <c r="H47" s="325" t="s">
        <v>124</v>
      </c>
      <c r="I47" s="326" t="s">
        <v>23</v>
      </c>
      <c r="J47" s="324">
        <v>45760</v>
      </c>
      <c r="K47" s="327">
        <v>1</v>
      </c>
      <c r="L47" s="328">
        <v>1</v>
      </c>
      <c r="M47" s="329">
        <v>75</v>
      </c>
      <c r="N47" s="330">
        <v>34.04</v>
      </c>
      <c r="O47" s="330">
        <v>30</v>
      </c>
      <c r="P47" s="331">
        <f>SUM(Table1[[#This Row],[BASE_FARE]:[SURCHARGES]])*Table1[[#This Row],[SEATS_BOOKED]]</f>
        <v>139.04</v>
      </c>
      <c r="Q47" s="325" t="s">
        <v>117</v>
      </c>
      <c r="R47" s="327" t="s">
        <v>163</v>
      </c>
      <c r="S47" s="325" t="str">
        <f>LEFT(Table1[[#This Row],[SECTOR]],3)</f>
        <v>NAP</v>
      </c>
      <c r="T47" s="325" t="str">
        <f>RIGHT(Table1[[#This Row],[SECTOR]],3)</f>
        <v>SSH</v>
      </c>
      <c r="U47" s="325" t="str">
        <f t="shared" si="14"/>
        <v>NAP</v>
      </c>
      <c r="V47" s="325">
        <f>WEEKDAY(Table1[[#This Row],[FLIGHT_DATE]],2)</f>
        <v>7</v>
      </c>
      <c r="W47" s="325">
        <f>Table1[[#This Row],[FLIGHT_DATE]]-Table1[[#This Row],[DATE_BOOKED]]</f>
        <v>49</v>
      </c>
    </row>
    <row r="48" spans="1:23" x14ac:dyDescent="0.25">
      <c r="A48" s="324">
        <v>45711</v>
      </c>
      <c r="B48" s="325" t="s">
        <v>205</v>
      </c>
      <c r="C48" s="131" t="s">
        <v>162</v>
      </c>
      <c r="D48" s="131" t="s">
        <v>245</v>
      </c>
      <c r="E48" s="325"/>
      <c r="F48" s="325" t="s">
        <v>49</v>
      </c>
      <c r="G48" s="325" t="s">
        <v>7</v>
      </c>
      <c r="H48" s="325" t="s">
        <v>124</v>
      </c>
      <c r="I48" s="326" t="s">
        <v>23</v>
      </c>
      <c r="J48" s="324">
        <v>45760</v>
      </c>
      <c r="K48" s="327">
        <v>1</v>
      </c>
      <c r="L48" s="328">
        <v>1</v>
      </c>
      <c r="M48" s="329">
        <v>100</v>
      </c>
      <c r="N48" s="330">
        <v>34.04</v>
      </c>
      <c r="O48" s="330">
        <v>30</v>
      </c>
      <c r="P48" s="331">
        <f>SUM(Table1[[#This Row],[BASE_FARE]:[SURCHARGES]])*Table1[[#This Row],[SEATS_BOOKED]]</f>
        <v>164.04</v>
      </c>
      <c r="Q48" s="325" t="s">
        <v>117</v>
      </c>
      <c r="R48" s="327" t="s">
        <v>163</v>
      </c>
      <c r="S48" s="325" t="str">
        <f>LEFT(Table1[[#This Row],[SECTOR]],3)</f>
        <v>NAP</v>
      </c>
      <c r="T48" s="325" t="str">
        <f>RIGHT(Table1[[#This Row],[SECTOR]],3)</f>
        <v>SSH</v>
      </c>
      <c r="U48" s="325" t="str">
        <f t="shared" si="14"/>
        <v>NAP</v>
      </c>
      <c r="V48" s="325">
        <f>WEEKDAY(Table1[[#This Row],[FLIGHT_DATE]],2)</f>
        <v>7</v>
      </c>
      <c r="W48" s="325">
        <f>Table1[[#This Row],[FLIGHT_DATE]]-Table1[[#This Row],[DATE_BOOKED]]</f>
        <v>49</v>
      </c>
    </row>
    <row r="49" spans="1:23" x14ac:dyDescent="0.25">
      <c r="A49" s="332">
        <v>45714</v>
      </c>
      <c r="B49" s="333" t="s">
        <v>216</v>
      </c>
      <c r="C49" s="131" t="s">
        <v>116</v>
      </c>
      <c r="D49" s="131"/>
      <c r="E49" s="333"/>
      <c r="F49" s="333" t="s">
        <v>47</v>
      </c>
      <c r="G49" s="333" t="s">
        <v>7</v>
      </c>
      <c r="H49" s="333" t="s">
        <v>212</v>
      </c>
      <c r="I49" s="334" t="s">
        <v>23</v>
      </c>
      <c r="J49" s="332">
        <v>45765</v>
      </c>
      <c r="K49" s="335">
        <v>1</v>
      </c>
      <c r="L49" s="336">
        <v>1</v>
      </c>
      <c r="M49" s="337">
        <v>285</v>
      </c>
      <c r="N49" s="338">
        <v>0</v>
      </c>
      <c r="O49" s="338">
        <v>0</v>
      </c>
      <c r="P49" s="339">
        <f>SUM(Table1[[#This Row],[BASE_FARE]:[SURCHARGES]])*Table1[[#This Row],[SEATS_BOOKED]]</f>
        <v>285</v>
      </c>
      <c r="Q49" s="333" t="s">
        <v>117</v>
      </c>
      <c r="R49" s="349" t="s">
        <v>207</v>
      </c>
      <c r="S49" s="333" t="str">
        <f>LEFT(Table1[[#This Row],[SECTOR]],3)</f>
        <v>NAP</v>
      </c>
      <c r="T49" s="333" t="str">
        <f>RIGHT(Table1[[#This Row],[SECTOR]],3)</f>
        <v>SSH</v>
      </c>
      <c r="U49" s="333" t="str">
        <f t="shared" ref="U49:U50" si="15">IF(AND(S49&lt;&gt;"SSH", S49&lt;&gt;"RMF", S49&lt;&gt;"CAI", S49&lt;&gt;"HRG", S49&lt;&gt;"LXR", S49&lt;&gt;"DXB", OR(T49="SSH", T49="RMF", T49="CAI", T49="HRG", T49="LXR", T49="DXB")), S49,
    IF(AND(T49&lt;&gt;"SSH", T49&lt;&gt;"RMF", T49&lt;&gt;"CAI", T49&lt;&gt;"HRG", T49&lt;&gt;"LXR", T49&lt;&gt;"DXB", OR(S49="SSH", S49="RMF", S49="CAI", S49="HRG", S49="LXR", S49="DXB")), T49,
    "VIE"))</f>
        <v>NAP</v>
      </c>
      <c r="V49" s="333">
        <f>WEEKDAY(Table1[[#This Row],[FLIGHT_DATE]],2)</f>
        <v>5</v>
      </c>
      <c r="W49" s="333">
        <f>Table1[[#This Row],[FLIGHT_DATE]]-Table1[[#This Row],[DATE_BOOKED]]</f>
        <v>51</v>
      </c>
    </row>
    <row r="50" spans="1:23" x14ac:dyDescent="0.25">
      <c r="A50" s="332">
        <v>45714</v>
      </c>
      <c r="B50" s="333" t="s">
        <v>216</v>
      </c>
      <c r="C50" s="131" t="s">
        <v>116</v>
      </c>
      <c r="D50" s="131"/>
      <c r="E50" s="333"/>
      <c r="F50" s="333" t="s">
        <v>47</v>
      </c>
      <c r="G50" s="333" t="s">
        <v>7</v>
      </c>
      <c r="H50" s="340" t="s">
        <v>217</v>
      </c>
      <c r="I50" s="334" t="s">
        <v>23</v>
      </c>
      <c r="J50" s="332">
        <v>45765</v>
      </c>
      <c r="K50" s="335">
        <v>40</v>
      </c>
      <c r="L50" s="335">
        <v>40</v>
      </c>
      <c r="M50" s="337">
        <v>285</v>
      </c>
      <c r="N50" s="338">
        <v>0</v>
      </c>
      <c r="O50" s="338">
        <v>0</v>
      </c>
      <c r="P50" s="339">
        <f>SUM(Table1[[#This Row],[BASE_FARE]:[SURCHARGES]])*Table1[[#This Row],[SEATS_BOOKED]]</f>
        <v>11400</v>
      </c>
      <c r="Q50" s="333" t="s">
        <v>117</v>
      </c>
      <c r="R50" s="349" t="s">
        <v>207</v>
      </c>
      <c r="S50" s="333" t="str">
        <f>LEFT(Table1[[#This Row],[SECTOR]],3)</f>
        <v>NAP</v>
      </c>
      <c r="T50" s="333" t="str">
        <f>RIGHT(Table1[[#This Row],[SECTOR]],3)</f>
        <v>SSH</v>
      </c>
      <c r="U50" s="333" t="str">
        <f t="shared" si="15"/>
        <v>NAP</v>
      </c>
      <c r="V50" s="333">
        <f>WEEKDAY(Table1[[#This Row],[FLIGHT_DATE]],2)</f>
        <v>5</v>
      </c>
      <c r="W50" s="333">
        <f>Table1[[#This Row],[FLIGHT_DATE]]-Table1[[#This Row],[DATE_BOOKED]]</f>
        <v>51</v>
      </c>
    </row>
    <row r="51" spans="1:23" x14ac:dyDescent="0.25">
      <c r="A51" s="341">
        <v>45716</v>
      </c>
      <c r="B51" s="342" t="s">
        <v>161</v>
      </c>
      <c r="C51" s="131" t="s">
        <v>162</v>
      </c>
      <c r="D51" s="131"/>
      <c r="E51" s="342"/>
      <c r="F51" s="342" t="s">
        <v>49</v>
      </c>
      <c r="G51" s="342" t="s">
        <v>7</v>
      </c>
      <c r="H51" s="342" t="s">
        <v>124</v>
      </c>
      <c r="I51" s="343" t="s">
        <v>23</v>
      </c>
      <c r="J51" s="341">
        <v>45760</v>
      </c>
      <c r="K51" s="344">
        <v>4</v>
      </c>
      <c r="L51" s="345">
        <v>4</v>
      </c>
      <c r="M51" s="346">
        <v>140</v>
      </c>
      <c r="N51" s="347">
        <v>0</v>
      </c>
      <c r="O51" s="347">
        <v>0</v>
      </c>
      <c r="P51" s="348">
        <f>SUM(Table1[[#This Row],[BASE_FARE]:[SURCHARGES]])*Table1[[#This Row],[SEATS_BOOKED]]</f>
        <v>560</v>
      </c>
      <c r="Q51" s="342" t="s">
        <v>117</v>
      </c>
      <c r="R51" s="344" t="s">
        <v>163</v>
      </c>
      <c r="S51" s="342" t="str">
        <f>LEFT(Table1[[#This Row],[SECTOR]],3)</f>
        <v>NAP</v>
      </c>
      <c r="T51" s="342" t="str">
        <f>RIGHT(Table1[[#This Row],[SECTOR]],3)</f>
        <v>SSH</v>
      </c>
      <c r="U51" s="342" t="str">
        <f>IF(AND(S51&lt;&gt;"SSH", S51&lt;&gt;"RMF", S51&lt;&gt;"CAI", S51&lt;&gt;"HRG", S51&lt;&gt;"LXR", S51&lt;&gt;"DXB", OR(T51="SSH", T51="RMF", T51="CAI", T51="HRG", T51="LXR", T51="DXB")), S51,
    IF(AND(T51&lt;&gt;"SSH", T51&lt;&gt;"RMF", T51&lt;&gt;"CAI", T51&lt;&gt;"HRG", T51&lt;&gt;"LXR", T51&lt;&gt;"DXB", OR(S51="SSH", S51="RMF", S51="CAI", S51="HRG", S51="LXR", S51="DXB")), T51,
    "VIE"))</f>
        <v>NAP</v>
      </c>
      <c r="V51" s="342">
        <f>WEEKDAY(Table1[[#This Row],[FLIGHT_DATE]],2)</f>
        <v>7</v>
      </c>
      <c r="W51" s="342">
        <f>Table1[[#This Row],[FLIGHT_DATE]]-Table1[[#This Row],[DATE_BOOKED]]</f>
        <v>44</v>
      </c>
    </row>
  </sheetData>
  <phoneticPr fontId="57"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85AC-7C1D-4316-B5EE-A71B751DDCF2}">
  <dimension ref="A1:P4"/>
  <sheetViews>
    <sheetView tabSelected="1" topLeftCell="F1" workbookViewId="0">
      <selection activeCell="H5" sqref="H5"/>
    </sheetView>
  </sheetViews>
  <sheetFormatPr defaultRowHeight="15.75" x14ac:dyDescent="0.25"/>
  <cols>
    <col min="1" max="4" width="24.625" customWidth="1"/>
    <col min="5" max="5" width="12.75" bestFit="1" customWidth="1"/>
    <col min="6" max="6" width="74.5" customWidth="1"/>
    <col min="7" max="7" width="38" customWidth="1"/>
    <col min="8" max="15" width="24.625" customWidth="1"/>
    <col min="16" max="16" width="13.75" bestFit="1" customWidth="1"/>
  </cols>
  <sheetData>
    <row r="1" spans="1:16" x14ac:dyDescent="0.25">
      <c r="A1" s="370" t="s">
        <v>272</v>
      </c>
      <c r="B1" s="371" t="s">
        <v>273</v>
      </c>
      <c r="C1" s="372" t="s">
        <v>274</v>
      </c>
      <c r="D1" s="373" t="s">
        <v>275</v>
      </c>
      <c r="E1" s="371" t="s">
        <v>276</v>
      </c>
      <c r="F1" s="371" t="s">
        <v>277</v>
      </c>
      <c r="G1" s="374" t="s">
        <v>73</v>
      </c>
      <c r="H1" s="375" t="s">
        <v>278</v>
      </c>
      <c r="I1" s="376" t="s">
        <v>31</v>
      </c>
      <c r="J1" s="376" t="s">
        <v>279</v>
      </c>
      <c r="K1" s="376" t="s">
        <v>280</v>
      </c>
      <c r="L1" s="376" t="s">
        <v>281</v>
      </c>
      <c r="M1" s="376" t="s">
        <v>282</v>
      </c>
      <c r="N1" s="376" t="s">
        <v>283</v>
      </c>
      <c r="O1" s="376" t="s">
        <v>86</v>
      </c>
      <c r="P1" s="380" t="s">
        <v>288</v>
      </c>
    </row>
    <row r="2" spans="1:16" x14ac:dyDescent="0.25">
      <c r="A2" s="377" t="s">
        <v>290</v>
      </c>
      <c r="B2" s="377" t="s">
        <v>292</v>
      </c>
      <c r="C2" s="377" t="s">
        <v>284</v>
      </c>
      <c r="D2" s="378" t="s">
        <v>298</v>
      </c>
      <c r="E2" t="s">
        <v>285</v>
      </c>
      <c r="G2" s="77" t="s">
        <v>289</v>
      </c>
      <c r="H2" s="77">
        <v>45500</v>
      </c>
      <c r="I2" s="15" t="s">
        <v>295</v>
      </c>
      <c r="J2" s="15" t="s">
        <v>2</v>
      </c>
      <c r="K2" s="15" t="s">
        <v>1</v>
      </c>
      <c r="L2" s="15" t="str">
        <f>Table15[[#This Row],[Orgn]]&amp;"-"&amp;Table15[[#This Row],[Dest]]</f>
        <v>NAP-SSH</v>
      </c>
      <c r="M2" s="15" t="str">
        <f t="shared" ref="M2:M4" si="0">IF(TRIM(C2)="INF", "INF", IF(TRIM(C2)="CHD", "CHD", "ADT"))</f>
        <v>ADT</v>
      </c>
      <c r="N2" s="15">
        <f>WEEKDAY(Table15[[#This Row],[Travel Date]],2)</f>
        <v>6</v>
      </c>
      <c r="O2" s="15" t="str">
        <f t="shared" ref="O2:O3" si="1">IF(AND(J2&lt;&gt;"SSH", J2&lt;&gt;"RMF", J2&lt;&gt;"CAI", J2&lt;&gt;"HRG", J2&lt;&gt;"LXR", J2&lt;&gt;"DXB", OR(K2="SSH", K2="RMF", K2="CAI", K2="HRG", K2="LXR", K2="DXB")), J2,
    IF(AND(K2&lt;&gt;"SSH", K2&lt;&gt;"RMF", K2&lt;&gt;"CAI", K2&lt;&gt;"HRG", K2&lt;&gt;"LXR", K2&lt;&gt;"DXB", OR(J2="SSH", J2="RMF", J2="CAI", J2="HRG", J2="LXR", J1="DXB")), K2,
    "VIE"))</f>
        <v>NAP</v>
      </c>
      <c r="P2" s="15">
        <v>1</v>
      </c>
    </row>
    <row r="3" spans="1:16" x14ac:dyDescent="0.25">
      <c r="A3" s="379" t="s">
        <v>291</v>
      </c>
      <c r="B3" s="379" t="s">
        <v>293</v>
      </c>
      <c r="C3" s="379" t="s">
        <v>287</v>
      </c>
      <c r="D3" s="378" t="s">
        <v>299</v>
      </c>
      <c r="E3" t="s">
        <v>286</v>
      </c>
      <c r="G3" s="77" t="s">
        <v>289</v>
      </c>
      <c r="H3" s="77">
        <v>45500</v>
      </c>
      <c r="I3" s="15" t="s">
        <v>295</v>
      </c>
      <c r="J3" s="15" t="s">
        <v>2</v>
      </c>
      <c r="K3" s="15" t="s">
        <v>1</v>
      </c>
      <c r="L3" s="15" t="str">
        <f>Table15[[#This Row],[Orgn]]&amp;"-"&amp;Table15[[#This Row],[Dest]]</f>
        <v>NAP-SSH</v>
      </c>
      <c r="M3" s="15" t="str">
        <f t="shared" si="0"/>
        <v>ADT</v>
      </c>
      <c r="N3" s="15">
        <f>WEEKDAY(Table15[[#This Row],[Travel Date]],2)</f>
        <v>6</v>
      </c>
      <c r="O3" s="15" t="str">
        <f t="shared" si="1"/>
        <v>NAP</v>
      </c>
      <c r="P3" s="15">
        <v>1</v>
      </c>
    </row>
    <row r="4" spans="1:16" x14ac:dyDescent="0.25">
      <c r="A4" s="381" t="s">
        <v>297</v>
      </c>
      <c r="B4" s="382" t="s">
        <v>294</v>
      </c>
      <c r="C4" s="382" t="s">
        <v>284</v>
      </c>
      <c r="D4" s="383" t="s">
        <v>300</v>
      </c>
      <c r="E4" t="s">
        <v>285</v>
      </c>
      <c r="G4" s="77" t="s">
        <v>289</v>
      </c>
      <c r="H4" s="77">
        <v>45506</v>
      </c>
      <c r="I4" s="15" t="s">
        <v>296</v>
      </c>
      <c r="J4" s="15" t="s">
        <v>1</v>
      </c>
      <c r="K4" s="15" t="s">
        <v>2</v>
      </c>
      <c r="L4" s="15" t="str">
        <f>Table15[[#This Row],[Orgn]]&amp;"-"&amp;Table15[[#This Row],[Dest]]</f>
        <v>SSH-NAP</v>
      </c>
      <c r="M4" s="15" t="str">
        <f t="shared" si="0"/>
        <v>ADT</v>
      </c>
      <c r="N4" s="15">
        <f>WEEKDAY(Table15[[#This Row],[Travel Date]],2)</f>
        <v>5</v>
      </c>
      <c r="O4" s="15" t="str">
        <f>IF(AND(J4&lt;&gt;"SSH", J4&lt;&gt;"RMF", J4&lt;&gt;"CAI", J4&lt;&gt;"HRG", J4&lt;&gt;"LXR", J4&lt;&gt;"DXB", OR(K4="SSH", K4="RMF", K4="CAI", K4="HRG", K4="LXR", K4="DXB")), J4,
    IF(AND(K4&lt;&gt;"SSH", K4&lt;&gt;"RMF", K4&lt;&gt;"CAI", K4&lt;&gt;"HRG", K4&lt;&gt;"LXR", K4&lt;&gt;"DXB", OR(J4="SSH", J4="RMF", J4="CAI", J4="HRG", J4="LXR", J3="DXB")), K4,
    "VIE"))</f>
        <v>NAP</v>
      </c>
      <c r="P4" s="15">
        <v>1</v>
      </c>
    </row>
  </sheetData>
  <conditionalFormatting sqref="C1:C4">
    <cfRule type="containsText" dxfId="9" priority="4" operator="containsText" text="CHD">
      <formula>NOT(ISERROR(SEARCH("CHD",C1)))</formula>
    </cfRule>
    <cfRule type="containsText" dxfId="8" priority="6" operator="containsText" text="INF">
      <formula>NOT(ISERROR(SEARCH("INF",C1)))</formula>
    </cfRule>
  </conditionalFormatting>
  <conditionalFormatting sqref="E1:E4">
    <cfRule type="containsText" dxfId="7" priority="3" operator="containsText" text="No Show">
      <formula>NOT(ISERROR(SEARCH("No Show",E1)))</formula>
    </cfRule>
  </conditionalFormatting>
  <conditionalFormatting sqref="M1:M4">
    <cfRule type="containsText" dxfId="6" priority="5" operator="containsText" text="CHD">
      <formula>NOT(ISERROR(SEARCH("CHD",M1)))</formula>
    </cfRule>
  </conditionalFormatting>
  <conditionalFormatting sqref="M2:M4">
    <cfRule type="containsText" dxfId="5" priority="7" operator="containsText" text="INF">
      <formula>NOT(ISERROR(SEARCH("INF",M2)))</formula>
    </cfRule>
  </conditionalFormatting>
  <conditionalFormatting sqref="N1">
    <cfRule type="containsText" dxfId="4" priority="2" operator="containsText" text="CHD">
      <formula>NOT(ISERROR(SEARCH("CHD",N1)))</formula>
    </cfRule>
  </conditionalFormatting>
  <conditionalFormatting sqref="O1">
    <cfRule type="containsText" dxfId="3" priority="1" operator="containsText" text="CHD">
      <formula>NOT(ISERROR(SEARCH("CHD",O1)))</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0B1A-3B66-4F08-A0A5-4173544536F9}">
  <sheetPr>
    <tabColor rgb="FFCC00CC"/>
  </sheetPr>
  <dimension ref="A1:AB51"/>
  <sheetViews>
    <sheetView topLeftCell="A19" workbookViewId="0"/>
  </sheetViews>
  <sheetFormatPr defaultColWidth="8.625" defaultRowHeight="15.75" x14ac:dyDescent="0.25"/>
  <cols>
    <col min="1" max="1" width="15.375" style="140" customWidth="1"/>
    <col min="2" max="2" width="19.625" style="139" customWidth="1"/>
    <col min="3" max="3" width="15.375" style="139" customWidth="1"/>
    <col min="4" max="4" width="26.5" style="139" bestFit="1" customWidth="1"/>
    <col min="5" max="5" width="21" style="139" bestFit="1" customWidth="1"/>
    <col min="6" max="8" width="15.375" style="139" customWidth="1"/>
    <col min="9" max="9" width="15.375" style="140" customWidth="1"/>
    <col min="10" max="10" width="17" style="273" customWidth="1"/>
    <col min="11" max="11" width="17.375" style="139" bestFit="1" customWidth="1"/>
    <col min="12" max="25" width="15.375" style="139" customWidth="1"/>
    <col min="26" max="26" width="13" style="139" bestFit="1" customWidth="1"/>
    <col min="27" max="27" width="16.5" style="139" bestFit="1" customWidth="1"/>
    <col min="28" max="28" width="13" style="15" bestFit="1" customWidth="1"/>
  </cols>
  <sheetData>
    <row r="1" spans="1:28" x14ac:dyDescent="0.25">
      <c r="A1" s="141" t="str" cm="1">
        <f t="array" ref="A1:AB51">_xldudf_SQLOOKUP("SELECT A.*,B.SCHED_ID,B.Y_Capacity,B.Seats_Booked,B.Avl_Seats_by_Cap,B.FSCODE FROM A LEFT JOIN B ON A.FLIGHT_DATE=B.DEP_DATE AND A.SECTOR=B.SECTOR AND A.FLT_NO=B.FLT_NO","A",Table1[#All],"B",Table36[#All])</f>
        <v>DATE_BOOKED</v>
      </c>
      <c r="B1" s="142" t="str">
        <v>CONTRIBUTOR</v>
      </c>
      <c r="C1" s="142" t="str">
        <v>CATEGORY</v>
      </c>
      <c r="D1" s="142" t="str">
        <v>DISTRIBUTION_CHANNEL</v>
      </c>
      <c r="E1" s="142" t="str">
        <v>DISTRIBUTOR_PNR</v>
      </c>
      <c r="F1" s="142" t="str">
        <v>JOURNEY</v>
      </c>
      <c r="G1" s="142" t="str">
        <v>DIRECTION</v>
      </c>
      <c r="H1" s="142" t="str">
        <v>FLT_NO</v>
      </c>
      <c r="I1" s="141" t="str">
        <v>SECTOR</v>
      </c>
      <c r="J1" s="272" t="str">
        <v>FLIGHT_DATE</v>
      </c>
      <c r="K1" s="142" t="str">
        <v>REQUESTED_SEATS</v>
      </c>
      <c r="L1" s="142" t="str">
        <v>SEATS_BOOKED</v>
      </c>
      <c r="M1" s="142" t="str">
        <v>BASE_FARE</v>
      </c>
      <c r="N1" s="142" t="str">
        <v>TAXES</v>
      </c>
      <c r="O1" s="142" t="str">
        <v>SURCHARGES</v>
      </c>
      <c r="P1" s="142" t="str">
        <v>NET_REVENUE</v>
      </c>
      <c r="Q1" s="142" t="str">
        <v>BOOKING_STATUS</v>
      </c>
      <c r="R1" s="142" t="str">
        <v>CONTRACT_STATUS</v>
      </c>
      <c r="S1" s="142" t="str">
        <v>ORGN</v>
      </c>
      <c r="T1" s="142" t="str">
        <v>DEST</v>
      </c>
      <c r="U1" s="142" t="str">
        <v>ROUTE</v>
      </c>
      <c r="V1" s="142" t="str">
        <v>DAY</v>
      </c>
      <c r="W1" s="142" t="str">
        <v>DAYS_PRIOR</v>
      </c>
      <c r="X1" s="142" t="str">
        <v>SCHED_ID</v>
      </c>
      <c r="Y1" s="142" t="str">
        <v>Y_Capacity</v>
      </c>
      <c r="Z1" s="142" t="str">
        <v>Seats_Booked</v>
      </c>
      <c r="AA1" s="142" t="str">
        <v>Avl_Seats_by_Cap</v>
      </c>
      <c r="AB1" s="142" t="str">
        <v>FSCODE</v>
      </c>
    </row>
    <row r="2" spans="1:28" x14ac:dyDescent="0.25">
      <c r="A2" s="140">
        <v>45681</v>
      </c>
      <c r="B2" s="139" t="str">
        <v>Enzo Viaggi</v>
      </c>
      <c r="C2" s="139" t="str">
        <v>Tour Operator</v>
      </c>
      <c r="D2" s="139" t="str">
        <v/>
      </c>
      <c r="E2" s="139" t="str">
        <v/>
      </c>
      <c r="F2" s="139" t="str">
        <v>RT</v>
      </c>
      <c r="G2" s="139" t="str">
        <v>Outbound</v>
      </c>
      <c r="H2" s="139" t="str">
        <v>4S6018</v>
      </c>
      <c r="I2" s="140" t="str">
        <v>NAP-SSH</v>
      </c>
      <c r="J2" s="273">
        <v>45765</v>
      </c>
      <c r="K2" s="139">
        <v>10</v>
      </c>
      <c r="L2" s="139">
        <v>10</v>
      </c>
      <c r="M2" s="139">
        <v>275</v>
      </c>
      <c r="N2" s="139">
        <v>0</v>
      </c>
      <c r="O2" s="139">
        <v>0</v>
      </c>
      <c r="P2" s="139">
        <v>2750</v>
      </c>
      <c r="Q2" s="139" t="str">
        <v>Confirmed</v>
      </c>
      <c r="R2" s="139" t="str">
        <v>Countersigned</v>
      </c>
      <c r="S2" s="139" t="str">
        <v>NAP</v>
      </c>
      <c r="T2" s="139" t="str">
        <v>SSH</v>
      </c>
      <c r="U2" s="139" t="str">
        <v>NAP</v>
      </c>
      <c r="V2" s="139">
        <v>5</v>
      </c>
      <c r="W2" s="139">
        <v>84</v>
      </c>
      <c r="X2" s="139" t="str">
        <v>E25-08</v>
      </c>
      <c r="Y2" s="139">
        <v>186</v>
      </c>
      <c r="Z2" s="139">
        <v>88</v>
      </c>
      <c r="AA2" s="139">
        <v>98</v>
      </c>
      <c r="AB2" s="15" t="str">
        <v>E25</v>
      </c>
    </row>
    <row r="3" spans="1:28" x14ac:dyDescent="0.25">
      <c r="A3" s="140">
        <v>45684</v>
      </c>
      <c r="B3" s="139" t="str">
        <v>Genius</v>
      </c>
      <c r="C3" s="139" t="str">
        <v>Distributor</v>
      </c>
      <c r="D3" s="139" t="str">
        <v/>
      </c>
      <c r="E3" s="139" t="str">
        <v/>
      </c>
      <c r="F3" s="139" t="str">
        <v>OW</v>
      </c>
      <c r="G3" s="139" t="str">
        <v>Outbound</v>
      </c>
      <c r="H3" s="139" t="str">
        <v>4S6018</v>
      </c>
      <c r="I3" s="140" t="str">
        <v>NAP-SSH</v>
      </c>
      <c r="J3" s="273">
        <v>45765</v>
      </c>
      <c r="K3" s="139">
        <v>2</v>
      </c>
      <c r="L3" s="139">
        <v>2</v>
      </c>
      <c r="M3" s="139">
        <v>275</v>
      </c>
      <c r="N3" s="139">
        <v>0</v>
      </c>
      <c r="O3" s="139">
        <v>0</v>
      </c>
      <c r="P3" s="139">
        <v>550</v>
      </c>
      <c r="Q3" s="139" t="str">
        <v>Confirmed</v>
      </c>
      <c r="R3" s="139" t="str">
        <v>Closed Deal</v>
      </c>
      <c r="S3" s="139" t="str">
        <v>NAP</v>
      </c>
      <c r="T3" s="139" t="str">
        <v>SSH</v>
      </c>
      <c r="U3" s="139" t="str">
        <v>NAP</v>
      </c>
      <c r="V3" s="139">
        <v>5</v>
      </c>
      <c r="W3" s="139">
        <v>81</v>
      </c>
      <c r="X3" s="139" t="str">
        <v>E25-08</v>
      </c>
      <c r="Y3" s="139">
        <v>186</v>
      </c>
      <c r="Z3" s="139">
        <v>88</v>
      </c>
      <c r="AA3" s="139">
        <v>98</v>
      </c>
      <c r="AB3" s="15" t="str">
        <v>E25</v>
      </c>
    </row>
    <row r="4" spans="1:28" x14ac:dyDescent="0.25">
      <c r="A4" s="140">
        <v>45686</v>
      </c>
      <c r="B4" s="139" t="str">
        <v>EuroAirlines</v>
      </c>
      <c r="C4" s="139" t="str">
        <v>Distributor</v>
      </c>
      <c r="D4" s="139" t="str">
        <v/>
      </c>
      <c r="E4" s="139" t="str">
        <v/>
      </c>
      <c r="F4" s="139" t="str">
        <v>OW</v>
      </c>
      <c r="G4" s="139" t="str">
        <v>Outbound</v>
      </c>
      <c r="H4" s="139" t="str">
        <v>4S6018</v>
      </c>
      <c r="I4" s="140" t="str">
        <v>NAP-SSH</v>
      </c>
      <c r="J4" s="273">
        <v>45765</v>
      </c>
      <c r="K4" s="139">
        <v>1</v>
      </c>
      <c r="L4" s="139">
        <v>1</v>
      </c>
      <c r="M4" s="139">
        <v>206.25</v>
      </c>
      <c r="N4" s="139">
        <v>34.04</v>
      </c>
      <c r="O4" s="139">
        <v>30</v>
      </c>
      <c r="P4" s="139">
        <v>270.29000000000002</v>
      </c>
      <c r="Q4" s="139" t="str">
        <v>Confirmed</v>
      </c>
      <c r="R4" s="139" t="str">
        <v>Closed Deal</v>
      </c>
      <c r="S4" s="139" t="str">
        <v>NAP</v>
      </c>
      <c r="T4" s="139" t="str">
        <v>SSH</v>
      </c>
      <c r="U4" s="139" t="str">
        <v>NAP</v>
      </c>
      <c r="V4" s="139">
        <v>5</v>
      </c>
      <c r="W4" s="139">
        <v>79</v>
      </c>
      <c r="X4" s="139" t="str">
        <v>E25-08</v>
      </c>
      <c r="Y4" s="139">
        <v>186</v>
      </c>
      <c r="Z4" s="139">
        <v>88</v>
      </c>
      <c r="AA4" s="139">
        <v>98</v>
      </c>
      <c r="AB4" s="15" t="str">
        <v>E25</v>
      </c>
    </row>
    <row r="5" spans="1:28" x14ac:dyDescent="0.25">
      <c r="A5" s="140">
        <v>45686</v>
      </c>
      <c r="B5" s="139" t="str">
        <v>EuroAirlines</v>
      </c>
      <c r="C5" s="139" t="str">
        <v>Distributor</v>
      </c>
      <c r="D5" s="139" t="str">
        <v/>
      </c>
      <c r="E5" s="139" t="str">
        <v/>
      </c>
      <c r="F5" s="139" t="str">
        <v>OW</v>
      </c>
      <c r="G5" s="139" t="str">
        <v>Outbound</v>
      </c>
      <c r="H5" s="139" t="str">
        <v>4S6018</v>
      </c>
      <c r="I5" s="140" t="str">
        <v>NAP-SSH</v>
      </c>
      <c r="J5" s="273">
        <v>45765</v>
      </c>
      <c r="K5" s="139">
        <v>1</v>
      </c>
      <c r="L5" s="139">
        <v>1</v>
      </c>
      <c r="M5" s="139">
        <v>275</v>
      </c>
      <c r="N5" s="139">
        <v>34.04</v>
      </c>
      <c r="O5" s="139">
        <v>30</v>
      </c>
      <c r="P5" s="139">
        <v>339.04</v>
      </c>
      <c r="Q5" s="139" t="str">
        <v>Confirmed</v>
      </c>
      <c r="R5" s="139" t="str">
        <v>Closed Deal</v>
      </c>
      <c r="S5" s="139" t="str">
        <v>NAP</v>
      </c>
      <c r="T5" s="139" t="str">
        <v>SSH</v>
      </c>
      <c r="U5" s="139" t="str">
        <v>NAP</v>
      </c>
      <c r="V5" s="139">
        <v>5</v>
      </c>
      <c r="W5" s="139">
        <v>79</v>
      </c>
      <c r="X5" s="139" t="str">
        <v>E25-08</v>
      </c>
      <c r="Y5" s="139">
        <v>186</v>
      </c>
      <c r="Z5" s="139">
        <v>88</v>
      </c>
      <c r="AA5" s="139">
        <v>98</v>
      </c>
      <c r="AB5" s="15" t="str">
        <v>E25</v>
      </c>
    </row>
    <row r="6" spans="1:28" x14ac:dyDescent="0.25">
      <c r="A6" s="140">
        <v>45686</v>
      </c>
      <c r="B6" s="139" t="str">
        <v>EuroAirlines</v>
      </c>
      <c r="C6" s="139" t="str">
        <v>Distributor</v>
      </c>
      <c r="D6" s="139" t="str">
        <v/>
      </c>
      <c r="E6" s="139" t="str">
        <v/>
      </c>
      <c r="F6" s="139" t="str">
        <v>OW</v>
      </c>
      <c r="G6" s="139" t="str">
        <v>Outbound</v>
      </c>
      <c r="H6" s="139" t="str">
        <v>4S6018</v>
      </c>
      <c r="I6" s="140" t="str">
        <v>NAP-SSH</v>
      </c>
      <c r="J6" s="273">
        <v>45765</v>
      </c>
      <c r="K6" s="139">
        <v>1</v>
      </c>
      <c r="L6" s="139">
        <v>1</v>
      </c>
      <c r="M6" s="139">
        <v>275</v>
      </c>
      <c r="N6" s="139">
        <v>34.04</v>
      </c>
      <c r="O6" s="139">
        <v>30</v>
      </c>
      <c r="P6" s="139">
        <v>339.04</v>
      </c>
      <c r="Q6" s="139" t="str">
        <v>Confirmed</v>
      </c>
      <c r="R6" s="139" t="str">
        <v>Closed Deal</v>
      </c>
      <c r="S6" s="139" t="str">
        <v>NAP</v>
      </c>
      <c r="T6" s="139" t="str">
        <v>SSH</v>
      </c>
      <c r="U6" s="139" t="str">
        <v>NAP</v>
      </c>
      <c r="V6" s="139">
        <v>5</v>
      </c>
      <c r="W6" s="139">
        <v>79</v>
      </c>
      <c r="X6" s="139" t="str">
        <v>E25-08</v>
      </c>
      <c r="Y6" s="139">
        <v>186</v>
      </c>
      <c r="Z6" s="139">
        <v>88</v>
      </c>
      <c r="AA6" s="139">
        <v>98</v>
      </c>
      <c r="AB6" s="15" t="str">
        <v>E25</v>
      </c>
    </row>
    <row r="7" spans="1:28" x14ac:dyDescent="0.25">
      <c r="A7" s="140">
        <v>45687</v>
      </c>
      <c r="B7" s="139" t="str">
        <v>Atelier Vacanze SRL</v>
      </c>
      <c r="C7" s="139" t="str">
        <v>Tour Operator</v>
      </c>
      <c r="D7" s="139" t="str">
        <v/>
      </c>
      <c r="E7" s="139" t="str">
        <v/>
      </c>
      <c r="F7" s="139" t="str">
        <v>RT</v>
      </c>
      <c r="G7" s="139" t="str">
        <v>Outbound</v>
      </c>
      <c r="H7" s="139" t="str">
        <v>4S6018</v>
      </c>
      <c r="I7" s="140" t="str">
        <v>NAP-SSH</v>
      </c>
      <c r="J7" s="273">
        <v>45765</v>
      </c>
      <c r="K7" s="139">
        <v>60</v>
      </c>
      <c r="L7" s="139">
        <v>60</v>
      </c>
      <c r="M7" s="139">
        <v>260</v>
      </c>
      <c r="N7" s="139">
        <v>0</v>
      </c>
      <c r="O7" s="139">
        <v>0</v>
      </c>
      <c r="P7" s="139">
        <v>15600</v>
      </c>
      <c r="Q7" s="139" t="str">
        <v>Confirmed</v>
      </c>
      <c r="R7" s="139" t="str">
        <v>Countersigned</v>
      </c>
      <c r="S7" s="139" t="str">
        <v>NAP</v>
      </c>
      <c r="T7" s="139" t="str">
        <v>SSH</v>
      </c>
      <c r="U7" s="139" t="str">
        <v>NAP</v>
      </c>
      <c r="V7" s="139">
        <v>5</v>
      </c>
      <c r="W7" s="139">
        <v>78</v>
      </c>
      <c r="X7" s="139" t="str">
        <v>E25-08</v>
      </c>
      <c r="Y7" s="139">
        <v>186</v>
      </c>
      <c r="Z7" s="139">
        <v>88</v>
      </c>
      <c r="AA7" s="139">
        <v>98</v>
      </c>
      <c r="AB7" s="15" t="str">
        <v>E25</v>
      </c>
    </row>
    <row r="8" spans="1:28" x14ac:dyDescent="0.25">
      <c r="A8" s="140">
        <v>45687</v>
      </c>
      <c r="B8" s="139" t="str">
        <v>EuroAirlines</v>
      </c>
      <c r="C8" s="139" t="str">
        <v>Distributor</v>
      </c>
      <c r="D8" s="139" t="str">
        <v/>
      </c>
      <c r="E8" s="139" t="str">
        <v/>
      </c>
      <c r="F8" s="139" t="str">
        <v>RT</v>
      </c>
      <c r="G8" s="139" t="str">
        <v>Outbound</v>
      </c>
      <c r="H8" s="139" t="str">
        <v>4S6018</v>
      </c>
      <c r="I8" s="140" t="str">
        <v>NAP-SSH</v>
      </c>
      <c r="J8" s="273">
        <v>45765</v>
      </c>
      <c r="K8" s="139">
        <v>1</v>
      </c>
      <c r="L8" s="139">
        <v>1</v>
      </c>
      <c r="M8" s="139">
        <v>275</v>
      </c>
      <c r="N8" s="139">
        <v>34.04</v>
      </c>
      <c r="O8" s="139">
        <v>30</v>
      </c>
      <c r="P8" s="139">
        <v>339.04</v>
      </c>
      <c r="Q8" s="139" t="str">
        <v>Confirmed</v>
      </c>
      <c r="R8" s="139" t="str">
        <v>Closed Deal</v>
      </c>
      <c r="S8" s="139" t="str">
        <v>NAP</v>
      </c>
      <c r="T8" s="139" t="str">
        <v>SSH</v>
      </c>
      <c r="U8" s="139" t="str">
        <v>NAP</v>
      </c>
      <c r="V8" s="139">
        <v>5</v>
      </c>
      <c r="W8" s="139">
        <v>78</v>
      </c>
      <c r="X8" s="139" t="str">
        <v>E25-08</v>
      </c>
      <c r="Y8" s="139">
        <v>186</v>
      </c>
      <c r="Z8" s="139">
        <v>88</v>
      </c>
      <c r="AA8" s="139">
        <v>98</v>
      </c>
      <c r="AB8" s="15" t="str">
        <v>E25</v>
      </c>
    </row>
    <row r="9" spans="1:28" x14ac:dyDescent="0.25">
      <c r="A9" s="140">
        <v>45687</v>
      </c>
      <c r="B9" s="139" t="str">
        <v>EuroAirlines</v>
      </c>
      <c r="C9" s="139" t="str">
        <v>Distributor</v>
      </c>
      <c r="D9" s="139" t="str">
        <v/>
      </c>
      <c r="E9" s="139" t="str">
        <v/>
      </c>
      <c r="F9" s="139" t="str">
        <v>RT</v>
      </c>
      <c r="G9" s="139" t="str">
        <v>Outbound</v>
      </c>
      <c r="H9" s="139" t="str">
        <v>4S6018</v>
      </c>
      <c r="I9" s="140" t="str">
        <v>NAP-SSH</v>
      </c>
      <c r="J9" s="273">
        <v>45765</v>
      </c>
      <c r="K9" s="139">
        <v>1</v>
      </c>
      <c r="L9" s="139">
        <v>1</v>
      </c>
      <c r="M9" s="139">
        <v>275</v>
      </c>
      <c r="N9" s="139">
        <v>34.04</v>
      </c>
      <c r="O9" s="139">
        <v>30</v>
      </c>
      <c r="P9" s="139">
        <v>339.04</v>
      </c>
      <c r="Q9" s="139" t="str">
        <v>Confirmed</v>
      </c>
      <c r="R9" s="139" t="str">
        <v>Closed Deal</v>
      </c>
      <c r="S9" s="139" t="str">
        <v>NAP</v>
      </c>
      <c r="T9" s="139" t="str">
        <v>SSH</v>
      </c>
      <c r="U9" s="139" t="str">
        <v>NAP</v>
      </c>
      <c r="V9" s="139">
        <v>5</v>
      </c>
      <c r="W9" s="139">
        <v>78</v>
      </c>
      <c r="X9" s="139" t="str">
        <v>E25-08</v>
      </c>
      <c r="Y9" s="139">
        <v>186</v>
      </c>
      <c r="Z9" s="139">
        <v>88</v>
      </c>
      <c r="AA9" s="139">
        <v>98</v>
      </c>
      <c r="AB9" s="15" t="str">
        <v>E25</v>
      </c>
    </row>
    <row r="10" spans="1:28" x14ac:dyDescent="0.25">
      <c r="A10" s="140">
        <v>45687</v>
      </c>
      <c r="B10" s="139" t="str">
        <v>EuroAirlines</v>
      </c>
      <c r="C10" s="139" t="str">
        <v>Distributor</v>
      </c>
      <c r="D10" s="139" t="str">
        <v/>
      </c>
      <c r="E10" s="139" t="str">
        <v/>
      </c>
      <c r="F10" s="139" t="str">
        <v>RT</v>
      </c>
      <c r="G10" s="139" t="str">
        <v>Outbound</v>
      </c>
      <c r="H10" s="139" t="str">
        <v>4S6018</v>
      </c>
      <c r="I10" s="140" t="str">
        <v>NAP-SSH</v>
      </c>
      <c r="J10" s="273">
        <v>45765</v>
      </c>
      <c r="K10" s="139">
        <v>1</v>
      </c>
      <c r="L10" s="139">
        <v>1</v>
      </c>
      <c r="M10" s="139">
        <v>206.25</v>
      </c>
      <c r="N10" s="139">
        <v>34.04</v>
      </c>
      <c r="O10" s="139">
        <v>30</v>
      </c>
      <c r="P10" s="139">
        <v>270.29000000000002</v>
      </c>
      <c r="Q10" s="139" t="str">
        <v>Confirmed</v>
      </c>
      <c r="R10" s="139" t="str">
        <v>Closed Deal</v>
      </c>
      <c r="S10" s="139" t="str">
        <v>NAP</v>
      </c>
      <c r="T10" s="139" t="str">
        <v>SSH</v>
      </c>
      <c r="U10" s="139" t="str">
        <v>NAP</v>
      </c>
      <c r="V10" s="139">
        <v>5</v>
      </c>
      <c r="W10" s="139">
        <v>78</v>
      </c>
      <c r="X10" s="139" t="str">
        <v>E25-08</v>
      </c>
      <c r="Y10" s="139">
        <v>186</v>
      </c>
      <c r="Z10" s="139">
        <v>88</v>
      </c>
      <c r="AA10" s="139">
        <v>98</v>
      </c>
      <c r="AB10" s="15" t="str">
        <v>E25</v>
      </c>
    </row>
    <row r="11" spans="1:28" x14ac:dyDescent="0.25">
      <c r="A11" s="140">
        <v>45687</v>
      </c>
      <c r="B11" s="139" t="str">
        <v>EuroAirlines</v>
      </c>
      <c r="C11" s="139" t="str">
        <v>Distributor</v>
      </c>
      <c r="D11" s="139" t="str">
        <v/>
      </c>
      <c r="E11" s="139" t="str">
        <v/>
      </c>
      <c r="F11" s="139" t="str">
        <v>RT</v>
      </c>
      <c r="G11" s="139" t="str">
        <v>Outbound</v>
      </c>
      <c r="H11" s="139" t="str">
        <v>4S6018</v>
      </c>
      <c r="I11" s="140" t="str">
        <v>NAP-SSH</v>
      </c>
      <c r="J11" s="273">
        <v>45765</v>
      </c>
      <c r="K11" s="139">
        <v>1</v>
      </c>
      <c r="L11" s="139">
        <v>1</v>
      </c>
      <c r="M11" s="139">
        <v>206.25</v>
      </c>
      <c r="N11" s="139">
        <v>34.04</v>
      </c>
      <c r="O11" s="139">
        <v>30</v>
      </c>
      <c r="P11" s="139">
        <v>270.29000000000002</v>
      </c>
      <c r="Q11" s="139" t="str">
        <v>Confirmed</v>
      </c>
      <c r="R11" s="139" t="str">
        <v>Closed Deal</v>
      </c>
      <c r="S11" s="139" t="str">
        <v>NAP</v>
      </c>
      <c r="T11" s="139" t="str">
        <v>SSH</v>
      </c>
      <c r="U11" s="139" t="str">
        <v>NAP</v>
      </c>
      <c r="V11" s="139">
        <v>5</v>
      </c>
      <c r="W11" s="139">
        <v>78</v>
      </c>
      <c r="X11" s="139" t="str">
        <v>E25-08</v>
      </c>
      <c r="Y11" s="139">
        <v>186</v>
      </c>
      <c r="Z11" s="139">
        <v>88</v>
      </c>
      <c r="AA11" s="139">
        <v>98</v>
      </c>
      <c r="AB11" s="15" t="str">
        <v>E25</v>
      </c>
    </row>
    <row r="12" spans="1:28" x14ac:dyDescent="0.25">
      <c r="A12" s="140">
        <v>45688</v>
      </c>
      <c r="B12" s="139" t="str">
        <v>EuroAirlines</v>
      </c>
      <c r="C12" s="139" t="str">
        <v>Distributor</v>
      </c>
      <c r="D12" s="139" t="str">
        <v/>
      </c>
      <c r="E12" s="139" t="str">
        <v/>
      </c>
      <c r="F12" s="139" t="str">
        <v>OW</v>
      </c>
      <c r="G12" s="139" t="str">
        <v>Outbound</v>
      </c>
      <c r="H12" s="139" t="str">
        <v>4S6018</v>
      </c>
      <c r="I12" s="140" t="str">
        <v>NAP-SSH</v>
      </c>
      <c r="J12" s="273">
        <v>45765</v>
      </c>
      <c r="K12" s="139">
        <v>1</v>
      </c>
      <c r="L12" s="139">
        <v>1</v>
      </c>
      <c r="M12" s="139">
        <v>230</v>
      </c>
      <c r="N12" s="139">
        <v>34.04</v>
      </c>
      <c r="O12" s="139">
        <v>30</v>
      </c>
      <c r="P12" s="139">
        <v>294.04000000000002</v>
      </c>
      <c r="Q12" s="139" t="str">
        <v>Confirmed</v>
      </c>
      <c r="R12" s="139" t="str">
        <v>Closed Deal</v>
      </c>
      <c r="S12" s="139" t="str">
        <v>NAP</v>
      </c>
      <c r="T12" s="139" t="str">
        <v>SSH</v>
      </c>
      <c r="U12" s="139" t="str">
        <v>NAP</v>
      </c>
      <c r="V12" s="139">
        <v>5</v>
      </c>
      <c r="W12" s="139">
        <v>77</v>
      </c>
      <c r="X12" s="139" t="str">
        <v>E25-08</v>
      </c>
      <c r="Y12" s="139">
        <v>186</v>
      </c>
      <c r="Z12" s="139">
        <v>88</v>
      </c>
      <c r="AA12" s="139">
        <v>98</v>
      </c>
      <c r="AB12" s="15" t="str">
        <v>E25</v>
      </c>
    </row>
    <row r="13" spans="1:28" x14ac:dyDescent="0.25">
      <c r="A13" s="140">
        <v>45688</v>
      </c>
      <c r="B13" s="139" t="str">
        <v>EuroAirlines</v>
      </c>
      <c r="C13" s="139" t="str">
        <v>Distributor</v>
      </c>
      <c r="D13" s="139" t="str">
        <v/>
      </c>
      <c r="E13" s="139" t="str">
        <v/>
      </c>
      <c r="F13" s="139" t="str">
        <v>OW</v>
      </c>
      <c r="G13" s="139" t="str">
        <v>Outbound</v>
      </c>
      <c r="H13" s="139" t="str">
        <v>4S6018</v>
      </c>
      <c r="I13" s="140" t="str">
        <v>NAP-SSH</v>
      </c>
      <c r="J13" s="273">
        <v>45765</v>
      </c>
      <c r="K13" s="139">
        <v>1</v>
      </c>
      <c r="L13" s="139">
        <v>1</v>
      </c>
      <c r="M13" s="139">
        <v>230</v>
      </c>
      <c r="N13" s="139">
        <v>34.04</v>
      </c>
      <c r="O13" s="139">
        <v>30</v>
      </c>
      <c r="P13" s="139">
        <v>294.04000000000002</v>
      </c>
      <c r="Q13" s="139" t="str">
        <v>Confirmed</v>
      </c>
      <c r="R13" s="139" t="str">
        <v>Closed Deal</v>
      </c>
      <c r="S13" s="139" t="str">
        <v>NAP</v>
      </c>
      <c r="T13" s="139" t="str">
        <v>SSH</v>
      </c>
      <c r="U13" s="139" t="str">
        <v>NAP</v>
      </c>
      <c r="V13" s="139">
        <v>5</v>
      </c>
      <c r="W13" s="139">
        <v>77</v>
      </c>
      <c r="X13" s="139" t="str">
        <v>E25-08</v>
      </c>
      <c r="Y13" s="139">
        <v>186</v>
      </c>
      <c r="Z13" s="139">
        <v>88</v>
      </c>
      <c r="AA13" s="139">
        <v>98</v>
      </c>
      <c r="AB13" s="15" t="str">
        <v>E25</v>
      </c>
    </row>
    <row r="14" spans="1:28" x14ac:dyDescent="0.25">
      <c r="A14" s="140">
        <v>45690</v>
      </c>
      <c r="B14" s="139" t="str">
        <v>EuroAirlines</v>
      </c>
      <c r="C14" s="139" t="str">
        <v>Distributor</v>
      </c>
      <c r="D14" s="139" t="str">
        <v/>
      </c>
      <c r="E14" s="139" t="str">
        <v/>
      </c>
      <c r="F14" s="139" t="str">
        <v>OW</v>
      </c>
      <c r="G14" s="139" t="str">
        <v>Outbound</v>
      </c>
      <c r="H14" s="139" t="str">
        <v>4S6018</v>
      </c>
      <c r="I14" s="140" t="str">
        <v>NAP-SSH</v>
      </c>
      <c r="J14" s="273">
        <v>45765</v>
      </c>
      <c r="K14" s="139">
        <v>1</v>
      </c>
      <c r="L14" s="139">
        <v>1</v>
      </c>
      <c r="M14" s="139">
        <v>280</v>
      </c>
      <c r="N14" s="139">
        <v>34.04</v>
      </c>
      <c r="O14" s="139">
        <v>30</v>
      </c>
      <c r="P14" s="139">
        <v>344.04</v>
      </c>
      <c r="Q14" s="139" t="str">
        <v>Confirmed</v>
      </c>
      <c r="R14" s="139" t="str">
        <v>Closed Deal</v>
      </c>
      <c r="S14" s="139" t="str">
        <v>NAP</v>
      </c>
      <c r="T14" s="139" t="str">
        <v>SSH</v>
      </c>
      <c r="U14" s="139" t="str">
        <v>NAP</v>
      </c>
      <c r="V14" s="139">
        <v>5</v>
      </c>
      <c r="W14" s="139">
        <v>75</v>
      </c>
      <c r="X14" s="139" t="str">
        <v>E25-08</v>
      </c>
      <c r="Y14" s="139">
        <v>186</v>
      </c>
      <c r="Z14" s="139">
        <v>88</v>
      </c>
      <c r="AA14" s="139">
        <v>98</v>
      </c>
      <c r="AB14" s="15" t="str">
        <v>E25</v>
      </c>
    </row>
    <row r="15" spans="1:28" x14ac:dyDescent="0.25">
      <c r="A15" s="140">
        <v>45690</v>
      </c>
      <c r="B15" s="139" t="str">
        <v>EuroAirlines</v>
      </c>
      <c r="C15" s="139" t="str">
        <v>Distributor</v>
      </c>
      <c r="D15" s="139" t="str">
        <v/>
      </c>
      <c r="E15" s="139" t="str">
        <v/>
      </c>
      <c r="F15" s="139" t="str">
        <v>OW</v>
      </c>
      <c r="G15" s="139" t="str">
        <v>Outbound</v>
      </c>
      <c r="H15" s="139" t="str">
        <v>4S6018</v>
      </c>
      <c r="I15" s="140" t="str">
        <v>NAP-SSH</v>
      </c>
      <c r="J15" s="273">
        <v>45765</v>
      </c>
      <c r="K15" s="139">
        <v>1</v>
      </c>
      <c r="L15" s="139">
        <v>1</v>
      </c>
      <c r="M15" s="139">
        <v>280</v>
      </c>
      <c r="N15" s="139">
        <v>34.04</v>
      </c>
      <c r="O15" s="139">
        <v>30</v>
      </c>
      <c r="P15" s="139">
        <v>344.04</v>
      </c>
      <c r="Q15" s="139" t="str">
        <v>Confirmed</v>
      </c>
      <c r="R15" s="139" t="str">
        <v>Closed Deal</v>
      </c>
      <c r="S15" s="139" t="str">
        <v>NAP</v>
      </c>
      <c r="T15" s="139" t="str">
        <v>SSH</v>
      </c>
      <c r="U15" s="139" t="str">
        <v>NAP</v>
      </c>
      <c r="V15" s="139">
        <v>5</v>
      </c>
      <c r="W15" s="139">
        <v>75</v>
      </c>
      <c r="X15" s="139" t="str">
        <v>E25-08</v>
      </c>
      <c r="Y15" s="139">
        <v>186</v>
      </c>
      <c r="Z15" s="139">
        <v>88</v>
      </c>
      <c r="AA15" s="139">
        <v>98</v>
      </c>
      <c r="AB15" s="15" t="str">
        <v>E25</v>
      </c>
    </row>
    <row r="16" spans="1:28" x14ac:dyDescent="0.25">
      <c r="A16" s="140">
        <v>45690</v>
      </c>
      <c r="B16" s="139" t="str">
        <v>EuroAirlines</v>
      </c>
      <c r="C16" s="139" t="str">
        <v>Distributor</v>
      </c>
      <c r="D16" s="139" t="str">
        <v/>
      </c>
      <c r="E16" s="139" t="str">
        <v/>
      </c>
      <c r="F16" s="139" t="str">
        <v>OW</v>
      </c>
      <c r="G16" s="139" t="str">
        <v>Outbound</v>
      </c>
      <c r="H16" s="139" t="str">
        <v>4S6018</v>
      </c>
      <c r="I16" s="140" t="str">
        <v>NAP-SSH</v>
      </c>
      <c r="J16" s="273">
        <v>45765</v>
      </c>
      <c r="K16" s="139">
        <v>1</v>
      </c>
      <c r="L16" s="139">
        <v>1</v>
      </c>
      <c r="M16" s="139">
        <v>280</v>
      </c>
      <c r="N16" s="139">
        <v>34.04</v>
      </c>
      <c r="O16" s="139">
        <v>30</v>
      </c>
      <c r="P16" s="139">
        <v>344.04</v>
      </c>
      <c r="Q16" s="139" t="str">
        <v>Confirmed</v>
      </c>
      <c r="R16" s="139" t="str">
        <v>Closed Deal</v>
      </c>
      <c r="S16" s="139" t="str">
        <v>NAP</v>
      </c>
      <c r="T16" s="139" t="str">
        <v>SSH</v>
      </c>
      <c r="U16" s="139" t="str">
        <v>NAP</v>
      </c>
      <c r="V16" s="139">
        <v>5</v>
      </c>
      <c r="W16" s="139">
        <v>75</v>
      </c>
      <c r="X16" s="139" t="str">
        <v>E25-08</v>
      </c>
      <c r="Y16" s="139">
        <v>186</v>
      </c>
      <c r="Z16" s="139">
        <v>88</v>
      </c>
      <c r="AA16" s="139">
        <v>98</v>
      </c>
      <c r="AB16" s="15" t="str">
        <v>E25</v>
      </c>
    </row>
    <row r="17" spans="1:28" x14ac:dyDescent="0.25">
      <c r="A17" s="140">
        <v>45690</v>
      </c>
      <c r="B17" s="139" t="str">
        <v>EuroAirlines</v>
      </c>
      <c r="C17" s="139" t="str">
        <v>Distributor</v>
      </c>
      <c r="D17" s="139" t="str">
        <v/>
      </c>
      <c r="E17" s="139" t="str">
        <v/>
      </c>
      <c r="F17" s="139" t="str">
        <v>OW</v>
      </c>
      <c r="G17" s="139" t="str">
        <v>Outbound</v>
      </c>
      <c r="H17" s="139" t="str">
        <v>4S6018</v>
      </c>
      <c r="I17" s="140" t="str">
        <v>NAP-SSH</v>
      </c>
      <c r="J17" s="273">
        <v>45765</v>
      </c>
      <c r="K17" s="139">
        <v>1</v>
      </c>
      <c r="L17" s="139">
        <v>1</v>
      </c>
      <c r="M17" s="139">
        <v>280</v>
      </c>
      <c r="N17" s="139">
        <v>34.04</v>
      </c>
      <c r="O17" s="139">
        <v>30</v>
      </c>
      <c r="P17" s="139">
        <v>344.04</v>
      </c>
      <c r="Q17" s="139" t="str">
        <v>Confirmed</v>
      </c>
      <c r="R17" s="139" t="str">
        <v>Closed Deal</v>
      </c>
      <c r="S17" s="139" t="str">
        <v>NAP</v>
      </c>
      <c r="T17" s="139" t="str">
        <v>SSH</v>
      </c>
      <c r="U17" s="139" t="str">
        <v>NAP</v>
      </c>
      <c r="V17" s="139">
        <v>5</v>
      </c>
      <c r="W17" s="139">
        <v>75</v>
      </c>
      <c r="X17" s="139" t="str">
        <v>E25-08</v>
      </c>
      <c r="Y17" s="139">
        <v>186</v>
      </c>
      <c r="Z17" s="139">
        <v>88</v>
      </c>
      <c r="AA17" s="139">
        <v>98</v>
      </c>
      <c r="AB17" s="15" t="str">
        <v>E25</v>
      </c>
    </row>
    <row r="18" spans="1:28" x14ac:dyDescent="0.25">
      <c r="A18" s="140">
        <v>45690</v>
      </c>
      <c r="B18" s="139" t="str">
        <v>EuroAirlines</v>
      </c>
      <c r="C18" s="139" t="str">
        <v>Distributor</v>
      </c>
      <c r="D18" s="139" t="str">
        <v/>
      </c>
      <c r="E18" s="139" t="str">
        <v/>
      </c>
      <c r="F18" s="139" t="str">
        <v>OW</v>
      </c>
      <c r="G18" s="139" t="str">
        <v>Outbound</v>
      </c>
      <c r="H18" s="139" t="str">
        <v>4S6018</v>
      </c>
      <c r="I18" s="140" t="str">
        <v>NAP-SSH</v>
      </c>
      <c r="J18" s="273">
        <v>45765</v>
      </c>
      <c r="K18" s="139">
        <v>1</v>
      </c>
      <c r="L18" s="139">
        <v>1</v>
      </c>
      <c r="M18" s="139">
        <v>280</v>
      </c>
      <c r="N18" s="139">
        <v>34.04</v>
      </c>
      <c r="O18" s="139">
        <v>30</v>
      </c>
      <c r="P18" s="139">
        <v>344.04</v>
      </c>
      <c r="Q18" s="139" t="str">
        <v>Confirmed</v>
      </c>
      <c r="R18" s="139" t="str">
        <v>Closed Deal</v>
      </c>
      <c r="S18" s="139" t="str">
        <v>NAP</v>
      </c>
      <c r="T18" s="139" t="str">
        <v>SSH</v>
      </c>
      <c r="U18" s="139" t="str">
        <v>NAP</v>
      </c>
      <c r="V18" s="139">
        <v>5</v>
      </c>
      <c r="W18" s="139">
        <v>75</v>
      </c>
      <c r="X18" s="139" t="str">
        <v>E25-08</v>
      </c>
      <c r="Y18" s="139">
        <v>186</v>
      </c>
      <c r="Z18" s="139">
        <v>88</v>
      </c>
      <c r="AA18" s="139">
        <v>98</v>
      </c>
      <c r="AB18" s="15" t="str">
        <v>E25</v>
      </c>
    </row>
    <row r="19" spans="1:28" x14ac:dyDescent="0.25">
      <c r="A19" s="140">
        <v>45690</v>
      </c>
      <c r="B19" s="139" t="str">
        <v>EuroAirlines</v>
      </c>
      <c r="C19" s="139" t="str">
        <v>Distributor</v>
      </c>
      <c r="D19" s="139" t="str">
        <v/>
      </c>
      <c r="E19" s="139" t="str">
        <v/>
      </c>
      <c r="F19" s="139" t="str">
        <v>OW</v>
      </c>
      <c r="G19" s="139" t="str">
        <v>Outbound</v>
      </c>
      <c r="H19" s="139" t="str">
        <v>4S6018</v>
      </c>
      <c r="I19" s="140" t="str">
        <v>NAP-SSH</v>
      </c>
      <c r="J19" s="273">
        <v>45765</v>
      </c>
      <c r="K19" s="139">
        <v>1</v>
      </c>
      <c r="L19" s="139">
        <v>1</v>
      </c>
      <c r="M19" s="139">
        <v>280</v>
      </c>
      <c r="N19" s="139">
        <v>34.04</v>
      </c>
      <c r="O19" s="139">
        <v>30</v>
      </c>
      <c r="P19" s="139">
        <v>344.04</v>
      </c>
      <c r="Q19" s="139" t="str">
        <v>Confirmed</v>
      </c>
      <c r="R19" s="139" t="str">
        <v>Closed Deal</v>
      </c>
      <c r="S19" s="139" t="str">
        <v>NAP</v>
      </c>
      <c r="T19" s="139" t="str">
        <v>SSH</v>
      </c>
      <c r="U19" s="139" t="str">
        <v>NAP</v>
      </c>
      <c r="V19" s="139">
        <v>5</v>
      </c>
      <c r="W19" s="139">
        <v>75</v>
      </c>
      <c r="X19" s="139" t="str">
        <v>E25-08</v>
      </c>
      <c r="Y19" s="139">
        <v>186</v>
      </c>
      <c r="Z19" s="139">
        <v>88</v>
      </c>
      <c r="AA19" s="139">
        <v>98</v>
      </c>
      <c r="AB19" s="15" t="str">
        <v>E25</v>
      </c>
    </row>
    <row r="20" spans="1:28" x14ac:dyDescent="0.25">
      <c r="A20" s="140">
        <v>45698</v>
      </c>
      <c r="B20" s="139" t="str">
        <v>Genius</v>
      </c>
      <c r="C20" s="139" t="str">
        <v>Distributor</v>
      </c>
      <c r="D20" s="139" t="str">
        <v/>
      </c>
      <c r="E20" s="139" t="str">
        <v/>
      </c>
      <c r="F20" s="139" t="str">
        <v>OW</v>
      </c>
      <c r="G20" s="139" t="str">
        <v>Outbound</v>
      </c>
      <c r="H20" s="139" t="str">
        <v>4S6032</v>
      </c>
      <c r="I20" s="140" t="str">
        <v>NAP-SSH</v>
      </c>
      <c r="J20" s="273">
        <v>45760</v>
      </c>
      <c r="K20" s="139">
        <v>4</v>
      </c>
      <c r="L20" s="139">
        <v>4</v>
      </c>
      <c r="M20" s="139">
        <v>150</v>
      </c>
      <c r="N20" s="139">
        <v>0</v>
      </c>
      <c r="O20" s="139">
        <v>0</v>
      </c>
      <c r="P20" s="139">
        <v>600</v>
      </c>
      <c r="Q20" s="139" t="str">
        <v>Confirmed</v>
      </c>
      <c r="R20" s="139" t="str">
        <v>Closed Deal</v>
      </c>
      <c r="S20" s="139" t="str">
        <v>NAP</v>
      </c>
      <c r="T20" s="139" t="str">
        <v>SSH</v>
      </c>
      <c r="U20" s="139" t="str">
        <v>NAP</v>
      </c>
      <c r="V20" s="139">
        <v>7</v>
      </c>
      <c r="W20" s="139">
        <v>62</v>
      </c>
      <c r="X20" s="139" t="str">
        <v>E25-03B</v>
      </c>
      <c r="Y20" s="139">
        <v>186</v>
      </c>
      <c r="Z20" s="139">
        <v>22</v>
      </c>
      <c r="AA20" s="139">
        <v>164</v>
      </c>
      <c r="AB20" s="15" t="str">
        <v>E25</v>
      </c>
    </row>
    <row r="21" spans="1:28" x14ac:dyDescent="0.25">
      <c r="A21" s="140">
        <v>45698</v>
      </c>
      <c r="B21" s="139" t="str">
        <v>EuroAirlines</v>
      </c>
      <c r="C21" s="139" t="str">
        <v>Distributor</v>
      </c>
      <c r="D21" s="139" t="str">
        <v/>
      </c>
      <c r="E21" s="139" t="str">
        <v/>
      </c>
      <c r="F21" s="139" t="str">
        <v>RT</v>
      </c>
      <c r="G21" s="139" t="str">
        <v>Outbound</v>
      </c>
      <c r="H21" s="139" t="str">
        <v>SM820</v>
      </c>
      <c r="I21" s="140" t="str">
        <v>NAP-SSH</v>
      </c>
      <c r="J21" s="273">
        <v>45753</v>
      </c>
      <c r="K21" s="139">
        <v>1</v>
      </c>
      <c r="L21" s="139">
        <v>1</v>
      </c>
      <c r="M21" s="139">
        <v>75</v>
      </c>
      <c r="N21" s="139">
        <v>34.04</v>
      </c>
      <c r="O21" s="139">
        <v>30</v>
      </c>
      <c r="P21" s="139">
        <v>139.04</v>
      </c>
      <c r="Q21" s="139" t="str">
        <v>Confirmed</v>
      </c>
      <c r="R21" s="139" t="str">
        <v>Closed Deal</v>
      </c>
      <c r="S21" s="139" t="str">
        <v>NAP</v>
      </c>
      <c r="T21" s="139" t="str">
        <v>SSH</v>
      </c>
      <c r="U21" s="139" t="str">
        <v>NAP</v>
      </c>
      <c r="V21" s="139">
        <v>7</v>
      </c>
      <c r="W21" s="139">
        <v>55</v>
      </c>
      <c r="X21" s="139" t="str">
        <v>E25-03A</v>
      </c>
      <c r="Y21" s="139">
        <v>85</v>
      </c>
      <c r="Z21" s="139">
        <v>8</v>
      </c>
      <c r="AA21" s="139">
        <v>77</v>
      </c>
      <c r="AB21" s="15" t="str">
        <v>E25</v>
      </c>
    </row>
    <row r="22" spans="1:28" x14ac:dyDescent="0.25">
      <c r="A22" s="140">
        <v>45698</v>
      </c>
      <c r="B22" s="139" t="str">
        <v>EuroAirlines</v>
      </c>
      <c r="C22" s="139" t="str">
        <v>Distributor</v>
      </c>
      <c r="D22" s="139" t="str">
        <v/>
      </c>
      <c r="E22" s="139" t="str">
        <v/>
      </c>
      <c r="F22" s="139" t="str">
        <v>RT</v>
      </c>
      <c r="G22" s="139" t="str">
        <v>Inbound</v>
      </c>
      <c r="H22" s="139" t="str">
        <v>SM819</v>
      </c>
      <c r="I22" s="140" t="str">
        <v>SSH-NAP</v>
      </c>
      <c r="J22" s="273">
        <v>45760</v>
      </c>
      <c r="K22" s="139">
        <v>1</v>
      </c>
      <c r="L22" s="139">
        <v>1</v>
      </c>
      <c r="M22" s="139">
        <v>75</v>
      </c>
      <c r="N22" s="139">
        <v>38.92</v>
      </c>
      <c r="O22" s="139">
        <v>30</v>
      </c>
      <c r="P22" s="139">
        <v>143.91999999999999</v>
      </c>
      <c r="Q22" s="139" t="str">
        <v>Confirmed</v>
      </c>
      <c r="R22" s="139" t="str">
        <v>Closed Deal</v>
      </c>
      <c r="S22" s="139" t="str">
        <v>SSH</v>
      </c>
      <c r="T22" s="139" t="str">
        <v>NAP</v>
      </c>
      <c r="U22" s="139" t="str">
        <v>NAP</v>
      </c>
      <c r="V22" s="139">
        <v>7</v>
      </c>
      <c r="W22" s="139">
        <v>62</v>
      </c>
      <c r="X22" s="139" t="str">
        <v>E25-03A</v>
      </c>
      <c r="Y22" s="139">
        <v>85</v>
      </c>
      <c r="Z22" s="139">
        <v>7</v>
      </c>
      <c r="AA22" s="139">
        <v>78</v>
      </c>
      <c r="AB22" s="15" t="str">
        <v>E25</v>
      </c>
    </row>
    <row r="23" spans="1:28" x14ac:dyDescent="0.25">
      <c r="A23" s="140">
        <v>45698</v>
      </c>
      <c r="B23" s="139" t="str">
        <v>EuroAirlines</v>
      </c>
      <c r="C23" s="139" t="str">
        <v>Distributor</v>
      </c>
      <c r="D23" s="139" t="str">
        <v/>
      </c>
      <c r="E23" s="139" t="str">
        <v/>
      </c>
      <c r="F23" s="139" t="str">
        <v>RT</v>
      </c>
      <c r="G23" s="139" t="str">
        <v>Outbound</v>
      </c>
      <c r="H23" s="139" t="str">
        <v>SM820</v>
      </c>
      <c r="I23" s="140" t="str">
        <v>NAP-SSH</v>
      </c>
      <c r="J23" s="273">
        <v>45753</v>
      </c>
      <c r="K23" s="139">
        <v>1</v>
      </c>
      <c r="L23" s="139">
        <v>1</v>
      </c>
      <c r="M23" s="139">
        <v>100</v>
      </c>
      <c r="N23" s="139">
        <v>34.04</v>
      </c>
      <c r="O23" s="139">
        <v>30</v>
      </c>
      <c r="P23" s="139">
        <v>164.04</v>
      </c>
      <c r="Q23" s="139" t="str">
        <v>Confirmed</v>
      </c>
      <c r="R23" s="139" t="str">
        <v>Closed Deal</v>
      </c>
      <c r="S23" s="139" t="str">
        <v>NAP</v>
      </c>
      <c r="T23" s="139" t="str">
        <v>SSH</v>
      </c>
      <c r="U23" s="139" t="str">
        <v>NAP</v>
      </c>
      <c r="V23" s="139">
        <v>7</v>
      </c>
      <c r="W23" s="139">
        <v>55</v>
      </c>
      <c r="X23" s="139" t="str">
        <v>E25-03A</v>
      </c>
      <c r="Y23" s="139">
        <v>85</v>
      </c>
      <c r="Z23" s="139">
        <v>8</v>
      </c>
      <c r="AA23" s="139">
        <v>77</v>
      </c>
      <c r="AB23" s="15" t="str">
        <v>E25</v>
      </c>
    </row>
    <row r="24" spans="1:28" x14ac:dyDescent="0.25">
      <c r="A24" s="140">
        <v>45698</v>
      </c>
      <c r="B24" s="139" t="str">
        <v>EuroAirlines</v>
      </c>
      <c r="C24" s="139" t="str">
        <v>Distributor</v>
      </c>
      <c r="D24" s="139" t="str">
        <v/>
      </c>
      <c r="E24" s="139" t="str">
        <v/>
      </c>
      <c r="F24" s="139" t="str">
        <v>RT</v>
      </c>
      <c r="G24" s="139" t="str">
        <v>Inbound</v>
      </c>
      <c r="H24" s="139" t="str">
        <v>SM819</v>
      </c>
      <c r="I24" s="140" t="str">
        <v>SSH-NAP</v>
      </c>
      <c r="J24" s="273">
        <v>45760</v>
      </c>
      <c r="K24" s="139">
        <v>1</v>
      </c>
      <c r="L24" s="139">
        <v>1</v>
      </c>
      <c r="M24" s="139">
        <v>100</v>
      </c>
      <c r="N24" s="139">
        <v>38.92</v>
      </c>
      <c r="O24" s="139">
        <v>30</v>
      </c>
      <c r="P24" s="139">
        <v>168.92</v>
      </c>
      <c r="Q24" s="139" t="str">
        <v>Confirmed</v>
      </c>
      <c r="R24" s="139" t="str">
        <v>Closed Deal</v>
      </c>
      <c r="S24" s="139" t="str">
        <v>SSH</v>
      </c>
      <c r="T24" s="139" t="str">
        <v>NAP</v>
      </c>
      <c r="U24" s="139" t="str">
        <v>NAP</v>
      </c>
      <c r="V24" s="139">
        <v>7</v>
      </c>
      <c r="W24" s="139">
        <v>62</v>
      </c>
      <c r="X24" s="139" t="str">
        <v>E25-03A</v>
      </c>
      <c r="Y24" s="139">
        <v>85</v>
      </c>
      <c r="Z24" s="139">
        <v>7</v>
      </c>
      <c r="AA24" s="139">
        <v>78</v>
      </c>
      <c r="AB24" s="15" t="str">
        <v>E25</v>
      </c>
    </row>
    <row r="25" spans="1:28" x14ac:dyDescent="0.25">
      <c r="A25" s="140">
        <v>45698</v>
      </c>
      <c r="B25" s="139" t="str">
        <v>EuroAirlines</v>
      </c>
      <c r="C25" s="139" t="str">
        <v>Distributor</v>
      </c>
      <c r="D25" s="139" t="str">
        <v/>
      </c>
      <c r="E25" s="139" t="str">
        <v/>
      </c>
      <c r="F25" s="139" t="str">
        <v>RT</v>
      </c>
      <c r="G25" s="139" t="str">
        <v>Outbound</v>
      </c>
      <c r="H25" s="139" t="str">
        <v>SM820</v>
      </c>
      <c r="I25" s="140" t="str">
        <v>NAP-SSH</v>
      </c>
      <c r="J25" s="273">
        <v>45753</v>
      </c>
      <c r="K25" s="139">
        <v>1</v>
      </c>
      <c r="L25" s="139">
        <v>1</v>
      </c>
      <c r="M25" s="139">
        <v>100</v>
      </c>
      <c r="N25" s="139">
        <v>34.04</v>
      </c>
      <c r="O25" s="139">
        <v>30</v>
      </c>
      <c r="P25" s="139">
        <v>164.04</v>
      </c>
      <c r="Q25" s="139" t="str">
        <v>Confirmed</v>
      </c>
      <c r="R25" s="139" t="str">
        <v>Closed Deal</v>
      </c>
      <c r="S25" s="139" t="str">
        <v>NAP</v>
      </c>
      <c r="T25" s="139" t="str">
        <v>SSH</v>
      </c>
      <c r="U25" s="139" t="str">
        <v>NAP</v>
      </c>
      <c r="V25" s="139">
        <v>7</v>
      </c>
      <c r="W25" s="139">
        <v>55</v>
      </c>
      <c r="X25" s="139" t="str">
        <v>E25-03A</v>
      </c>
      <c r="Y25" s="139">
        <v>85</v>
      </c>
      <c r="Z25" s="139">
        <v>8</v>
      </c>
      <c r="AA25" s="139">
        <v>77</v>
      </c>
      <c r="AB25" s="15" t="str">
        <v>E25</v>
      </c>
    </row>
    <row r="26" spans="1:28" x14ac:dyDescent="0.25">
      <c r="A26" s="140">
        <v>45698</v>
      </c>
      <c r="B26" s="139" t="str">
        <v>EuroAirlines</v>
      </c>
      <c r="C26" s="139" t="str">
        <v>Distributor</v>
      </c>
      <c r="D26" s="139" t="str">
        <v/>
      </c>
      <c r="E26" s="139" t="str">
        <v/>
      </c>
      <c r="F26" s="139" t="str">
        <v>RT</v>
      </c>
      <c r="G26" s="139" t="str">
        <v>Inbound</v>
      </c>
      <c r="H26" s="139" t="str">
        <v>SM819</v>
      </c>
      <c r="I26" s="140" t="str">
        <v>SSH-NAP</v>
      </c>
      <c r="J26" s="273">
        <v>45760</v>
      </c>
      <c r="K26" s="139">
        <v>1</v>
      </c>
      <c r="L26" s="139">
        <v>1</v>
      </c>
      <c r="M26" s="139">
        <v>100</v>
      </c>
      <c r="N26" s="139">
        <v>38.92</v>
      </c>
      <c r="O26" s="139">
        <v>30</v>
      </c>
      <c r="P26" s="139">
        <v>168.92</v>
      </c>
      <c r="Q26" s="139" t="str">
        <v>Confirmed</v>
      </c>
      <c r="R26" s="139" t="str">
        <v>Closed Deal</v>
      </c>
      <c r="S26" s="139" t="str">
        <v>SSH</v>
      </c>
      <c r="T26" s="139" t="str">
        <v>NAP</v>
      </c>
      <c r="U26" s="139" t="str">
        <v>NAP</v>
      </c>
      <c r="V26" s="139">
        <v>7</v>
      </c>
      <c r="W26" s="139">
        <v>62</v>
      </c>
      <c r="X26" s="139" t="str">
        <v>E25-03A</v>
      </c>
      <c r="Y26" s="139">
        <v>85</v>
      </c>
      <c r="Z26" s="139">
        <v>7</v>
      </c>
      <c r="AA26" s="139">
        <v>78</v>
      </c>
      <c r="AB26" s="15" t="str">
        <v>E25</v>
      </c>
    </row>
    <row r="27" spans="1:28" x14ac:dyDescent="0.25">
      <c r="A27" s="140">
        <v>45700</v>
      </c>
      <c r="B27" s="139" t="str">
        <v>EuroAirlines</v>
      </c>
      <c r="C27" s="139" t="str">
        <v>Distributor</v>
      </c>
      <c r="D27" s="139" t="str">
        <v>Email</v>
      </c>
      <c r="E27" s="139" t="str">
        <v/>
      </c>
      <c r="F27" s="139" t="str">
        <v>OW</v>
      </c>
      <c r="G27" s="139" t="str">
        <v>Outbound</v>
      </c>
      <c r="H27" s="139" t="str">
        <v>SM820</v>
      </c>
      <c r="I27" s="140" t="str">
        <v>NAP-SSH</v>
      </c>
      <c r="J27" s="273">
        <v>45753</v>
      </c>
      <c r="K27" s="139">
        <v>1</v>
      </c>
      <c r="L27" s="139">
        <v>1</v>
      </c>
      <c r="M27" s="139">
        <v>100</v>
      </c>
      <c r="N27" s="139">
        <v>34.04</v>
      </c>
      <c r="O27" s="139">
        <v>30</v>
      </c>
      <c r="P27" s="139">
        <v>164.04</v>
      </c>
      <c r="Q27" s="139" t="str">
        <v>Confirmed</v>
      </c>
      <c r="R27" s="139" t="str">
        <v>Closed Deal</v>
      </c>
      <c r="S27" s="139" t="str">
        <v>NAP</v>
      </c>
      <c r="T27" s="139" t="str">
        <v>SSH</v>
      </c>
      <c r="U27" s="139" t="str">
        <v>NAP</v>
      </c>
      <c r="V27" s="139">
        <v>7</v>
      </c>
      <c r="W27" s="139">
        <v>53</v>
      </c>
      <c r="X27" s="139" t="str">
        <v>E25-03A</v>
      </c>
      <c r="Y27" s="139">
        <v>85</v>
      </c>
      <c r="Z27" s="139">
        <v>8</v>
      </c>
      <c r="AA27" s="139">
        <v>77</v>
      </c>
      <c r="AB27" s="15" t="str">
        <v>E25</v>
      </c>
    </row>
    <row r="28" spans="1:28" x14ac:dyDescent="0.25">
      <c r="A28" s="140">
        <v>45706</v>
      </c>
      <c r="B28" s="139" t="str">
        <v>Genius</v>
      </c>
      <c r="C28" s="139" t="str">
        <v>Distributor</v>
      </c>
      <c r="D28" s="139" t="str">
        <v/>
      </c>
      <c r="E28" s="139" t="str">
        <v/>
      </c>
      <c r="F28" s="139" t="str">
        <v>OW</v>
      </c>
      <c r="G28" s="139" t="str">
        <v>Outbound</v>
      </c>
      <c r="H28" s="139" t="str">
        <v>4S6032</v>
      </c>
      <c r="I28" s="140" t="str">
        <v>NAP-SSH</v>
      </c>
      <c r="J28" s="273">
        <v>45760</v>
      </c>
      <c r="K28" s="139">
        <v>1</v>
      </c>
      <c r="L28" s="139">
        <v>1</v>
      </c>
      <c r="M28" s="139">
        <v>150</v>
      </c>
      <c r="N28" s="139">
        <v>0</v>
      </c>
      <c r="O28" s="139">
        <v>0</v>
      </c>
      <c r="P28" s="139">
        <v>150</v>
      </c>
      <c r="Q28" s="139" t="str">
        <v>Confirmed</v>
      </c>
      <c r="R28" s="139" t="str">
        <v>Closed Deal</v>
      </c>
      <c r="S28" s="139" t="str">
        <v>NAP</v>
      </c>
      <c r="T28" s="139" t="str">
        <v>SSH</v>
      </c>
      <c r="U28" s="139" t="str">
        <v>NAP</v>
      </c>
      <c r="V28" s="139">
        <v>7</v>
      </c>
      <c r="W28" s="139">
        <v>54</v>
      </c>
      <c r="X28" s="139" t="str">
        <v>E25-03B</v>
      </c>
      <c r="Y28" s="139">
        <v>186</v>
      </c>
      <c r="Z28" s="139">
        <v>22</v>
      </c>
      <c r="AA28" s="139">
        <v>164</v>
      </c>
      <c r="AB28" s="15" t="str">
        <v>E25</v>
      </c>
    </row>
    <row r="29" spans="1:28" x14ac:dyDescent="0.25">
      <c r="A29" s="140">
        <v>45699</v>
      </c>
      <c r="B29" s="139" t="str">
        <v>EuroAirlines</v>
      </c>
      <c r="C29" s="139" t="str">
        <v>Distributor</v>
      </c>
      <c r="D29" s="139" t="str">
        <v>Email</v>
      </c>
      <c r="E29" s="139" t="str">
        <v/>
      </c>
      <c r="F29" s="139" t="str">
        <v>RT</v>
      </c>
      <c r="G29" s="139" t="str">
        <v>Outbound</v>
      </c>
      <c r="H29" s="139" t="str">
        <v>SM820</v>
      </c>
      <c r="I29" s="140" t="str">
        <v>NAP-SSH</v>
      </c>
      <c r="J29" s="273">
        <v>45753</v>
      </c>
      <c r="K29" s="139">
        <v>1</v>
      </c>
      <c r="L29" s="139">
        <v>1</v>
      </c>
      <c r="M29" s="139">
        <v>100</v>
      </c>
      <c r="N29" s="139">
        <v>34.04</v>
      </c>
      <c r="O29" s="139">
        <v>30</v>
      </c>
      <c r="P29" s="139">
        <v>164.04</v>
      </c>
      <c r="Q29" s="139" t="str">
        <v>Confirmed</v>
      </c>
      <c r="R29" s="139" t="str">
        <v>Closed Deal</v>
      </c>
      <c r="S29" s="139" t="str">
        <v>NAP</v>
      </c>
      <c r="T29" s="139" t="str">
        <v>SSH</v>
      </c>
      <c r="U29" s="139" t="str">
        <v>NAP</v>
      </c>
      <c r="V29" s="139">
        <v>7</v>
      </c>
      <c r="W29" s="139">
        <v>54</v>
      </c>
      <c r="X29" s="139" t="str">
        <v>E25-03A</v>
      </c>
      <c r="Y29" s="139">
        <v>85</v>
      </c>
      <c r="Z29" s="139">
        <v>8</v>
      </c>
      <c r="AA29" s="139">
        <v>77</v>
      </c>
      <c r="AB29" s="15" t="str">
        <v>E25</v>
      </c>
    </row>
    <row r="30" spans="1:28" x14ac:dyDescent="0.25">
      <c r="A30" s="140">
        <v>45699</v>
      </c>
      <c r="B30" s="139" t="str">
        <v>EuroAirlines</v>
      </c>
      <c r="C30" s="139" t="str">
        <v>Distributor</v>
      </c>
      <c r="D30" s="139" t="str">
        <v>Email</v>
      </c>
      <c r="E30" s="139" t="str">
        <v/>
      </c>
      <c r="F30" s="139" t="str">
        <v>RT</v>
      </c>
      <c r="G30" s="139" t="str">
        <v>Inbound</v>
      </c>
      <c r="H30" s="139" t="str">
        <v>SM819</v>
      </c>
      <c r="I30" s="140" t="str">
        <v>SSH-NAP</v>
      </c>
      <c r="J30" s="273">
        <v>45760</v>
      </c>
      <c r="K30" s="139">
        <v>1</v>
      </c>
      <c r="L30" s="139">
        <v>1</v>
      </c>
      <c r="M30" s="139">
        <v>100</v>
      </c>
      <c r="N30" s="139">
        <v>38.92</v>
      </c>
      <c r="O30" s="139">
        <v>30</v>
      </c>
      <c r="P30" s="139">
        <v>168.92</v>
      </c>
      <c r="Q30" s="139" t="str">
        <v>Confirmed</v>
      </c>
      <c r="R30" s="139" t="str">
        <v>Closed Deal</v>
      </c>
      <c r="S30" s="139" t="str">
        <v>SSH</v>
      </c>
      <c r="T30" s="139" t="str">
        <v>NAP</v>
      </c>
      <c r="U30" s="139" t="str">
        <v>NAP</v>
      </c>
      <c r="V30" s="139">
        <v>7</v>
      </c>
      <c r="W30" s="139">
        <v>61</v>
      </c>
      <c r="X30" s="139" t="str">
        <v>E25-03A</v>
      </c>
      <c r="Y30" s="139">
        <v>85</v>
      </c>
      <c r="Z30" s="139">
        <v>7</v>
      </c>
      <c r="AA30" s="139">
        <v>78</v>
      </c>
      <c r="AB30" s="15" t="str">
        <v>E25</v>
      </c>
    </row>
    <row r="31" spans="1:28" x14ac:dyDescent="0.25">
      <c r="A31" s="140">
        <v>45699</v>
      </c>
      <c r="B31" s="139" t="str">
        <v>EuroAirlines</v>
      </c>
      <c r="C31" s="139" t="str">
        <v>Distributor</v>
      </c>
      <c r="D31" s="139" t="str">
        <v>Email</v>
      </c>
      <c r="E31" s="139" t="str">
        <v/>
      </c>
      <c r="F31" s="139" t="str">
        <v>RT</v>
      </c>
      <c r="G31" s="139" t="str">
        <v>Outbound</v>
      </c>
      <c r="H31" s="139" t="str">
        <v>SM820</v>
      </c>
      <c r="I31" s="140" t="str">
        <v>NAP-SSH</v>
      </c>
      <c r="J31" s="273">
        <v>45753</v>
      </c>
      <c r="K31" s="139">
        <v>1</v>
      </c>
      <c r="L31" s="139">
        <v>1</v>
      </c>
      <c r="M31" s="139">
        <v>100</v>
      </c>
      <c r="N31" s="139">
        <v>34.04</v>
      </c>
      <c r="O31" s="139">
        <v>30</v>
      </c>
      <c r="P31" s="139">
        <v>164.04</v>
      </c>
      <c r="Q31" s="139" t="str">
        <v>Confirmed</v>
      </c>
      <c r="R31" s="139" t="str">
        <v>Closed Deal</v>
      </c>
      <c r="S31" s="139" t="str">
        <v>NAP</v>
      </c>
      <c r="T31" s="139" t="str">
        <v>SSH</v>
      </c>
      <c r="U31" s="139" t="str">
        <v>NAP</v>
      </c>
      <c r="V31" s="139">
        <v>7</v>
      </c>
      <c r="W31" s="139">
        <v>54</v>
      </c>
      <c r="X31" s="139" t="str">
        <v>E25-03A</v>
      </c>
      <c r="Y31" s="139">
        <v>85</v>
      </c>
      <c r="Z31" s="139">
        <v>8</v>
      </c>
      <c r="AA31" s="139">
        <v>77</v>
      </c>
      <c r="AB31" s="15" t="str">
        <v>E25</v>
      </c>
    </row>
    <row r="32" spans="1:28" x14ac:dyDescent="0.25">
      <c r="A32" s="140">
        <v>45699</v>
      </c>
      <c r="B32" s="139" t="str">
        <v>EuroAirlines</v>
      </c>
      <c r="C32" s="139" t="str">
        <v>Distributor</v>
      </c>
      <c r="D32" s="139" t="str">
        <v>Email</v>
      </c>
      <c r="E32" s="139" t="str">
        <v/>
      </c>
      <c r="F32" s="139" t="str">
        <v>RT</v>
      </c>
      <c r="G32" s="139" t="str">
        <v>Inbound</v>
      </c>
      <c r="H32" s="139" t="str">
        <v>SM819</v>
      </c>
      <c r="I32" s="140" t="str">
        <v>SSH-NAP</v>
      </c>
      <c r="J32" s="273">
        <v>45760</v>
      </c>
      <c r="K32" s="139">
        <v>1</v>
      </c>
      <c r="L32" s="139">
        <v>1</v>
      </c>
      <c r="M32" s="139">
        <v>100</v>
      </c>
      <c r="N32" s="139">
        <v>38.92</v>
      </c>
      <c r="O32" s="139">
        <v>30</v>
      </c>
      <c r="P32" s="139">
        <v>168.92</v>
      </c>
      <c r="Q32" s="139" t="str">
        <v>Confirmed</v>
      </c>
      <c r="R32" s="139" t="str">
        <v>Closed Deal</v>
      </c>
      <c r="S32" s="139" t="str">
        <v>SSH</v>
      </c>
      <c r="T32" s="139" t="str">
        <v>NAP</v>
      </c>
      <c r="U32" s="139" t="str">
        <v>NAP</v>
      </c>
      <c r="V32" s="139">
        <v>7</v>
      </c>
      <c r="W32" s="139">
        <v>61</v>
      </c>
      <c r="X32" s="139" t="str">
        <v>E25-03A</v>
      </c>
      <c r="Y32" s="139">
        <v>85</v>
      </c>
      <c r="Z32" s="139">
        <v>7</v>
      </c>
      <c r="AA32" s="139">
        <v>78</v>
      </c>
      <c r="AB32" s="15" t="str">
        <v>E25</v>
      </c>
    </row>
    <row r="33" spans="1:28" x14ac:dyDescent="0.25">
      <c r="A33" s="140">
        <v>45699</v>
      </c>
      <c r="B33" s="139" t="str">
        <v>EuroAirlines</v>
      </c>
      <c r="C33" s="139" t="str">
        <v>Distributor</v>
      </c>
      <c r="D33" s="139" t="str">
        <v>Email</v>
      </c>
      <c r="E33" s="139" t="str">
        <v/>
      </c>
      <c r="F33" s="139" t="str">
        <v>RT</v>
      </c>
      <c r="G33" s="139" t="str">
        <v>Outbound</v>
      </c>
      <c r="H33" s="139" t="str">
        <v>SM820</v>
      </c>
      <c r="I33" s="140" t="str">
        <v>NAP-SSH</v>
      </c>
      <c r="J33" s="273">
        <v>45753</v>
      </c>
      <c r="K33" s="139">
        <v>1</v>
      </c>
      <c r="L33" s="139">
        <v>1</v>
      </c>
      <c r="M33" s="139">
        <v>100</v>
      </c>
      <c r="N33" s="139">
        <v>34.04</v>
      </c>
      <c r="O33" s="139">
        <v>30</v>
      </c>
      <c r="P33" s="139">
        <v>164.04</v>
      </c>
      <c r="Q33" s="139" t="str">
        <v>Confirmed</v>
      </c>
      <c r="R33" s="139" t="str">
        <v>Closed Deal</v>
      </c>
      <c r="S33" s="139" t="str">
        <v>NAP</v>
      </c>
      <c r="T33" s="139" t="str">
        <v>SSH</v>
      </c>
      <c r="U33" s="139" t="str">
        <v>NAP</v>
      </c>
      <c r="V33" s="139">
        <v>7</v>
      </c>
      <c r="W33" s="139">
        <v>54</v>
      </c>
      <c r="X33" s="139" t="str">
        <v>E25-03A</v>
      </c>
      <c r="Y33" s="139">
        <v>85</v>
      </c>
      <c r="Z33" s="139">
        <v>8</v>
      </c>
      <c r="AA33" s="139">
        <v>77</v>
      </c>
      <c r="AB33" s="15" t="str">
        <v>E25</v>
      </c>
    </row>
    <row r="34" spans="1:28" x14ac:dyDescent="0.25">
      <c r="A34" s="140">
        <v>45699</v>
      </c>
      <c r="B34" s="139" t="str">
        <v>EuroAirlines</v>
      </c>
      <c r="C34" s="139" t="str">
        <v>Distributor</v>
      </c>
      <c r="D34" s="139" t="str">
        <v>Email</v>
      </c>
      <c r="E34" s="139" t="str">
        <v/>
      </c>
      <c r="F34" s="139" t="str">
        <v>RT</v>
      </c>
      <c r="G34" s="139" t="str">
        <v>Inbound</v>
      </c>
      <c r="H34" s="139" t="str">
        <v>SM819</v>
      </c>
      <c r="I34" s="140" t="str">
        <v>SSH-NAP</v>
      </c>
      <c r="J34" s="273">
        <v>45760</v>
      </c>
      <c r="K34" s="139">
        <v>1</v>
      </c>
      <c r="L34" s="139">
        <v>1</v>
      </c>
      <c r="M34" s="139">
        <v>100</v>
      </c>
      <c r="N34" s="139">
        <v>38.92</v>
      </c>
      <c r="O34" s="139">
        <v>30</v>
      </c>
      <c r="P34" s="139">
        <v>168.92</v>
      </c>
      <c r="Q34" s="139" t="str">
        <v>Confirmed</v>
      </c>
      <c r="R34" s="139" t="str">
        <v>Closed Deal</v>
      </c>
      <c r="S34" s="139" t="str">
        <v>SSH</v>
      </c>
      <c r="T34" s="139" t="str">
        <v>NAP</v>
      </c>
      <c r="U34" s="139" t="str">
        <v>NAP</v>
      </c>
      <c r="V34" s="139">
        <v>7</v>
      </c>
      <c r="W34" s="139">
        <v>61</v>
      </c>
      <c r="X34" s="139" t="str">
        <v>E25-03A</v>
      </c>
      <c r="Y34" s="139">
        <v>85</v>
      </c>
      <c r="Z34" s="139">
        <v>7</v>
      </c>
      <c r="AA34" s="139">
        <v>78</v>
      </c>
      <c r="AB34" s="15" t="str">
        <v>E25</v>
      </c>
    </row>
    <row r="35" spans="1:28" x14ac:dyDescent="0.25">
      <c r="A35" s="140">
        <v>45699</v>
      </c>
      <c r="B35" s="139" t="str">
        <v>EuroAirlines</v>
      </c>
      <c r="C35" s="139" t="str">
        <v>Distributor</v>
      </c>
      <c r="D35" s="139" t="str">
        <v>Email</v>
      </c>
      <c r="E35" s="139" t="str">
        <v/>
      </c>
      <c r="F35" s="139" t="str">
        <v>RT</v>
      </c>
      <c r="G35" s="139" t="str">
        <v>Outbound</v>
      </c>
      <c r="H35" s="139" t="str">
        <v>SM820</v>
      </c>
      <c r="I35" s="140" t="str">
        <v>NAP-SSH</v>
      </c>
      <c r="J35" s="273">
        <v>45753</v>
      </c>
      <c r="K35" s="139">
        <v>1</v>
      </c>
      <c r="L35" s="139">
        <v>1</v>
      </c>
      <c r="M35" s="139">
        <v>100</v>
      </c>
      <c r="N35" s="139">
        <v>34.04</v>
      </c>
      <c r="O35" s="139">
        <v>30</v>
      </c>
      <c r="P35" s="139">
        <v>164.04</v>
      </c>
      <c r="Q35" s="139" t="str">
        <v>Confirmed</v>
      </c>
      <c r="R35" s="139" t="str">
        <v>Closed Deal</v>
      </c>
      <c r="S35" s="139" t="str">
        <v>NAP</v>
      </c>
      <c r="T35" s="139" t="str">
        <v>SSH</v>
      </c>
      <c r="U35" s="139" t="str">
        <v>NAP</v>
      </c>
      <c r="V35" s="139">
        <v>7</v>
      </c>
      <c r="W35" s="139">
        <v>54</v>
      </c>
      <c r="X35" s="139" t="str">
        <v>E25-03A</v>
      </c>
      <c r="Y35" s="139">
        <v>85</v>
      </c>
      <c r="Z35" s="139">
        <v>8</v>
      </c>
      <c r="AA35" s="139">
        <v>77</v>
      </c>
      <c r="AB35" s="15" t="str">
        <v>E25</v>
      </c>
    </row>
    <row r="36" spans="1:28" x14ac:dyDescent="0.25">
      <c r="A36" s="140">
        <v>45699</v>
      </c>
      <c r="B36" s="139" t="str">
        <v>EuroAirlines</v>
      </c>
      <c r="C36" s="139" t="str">
        <v>Distributor</v>
      </c>
      <c r="D36" s="139" t="str">
        <v>Email</v>
      </c>
      <c r="E36" s="139" t="str">
        <v/>
      </c>
      <c r="F36" s="139" t="str">
        <v>RT</v>
      </c>
      <c r="G36" s="139" t="str">
        <v>Inbound</v>
      </c>
      <c r="H36" s="139" t="str">
        <v>SM819</v>
      </c>
      <c r="I36" s="140" t="str">
        <v>SSH-NAP</v>
      </c>
      <c r="J36" s="273">
        <v>45760</v>
      </c>
      <c r="K36" s="139">
        <v>1</v>
      </c>
      <c r="L36" s="139">
        <v>1</v>
      </c>
      <c r="M36" s="139">
        <v>100</v>
      </c>
      <c r="N36" s="139">
        <v>38.92</v>
      </c>
      <c r="O36" s="139">
        <v>30</v>
      </c>
      <c r="P36" s="139">
        <v>168.92</v>
      </c>
      <c r="Q36" s="139" t="str">
        <v>Confirmed</v>
      </c>
      <c r="R36" s="139" t="str">
        <v>Closed Deal</v>
      </c>
      <c r="S36" s="139" t="str">
        <v>SSH</v>
      </c>
      <c r="T36" s="139" t="str">
        <v>NAP</v>
      </c>
      <c r="U36" s="139" t="str">
        <v>NAP</v>
      </c>
      <c r="V36" s="139">
        <v>7</v>
      </c>
      <c r="W36" s="139">
        <v>61</v>
      </c>
      <c r="X36" s="139" t="str">
        <v>E25-03A</v>
      </c>
      <c r="Y36" s="139">
        <v>85</v>
      </c>
      <c r="Z36" s="139">
        <v>7</v>
      </c>
      <c r="AA36" s="139">
        <v>78</v>
      </c>
      <c r="AB36" s="15" t="str">
        <v>E25</v>
      </c>
    </row>
    <row r="37" spans="1:28" x14ac:dyDescent="0.25">
      <c r="A37" s="140">
        <v>45707</v>
      </c>
      <c r="B37" s="139" t="str">
        <v>Genius</v>
      </c>
      <c r="C37" s="139" t="str">
        <v>Distributor</v>
      </c>
      <c r="D37" s="139" t="str">
        <v/>
      </c>
      <c r="E37" s="139" t="str">
        <v/>
      </c>
      <c r="F37" s="139" t="str">
        <v>OW</v>
      </c>
      <c r="G37" s="139" t="str">
        <v>Outbound</v>
      </c>
      <c r="H37" s="139" t="str">
        <v>4S6032</v>
      </c>
      <c r="I37" s="140" t="str">
        <v>NAP-SSH</v>
      </c>
      <c r="J37" s="273">
        <v>45760</v>
      </c>
      <c r="K37" s="139">
        <v>3</v>
      </c>
      <c r="L37" s="139">
        <v>3</v>
      </c>
      <c r="M37" s="139">
        <v>150</v>
      </c>
      <c r="N37" s="139">
        <v>0</v>
      </c>
      <c r="O37" s="139">
        <v>0</v>
      </c>
      <c r="P37" s="139">
        <v>450</v>
      </c>
      <c r="Q37" s="139" t="str">
        <v>Confirmed</v>
      </c>
      <c r="R37" s="139" t="str">
        <v>Closed Deal</v>
      </c>
      <c r="S37" s="139" t="str">
        <v>NAP</v>
      </c>
      <c r="T37" s="139" t="str">
        <v>SSH</v>
      </c>
      <c r="U37" s="139" t="str">
        <v>NAP</v>
      </c>
      <c r="V37" s="139">
        <v>7</v>
      </c>
      <c r="W37" s="139">
        <v>53</v>
      </c>
      <c r="X37" s="139" t="str">
        <v>E25-03B</v>
      </c>
      <c r="Y37" s="139">
        <v>186</v>
      </c>
      <c r="Z37" s="139">
        <v>22</v>
      </c>
      <c r="AA37" s="139">
        <v>164</v>
      </c>
      <c r="AB37" s="15" t="str">
        <v>E25</v>
      </c>
    </row>
    <row r="38" spans="1:28" x14ac:dyDescent="0.25">
      <c r="A38" s="140">
        <v>45703</v>
      </c>
      <c r="B38" s="139" t="str">
        <v>APG</v>
      </c>
      <c r="C38" s="139" t="str">
        <v>Distributor</v>
      </c>
      <c r="D38" s="139" t="str">
        <v/>
      </c>
      <c r="E38" s="139" t="str">
        <v/>
      </c>
      <c r="F38" s="139" t="str">
        <v>RT</v>
      </c>
      <c r="G38" s="139" t="str">
        <v>Outbound</v>
      </c>
      <c r="H38" s="139" t="str">
        <v>4S6032</v>
      </c>
      <c r="I38" s="140" t="str">
        <v>NAP-SSH</v>
      </c>
      <c r="J38" s="273">
        <v>45760</v>
      </c>
      <c r="K38" s="139">
        <v>1</v>
      </c>
      <c r="L38" s="139">
        <v>1</v>
      </c>
      <c r="M38" s="139">
        <v>100</v>
      </c>
      <c r="N38" s="139">
        <v>24.82</v>
      </c>
      <c r="O38" s="139">
        <v>30</v>
      </c>
      <c r="P38" s="139">
        <v>154.82</v>
      </c>
      <c r="Q38" s="139" t="str">
        <v>Confirmed</v>
      </c>
      <c r="R38" s="139" t="str">
        <v>Closed Deal</v>
      </c>
      <c r="S38" s="139" t="str">
        <v>NAP</v>
      </c>
      <c r="T38" s="139" t="str">
        <v>SSH</v>
      </c>
      <c r="U38" s="139" t="str">
        <v>NAP</v>
      </c>
      <c r="V38" s="139">
        <v>7</v>
      </c>
      <c r="W38" s="139">
        <v>57</v>
      </c>
      <c r="X38" s="139" t="str">
        <v>E25-03B</v>
      </c>
      <c r="Y38" s="139">
        <v>186</v>
      </c>
      <c r="Z38" s="139">
        <v>22</v>
      </c>
      <c r="AA38" s="139">
        <v>164</v>
      </c>
      <c r="AB38" s="15" t="str">
        <v>E25</v>
      </c>
    </row>
    <row r="39" spans="1:28" x14ac:dyDescent="0.25">
      <c r="A39" s="140">
        <v>45703</v>
      </c>
      <c r="B39" s="139" t="str">
        <v>APG</v>
      </c>
      <c r="C39" s="139" t="str">
        <v>Distributor</v>
      </c>
      <c r="D39" s="139" t="str">
        <v/>
      </c>
      <c r="E39" s="139" t="str">
        <v/>
      </c>
      <c r="F39" s="139" t="str">
        <v>RT</v>
      </c>
      <c r="G39" s="139" t="str">
        <v>Outbound</v>
      </c>
      <c r="H39" s="139" t="str">
        <v>4S6032</v>
      </c>
      <c r="I39" s="140" t="str">
        <v>NAP-SSH</v>
      </c>
      <c r="J39" s="273">
        <v>45760</v>
      </c>
      <c r="K39" s="139">
        <v>1</v>
      </c>
      <c r="L39" s="139">
        <v>1</v>
      </c>
      <c r="M39" s="139">
        <v>100</v>
      </c>
      <c r="N39" s="139">
        <v>24.82</v>
      </c>
      <c r="O39" s="139">
        <v>30</v>
      </c>
      <c r="P39" s="139">
        <v>154.82</v>
      </c>
      <c r="Q39" s="139" t="str">
        <v>Confirmed</v>
      </c>
      <c r="R39" s="139" t="str">
        <v>Closed Deal</v>
      </c>
      <c r="S39" s="139" t="str">
        <v>NAP</v>
      </c>
      <c r="T39" s="139" t="str">
        <v>SSH</v>
      </c>
      <c r="U39" s="139" t="str">
        <v>NAP</v>
      </c>
      <c r="V39" s="139">
        <v>7</v>
      </c>
      <c r="W39" s="139">
        <v>57</v>
      </c>
      <c r="X39" s="139" t="str">
        <v>E25-03B</v>
      </c>
      <c r="Y39" s="139">
        <v>186</v>
      </c>
      <c r="Z39" s="139">
        <v>22</v>
      </c>
      <c r="AA39" s="139">
        <v>164</v>
      </c>
      <c r="AB39" s="15" t="str">
        <v>E25</v>
      </c>
    </row>
    <row r="40" spans="1:28" x14ac:dyDescent="0.25">
      <c r="A40" s="140">
        <v>45703</v>
      </c>
      <c r="B40" s="139" t="str">
        <v>APG</v>
      </c>
      <c r="C40" s="139" t="str">
        <v>Distributor</v>
      </c>
      <c r="D40" s="139" t="str">
        <v/>
      </c>
      <c r="E40" s="139" t="str">
        <v/>
      </c>
      <c r="F40" s="139" t="str">
        <v>RT</v>
      </c>
      <c r="G40" s="139" t="str">
        <v>Outbound</v>
      </c>
      <c r="H40" s="139" t="str">
        <v>4S6032</v>
      </c>
      <c r="I40" s="140" t="str">
        <v>NAP-SSH</v>
      </c>
      <c r="J40" s="273">
        <v>45760</v>
      </c>
      <c r="K40" s="139">
        <v>1</v>
      </c>
      <c r="L40" s="139">
        <v>1</v>
      </c>
      <c r="M40" s="139">
        <v>75</v>
      </c>
      <c r="N40" s="139">
        <v>20.23</v>
      </c>
      <c r="O40" s="139">
        <v>30</v>
      </c>
      <c r="P40" s="139">
        <v>125.23</v>
      </c>
      <c r="Q40" s="139" t="str">
        <v>Confirmed</v>
      </c>
      <c r="R40" s="139" t="str">
        <v>Closed Deal</v>
      </c>
      <c r="S40" s="139" t="str">
        <v>NAP</v>
      </c>
      <c r="T40" s="139" t="str">
        <v>SSH</v>
      </c>
      <c r="U40" s="139" t="str">
        <v>NAP</v>
      </c>
      <c r="V40" s="139">
        <v>7</v>
      </c>
      <c r="W40" s="139">
        <v>57</v>
      </c>
      <c r="X40" s="139" t="str">
        <v>E25-03B</v>
      </c>
      <c r="Y40" s="139">
        <v>186</v>
      </c>
      <c r="Z40" s="139">
        <v>22</v>
      </c>
      <c r="AA40" s="139">
        <v>164</v>
      </c>
      <c r="AB40" s="15" t="str">
        <v>E25</v>
      </c>
    </row>
    <row r="41" spans="1:28" x14ac:dyDescent="0.25">
      <c r="A41" s="140">
        <v>45705</v>
      </c>
      <c r="B41" s="139" t="str">
        <v>APG</v>
      </c>
      <c r="C41" s="139" t="str">
        <v>Distributor</v>
      </c>
      <c r="D41" s="139" t="str">
        <v/>
      </c>
      <c r="E41" s="139" t="str">
        <v/>
      </c>
      <c r="F41" s="139" t="str">
        <v>RT</v>
      </c>
      <c r="G41" s="139" t="str">
        <v>Outbound</v>
      </c>
      <c r="H41" s="139" t="str">
        <v>4S6032</v>
      </c>
      <c r="I41" s="140" t="str">
        <v>NAP-SSH</v>
      </c>
      <c r="J41" s="273">
        <v>45760</v>
      </c>
      <c r="K41" s="139">
        <v>1</v>
      </c>
      <c r="L41" s="139">
        <v>1</v>
      </c>
      <c r="M41" s="139">
        <v>100</v>
      </c>
      <c r="N41" s="139">
        <v>24.82</v>
      </c>
      <c r="O41" s="139">
        <v>30</v>
      </c>
      <c r="P41" s="139">
        <v>154.82</v>
      </c>
      <c r="Q41" s="139" t="str">
        <v>Confirmed</v>
      </c>
      <c r="R41" s="139" t="str">
        <v>Closed Deal</v>
      </c>
      <c r="S41" s="139" t="str">
        <v>NAP</v>
      </c>
      <c r="T41" s="139" t="str">
        <v>SSH</v>
      </c>
      <c r="U41" s="139" t="str">
        <v>NAP</v>
      </c>
      <c r="V41" s="139">
        <v>7</v>
      </c>
      <c r="W41" s="139">
        <v>55</v>
      </c>
      <c r="X41" s="139" t="str">
        <v>E25-03B</v>
      </c>
      <c r="Y41" s="139">
        <v>186</v>
      </c>
      <c r="Z41" s="139">
        <v>22</v>
      </c>
      <c r="AA41" s="139">
        <v>164</v>
      </c>
      <c r="AB41" s="15" t="str">
        <v>E25</v>
      </c>
    </row>
    <row r="42" spans="1:28" x14ac:dyDescent="0.25">
      <c r="A42" s="140">
        <v>45707</v>
      </c>
      <c r="B42" s="139" t="str">
        <v>EuroAirlines</v>
      </c>
      <c r="C42" s="139" t="str">
        <v>Distributor</v>
      </c>
      <c r="D42" s="139" t="str">
        <v>Email</v>
      </c>
      <c r="E42" s="139" t="str">
        <v/>
      </c>
      <c r="F42" s="139" t="str">
        <v>OW</v>
      </c>
      <c r="G42" s="139" t="str">
        <v>Outbound</v>
      </c>
      <c r="H42" s="139" t="str">
        <v>4S6032</v>
      </c>
      <c r="I42" s="140" t="str">
        <v>NAP-SSH</v>
      </c>
      <c r="J42" s="273">
        <v>45760</v>
      </c>
      <c r="K42" s="139">
        <v>1</v>
      </c>
      <c r="L42" s="139">
        <v>1</v>
      </c>
      <c r="M42" s="139">
        <v>100</v>
      </c>
      <c r="N42" s="139">
        <v>34.04</v>
      </c>
      <c r="O42" s="139">
        <v>30</v>
      </c>
      <c r="P42" s="139">
        <v>164.04</v>
      </c>
      <c r="Q42" s="139" t="str">
        <v>Confirmed</v>
      </c>
      <c r="R42" s="139" t="str">
        <v>Closed Deal</v>
      </c>
      <c r="S42" s="139" t="str">
        <v>NAP</v>
      </c>
      <c r="T42" s="139" t="str">
        <v>SSH</v>
      </c>
      <c r="U42" s="139" t="str">
        <v>NAP</v>
      </c>
      <c r="V42" s="139">
        <v>7</v>
      </c>
      <c r="W42" s="139">
        <v>53</v>
      </c>
      <c r="X42" s="139" t="str">
        <v>E25-03B</v>
      </c>
      <c r="Y42" s="139">
        <v>186</v>
      </c>
      <c r="Z42" s="139">
        <v>22</v>
      </c>
      <c r="AA42" s="139">
        <v>164</v>
      </c>
      <c r="AB42" s="15" t="str">
        <v>E25</v>
      </c>
    </row>
    <row r="43" spans="1:28" x14ac:dyDescent="0.25">
      <c r="A43" s="140">
        <v>45707</v>
      </c>
      <c r="B43" s="139" t="str">
        <v>EuroAirlines</v>
      </c>
      <c r="C43" s="139" t="str">
        <v>Distributor</v>
      </c>
      <c r="D43" s="139" t="str">
        <v>Email</v>
      </c>
      <c r="E43" s="139" t="str">
        <v/>
      </c>
      <c r="F43" s="139" t="str">
        <v>OW</v>
      </c>
      <c r="G43" s="139" t="str">
        <v>Outbound</v>
      </c>
      <c r="H43" s="139" t="str">
        <v>4S6032</v>
      </c>
      <c r="I43" s="140" t="str">
        <v>NAP-SSH</v>
      </c>
      <c r="J43" s="273">
        <v>45760</v>
      </c>
      <c r="K43" s="139">
        <v>1</v>
      </c>
      <c r="L43" s="139">
        <v>1</v>
      </c>
      <c r="M43" s="139">
        <v>100</v>
      </c>
      <c r="N43" s="139">
        <v>34.04</v>
      </c>
      <c r="O43" s="139">
        <v>30</v>
      </c>
      <c r="P43" s="139">
        <v>164.04</v>
      </c>
      <c r="Q43" s="139" t="str">
        <v>Confirmed</v>
      </c>
      <c r="R43" s="139" t="str">
        <v>Closed Deal</v>
      </c>
      <c r="S43" s="139" t="str">
        <v>NAP</v>
      </c>
      <c r="T43" s="139" t="str">
        <v>SSH</v>
      </c>
      <c r="U43" s="139" t="str">
        <v>NAP</v>
      </c>
      <c r="V43" s="139">
        <v>7</v>
      </c>
      <c r="W43" s="139">
        <v>53</v>
      </c>
      <c r="X43" s="139" t="str">
        <v>E25-03B</v>
      </c>
      <c r="Y43" s="139">
        <v>186</v>
      </c>
      <c r="Z43" s="139">
        <v>22</v>
      </c>
      <c r="AA43" s="139">
        <v>164</v>
      </c>
      <c r="AB43" s="15" t="str">
        <v>E25</v>
      </c>
    </row>
    <row r="44" spans="1:28" x14ac:dyDescent="0.25">
      <c r="A44" s="140">
        <v>45712</v>
      </c>
      <c r="B44" s="139" t="str">
        <v>Enzo Viaggi</v>
      </c>
      <c r="C44" s="139" t="str">
        <v>Tour Operator</v>
      </c>
      <c r="D44" s="139" t="str">
        <v/>
      </c>
      <c r="E44" s="139" t="str">
        <v/>
      </c>
      <c r="F44" s="139" t="str">
        <v>RT</v>
      </c>
      <c r="G44" s="139" t="str">
        <v>Outbound</v>
      </c>
      <c r="H44" s="139" t="str">
        <v>SE5447</v>
      </c>
      <c r="I44" s="140" t="str">
        <v>NAP-SSH</v>
      </c>
      <c r="J44" s="273">
        <v>45765</v>
      </c>
      <c r="K44" s="139">
        <v>15</v>
      </c>
      <c r="L44" s="139">
        <v>15</v>
      </c>
      <c r="M44" s="139">
        <v>290</v>
      </c>
      <c r="N44" s="139">
        <v>0</v>
      </c>
      <c r="O44" s="139">
        <v>0</v>
      </c>
      <c r="P44" s="139">
        <v>4350</v>
      </c>
      <c r="Q44" s="139" t="str">
        <v>Confirmed</v>
      </c>
      <c r="R44" s="139" t="str">
        <v>Countersigned</v>
      </c>
      <c r="S44" s="139" t="str">
        <v>NAP</v>
      </c>
      <c r="T44" s="139" t="str">
        <v>SSH</v>
      </c>
      <c r="U44" s="139" t="str">
        <v>NAP</v>
      </c>
      <c r="V44" s="139">
        <v>5</v>
      </c>
      <c r="W44" s="139">
        <v>53</v>
      </c>
      <c r="X44" s="139" t="str">
        <v>E25-09B</v>
      </c>
      <c r="Y44" s="139">
        <v>95</v>
      </c>
      <c r="Z44" s="139">
        <v>55</v>
      </c>
      <c r="AA44" s="139">
        <v>40</v>
      </c>
      <c r="AB44" s="15" t="str">
        <v>E25</v>
      </c>
    </row>
    <row r="45" spans="1:28" x14ac:dyDescent="0.25">
      <c r="A45" s="140">
        <v>45711</v>
      </c>
      <c r="B45" s="139" t="str">
        <v>EuroAirlines</v>
      </c>
      <c r="C45" s="139" t="str">
        <v>Distributor</v>
      </c>
      <c r="D45" s="139" t="str">
        <v>Email</v>
      </c>
      <c r="E45" s="139" t="str">
        <v/>
      </c>
      <c r="F45" s="139" t="str">
        <v>OW</v>
      </c>
      <c r="G45" s="139" t="str">
        <v>Outbound</v>
      </c>
      <c r="H45" s="139" t="str">
        <v>4S6032</v>
      </c>
      <c r="I45" s="140" t="str">
        <v>NAP-SSH</v>
      </c>
      <c r="J45" s="273">
        <v>45760</v>
      </c>
      <c r="K45" s="139">
        <v>1</v>
      </c>
      <c r="L45" s="139">
        <v>1</v>
      </c>
      <c r="M45" s="139">
        <v>100</v>
      </c>
      <c r="N45" s="139">
        <v>34.04</v>
      </c>
      <c r="O45" s="139">
        <v>30</v>
      </c>
      <c r="P45" s="139">
        <v>164.04</v>
      </c>
      <c r="Q45" s="139" t="str">
        <v>Confirmed</v>
      </c>
      <c r="R45" s="139" t="str">
        <v>Closed Deal</v>
      </c>
      <c r="S45" s="139" t="str">
        <v>NAP</v>
      </c>
      <c r="T45" s="139" t="str">
        <v>SSH</v>
      </c>
      <c r="U45" s="139" t="str">
        <v>NAP</v>
      </c>
      <c r="V45" s="139">
        <v>7</v>
      </c>
      <c r="W45" s="139">
        <v>49</v>
      </c>
      <c r="X45" s="139" t="str">
        <v>E25-03B</v>
      </c>
      <c r="Y45" s="139">
        <v>186</v>
      </c>
      <c r="Z45" s="139">
        <v>22</v>
      </c>
      <c r="AA45" s="139">
        <v>164</v>
      </c>
      <c r="AB45" s="15" t="str">
        <v>E25</v>
      </c>
    </row>
    <row r="46" spans="1:28" x14ac:dyDescent="0.25">
      <c r="A46" s="140">
        <v>45711</v>
      </c>
      <c r="B46" s="139" t="str">
        <v>EuroAirlines</v>
      </c>
      <c r="C46" s="139" t="str">
        <v>Distributor</v>
      </c>
      <c r="D46" s="139" t="str">
        <v>Email</v>
      </c>
      <c r="E46" s="139" t="str">
        <v/>
      </c>
      <c r="F46" s="139" t="str">
        <v>OW</v>
      </c>
      <c r="G46" s="139" t="str">
        <v>Outbound</v>
      </c>
      <c r="H46" s="139" t="str">
        <v>4S6032</v>
      </c>
      <c r="I46" s="140" t="str">
        <v>NAP-SSH</v>
      </c>
      <c r="J46" s="273">
        <v>45760</v>
      </c>
      <c r="K46" s="139">
        <v>1</v>
      </c>
      <c r="L46" s="139">
        <v>1</v>
      </c>
      <c r="M46" s="139">
        <v>75</v>
      </c>
      <c r="N46" s="139">
        <v>34.04</v>
      </c>
      <c r="O46" s="139">
        <v>30</v>
      </c>
      <c r="P46" s="139">
        <v>139.04</v>
      </c>
      <c r="Q46" s="139" t="str">
        <v>Confirmed</v>
      </c>
      <c r="R46" s="139" t="str">
        <v>Closed Deal</v>
      </c>
      <c r="S46" s="139" t="str">
        <v>NAP</v>
      </c>
      <c r="T46" s="139" t="str">
        <v>SSH</v>
      </c>
      <c r="U46" s="139" t="str">
        <v>NAP</v>
      </c>
      <c r="V46" s="139">
        <v>7</v>
      </c>
      <c r="W46" s="139">
        <v>49</v>
      </c>
      <c r="X46" s="139" t="str">
        <v>E25-03B</v>
      </c>
      <c r="Y46" s="139">
        <v>186</v>
      </c>
      <c r="Z46" s="139">
        <v>22</v>
      </c>
      <c r="AA46" s="139">
        <v>164</v>
      </c>
      <c r="AB46" s="15" t="str">
        <v>E25</v>
      </c>
    </row>
    <row r="47" spans="1:28" x14ac:dyDescent="0.25">
      <c r="A47" s="140">
        <v>45711</v>
      </c>
      <c r="B47" s="139" t="str">
        <v>EuroAirlines</v>
      </c>
      <c r="C47" s="139" t="str">
        <v>Distributor</v>
      </c>
      <c r="D47" s="139" t="str">
        <v>Email</v>
      </c>
      <c r="E47" s="139" t="str">
        <v/>
      </c>
      <c r="F47" s="139" t="str">
        <v>OW</v>
      </c>
      <c r="G47" s="139" t="str">
        <v>Outbound</v>
      </c>
      <c r="H47" s="139" t="str">
        <v>4S6032</v>
      </c>
      <c r="I47" s="140" t="str">
        <v>NAP-SSH</v>
      </c>
      <c r="J47" s="273">
        <v>45760</v>
      </c>
      <c r="K47" s="139">
        <v>1</v>
      </c>
      <c r="L47" s="139">
        <v>1</v>
      </c>
      <c r="M47" s="139">
        <v>75</v>
      </c>
      <c r="N47" s="139">
        <v>34.04</v>
      </c>
      <c r="O47" s="139">
        <v>30</v>
      </c>
      <c r="P47" s="139">
        <v>139.04</v>
      </c>
      <c r="Q47" s="139" t="str">
        <v>Confirmed</v>
      </c>
      <c r="R47" s="139" t="str">
        <v>Closed Deal</v>
      </c>
      <c r="S47" s="139" t="str">
        <v>NAP</v>
      </c>
      <c r="T47" s="139" t="str">
        <v>SSH</v>
      </c>
      <c r="U47" s="139" t="str">
        <v>NAP</v>
      </c>
      <c r="V47" s="139">
        <v>7</v>
      </c>
      <c r="W47" s="139">
        <v>49</v>
      </c>
      <c r="X47" s="139" t="str">
        <v>E25-03B</v>
      </c>
      <c r="Y47" s="139">
        <v>186</v>
      </c>
      <c r="Z47" s="139">
        <v>22</v>
      </c>
      <c r="AA47" s="139">
        <v>164</v>
      </c>
      <c r="AB47" s="15" t="str">
        <v>E25</v>
      </c>
    </row>
    <row r="48" spans="1:28" x14ac:dyDescent="0.25">
      <c r="A48" s="140">
        <v>45711</v>
      </c>
      <c r="B48" s="139" t="str">
        <v>EuroAirlines</v>
      </c>
      <c r="C48" s="139" t="str">
        <v>Distributor</v>
      </c>
      <c r="D48" s="139" t="str">
        <v>Email</v>
      </c>
      <c r="E48" s="139" t="str">
        <v/>
      </c>
      <c r="F48" s="139" t="str">
        <v>OW</v>
      </c>
      <c r="G48" s="139" t="str">
        <v>Outbound</v>
      </c>
      <c r="H48" s="139" t="str">
        <v>4S6032</v>
      </c>
      <c r="I48" s="140" t="str">
        <v>NAP-SSH</v>
      </c>
      <c r="J48" s="273">
        <v>45760</v>
      </c>
      <c r="K48" s="139">
        <v>1</v>
      </c>
      <c r="L48" s="139">
        <v>1</v>
      </c>
      <c r="M48" s="139">
        <v>100</v>
      </c>
      <c r="N48" s="139">
        <v>34.04</v>
      </c>
      <c r="O48" s="139">
        <v>30</v>
      </c>
      <c r="P48" s="139">
        <v>164.04</v>
      </c>
      <c r="Q48" s="139" t="str">
        <v>Confirmed</v>
      </c>
      <c r="R48" s="139" t="str">
        <v>Closed Deal</v>
      </c>
      <c r="S48" s="139" t="str">
        <v>NAP</v>
      </c>
      <c r="T48" s="139" t="str">
        <v>SSH</v>
      </c>
      <c r="U48" s="139" t="str">
        <v>NAP</v>
      </c>
      <c r="V48" s="139">
        <v>7</v>
      </c>
      <c r="W48" s="139">
        <v>49</v>
      </c>
      <c r="X48" s="139" t="str">
        <v>E25-03B</v>
      </c>
      <c r="Y48" s="139">
        <v>186</v>
      </c>
      <c r="Z48" s="139">
        <v>22</v>
      </c>
      <c r="AA48" s="139">
        <v>164</v>
      </c>
      <c r="AB48" s="15" t="str">
        <v>E25</v>
      </c>
    </row>
    <row r="49" spans="1:28" x14ac:dyDescent="0.25">
      <c r="A49" s="140">
        <v>45714</v>
      </c>
      <c r="B49" s="139" t="str">
        <v>Atelier Vacanze SRL</v>
      </c>
      <c r="C49" s="139" t="str">
        <v>Tour Operator</v>
      </c>
      <c r="D49" s="139" t="str">
        <v/>
      </c>
      <c r="E49" s="139" t="str">
        <v/>
      </c>
      <c r="F49" s="139" t="str">
        <v>RT</v>
      </c>
      <c r="G49" s="139" t="str">
        <v>Outbound</v>
      </c>
      <c r="H49" s="139" t="str">
        <v>4S6018</v>
      </c>
      <c r="I49" s="140" t="str">
        <v>NAP-SSH</v>
      </c>
      <c r="J49" s="273">
        <v>45765</v>
      </c>
      <c r="K49" s="139">
        <v>1</v>
      </c>
      <c r="L49" s="139">
        <v>1</v>
      </c>
      <c r="M49" s="139">
        <v>285</v>
      </c>
      <c r="N49" s="139">
        <v>0</v>
      </c>
      <c r="O49" s="139">
        <v>0</v>
      </c>
      <c r="P49" s="139">
        <v>285</v>
      </c>
      <c r="Q49" s="139" t="str">
        <v>Confirmed</v>
      </c>
      <c r="R49" s="139" t="str">
        <v>Signed</v>
      </c>
      <c r="S49" s="139" t="str">
        <v>NAP</v>
      </c>
      <c r="T49" s="139" t="str">
        <v>SSH</v>
      </c>
      <c r="U49" s="139" t="str">
        <v>NAP</v>
      </c>
      <c r="V49" s="139">
        <v>5</v>
      </c>
      <c r="W49" s="139">
        <v>51</v>
      </c>
      <c r="X49" s="139" t="str">
        <v>E25-08</v>
      </c>
      <c r="Y49" s="139">
        <v>186</v>
      </c>
      <c r="Z49" s="139">
        <v>88</v>
      </c>
      <c r="AA49" s="139">
        <v>98</v>
      </c>
      <c r="AB49" s="15" t="str">
        <v>E25</v>
      </c>
    </row>
    <row r="50" spans="1:28" x14ac:dyDescent="0.25">
      <c r="A50" s="140">
        <v>45714</v>
      </c>
      <c r="B50" s="139" t="str">
        <v>Atelier Vacanze SRL</v>
      </c>
      <c r="C50" s="139" t="str">
        <v>Tour Operator</v>
      </c>
      <c r="D50" s="139" t="str">
        <v/>
      </c>
      <c r="E50" s="139" t="str">
        <v/>
      </c>
      <c r="F50" s="139" t="str">
        <v>RT</v>
      </c>
      <c r="G50" s="139" t="str">
        <v>Outbound</v>
      </c>
      <c r="H50" s="139" t="str">
        <v>SE5447</v>
      </c>
      <c r="I50" s="140" t="str">
        <v>NAP-SSH</v>
      </c>
      <c r="J50" s="273">
        <v>45765</v>
      </c>
      <c r="K50" s="139">
        <v>40</v>
      </c>
      <c r="L50" s="139">
        <v>40</v>
      </c>
      <c r="M50" s="139">
        <v>285</v>
      </c>
      <c r="N50" s="139">
        <v>0</v>
      </c>
      <c r="O50" s="139">
        <v>0</v>
      </c>
      <c r="P50" s="139">
        <v>11400</v>
      </c>
      <c r="Q50" s="139" t="str">
        <v>Confirmed</v>
      </c>
      <c r="R50" s="139" t="str">
        <v>Signed</v>
      </c>
      <c r="S50" s="139" t="str">
        <v>NAP</v>
      </c>
      <c r="T50" s="139" t="str">
        <v>SSH</v>
      </c>
      <c r="U50" s="139" t="str">
        <v>NAP</v>
      </c>
      <c r="V50" s="139">
        <v>5</v>
      </c>
      <c r="W50" s="139">
        <v>51</v>
      </c>
      <c r="X50" s="139" t="str">
        <v>E25-09B</v>
      </c>
      <c r="Y50" s="139">
        <v>95</v>
      </c>
      <c r="Z50" s="139">
        <v>55</v>
      </c>
      <c r="AA50" s="139">
        <v>40</v>
      </c>
      <c r="AB50" s="15" t="str">
        <v>E25</v>
      </c>
    </row>
    <row r="51" spans="1:28" x14ac:dyDescent="0.25">
      <c r="A51" s="140">
        <v>45716</v>
      </c>
      <c r="B51" s="139" t="str">
        <v>Genius</v>
      </c>
      <c r="C51" s="139" t="str">
        <v>Distributor</v>
      </c>
      <c r="D51" s="139" t="str">
        <v/>
      </c>
      <c r="E51" s="139" t="str">
        <v/>
      </c>
      <c r="F51" s="139" t="str">
        <v>OW</v>
      </c>
      <c r="G51" s="139" t="str">
        <v>Outbound</v>
      </c>
      <c r="H51" s="139" t="str">
        <v>4S6032</v>
      </c>
      <c r="I51" s="140" t="str">
        <v>NAP-SSH</v>
      </c>
      <c r="J51" s="273">
        <v>45760</v>
      </c>
      <c r="K51" s="139">
        <v>4</v>
      </c>
      <c r="L51" s="139">
        <v>4</v>
      </c>
      <c r="M51" s="139">
        <v>140</v>
      </c>
      <c r="N51" s="139">
        <v>0</v>
      </c>
      <c r="O51" s="139">
        <v>0</v>
      </c>
      <c r="P51" s="139">
        <v>560</v>
      </c>
      <c r="Q51" s="139" t="str">
        <v>Confirmed</v>
      </c>
      <c r="R51" s="139" t="str">
        <v>Closed Deal</v>
      </c>
      <c r="S51" s="139" t="str">
        <v>NAP</v>
      </c>
      <c r="T51" s="139" t="str">
        <v>SSH</v>
      </c>
      <c r="U51" s="139" t="str">
        <v>NAP</v>
      </c>
      <c r="V51" s="139">
        <v>7</v>
      </c>
      <c r="W51" s="139">
        <v>44</v>
      </c>
      <c r="X51" s="139" t="str">
        <v>E25-03B</v>
      </c>
      <c r="Y51" s="139">
        <v>186</v>
      </c>
      <c r="Z51" s="139">
        <v>22</v>
      </c>
      <c r="AA51" s="139">
        <v>164</v>
      </c>
      <c r="AB51" s="15" t="str">
        <v>E25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45E5-99DD-4456-840D-F859BAD4F7A3}">
  <sheetPr codeName="Sheet8">
    <tabColor rgb="FF00FF99"/>
  </sheetPr>
  <dimension ref="A1:AN12"/>
  <sheetViews>
    <sheetView zoomScale="85" zoomScaleNormal="85" workbookViewId="0">
      <pane xSplit="4" ySplit="1" topLeftCell="E2" activePane="bottomRight" state="frozen"/>
      <selection activeCell="D27" sqref="D27"/>
      <selection pane="topRight" activeCell="D27" sqref="D27"/>
      <selection pane="bottomLeft" activeCell="D27" sqref="D27"/>
      <selection pane="bottomRight" activeCell="F21" sqref="F21"/>
    </sheetView>
  </sheetViews>
  <sheetFormatPr defaultColWidth="10.5" defaultRowHeight="15.75" x14ac:dyDescent="0.25"/>
  <cols>
    <col min="1" max="1" width="10.5" style="4"/>
    <col min="2" max="2" width="15.5" style="28" customWidth="1"/>
    <col min="3" max="3" width="10.875" style="4" bestFit="1" customWidth="1"/>
    <col min="4" max="4" width="10.125" style="4" bestFit="1" customWidth="1"/>
    <col min="5" max="5" width="14.625" style="46" bestFit="1" customWidth="1"/>
    <col min="6" max="8" width="14.375" style="46" customWidth="1"/>
    <col min="9" max="9" width="8.5" style="5" customWidth="1"/>
    <col min="10" max="10" width="14" style="4" customWidth="1"/>
    <col min="11" max="11" width="12.5" style="4" customWidth="1"/>
    <col min="12" max="12" width="14.5" style="4" customWidth="1"/>
    <col min="13" max="13" width="17.5" style="4" customWidth="1"/>
    <col min="14" max="14" width="14.5" style="4" customWidth="1"/>
    <col min="15" max="15" width="13.5" style="4" customWidth="1"/>
    <col min="16" max="16" width="10.5" style="4"/>
    <col min="17" max="17" width="15.5" style="4" bestFit="1" customWidth="1"/>
    <col min="18" max="18" width="17.875" style="4" bestFit="1" customWidth="1"/>
    <col min="22" max="22" width="13.125" customWidth="1"/>
    <col min="23" max="28" width="10.5" customWidth="1"/>
    <col min="29" max="29" width="12" customWidth="1"/>
    <col min="30" max="30" width="15" style="4" customWidth="1"/>
    <col min="31" max="31" width="16" style="4" customWidth="1"/>
    <col min="32" max="32" width="21.5" style="4" customWidth="1"/>
    <col min="33" max="33" width="25" style="4" bestFit="1" customWidth="1"/>
    <col min="34" max="34" width="19" style="4" bestFit="1" customWidth="1"/>
    <col min="35" max="35" width="23" style="15" bestFit="1" customWidth="1"/>
    <col min="36" max="36" width="11.5" style="36" bestFit="1" customWidth="1"/>
    <col min="37" max="37" width="14" style="23" bestFit="1" customWidth="1"/>
    <col min="38" max="38" width="13.5" style="4" bestFit="1" customWidth="1"/>
    <col min="39" max="39" width="17.375" style="4" customWidth="1"/>
    <col min="40" max="40" width="12.5" style="4" customWidth="1"/>
  </cols>
  <sheetData>
    <row r="1" spans="1:40" x14ac:dyDescent="0.25">
      <c r="A1" s="1" t="s">
        <v>0</v>
      </c>
      <c r="B1" s="25" t="s">
        <v>4</v>
      </c>
      <c r="C1" s="1" t="s">
        <v>9</v>
      </c>
      <c r="D1" s="1" t="s">
        <v>10</v>
      </c>
      <c r="E1" s="45" t="s">
        <v>200</v>
      </c>
      <c r="F1" s="45" t="s">
        <v>201</v>
      </c>
      <c r="G1" s="45" t="s">
        <v>202</v>
      </c>
      <c r="H1" s="45" t="s">
        <v>203</v>
      </c>
      <c r="I1" s="1" t="s">
        <v>3</v>
      </c>
      <c r="J1" s="1" t="s">
        <v>13</v>
      </c>
      <c r="K1" s="1" t="s">
        <v>14</v>
      </c>
      <c r="L1" s="1" t="s">
        <v>17</v>
      </c>
      <c r="M1" s="1" t="s">
        <v>18</v>
      </c>
      <c r="N1" s="1" t="s">
        <v>15</v>
      </c>
      <c r="O1" s="1" t="s">
        <v>21</v>
      </c>
      <c r="P1" s="1" t="s">
        <v>12</v>
      </c>
      <c r="Q1" s="1" t="s">
        <v>211</v>
      </c>
      <c r="R1" s="1" t="s">
        <v>70</v>
      </c>
      <c r="S1" s="6" t="s">
        <v>22</v>
      </c>
      <c r="T1" s="6" t="s">
        <v>16</v>
      </c>
      <c r="U1" s="6" t="s">
        <v>19</v>
      </c>
      <c r="V1" s="6" t="s">
        <v>28</v>
      </c>
      <c r="W1" s="6" t="s">
        <v>20</v>
      </c>
      <c r="X1" s="6" t="s">
        <v>107</v>
      </c>
      <c r="Y1" s="6" t="s">
        <v>11</v>
      </c>
      <c r="Z1" s="6" t="s">
        <v>6</v>
      </c>
      <c r="AA1" s="6" t="s">
        <v>108</v>
      </c>
      <c r="AB1" s="6" t="s">
        <v>30</v>
      </c>
      <c r="AC1" s="17" t="s">
        <v>31</v>
      </c>
      <c r="AD1" s="43" t="s">
        <v>61</v>
      </c>
      <c r="AE1" s="44" t="s">
        <v>62</v>
      </c>
      <c r="AF1" s="24" t="s">
        <v>102</v>
      </c>
      <c r="AG1" s="24" t="s">
        <v>103</v>
      </c>
      <c r="AH1" s="24" t="s">
        <v>104</v>
      </c>
      <c r="AI1" s="24" t="s">
        <v>105</v>
      </c>
      <c r="AJ1" s="24" t="s">
        <v>32</v>
      </c>
      <c r="AK1" s="24" t="s">
        <v>33</v>
      </c>
      <c r="AL1" s="63" t="s">
        <v>73</v>
      </c>
      <c r="AM1" s="76" t="s">
        <v>98</v>
      </c>
      <c r="AN1"/>
    </row>
    <row r="2" spans="1:40" x14ac:dyDescent="0.25">
      <c r="A2" s="222">
        <v>7</v>
      </c>
      <c r="B2" s="26">
        <v>45753</v>
      </c>
      <c r="C2" s="7" t="s">
        <v>1</v>
      </c>
      <c r="D2" s="7" t="s">
        <v>2</v>
      </c>
      <c r="E2" s="185">
        <v>0</v>
      </c>
      <c r="F2" s="185">
        <v>0</v>
      </c>
      <c r="G2" s="186">
        <v>0</v>
      </c>
      <c r="H2" s="186">
        <v>0</v>
      </c>
      <c r="I2" s="223">
        <v>3</v>
      </c>
      <c r="J2" s="2">
        <v>39700</v>
      </c>
      <c r="K2" s="2">
        <v>0</v>
      </c>
      <c r="L2" s="2">
        <v>39700</v>
      </c>
      <c r="M2" s="3">
        <v>3</v>
      </c>
      <c r="N2" s="2">
        <v>39700</v>
      </c>
      <c r="O2" s="2">
        <v>19850</v>
      </c>
      <c r="P2" s="3" t="s">
        <v>64</v>
      </c>
      <c r="Q2" s="3">
        <v>30</v>
      </c>
      <c r="R2" s="81">
        <v>30</v>
      </c>
      <c r="S2" s="11" t="s">
        <v>214</v>
      </c>
      <c r="T2" s="187" t="s">
        <v>251</v>
      </c>
      <c r="U2" s="3">
        <v>2</v>
      </c>
      <c r="V2" s="3" t="s">
        <v>247</v>
      </c>
      <c r="W2" s="8" t="s">
        <v>261</v>
      </c>
      <c r="X2" s="188" t="s">
        <v>2</v>
      </c>
      <c r="Y2" s="3" t="s">
        <v>24</v>
      </c>
      <c r="Z2" s="3" t="s">
        <v>8</v>
      </c>
      <c r="AA2" s="224" t="s">
        <v>254</v>
      </c>
      <c r="AB2" s="16" t="s">
        <v>255</v>
      </c>
      <c r="AC2" s="21" t="s">
        <v>256</v>
      </c>
      <c r="AD2" s="58" cm="1">
        <f t="array" ref="AD2">INDEX('Routes Taxes'!O:O,MATCH('Flight Rotation Weeks'!V2&amp;Y2,'Routes Taxes'!A:A&amp;'Routes Taxes'!I:I,0))</f>
        <v>0</v>
      </c>
      <c r="AE2" s="59">
        <f t="shared" ref="AE2:AE9" si="0">AD2*AH2</f>
        <v>0</v>
      </c>
      <c r="AF2" s="81">
        <f>SUMIFS(Booking_Data!K:K,Booking_Data!J:J,B2,Booking_Data!H:H,AA2)</f>
        <v>0</v>
      </c>
      <c r="AG2" s="41">
        <f t="shared" ref="AG2:AG8" si="1">R2-AF2</f>
        <v>30</v>
      </c>
      <c r="AH2" s="81">
        <f>SUMIFS(Booking_Data!L:L,Booking_Data!J:J,B2,Booking_Data!H:H,AA2,Booking_Data!I:I,Y2)</f>
        <v>0</v>
      </c>
      <c r="AI2" s="41">
        <f t="shared" ref="AI2:AI8" si="2">R2-AH2</f>
        <v>30</v>
      </c>
      <c r="AJ2" s="41"/>
      <c r="AK2" s="41">
        <f t="shared" ref="AK2:AK8" si="3">AG2-AJ2</f>
        <v>30</v>
      </c>
      <c r="AL2" s="41"/>
      <c r="AM2" s="41">
        <f>SUMIFS(Booking_Data!P:P,Booking_Data!J:J,B2,Booking_Data!H:H,AA2)</f>
        <v>0</v>
      </c>
    </row>
    <row r="3" spans="1:40" x14ac:dyDescent="0.25">
      <c r="A3" s="222">
        <v>7</v>
      </c>
      <c r="B3" s="26">
        <v>45760</v>
      </c>
      <c r="C3" s="7" t="s">
        <v>1</v>
      </c>
      <c r="D3" s="7" t="s">
        <v>2</v>
      </c>
      <c r="E3" s="185">
        <v>0</v>
      </c>
      <c r="F3" s="185">
        <v>0</v>
      </c>
      <c r="G3" s="186">
        <v>0</v>
      </c>
      <c r="H3" s="186">
        <v>0</v>
      </c>
      <c r="I3" s="223">
        <v>3</v>
      </c>
      <c r="J3" s="2">
        <v>39700</v>
      </c>
      <c r="K3" s="2">
        <v>0</v>
      </c>
      <c r="L3" s="2">
        <v>39700</v>
      </c>
      <c r="M3" s="3">
        <v>3</v>
      </c>
      <c r="N3" s="2">
        <v>39700</v>
      </c>
      <c r="O3" s="2">
        <v>19850</v>
      </c>
      <c r="P3" s="3" t="s">
        <v>64</v>
      </c>
      <c r="Q3" s="3">
        <v>85</v>
      </c>
      <c r="R3" s="81">
        <v>85</v>
      </c>
      <c r="S3" s="11" t="s">
        <v>214</v>
      </c>
      <c r="T3" s="187" t="s">
        <v>251</v>
      </c>
      <c r="U3" s="3">
        <v>3</v>
      </c>
      <c r="V3" s="3" t="s">
        <v>247</v>
      </c>
      <c r="W3" s="8" t="s">
        <v>262</v>
      </c>
      <c r="X3" s="188" t="s">
        <v>2</v>
      </c>
      <c r="Y3" s="3" t="s">
        <v>24</v>
      </c>
      <c r="Z3" s="3" t="s">
        <v>8</v>
      </c>
      <c r="AA3" s="224" t="s">
        <v>254</v>
      </c>
      <c r="AB3" s="16" t="s">
        <v>255</v>
      </c>
      <c r="AC3" s="21" t="s">
        <v>256</v>
      </c>
      <c r="AD3" s="58" cm="1">
        <f t="array" ref="AD3">INDEX('Routes Taxes'!O:O,MATCH('Flight Rotation Weeks'!V3&amp;Y3,'Routes Taxes'!A:A&amp;'Routes Taxes'!I:I,0))</f>
        <v>0</v>
      </c>
      <c r="AE3" s="59">
        <f t="shared" si="0"/>
        <v>0</v>
      </c>
      <c r="AF3" s="81">
        <f>SUMIFS(Booking_Data!K:K,Booking_Data!J:J,B3,Booking_Data!H:H,AA3)</f>
        <v>7</v>
      </c>
      <c r="AG3" s="41">
        <f t="shared" si="1"/>
        <v>78</v>
      </c>
      <c r="AH3" s="81">
        <f>SUMIFS(Booking_Data!L:L,Booking_Data!J:J,B3,Booking_Data!H:H,AA3,Booking_Data!I:I,Y3)</f>
        <v>7</v>
      </c>
      <c r="AI3" s="41">
        <f t="shared" si="2"/>
        <v>78</v>
      </c>
      <c r="AJ3" s="41"/>
      <c r="AK3" s="41">
        <f t="shared" si="3"/>
        <v>78</v>
      </c>
      <c r="AL3" s="41"/>
      <c r="AM3" s="41">
        <f>SUMIFS(Booking_Data!P:P,Booking_Data!J:J,B3,Booking_Data!H:H,AA3)</f>
        <v>1157.4400000000003</v>
      </c>
    </row>
    <row r="4" spans="1:40" x14ac:dyDescent="0.25">
      <c r="A4" s="222">
        <v>7</v>
      </c>
      <c r="B4" s="26">
        <v>45767</v>
      </c>
      <c r="C4" s="7" t="s">
        <v>1</v>
      </c>
      <c r="D4" s="7" t="s">
        <v>2</v>
      </c>
      <c r="E4" s="185">
        <v>0</v>
      </c>
      <c r="F4" s="185">
        <v>0</v>
      </c>
      <c r="G4" s="186">
        <v>0</v>
      </c>
      <c r="H4" s="186">
        <v>0</v>
      </c>
      <c r="I4" s="223">
        <v>4</v>
      </c>
      <c r="J4" s="2">
        <v>45000</v>
      </c>
      <c r="K4" s="2">
        <v>0</v>
      </c>
      <c r="L4" s="2">
        <v>45000</v>
      </c>
      <c r="M4" s="3">
        <v>4</v>
      </c>
      <c r="N4" s="2">
        <v>45000</v>
      </c>
      <c r="O4" s="2">
        <v>22500</v>
      </c>
      <c r="P4" s="3" t="s">
        <v>65</v>
      </c>
      <c r="Q4" s="3">
        <v>186</v>
      </c>
      <c r="R4" s="81">
        <v>186</v>
      </c>
      <c r="S4" s="11" t="s">
        <v>214</v>
      </c>
      <c r="T4" s="187" t="s">
        <v>252</v>
      </c>
      <c r="U4" s="3">
        <v>4</v>
      </c>
      <c r="V4" s="3" t="s">
        <v>248</v>
      </c>
      <c r="W4" s="8" t="s">
        <v>263</v>
      </c>
      <c r="X4" s="188" t="s">
        <v>2</v>
      </c>
      <c r="Y4" s="3" t="s">
        <v>24</v>
      </c>
      <c r="Z4" s="3" t="s">
        <v>8</v>
      </c>
      <c r="AA4" s="224" t="s">
        <v>125</v>
      </c>
      <c r="AB4" s="16" t="s">
        <v>72</v>
      </c>
      <c r="AC4" s="21" t="s">
        <v>264</v>
      </c>
      <c r="AD4" s="58" cm="1">
        <f t="array" ref="AD4">INDEX('Routes Taxes'!O:O,MATCH('Flight Rotation Weeks'!V4&amp;Y4,'Routes Taxes'!A:A&amp;'Routes Taxes'!I:I,0))</f>
        <v>0</v>
      </c>
      <c r="AE4" s="59">
        <f t="shared" si="0"/>
        <v>0</v>
      </c>
      <c r="AF4" s="81">
        <f>SUMIFS(Booking_Data!K:K,Booking_Data!J:J,B4,Booking_Data!H:H,AA4)</f>
        <v>0</v>
      </c>
      <c r="AG4" s="41">
        <f t="shared" si="1"/>
        <v>186</v>
      </c>
      <c r="AH4" s="81">
        <f>SUMIFS(Booking_Data!L:L,Booking_Data!J:J,B4,Booking_Data!H:H,AA4,Booking_Data!I:I,Y4)</f>
        <v>0</v>
      </c>
      <c r="AI4" s="41">
        <f t="shared" si="2"/>
        <v>186</v>
      </c>
      <c r="AJ4" s="41"/>
      <c r="AK4" s="41">
        <f t="shared" si="3"/>
        <v>186</v>
      </c>
      <c r="AL4" s="41"/>
      <c r="AM4" s="41">
        <f>SUMIFS(Booking_Data!P:P,Booking_Data!J:J,B4,Booking_Data!H:H,AA4)</f>
        <v>0</v>
      </c>
    </row>
    <row r="5" spans="1:40" x14ac:dyDescent="0.25">
      <c r="A5" s="222">
        <v>7</v>
      </c>
      <c r="B5" s="26">
        <v>45774</v>
      </c>
      <c r="C5" s="7" t="s">
        <v>1</v>
      </c>
      <c r="D5" s="7" t="s">
        <v>2</v>
      </c>
      <c r="E5" s="185">
        <v>0</v>
      </c>
      <c r="F5" s="185">
        <v>0</v>
      </c>
      <c r="G5" s="186">
        <v>0</v>
      </c>
      <c r="H5" s="186">
        <v>0</v>
      </c>
      <c r="I5" s="223">
        <v>4</v>
      </c>
      <c r="J5" s="2">
        <v>45000</v>
      </c>
      <c r="K5" s="2">
        <v>0</v>
      </c>
      <c r="L5" s="2">
        <v>45000</v>
      </c>
      <c r="M5" s="3">
        <v>4</v>
      </c>
      <c r="N5" s="2">
        <v>45000</v>
      </c>
      <c r="O5" s="2">
        <v>22500</v>
      </c>
      <c r="P5" s="3" t="s">
        <v>65</v>
      </c>
      <c r="Q5" s="3">
        <v>186</v>
      </c>
      <c r="R5" s="81">
        <v>186</v>
      </c>
      <c r="S5" s="11" t="s">
        <v>214</v>
      </c>
      <c r="T5" s="187" t="s">
        <v>252</v>
      </c>
      <c r="U5" s="3">
        <v>5</v>
      </c>
      <c r="V5" s="3" t="s">
        <v>248</v>
      </c>
      <c r="W5" s="8" t="s">
        <v>265</v>
      </c>
      <c r="X5" s="188" t="s">
        <v>2</v>
      </c>
      <c r="Y5" s="3" t="s">
        <v>24</v>
      </c>
      <c r="Z5" s="3" t="s">
        <v>8</v>
      </c>
      <c r="AA5" s="224" t="s">
        <v>125</v>
      </c>
      <c r="AB5" s="16" t="s">
        <v>72</v>
      </c>
      <c r="AC5" s="21" t="s">
        <v>264</v>
      </c>
      <c r="AD5" s="58" cm="1">
        <f t="array" ref="AD5">INDEX('Routes Taxes'!O:O,MATCH('Flight Rotation Weeks'!V5&amp;Y5,'Routes Taxes'!A:A&amp;'Routes Taxes'!I:I,0))</f>
        <v>0</v>
      </c>
      <c r="AE5" s="59">
        <f t="shared" si="0"/>
        <v>0</v>
      </c>
      <c r="AF5" s="81">
        <f>SUMIFS(Booking_Data!K:K,Booking_Data!J:J,B5,Booking_Data!H:H,AA5)</f>
        <v>0</v>
      </c>
      <c r="AG5" s="41">
        <f t="shared" si="1"/>
        <v>186</v>
      </c>
      <c r="AH5" s="81">
        <f>SUMIFS(Booking_Data!L:L,Booking_Data!J:J,B5,Booking_Data!H:H,AA5,Booking_Data!I:I,Y5)</f>
        <v>0</v>
      </c>
      <c r="AI5" s="41">
        <f t="shared" si="2"/>
        <v>186</v>
      </c>
      <c r="AJ5" s="41"/>
      <c r="AK5" s="41">
        <f t="shared" si="3"/>
        <v>186</v>
      </c>
      <c r="AL5" s="41"/>
      <c r="AM5" s="41">
        <f>SUMIFS(Booking_Data!P:P,Booking_Data!J:J,B5,Booking_Data!H:H,AA5)</f>
        <v>0</v>
      </c>
    </row>
    <row r="6" spans="1:40" x14ac:dyDescent="0.25">
      <c r="A6" s="18">
        <v>7</v>
      </c>
      <c r="B6" s="27">
        <v>45781</v>
      </c>
      <c r="C6" s="7" t="s">
        <v>1</v>
      </c>
      <c r="D6" s="7" t="s">
        <v>2</v>
      </c>
      <c r="E6" s="185">
        <v>0</v>
      </c>
      <c r="F6" s="185">
        <v>0</v>
      </c>
      <c r="G6" s="186">
        <v>0</v>
      </c>
      <c r="H6" s="186">
        <v>0</v>
      </c>
      <c r="I6" s="19">
        <v>4</v>
      </c>
      <c r="J6" s="20">
        <v>45000</v>
      </c>
      <c r="K6" s="20">
        <v>0</v>
      </c>
      <c r="L6" s="20">
        <v>45000</v>
      </c>
      <c r="M6" s="11">
        <v>4</v>
      </c>
      <c r="N6" s="20">
        <v>45000</v>
      </c>
      <c r="O6" s="20">
        <v>22500</v>
      </c>
      <c r="P6" s="11" t="s">
        <v>65</v>
      </c>
      <c r="Q6" s="11">
        <v>186</v>
      </c>
      <c r="R6" s="10">
        <v>186</v>
      </c>
      <c r="S6" s="11" t="s">
        <v>214</v>
      </c>
      <c r="T6" s="187" t="s">
        <v>252</v>
      </c>
      <c r="U6" s="11">
        <v>6</v>
      </c>
      <c r="V6" s="3" t="s">
        <v>248</v>
      </c>
      <c r="W6" s="8" t="s">
        <v>266</v>
      </c>
      <c r="X6" s="188" t="s">
        <v>2</v>
      </c>
      <c r="Y6" s="11" t="s">
        <v>24</v>
      </c>
      <c r="Z6" s="11" t="s">
        <v>8</v>
      </c>
      <c r="AA6" s="189" t="s">
        <v>125</v>
      </c>
      <c r="AB6" s="52" t="s">
        <v>72</v>
      </c>
      <c r="AC6" s="53" t="s">
        <v>264</v>
      </c>
      <c r="AD6" s="58" cm="1">
        <f t="array" ref="AD6">INDEX('Routes Taxes'!O:O,MATCH('Flight Rotation Weeks'!V6&amp;Y6,'Routes Taxes'!A:A&amp;'Routes Taxes'!I:I,0))</f>
        <v>0</v>
      </c>
      <c r="AE6" s="59">
        <f t="shared" si="0"/>
        <v>0</v>
      </c>
      <c r="AF6" s="81">
        <f>SUMIFS(Booking_Data!K:K,Booking_Data!J:J,B6,Booking_Data!H:H,AA6)</f>
        <v>0</v>
      </c>
      <c r="AG6" s="41">
        <f t="shared" si="1"/>
        <v>186</v>
      </c>
      <c r="AH6" s="81">
        <f>SUMIFS(Booking_Data!L:L,Booking_Data!J:J,B6,Booking_Data!H:H,AA6,Booking_Data!I:I,Y6)</f>
        <v>0</v>
      </c>
      <c r="AI6" s="41">
        <f t="shared" si="2"/>
        <v>186</v>
      </c>
      <c r="AJ6" s="41"/>
      <c r="AK6" s="41">
        <f t="shared" si="3"/>
        <v>186</v>
      </c>
      <c r="AL6" s="41"/>
      <c r="AM6" s="41">
        <f>SUMIFS(Booking_Data!P:P,Booking_Data!J:J,B6,Booking_Data!H:H,AA6)</f>
        <v>0</v>
      </c>
    </row>
    <row r="7" spans="1:40" x14ac:dyDescent="0.25">
      <c r="A7" s="222">
        <v>7</v>
      </c>
      <c r="B7" s="26">
        <v>45746</v>
      </c>
      <c r="C7" s="7" t="s">
        <v>2</v>
      </c>
      <c r="D7" s="7" t="s">
        <v>1</v>
      </c>
      <c r="E7" s="185">
        <v>0</v>
      </c>
      <c r="F7" s="185">
        <v>0</v>
      </c>
      <c r="G7" s="186">
        <v>0</v>
      </c>
      <c r="H7" s="186">
        <v>0</v>
      </c>
      <c r="I7" s="223">
        <v>3</v>
      </c>
      <c r="J7" s="2">
        <v>39700</v>
      </c>
      <c r="K7" s="2">
        <v>0</v>
      </c>
      <c r="L7" s="2">
        <v>39700</v>
      </c>
      <c r="M7" s="3">
        <v>3</v>
      </c>
      <c r="N7" s="2">
        <v>39700</v>
      </c>
      <c r="O7" s="2">
        <v>19850</v>
      </c>
      <c r="P7" s="3" t="s">
        <v>64</v>
      </c>
      <c r="Q7" s="3">
        <v>30</v>
      </c>
      <c r="R7" s="81">
        <v>30</v>
      </c>
      <c r="S7" s="11" t="s">
        <v>214</v>
      </c>
      <c r="T7" s="187" t="s">
        <v>251</v>
      </c>
      <c r="U7" s="3">
        <v>1</v>
      </c>
      <c r="V7" s="3" t="s">
        <v>247</v>
      </c>
      <c r="W7" s="8" t="s">
        <v>267</v>
      </c>
      <c r="X7" s="57" t="s">
        <v>2</v>
      </c>
      <c r="Y7" s="3" t="s">
        <v>23</v>
      </c>
      <c r="Z7" s="3" t="s">
        <v>7</v>
      </c>
      <c r="AA7" s="224" t="s">
        <v>253</v>
      </c>
      <c r="AB7" s="16" t="s">
        <v>255</v>
      </c>
      <c r="AC7" s="21" t="s">
        <v>258</v>
      </c>
      <c r="AD7" s="58" cm="1">
        <f t="array" ref="AD7">INDEX('Routes Taxes'!O:O,MATCH('Flight Rotation Weeks'!V7&amp;Y7,'Routes Taxes'!A:A&amp;'Routes Taxes'!I:I,0))</f>
        <v>0</v>
      </c>
      <c r="AE7" s="59">
        <f t="shared" si="0"/>
        <v>0</v>
      </c>
      <c r="AF7" s="81">
        <f>SUMIFS(Booking_Data!K:K,Booking_Data!J:J,B7,Booking_Data!H:H,AA7)</f>
        <v>0</v>
      </c>
      <c r="AG7" s="41">
        <f t="shared" si="1"/>
        <v>30</v>
      </c>
      <c r="AH7" s="81">
        <f>SUMIFS(Booking_Data!L:L,Booking_Data!J:J,B7,Booking_Data!H:H,AA7,Booking_Data!I:I,Y7)</f>
        <v>0</v>
      </c>
      <c r="AI7" s="41">
        <f t="shared" si="2"/>
        <v>30</v>
      </c>
      <c r="AJ7" s="41"/>
      <c r="AK7" s="41">
        <f t="shared" si="3"/>
        <v>30</v>
      </c>
      <c r="AL7" s="41"/>
      <c r="AM7" s="41">
        <f>SUMIFS(Booking_Data!P:P,Booking_Data!J:J,B7,Booking_Data!H:H,AA7)</f>
        <v>0</v>
      </c>
    </row>
    <row r="8" spans="1:40" x14ac:dyDescent="0.25">
      <c r="A8" s="222">
        <v>7</v>
      </c>
      <c r="B8" s="26">
        <v>45753</v>
      </c>
      <c r="C8" s="7" t="s">
        <v>2</v>
      </c>
      <c r="D8" s="7" t="s">
        <v>1</v>
      </c>
      <c r="E8" s="185">
        <v>0</v>
      </c>
      <c r="F8" s="185">
        <v>0</v>
      </c>
      <c r="G8" s="186">
        <v>0</v>
      </c>
      <c r="H8" s="186">
        <v>0</v>
      </c>
      <c r="I8" s="223">
        <v>3</v>
      </c>
      <c r="J8" s="2">
        <v>39700</v>
      </c>
      <c r="K8" s="2">
        <v>0</v>
      </c>
      <c r="L8" s="2">
        <v>39700</v>
      </c>
      <c r="M8" s="3">
        <v>3</v>
      </c>
      <c r="N8" s="2">
        <v>39700</v>
      </c>
      <c r="O8" s="2">
        <v>19850</v>
      </c>
      <c r="P8" s="3" t="s">
        <v>64</v>
      </c>
      <c r="Q8" s="3">
        <v>85</v>
      </c>
      <c r="R8" s="81">
        <v>85</v>
      </c>
      <c r="S8" s="11" t="s">
        <v>214</v>
      </c>
      <c r="T8" s="187" t="s">
        <v>251</v>
      </c>
      <c r="U8" s="3">
        <v>2</v>
      </c>
      <c r="V8" s="3" t="s">
        <v>247</v>
      </c>
      <c r="W8" s="8" t="s">
        <v>261</v>
      </c>
      <c r="X8" s="188" t="s">
        <v>2</v>
      </c>
      <c r="Y8" s="3" t="s">
        <v>23</v>
      </c>
      <c r="Z8" s="3" t="s">
        <v>7</v>
      </c>
      <c r="AA8" s="224" t="s">
        <v>253</v>
      </c>
      <c r="AB8" s="16" t="s">
        <v>255</v>
      </c>
      <c r="AC8" s="21" t="s">
        <v>258</v>
      </c>
      <c r="AD8" s="58" cm="1">
        <f t="array" ref="AD8">INDEX('Routes Taxes'!O:O,MATCH('Flight Rotation Weeks'!V8&amp;Y8,'Routes Taxes'!A:A&amp;'Routes Taxes'!I:I,0))</f>
        <v>0</v>
      </c>
      <c r="AE8" s="59">
        <f t="shared" si="0"/>
        <v>0</v>
      </c>
      <c r="AF8" s="81">
        <f>SUMIFS(Booking_Data!K:K,Booking_Data!J:J,B8,Booking_Data!H:H,AA8)</f>
        <v>8</v>
      </c>
      <c r="AG8" s="41">
        <f t="shared" si="1"/>
        <v>77</v>
      </c>
      <c r="AH8" s="81">
        <f>SUMIFS(Booking_Data!L:L,Booking_Data!J:J,B8,Booking_Data!H:H,AA8,Booking_Data!I:I,Y8)</f>
        <v>8</v>
      </c>
      <c r="AI8" s="41">
        <f t="shared" si="2"/>
        <v>77</v>
      </c>
      <c r="AJ8" s="41"/>
      <c r="AK8" s="41">
        <f t="shared" si="3"/>
        <v>77</v>
      </c>
      <c r="AL8" s="41"/>
      <c r="AM8" s="41">
        <f>SUMIFS(Booking_Data!P:P,Booking_Data!J:J,B8,Booking_Data!H:H,AA8)</f>
        <v>1287.32</v>
      </c>
    </row>
    <row r="9" spans="1:40" x14ac:dyDescent="0.25">
      <c r="A9" s="222">
        <v>7</v>
      </c>
      <c r="B9" s="26">
        <v>45760</v>
      </c>
      <c r="C9" s="7" t="s">
        <v>2</v>
      </c>
      <c r="D9" s="7" t="s">
        <v>1</v>
      </c>
      <c r="E9" s="185">
        <v>0</v>
      </c>
      <c r="F9" s="185">
        <v>0</v>
      </c>
      <c r="G9" s="186">
        <v>0</v>
      </c>
      <c r="H9" s="186">
        <v>0</v>
      </c>
      <c r="I9" s="223">
        <v>4</v>
      </c>
      <c r="J9" s="2">
        <v>45000</v>
      </c>
      <c r="K9" s="2">
        <v>0</v>
      </c>
      <c r="L9" s="2">
        <v>45000</v>
      </c>
      <c r="M9" s="3">
        <v>4</v>
      </c>
      <c r="N9" s="2">
        <v>45000</v>
      </c>
      <c r="O9" s="2">
        <v>22500</v>
      </c>
      <c r="P9" s="3" t="s">
        <v>65</v>
      </c>
      <c r="Q9" s="3">
        <v>186</v>
      </c>
      <c r="R9" s="81">
        <v>186</v>
      </c>
      <c r="S9" s="11" t="s">
        <v>214</v>
      </c>
      <c r="T9" s="187" t="s">
        <v>252</v>
      </c>
      <c r="U9" s="3">
        <v>3</v>
      </c>
      <c r="V9" s="3" t="s">
        <v>248</v>
      </c>
      <c r="W9" s="8" t="s">
        <v>268</v>
      </c>
      <c r="X9" s="188" t="s">
        <v>2</v>
      </c>
      <c r="Y9" s="3" t="s">
        <v>23</v>
      </c>
      <c r="Z9" s="3" t="s">
        <v>7</v>
      </c>
      <c r="AA9" s="224" t="s">
        <v>124</v>
      </c>
      <c r="AB9" s="16" t="s">
        <v>72</v>
      </c>
      <c r="AC9" s="21" t="s">
        <v>269</v>
      </c>
      <c r="AD9" s="58" cm="1">
        <f t="array" ref="AD9">INDEX('Routes Taxes'!O:O,MATCH('Flight Rotation Weeks'!V9&amp;Y9,'Routes Taxes'!A:A&amp;'Routes Taxes'!I:I,0))</f>
        <v>0</v>
      </c>
      <c r="AE9" s="59">
        <f t="shared" si="0"/>
        <v>0</v>
      </c>
      <c r="AF9" s="81">
        <f>SUMIFS(Booking_Data!K:K,Booking_Data!J:J,B9,Booking_Data!H:H,AA9)</f>
        <v>22</v>
      </c>
      <c r="AG9" s="41">
        <f t="shared" ref="AG9" si="4">R9-AF9</f>
        <v>164</v>
      </c>
      <c r="AH9" s="81">
        <f>SUMIFS(Booking_Data!L:L,Booking_Data!J:J,B9,Booking_Data!H:H,AA9,Booking_Data!I:I,Y9)</f>
        <v>22</v>
      </c>
      <c r="AI9" s="41">
        <f t="shared" ref="AI9" si="5">R9-AH9</f>
        <v>164</v>
      </c>
      <c r="AJ9" s="41"/>
      <c r="AK9" s="41">
        <f t="shared" ref="AK9" si="6">AG9-AJ9</f>
        <v>164</v>
      </c>
      <c r="AL9" s="41"/>
      <c r="AM9" s="41">
        <f>SUMIFS(Booking_Data!P:P,Booking_Data!J:J,B9,Booking_Data!H:H,AA9)</f>
        <v>3283.93</v>
      </c>
      <c r="AN9"/>
    </row>
    <row r="10" spans="1:40" x14ac:dyDescent="0.25">
      <c r="A10" s="18">
        <v>5</v>
      </c>
      <c r="B10" s="27">
        <v>45765</v>
      </c>
      <c r="C10" s="7" t="s">
        <v>2</v>
      </c>
      <c r="D10" s="7" t="s">
        <v>1</v>
      </c>
      <c r="E10" s="185">
        <v>0</v>
      </c>
      <c r="F10" s="185">
        <v>0</v>
      </c>
      <c r="G10" s="186">
        <v>0</v>
      </c>
      <c r="H10" s="186">
        <v>0</v>
      </c>
      <c r="I10" s="19">
        <v>3</v>
      </c>
      <c r="J10" s="20">
        <v>46700</v>
      </c>
      <c r="K10" s="20">
        <v>0</v>
      </c>
      <c r="L10" s="20">
        <v>46700</v>
      </c>
      <c r="M10" s="11">
        <v>3</v>
      </c>
      <c r="N10" s="20">
        <v>46700</v>
      </c>
      <c r="O10" s="20">
        <v>23350</v>
      </c>
      <c r="P10" s="11" t="s">
        <v>65</v>
      </c>
      <c r="Q10" s="11">
        <v>186</v>
      </c>
      <c r="R10" s="10">
        <v>186</v>
      </c>
      <c r="S10" s="11" t="s">
        <v>214</v>
      </c>
      <c r="T10" s="3" t="s">
        <v>119</v>
      </c>
      <c r="U10" s="11">
        <v>3</v>
      </c>
      <c r="V10" s="3" t="s">
        <v>146</v>
      </c>
      <c r="W10" s="8" t="s">
        <v>159</v>
      </c>
      <c r="X10" s="188" t="s">
        <v>2</v>
      </c>
      <c r="Y10" s="11" t="s">
        <v>23</v>
      </c>
      <c r="Z10" s="11" t="s">
        <v>7</v>
      </c>
      <c r="AA10" s="189" t="s">
        <v>212</v>
      </c>
      <c r="AB10" s="52" t="s">
        <v>72</v>
      </c>
      <c r="AC10" s="53" t="s">
        <v>213</v>
      </c>
      <c r="AD10" s="58" cm="1">
        <f t="array" ref="AD10">INDEX('Routes Taxes'!O:O,MATCH('Flight Rotation Weeks'!V10&amp;Y10,'Routes Taxes'!A:A&amp;'Routes Taxes'!I:I,0))</f>
        <v>0</v>
      </c>
      <c r="AE10" s="59">
        <f t="shared" ref="AE10:AE11" si="7">AD10*AH10</f>
        <v>0</v>
      </c>
      <c r="AF10" s="81">
        <f>SUMIFS(Booking_Data!K:K,Booking_Data!J:J,B10,Booking_Data!H:H,AA10)</f>
        <v>88</v>
      </c>
      <c r="AG10" s="41">
        <f t="shared" ref="AG10" si="8">R10-AF10</f>
        <v>98</v>
      </c>
      <c r="AH10" s="81">
        <f>SUMIFS(Booking_Data!L:L,Booking_Data!J:J,B10,Booking_Data!H:H,AA10,Booking_Data!I:I,Y10)</f>
        <v>88</v>
      </c>
      <c r="AI10" s="41">
        <f t="shared" ref="AI10" si="9">R10-AH10</f>
        <v>98</v>
      </c>
      <c r="AJ10" s="41"/>
      <c r="AK10" s="41">
        <f t="shared" ref="AK10" si="10">AG10-AJ10</f>
        <v>98</v>
      </c>
      <c r="AL10" s="41"/>
      <c r="AM10" s="41">
        <f>SUMIFS(Booking_Data!P:P,Booking_Data!J:J,B10,Booking_Data!H:H,AA10)</f>
        <v>24004.350000000009</v>
      </c>
    </row>
    <row r="11" spans="1:40" x14ac:dyDescent="0.25">
      <c r="A11" s="18">
        <v>5</v>
      </c>
      <c r="B11" s="27">
        <v>45765</v>
      </c>
      <c r="C11" s="7" t="s">
        <v>2</v>
      </c>
      <c r="D11" s="7" t="s">
        <v>1</v>
      </c>
      <c r="E11" s="185">
        <v>0</v>
      </c>
      <c r="F11" s="185">
        <v>0</v>
      </c>
      <c r="G11" s="186">
        <v>0</v>
      </c>
      <c r="H11" s="186">
        <v>0</v>
      </c>
      <c r="I11" s="223">
        <v>3</v>
      </c>
      <c r="J11" s="2">
        <v>0</v>
      </c>
      <c r="K11" s="2">
        <v>0</v>
      </c>
      <c r="L11" s="2">
        <v>0</v>
      </c>
      <c r="M11" s="3">
        <v>3</v>
      </c>
      <c r="N11" s="2">
        <v>0</v>
      </c>
      <c r="O11" s="2">
        <v>0</v>
      </c>
      <c r="P11" s="3" t="s">
        <v>64</v>
      </c>
      <c r="Q11" s="3">
        <v>95</v>
      </c>
      <c r="R11" s="81">
        <v>95</v>
      </c>
      <c r="S11" s="3" t="s">
        <v>214</v>
      </c>
      <c r="T11" s="187" t="s">
        <v>260</v>
      </c>
      <c r="U11" s="3">
        <v>1</v>
      </c>
      <c r="V11" s="3" t="s">
        <v>259</v>
      </c>
      <c r="W11" s="8" t="s">
        <v>270</v>
      </c>
      <c r="X11" s="57" t="s">
        <v>2</v>
      </c>
      <c r="Y11" s="3" t="s">
        <v>23</v>
      </c>
      <c r="Z11" s="3" t="s">
        <v>7</v>
      </c>
      <c r="AA11" s="224" t="s">
        <v>217</v>
      </c>
      <c r="AB11" s="16" t="s">
        <v>227</v>
      </c>
      <c r="AC11" s="21" t="s">
        <v>228</v>
      </c>
      <c r="AD11" s="58" cm="1">
        <f t="array" ref="AD11">INDEX('Routes Taxes'!O:O,MATCH('Flight Rotation Weeks'!V11&amp;Y11,'Routes Taxes'!A:A&amp;'Routes Taxes'!I:I,0))</f>
        <v>0</v>
      </c>
      <c r="AE11" s="59">
        <f t="shared" si="7"/>
        <v>0</v>
      </c>
      <c r="AF11" s="81">
        <f>SUMIFS(Booking_Data!K:K,Booking_Data!J:J,B11,Booking_Data!H:H,AA11)</f>
        <v>55</v>
      </c>
      <c r="AG11" s="41">
        <f>R11-AF11</f>
        <v>40</v>
      </c>
      <c r="AH11" s="81">
        <f>SUMIFS(Booking_Data!L:L,Booking_Data!J:J,B11,Booking_Data!H:H,AA11,Booking_Data!I:I,Y11)</f>
        <v>55</v>
      </c>
      <c r="AI11" s="41">
        <f>R11-AH11</f>
        <v>40</v>
      </c>
      <c r="AJ11" s="41"/>
      <c r="AK11" s="41">
        <f>AG11-AJ11</f>
        <v>40</v>
      </c>
      <c r="AL11" s="41"/>
      <c r="AM11" s="41">
        <f>SUMIFS(Booking_Data!P:P,Booking_Data!J:J,B11,Booking_Data!H:H,AA11)</f>
        <v>15750</v>
      </c>
    </row>
    <row r="12" spans="1:40" x14ac:dyDescent="0.25">
      <c r="A12" s="18">
        <v>1</v>
      </c>
      <c r="B12" s="27">
        <v>46020</v>
      </c>
      <c r="C12" s="7" t="s">
        <v>2</v>
      </c>
      <c r="D12" s="7" t="s">
        <v>1</v>
      </c>
      <c r="E12" s="185">
        <v>0</v>
      </c>
      <c r="F12" s="185">
        <v>0</v>
      </c>
      <c r="G12" s="186">
        <v>0</v>
      </c>
      <c r="H12" s="186">
        <v>0</v>
      </c>
      <c r="I12" s="19">
        <v>3</v>
      </c>
      <c r="J12" s="20">
        <v>0</v>
      </c>
      <c r="K12" s="20">
        <v>0</v>
      </c>
      <c r="L12" s="20">
        <v>0</v>
      </c>
      <c r="M12" s="11">
        <v>3</v>
      </c>
      <c r="N12" s="20">
        <v>0</v>
      </c>
      <c r="O12" s="20">
        <v>0</v>
      </c>
      <c r="P12" s="11" t="s">
        <v>64</v>
      </c>
      <c r="Q12" s="11">
        <v>174</v>
      </c>
      <c r="R12" s="10">
        <v>174</v>
      </c>
      <c r="S12" s="3" t="s">
        <v>215</v>
      </c>
      <c r="T12" s="3">
        <v>14</v>
      </c>
      <c r="U12" s="3">
        <v>2</v>
      </c>
      <c r="V12" s="3" t="s">
        <v>238</v>
      </c>
      <c r="W12" s="8" t="s">
        <v>239</v>
      </c>
      <c r="X12" s="188" t="s">
        <v>2</v>
      </c>
      <c r="Y12" s="11" t="s">
        <v>23</v>
      </c>
      <c r="Z12" s="11" t="s">
        <v>7</v>
      </c>
      <c r="AA12" s="189" t="s">
        <v>237</v>
      </c>
      <c r="AB12" s="52" t="s">
        <v>134</v>
      </c>
      <c r="AC12" s="53" t="s">
        <v>240</v>
      </c>
      <c r="AD12" s="58" cm="1">
        <f t="array" ref="AD12">INDEX('Routes Taxes'!O:O,MATCH('Flight Rotation Weeks'!V12&amp;Y12,'Routes Taxes'!A:A&amp;'Routes Taxes'!I:I,0))</f>
        <v>0</v>
      </c>
      <c r="AE12" s="59">
        <f t="shared" ref="AE12" si="11">AD12*AH12</f>
        <v>0</v>
      </c>
      <c r="AF12" s="81">
        <f>SUMIFS(Booking_Data!K:K,Booking_Data!J:J,B12,Booking_Data!H:H,AA12)</f>
        <v>0</v>
      </c>
      <c r="AG12" s="41">
        <f t="shared" ref="AG12" si="12">R12-AF12</f>
        <v>174</v>
      </c>
      <c r="AH12" s="81">
        <f>SUMIFS(Booking_Data!L:L,Booking_Data!J:J,B12,Booking_Data!H:H,AA12,Booking_Data!I:I,Y12)</f>
        <v>0</v>
      </c>
      <c r="AI12" s="41">
        <f t="shared" ref="AI12" si="13">R12-AH12</f>
        <v>174</v>
      </c>
      <c r="AJ12" s="41"/>
      <c r="AK12" s="41">
        <f t="shared" ref="AK12" si="14">AG12-AJ12</f>
        <v>174</v>
      </c>
      <c r="AL12" s="41"/>
      <c r="AM12" s="41">
        <f>SUMIFS(Booking_Data!P:P,Booking_Data!J:J,B12,Booking_Data!H:H,AA12)</f>
        <v>0</v>
      </c>
    </row>
  </sheetData>
  <phoneticPr fontId="57" type="noConversion"/>
  <conditionalFormatting sqref="AG2:AG12">
    <cfRule type="colorScale" priority="298">
      <colorScale>
        <cfvo type="min"/>
        <cfvo type="max"/>
        <color rgb="FFF8696B"/>
        <color rgb="FFFCFCFF"/>
      </colorScale>
    </cfRule>
    <cfRule type="cellIs" dxfId="2" priority="299" operator="lessThanOrEqual">
      <formula>0</formula>
    </cfRule>
  </conditionalFormatting>
  <conditionalFormatting sqref="AI2:AI12">
    <cfRule type="cellIs" dxfId="1" priority="5" operator="lessThanOrEqual">
      <formula>0</formula>
    </cfRule>
  </conditionalFormatting>
  <pageMargins left="0.7" right="0.7" top="0.75" bottom="0.75" header="0.3" footer="0.3"/>
  <pageSetup orientation="portrait" r:id="rId1"/>
  <ignoredErrors>
    <ignoredError sqref="V10:AB10 V11:AB11" calculatedColumn="1"/>
    <ignoredError sqref="T10" numberStoredAsText="1"/>
    <ignoredError sqref="AC10 AC11" numberStoredAsText="1" calculatedColumn="1"/>
  </ignoredError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4A6F-FD97-406A-8E54-73B1AC4BF00E}">
  <sheetPr codeName="Sheet10">
    <tabColor rgb="FF00B0AC"/>
    <pageSetUpPr fitToPage="1"/>
  </sheetPr>
  <dimension ref="A1:S77"/>
  <sheetViews>
    <sheetView showGridLines="0" zoomScale="85" zoomScaleNormal="85" workbookViewId="0">
      <pane xSplit="1" ySplit="1" topLeftCell="B44" activePane="bottomRight" state="frozen"/>
      <selection pane="topRight" activeCell="B1" sqref="B1"/>
      <selection pane="bottomLeft" activeCell="A2" sqref="A2"/>
      <selection pane="bottomRight" activeCell="T32" sqref="T32"/>
    </sheetView>
  </sheetViews>
  <sheetFormatPr defaultColWidth="8.5" defaultRowHeight="15" x14ac:dyDescent="0.25"/>
  <cols>
    <col min="1" max="1" width="10.375" style="30" customWidth="1"/>
    <col min="2" max="2" width="13.5" style="30" bestFit="1" customWidth="1"/>
    <col min="3" max="3" width="14.5" style="30" customWidth="1"/>
    <col min="4" max="4" width="13.5" style="30" customWidth="1"/>
    <col min="5" max="5" width="9.5" style="30" bestFit="1" customWidth="1"/>
    <col min="6" max="6" width="12.5" style="30" bestFit="1" customWidth="1"/>
    <col min="7" max="7" width="13.5" style="30" bestFit="1" customWidth="1"/>
    <col min="8" max="8" width="11.5" style="30" bestFit="1" customWidth="1"/>
    <col min="9" max="9" width="13.5" style="30" bestFit="1" customWidth="1"/>
    <col min="10" max="10" width="14.5" style="30" customWidth="1"/>
    <col min="11" max="13" width="11.5" style="30" customWidth="1"/>
    <col min="14" max="14" width="12" style="30" bestFit="1" customWidth="1"/>
    <col min="15" max="15" width="13.625" style="30" customWidth="1"/>
    <col min="16" max="16" width="11.875" style="30" customWidth="1"/>
    <col min="17" max="17" width="13.625" style="31" customWidth="1"/>
    <col min="18" max="18" width="11" style="30" customWidth="1"/>
    <col min="19" max="19" width="13" style="30" customWidth="1"/>
    <col min="20" max="16384" width="8.5" style="30"/>
  </cols>
  <sheetData>
    <row r="1" spans="1:19" x14ac:dyDescent="0.25">
      <c r="A1" s="111" t="s">
        <v>28</v>
      </c>
      <c r="B1" s="112" t="s">
        <v>25</v>
      </c>
      <c r="C1" s="112" t="s">
        <v>34</v>
      </c>
      <c r="D1" s="112" t="s">
        <v>35</v>
      </c>
      <c r="E1" s="112" t="s">
        <v>9</v>
      </c>
      <c r="F1" s="112" t="s">
        <v>10</v>
      </c>
      <c r="G1" s="112" t="s">
        <v>36</v>
      </c>
      <c r="H1" s="112" t="s">
        <v>37</v>
      </c>
      <c r="I1" s="112" t="s">
        <v>67</v>
      </c>
      <c r="J1" s="112" t="s">
        <v>38</v>
      </c>
      <c r="K1" s="112" t="s">
        <v>39</v>
      </c>
      <c r="L1" s="112" t="s">
        <v>14</v>
      </c>
      <c r="M1" s="112" t="s">
        <v>40</v>
      </c>
      <c r="N1" s="112" t="s">
        <v>68</v>
      </c>
      <c r="O1" s="113" t="s">
        <v>41</v>
      </c>
      <c r="P1" s="113" t="s">
        <v>42</v>
      </c>
      <c r="Q1" s="113" t="s">
        <v>43</v>
      </c>
      <c r="R1" s="113" t="s">
        <v>44</v>
      </c>
      <c r="S1" s="114" t="s">
        <v>45</v>
      </c>
    </row>
    <row r="2" spans="1:19" x14ac:dyDescent="0.25">
      <c r="A2" s="115" t="s">
        <v>26</v>
      </c>
      <c r="B2" s="47" t="s">
        <v>54</v>
      </c>
      <c r="C2" s="47" t="s">
        <v>52</v>
      </c>
      <c r="D2" s="47" t="s">
        <v>53</v>
      </c>
      <c r="E2" s="116" t="s">
        <v>1</v>
      </c>
      <c r="F2" s="116" t="s">
        <v>2</v>
      </c>
      <c r="G2" s="116" t="s">
        <v>46</v>
      </c>
      <c r="H2" s="116" t="s">
        <v>47</v>
      </c>
      <c r="I2" s="116" t="s">
        <v>54</v>
      </c>
      <c r="J2" s="32" t="s">
        <v>55</v>
      </c>
      <c r="K2" s="33">
        <v>37.434800000000003</v>
      </c>
      <c r="L2" s="33">
        <v>2</v>
      </c>
      <c r="M2" s="33">
        <v>34.659999999999997</v>
      </c>
      <c r="N2" s="33">
        <v>2</v>
      </c>
      <c r="O2" s="34">
        <v>76.094799999999992</v>
      </c>
      <c r="P2" s="33">
        <v>0</v>
      </c>
      <c r="Q2" s="34">
        <v>76.094799999999992</v>
      </c>
      <c r="R2" s="33">
        <v>0</v>
      </c>
      <c r="S2" s="82">
        <v>76.094799999999992</v>
      </c>
    </row>
    <row r="3" spans="1:19" x14ac:dyDescent="0.25">
      <c r="A3" s="115" t="s">
        <v>26</v>
      </c>
      <c r="B3" s="48" t="s">
        <v>24</v>
      </c>
      <c r="C3" s="48" t="s">
        <v>52</v>
      </c>
      <c r="D3" s="48" t="s">
        <v>53</v>
      </c>
      <c r="E3" s="116" t="s">
        <v>1</v>
      </c>
      <c r="F3" s="116" t="s">
        <v>2</v>
      </c>
      <c r="G3" s="116" t="s">
        <v>48</v>
      </c>
      <c r="H3" s="116" t="s">
        <v>49</v>
      </c>
      <c r="I3" s="116" t="s">
        <v>24</v>
      </c>
      <c r="J3" s="32" t="s">
        <v>56</v>
      </c>
      <c r="K3" s="33">
        <v>37.434800000000003</v>
      </c>
      <c r="L3" s="33">
        <v>2</v>
      </c>
      <c r="M3" s="35"/>
      <c r="N3" s="35"/>
      <c r="O3" s="34">
        <v>39.434800000000003</v>
      </c>
      <c r="P3" s="33">
        <v>0</v>
      </c>
      <c r="Q3" s="34">
        <v>39.434800000000003</v>
      </c>
      <c r="R3" s="33">
        <v>0</v>
      </c>
      <c r="S3" s="82">
        <v>39.434800000000003</v>
      </c>
    </row>
    <row r="4" spans="1:19" x14ac:dyDescent="0.25">
      <c r="A4" s="115" t="s">
        <v>26</v>
      </c>
      <c r="B4" s="48" t="s">
        <v>57</v>
      </c>
      <c r="C4" s="48" t="s">
        <v>53</v>
      </c>
      <c r="D4" s="48" t="s">
        <v>52</v>
      </c>
      <c r="E4" s="116" t="s">
        <v>2</v>
      </c>
      <c r="F4" s="116" t="s">
        <v>1</v>
      </c>
      <c r="G4" s="116" t="s">
        <v>50</v>
      </c>
      <c r="H4" s="116" t="s">
        <v>47</v>
      </c>
      <c r="I4" s="116" t="s">
        <v>57</v>
      </c>
      <c r="J4" s="32" t="s">
        <v>58</v>
      </c>
      <c r="K4" s="33">
        <v>37.434800000000003</v>
      </c>
      <c r="L4" s="33">
        <v>2</v>
      </c>
      <c r="M4" s="33">
        <v>34.659999999999997</v>
      </c>
      <c r="N4" s="33">
        <v>2</v>
      </c>
      <c r="O4" s="34">
        <v>76.094799999999992</v>
      </c>
      <c r="P4" s="33">
        <v>0</v>
      </c>
      <c r="Q4" s="34">
        <v>76.094799999999992</v>
      </c>
      <c r="R4" s="33">
        <v>0</v>
      </c>
      <c r="S4" s="82">
        <v>76.094799999999992</v>
      </c>
    </row>
    <row r="5" spans="1:19" x14ac:dyDescent="0.25">
      <c r="A5" s="115" t="s">
        <v>26</v>
      </c>
      <c r="B5" s="48" t="s">
        <v>23</v>
      </c>
      <c r="C5" s="48" t="s">
        <v>53</v>
      </c>
      <c r="D5" s="48" t="s">
        <v>52</v>
      </c>
      <c r="E5" s="116" t="s">
        <v>2</v>
      </c>
      <c r="F5" s="116" t="s">
        <v>1</v>
      </c>
      <c r="G5" s="116" t="s">
        <v>51</v>
      </c>
      <c r="H5" s="116" t="s">
        <v>49</v>
      </c>
      <c r="I5" s="116" t="s">
        <v>23</v>
      </c>
      <c r="J5" s="32" t="s">
        <v>59</v>
      </c>
      <c r="K5" s="35"/>
      <c r="L5" s="35"/>
      <c r="M5" s="33">
        <v>34.659999999999997</v>
      </c>
      <c r="N5" s="33">
        <v>2</v>
      </c>
      <c r="O5" s="34">
        <v>36.659999999999997</v>
      </c>
      <c r="P5" s="33">
        <v>0</v>
      </c>
      <c r="Q5" s="34">
        <v>36.659999999999997</v>
      </c>
      <c r="R5" s="33">
        <v>0</v>
      </c>
      <c r="S5" s="82">
        <v>36.659999999999997</v>
      </c>
    </row>
    <row r="6" spans="1:19" x14ac:dyDescent="0.25">
      <c r="A6" s="115" t="s">
        <v>85</v>
      </c>
      <c r="B6" s="47" t="s">
        <v>54</v>
      </c>
      <c r="C6" s="47" t="s">
        <v>52</v>
      </c>
      <c r="D6" s="47" t="s">
        <v>53</v>
      </c>
      <c r="E6" s="116" t="s">
        <v>1</v>
      </c>
      <c r="F6" s="116" t="s">
        <v>2</v>
      </c>
      <c r="G6" s="116" t="s">
        <v>46</v>
      </c>
      <c r="H6" s="116" t="s">
        <v>47</v>
      </c>
      <c r="I6" s="116" t="s">
        <v>54</v>
      </c>
      <c r="J6" s="32" t="s">
        <v>55</v>
      </c>
      <c r="K6" s="33">
        <v>37.434800000000003</v>
      </c>
      <c r="L6" s="33">
        <v>2</v>
      </c>
      <c r="M6" s="33">
        <v>34.659999999999997</v>
      </c>
      <c r="N6" s="33">
        <v>2</v>
      </c>
      <c r="O6" s="34">
        <v>76.094799999999992</v>
      </c>
      <c r="P6" s="33">
        <v>0</v>
      </c>
      <c r="Q6" s="34">
        <v>76.094799999999992</v>
      </c>
      <c r="R6" s="33">
        <v>0</v>
      </c>
      <c r="S6" s="82">
        <v>76.094799999999992</v>
      </c>
    </row>
    <row r="7" spans="1:19" x14ac:dyDescent="0.25">
      <c r="A7" s="115" t="s">
        <v>85</v>
      </c>
      <c r="B7" s="48" t="s">
        <v>24</v>
      </c>
      <c r="C7" s="48" t="s">
        <v>52</v>
      </c>
      <c r="D7" s="48" t="s">
        <v>53</v>
      </c>
      <c r="E7" s="116" t="s">
        <v>1</v>
      </c>
      <c r="F7" s="116" t="s">
        <v>2</v>
      </c>
      <c r="G7" s="116" t="s">
        <v>48</v>
      </c>
      <c r="H7" s="116" t="s">
        <v>49</v>
      </c>
      <c r="I7" s="116" t="s">
        <v>24</v>
      </c>
      <c r="J7" s="32" t="s">
        <v>56</v>
      </c>
      <c r="K7" s="33">
        <v>37.434800000000003</v>
      </c>
      <c r="L7" s="33">
        <v>2</v>
      </c>
      <c r="M7" s="35"/>
      <c r="N7" s="35"/>
      <c r="O7" s="34">
        <v>39.434800000000003</v>
      </c>
      <c r="P7" s="33">
        <v>0</v>
      </c>
      <c r="Q7" s="34">
        <v>39.434800000000003</v>
      </c>
      <c r="R7" s="33">
        <v>0</v>
      </c>
      <c r="S7" s="82">
        <v>39.434800000000003</v>
      </c>
    </row>
    <row r="8" spans="1:19" x14ac:dyDescent="0.25">
      <c r="A8" s="115" t="s">
        <v>85</v>
      </c>
      <c r="B8" s="48" t="s">
        <v>57</v>
      </c>
      <c r="C8" s="48" t="s">
        <v>53</v>
      </c>
      <c r="D8" s="48" t="s">
        <v>52</v>
      </c>
      <c r="E8" s="116" t="s">
        <v>2</v>
      </c>
      <c r="F8" s="116" t="s">
        <v>1</v>
      </c>
      <c r="G8" s="116" t="s">
        <v>50</v>
      </c>
      <c r="H8" s="116" t="s">
        <v>47</v>
      </c>
      <c r="I8" s="116" t="s">
        <v>57</v>
      </c>
      <c r="J8" s="32" t="s">
        <v>58</v>
      </c>
      <c r="K8" s="33">
        <v>37.434800000000003</v>
      </c>
      <c r="L8" s="33">
        <v>2</v>
      </c>
      <c r="M8" s="33">
        <v>34.659999999999997</v>
      </c>
      <c r="N8" s="33">
        <v>2</v>
      </c>
      <c r="O8" s="34">
        <v>76.094799999999992</v>
      </c>
      <c r="P8" s="33">
        <v>0</v>
      </c>
      <c r="Q8" s="34">
        <v>76.094799999999992</v>
      </c>
      <c r="R8" s="33">
        <v>0</v>
      </c>
      <c r="S8" s="82">
        <v>76.094799999999992</v>
      </c>
    </row>
    <row r="9" spans="1:19" x14ac:dyDescent="0.25">
      <c r="A9" s="115" t="s">
        <v>85</v>
      </c>
      <c r="B9" s="48" t="s">
        <v>23</v>
      </c>
      <c r="C9" s="48" t="s">
        <v>53</v>
      </c>
      <c r="D9" s="48" t="s">
        <v>52</v>
      </c>
      <c r="E9" s="116" t="s">
        <v>2</v>
      </c>
      <c r="F9" s="116" t="s">
        <v>1</v>
      </c>
      <c r="G9" s="116" t="s">
        <v>51</v>
      </c>
      <c r="H9" s="116" t="s">
        <v>49</v>
      </c>
      <c r="I9" s="116" t="s">
        <v>23</v>
      </c>
      <c r="J9" s="32" t="s">
        <v>59</v>
      </c>
      <c r="K9" s="35"/>
      <c r="L9" s="35"/>
      <c r="M9" s="33">
        <v>34.659999999999997</v>
      </c>
      <c r="N9" s="33">
        <v>2</v>
      </c>
      <c r="O9" s="34">
        <v>36.659999999999997</v>
      </c>
      <c r="P9" s="33">
        <v>0</v>
      </c>
      <c r="Q9" s="34">
        <v>36.659999999999997</v>
      </c>
      <c r="R9" s="33">
        <v>0</v>
      </c>
      <c r="S9" s="82">
        <v>36.659999999999997</v>
      </c>
    </row>
    <row r="10" spans="1:19" x14ac:dyDescent="0.25">
      <c r="A10" s="115" t="s">
        <v>27</v>
      </c>
      <c r="B10" s="47" t="s">
        <v>54</v>
      </c>
      <c r="C10" s="47" t="s">
        <v>52</v>
      </c>
      <c r="D10" s="47" t="s">
        <v>53</v>
      </c>
      <c r="E10" s="116" t="s">
        <v>1</v>
      </c>
      <c r="F10" s="116" t="s">
        <v>2</v>
      </c>
      <c r="G10" s="116" t="s">
        <v>46</v>
      </c>
      <c r="H10" s="116" t="s">
        <v>47</v>
      </c>
      <c r="I10" s="116" t="s">
        <v>54</v>
      </c>
      <c r="J10" s="32" t="s">
        <v>55</v>
      </c>
      <c r="K10" s="33">
        <v>37.434800000000003</v>
      </c>
      <c r="L10" s="33">
        <v>2</v>
      </c>
      <c r="M10" s="33">
        <v>34.659999999999997</v>
      </c>
      <c r="N10" s="33">
        <v>2</v>
      </c>
      <c r="O10" s="34">
        <v>76.094799999999992</v>
      </c>
      <c r="P10" s="33">
        <v>0</v>
      </c>
      <c r="Q10" s="34">
        <v>76.094799999999992</v>
      </c>
      <c r="R10" s="33">
        <v>0</v>
      </c>
      <c r="S10" s="82">
        <v>76.094799999999992</v>
      </c>
    </row>
    <row r="11" spans="1:19" x14ac:dyDescent="0.25">
      <c r="A11" s="115" t="s">
        <v>27</v>
      </c>
      <c r="B11" s="48" t="s">
        <v>24</v>
      </c>
      <c r="C11" s="48" t="s">
        <v>52</v>
      </c>
      <c r="D11" s="48" t="s">
        <v>53</v>
      </c>
      <c r="E11" s="116" t="s">
        <v>1</v>
      </c>
      <c r="F11" s="116" t="s">
        <v>2</v>
      </c>
      <c r="G11" s="116" t="s">
        <v>48</v>
      </c>
      <c r="H11" s="116" t="s">
        <v>49</v>
      </c>
      <c r="I11" s="116" t="s">
        <v>24</v>
      </c>
      <c r="J11" s="32" t="s">
        <v>56</v>
      </c>
      <c r="K11" s="33">
        <v>37.434800000000003</v>
      </c>
      <c r="L11" s="33">
        <v>2</v>
      </c>
      <c r="M11" s="35"/>
      <c r="N11" s="35"/>
      <c r="O11" s="34">
        <v>39.434800000000003</v>
      </c>
      <c r="P11" s="33">
        <v>0</v>
      </c>
      <c r="Q11" s="34">
        <v>39.434800000000003</v>
      </c>
      <c r="R11" s="33">
        <v>0</v>
      </c>
      <c r="S11" s="82">
        <v>39.434800000000003</v>
      </c>
    </row>
    <row r="12" spans="1:19" x14ac:dyDescent="0.25">
      <c r="A12" s="115" t="s">
        <v>27</v>
      </c>
      <c r="B12" s="48" t="s">
        <v>57</v>
      </c>
      <c r="C12" s="48" t="s">
        <v>53</v>
      </c>
      <c r="D12" s="48" t="s">
        <v>52</v>
      </c>
      <c r="E12" s="116" t="s">
        <v>2</v>
      </c>
      <c r="F12" s="116" t="s">
        <v>1</v>
      </c>
      <c r="G12" s="116" t="s">
        <v>50</v>
      </c>
      <c r="H12" s="116" t="s">
        <v>47</v>
      </c>
      <c r="I12" s="116" t="s">
        <v>57</v>
      </c>
      <c r="J12" s="32" t="s">
        <v>58</v>
      </c>
      <c r="K12" s="33">
        <v>37.434800000000003</v>
      </c>
      <c r="L12" s="33">
        <v>2</v>
      </c>
      <c r="M12" s="33">
        <v>34.659999999999997</v>
      </c>
      <c r="N12" s="33">
        <v>2</v>
      </c>
      <c r="O12" s="34">
        <v>76.094799999999992</v>
      </c>
      <c r="P12" s="33">
        <v>0</v>
      </c>
      <c r="Q12" s="34">
        <v>76.094799999999992</v>
      </c>
      <c r="R12" s="33">
        <v>0</v>
      </c>
      <c r="S12" s="82">
        <v>76.094799999999992</v>
      </c>
    </row>
    <row r="13" spans="1:19" x14ac:dyDescent="0.25">
      <c r="A13" s="115" t="s">
        <v>27</v>
      </c>
      <c r="B13" s="48" t="s">
        <v>23</v>
      </c>
      <c r="C13" s="48" t="s">
        <v>53</v>
      </c>
      <c r="D13" s="48" t="s">
        <v>52</v>
      </c>
      <c r="E13" s="116" t="s">
        <v>2</v>
      </c>
      <c r="F13" s="116" t="s">
        <v>1</v>
      </c>
      <c r="G13" s="116" t="s">
        <v>51</v>
      </c>
      <c r="H13" s="116" t="s">
        <v>49</v>
      </c>
      <c r="I13" s="116" t="s">
        <v>23</v>
      </c>
      <c r="J13" s="32" t="s">
        <v>59</v>
      </c>
      <c r="K13" s="35"/>
      <c r="L13" s="35"/>
      <c r="M13" s="33">
        <v>34.659999999999997</v>
      </c>
      <c r="N13" s="33">
        <v>2</v>
      </c>
      <c r="O13" s="34">
        <v>36.659999999999997</v>
      </c>
      <c r="P13" s="33">
        <v>0</v>
      </c>
      <c r="Q13" s="34">
        <v>36.659999999999997</v>
      </c>
      <c r="R13" s="33">
        <v>0</v>
      </c>
      <c r="S13" s="82">
        <v>36.659999999999997</v>
      </c>
    </row>
    <row r="14" spans="1:19" x14ac:dyDescent="0.25">
      <c r="A14" s="115" t="s">
        <v>82</v>
      </c>
      <c r="B14" s="47" t="s">
        <v>54</v>
      </c>
      <c r="C14" s="47" t="s">
        <v>52</v>
      </c>
      <c r="D14" s="47" t="s">
        <v>53</v>
      </c>
      <c r="E14" s="116" t="s">
        <v>1</v>
      </c>
      <c r="F14" s="116" t="s">
        <v>2</v>
      </c>
      <c r="G14" s="116" t="s">
        <v>46</v>
      </c>
      <c r="H14" s="116" t="s">
        <v>47</v>
      </c>
      <c r="I14" s="116" t="s">
        <v>54</v>
      </c>
      <c r="J14" s="32" t="s">
        <v>55</v>
      </c>
      <c r="K14" s="33">
        <v>37.434800000000003</v>
      </c>
      <c r="L14" s="33">
        <v>2</v>
      </c>
      <c r="M14" s="33">
        <v>34.659999999999997</v>
      </c>
      <c r="N14" s="33">
        <v>2</v>
      </c>
      <c r="O14" s="34">
        <v>76.094799999999992</v>
      </c>
      <c r="P14" s="33">
        <v>0</v>
      </c>
      <c r="Q14" s="34">
        <v>76.094799999999992</v>
      </c>
      <c r="R14" s="33">
        <v>0</v>
      </c>
      <c r="S14" s="82">
        <v>76.094799999999992</v>
      </c>
    </row>
    <row r="15" spans="1:19" x14ac:dyDescent="0.25">
      <c r="A15" s="115" t="s">
        <v>82</v>
      </c>
      <c r="B15" s="48" t="s">
        <v>24</v>
      </c>
      <c r="C15" s="48" t="s">
        <v>52</v>
      </c>
      <c r="D15" s="48" t="s">
        <v>53</v>
      </c>
      <c r="E15" s="116" t="s">
        <v>1</v>
      </c>
      <c r="F15" s="116" t="s">
        <v>2</v>
      </c>
      <c r="G15" s="116" t="s">
        <v>48</v>
      </c>
      <c r="H15" s="116" t="s">
        <v>49</v>
      </c>
      <c r="I15" s="116" t="s">
        <v>24</v>
      </c>
      <c r="J15" s="32" t="s">
        <v>56</v>
      </c>
      <c r="K15" s="33">
        <v>37.434800000000003</v>
      </c>
      <c r="L15" s="33">
        <v>2</v>
      </c>
      <c r="M15" s="35"/>
      <c r="N15" s="35"/>
      <c r="O15" s="34">
        <v>39.434800000000003</v>
      </c>
      <c r="P15" s="33">
        <v>0</v>
      </c>
      <c r="Q15" s="34">
        <v>39.434800000000003</v>
      </c>
      <c r="R15" s="33">
        <v>0</v>
      </c>
      <c r="S15" s="82">
        <v>39.434800000000003</v>
      </c>
    </row>
    <row r="16" spans="1:19" x14ac:dyDescent="0.25">
      <c r="A16" s="115" t="s">
        <v>82</v>
      </c>
      <c r="B16" s="48" t="s">
        <v>57</v>
      </c>
      <c r="C16" s="48" t="s">
        <v>53</v>
      </c>
      <c r="D16" s="48" t="s">
        <v>52</v>
      </c>
      <c r="E16" s="116" t="s">
        <v>2</v>
      </c>
      <c r="F16" s="116" t="s">
        <v>1</v>
      </c>
      <c r="G16" s="116" t="s">
        <v>50</v>
      </c>
      <c r="H16" s="116" t="s">
        <v>47</v>
      </c>
      <c r="I16" s="116" t="s">
        <v>57</v>
      </c>
      <c r="J16" s="32" t="s">
        <v>58</v>
      </c>
      <c r="K16" s="33">
        <v>37.434800000000003</v>
      </c>
      <c r="L16" s="33">
        <v>2</v>
      </c>
      <c r="M16" s="33">
        <v>34.659999999999997</v>
      </c>
      <c r="N16" s="33">
        <v>2</v>
      </c>
      <c r="O16" s="34">
        <v>76.094799999999992</v>
      </c>
      <c r="P16" s="33">
        <v>0</v>
      </c>
      <c r="Q16" s="34">
        <v>76.094799999999992</v>
      </c>
      <c r="R16" s="33">
        <v>0</v>
      </c>
      <c r="S16" s="82">
        <v>76.094799999999992</v>
      </c>
    </row>
    <row r="17" spans="1:19" x14ac:dyDescent="0.25">
      <c r="A17" s="115" t="s">
        <v>82</v>
      </c>
      <c r="B17" s="48" t="s">
        <v>23</v>
      </c>
      <c r="C17" s="48" t="s">
        <v>53</v>
      </c>
      <c r="D17" s="48" t="s">
        <v>52</v>
      </c>
      <c r="E17" s="116" t="s">
        <v>2</v>
      </c>
      <c r="F17" s="116" t="s">
        <v>1</v>
      </c>
      <c r="G17" s="116" t="s">
        <v>51</v>
      </c>
      <c r="H17" s="116" t="s">
        <v>49</v>
      </c>
      <c r="I17" s="116" t="s">
        <v>23</v>
      </c>
      <c r="J17" s="32" t="s">
        <v>59</v>
      </c>
      <c r="K17" s="35"/>
      <c r="L17" s="35"/>
      <c r="M17" s="33">
        <v>34.659999999999997</v>
      </c>
      <c r="N17" s="33">
        <v>2</v>
      </c>
      <c r="O17" s="34">
        <v>36.659999999999997</v>
      </c>
      <c r="P17" s="33">
        <v>0</v>
      </c>
      <c r="Q17" s="34">
        <v>36.659999999999997</v>
      </c>
      <c r="R17" s="33">
        <v>0</v>
      </c>
      <c r="S17" s="82">
        <v>36.659999999999997</v>
      </c>
    </row>
    <row r="18" spans="1:19" x14ac:dyDescent="0.25">
      <c r="A18" s="115" t="s">
        <v>83</v>
      </c>
      <c r="B18" s="47" t="s">
        <v>54</v>
      </c>
      <c r="C18" s="47" t="s">
        <v>52</v>
      </c>
      <c r="D18" s="47" t="s">
        <v>53</v>
      </c>
      <c r="E18" s="116" t="s">
        <v>1</v>
      </c>
      <c r="F18" s="116" t="s">
        <v>2</v>
      </c>
      <c r="G18" s="116" t="s">
        <v>46</v>
      </c>
      <c r="H18" s="116" t="s">
        <v>47</v>
      </c>
      <c r="I18" s="116" t="s">
        <v>54</v>
      </c>
      <c r="J18" s="32" t="s">
        <v>55</v>
      </c>
      <c r="K18" s="33">
        <v>37.434800000000003</v>
      </c>
      <c r="L18" s="33">
        <v>2</v>
      </c>
      <c r="M18" s="33">
        <v>34.659999999999997</v>
      </c>
      <c r="N18" s="33">
        <v>2</v>
      </c>
      <c r="O18" s="34">
        <v>76.094799999999992</v>
      </c>
      <c r="P18" s="33">
        <v>0</v>
      </c>
      <c r="Q18" s="34">
        <v>76.094799999999992</v>
      </c>
      <c r="R18" s="33">
        <v>0</v>
      </c>
      <c r="S18" s="82">
        <v>76.094799999999992</v>
      </c>
    </row>
    <row r="19" spans="1:19" x14ac:dyDescent="0.25">
      <c r="A19" s="115" t="s">
        <v>83</v>
      </c>
      <c r="B19" s="48" t="s">
        <v>24</v>
      </c>
      <c r="C19" s="48" t="s">
        <v>52</v>
      </c>
      <c r="D19" s="48" t="s">
        <v>53</v>
      </c>
      <c r="E19" s="116" t="s">
        <v>1</v>
      </c>
      <c r="F19" s="116" t="s">
        <v>2</v>
      </c>
      <c r="G19" s="116" t="s">
        <v>48</v>
      </c>
      <c r="H19" s="116" t="s">
        <v>49</v>
      </c>
      <c r="I19" s="116" t="s">
        <v>24</v>
      </c>
      <c r="J19" s="32" t="s">
        <v>56</v>
      </c>
      <c r="K19" s="33">
        <v>37.434800000000003</v>
      </c>
      <c r="L19" s="33">
        <v>2</v>
      </c>
      <c r="M19" s="35"/>
      <c r="N19" s="35"/>
      <c r="O19" s="34">
        <v>39.434800000000003</v>
      </c>
      <c r="P19" s="33">
        <v>0</v>
      </c>
      <c r="Q19" s="34">
        <v>39.434800000000003</v>
      </c>
      <c r="R19" s="33">
        <v>0</v>
      </c>
      <c r="S19" s="82">
        <v>39.434800000000003</v>
      </c>
    </row>
    <row r="20" spans="1:19" x14ac:dyDescent="0.25">
      <c r="A20" s="115" t="s">
        <v>83</v>
      </c>
      <c r="B20" s="48" t="s">
        <v>57</v>
      </c>
      <c r="C20" s="48" t="s">
        <v>53</v>
      </c>
      <c r="D20" s="48" t="s">
        <v>52</v>
      </c>
      <c r="E20" s="116" t="s">
        <v>2</v>
      </c>
      <c r="F20" s="116" t="s">
        <v>1</v>
      </c>
      <c r="G20" s="116" t="s">
        <v>50</v>
      </c>
      <c r="H20" s="116" t="s">
        <v>47</v>
      </c>
      <c r="I20" s="116" t="s">
        <v>57</v>
      </c>
      <c r="J20" s="32" t="s">
        <v>58</v>
      </c>
      <c r="K20" s="33">
        <v>0</v>
      </c>
      <c r="L20" s="33">
        <v>0</v>
      </c>
      <c r="M20" s="33">
        <v>0</v>
      </c>
      <c r="N20" s="33">
        <v>0</v>
      </c>
      <c r="O20" s="33">
        <v>0</v>
      </c>
      <c r="P20" s="33">
        <v>0</v>
      </c>
      <c r="Q20" s="33">
        <v>0</v>
      </c>
      <c r="R20" s="33">
        <v>0</v>
      </c>
      <c r="S20" s="33">
        <v>0</v>
      </c>
    </row>
    <row r="21" spans="1:19" x14ac:dyDescent="0.25">
      <c r="A21" s="115" t="s">
        <v>83</v>
      </c>
      <c r="B21" s="48" t="s">
        <v>23</v>
      </c>
      <c r="C21" s="48" t="s">
        <v>53</v>
      </c>
      <c r="D21" s="48" t="s">
        <v>52</v>
      </c>
      <c r="E21" s="116" t="s">
        <v>2</v>
      </c>
      <c r="F21" s="116" t="s">
        <v>1</v>
      </c>
      <c r="G21" s="116" t="s">
        <v>51</v>
      </c>
      <c r="H21" s="116" t="s">
        <v>49</v>
      </c>
      <c r="I21" s="116" t="s">
        <v>23</v>
      </c>
      <c r="J21" s="32" t="s">
        <v>59</v>
      </c>
      <c r="K21" s="33">
        <v>0</v>
      </c>
      <c r="L21" s="33">
        <v>0</v>
      </c>
      <c r="M21" s="33">
        <v>0</v>
      </c>
      <c r="N21" s="33">
        <v>0</v>
      </c>
      <c r="O21" s="33">
        <v>0</v>
      </c>
      <c r="P21" s="33">
        <v>0</v>
      </c>
      <c r="Q21" s="33">
        <v>0</v>
      </c>
      <c r="R21" s="33">
        <v>0</v>
      </c>
      <c r="S21" s="33">
        <v>0</v>
      </c>
    </row>
    <row r="22" spans="1:19" x14ac:dyDescent="0.25">
      <c r="A22" s="115" t="s">
        <v>84</v>
      </c>
      <c r="B22" s="47" t="s">
        <v>54</v>
      </c>
      <c r="C22" s="47" t="s">
        <v>52</v>
      </c>
      <c r="D22" s="47" t="s">
        <v>53</v>
      </c>
      <c r="E22" s="116" t="s">
        <v>1</v>
      </c>
      <c r="F22" s="116" t="s">
        <v>2</v>
      </c>
      <c r="G22" s="116" t="s">
        <v>46</v>
      </c>
      <c r="H22" s="116" t="s">
        <v>47</v>
      </c>
      <c r="I22" s="116" t="s">
        <v>54</v>
      </c>
      <c r="J22" s="32" t="s">
        <v>55</v>
      </c>
      <c r="K22" s="33">
        <v>0</v>
      </c>
      <c r="L22" s="33">
        <v>0</v>
      </c>
      <c r="M22" s="33">
        <v>0</v>
      </c>
      <c r="N22" s="33">
        <v>0</v>
      </c>
      <c r="O22" s="33">
        <v>0</v>
      </c>
      <c r="P22" s="33">
        <v>0</v>
      </c>
      <c r="Q22" s="33">
        <v>0</v>
      </c>
      <c r="R22" s="33">
        <v>0</v>
      </c>
      <c r="S22" s="33">
        <v>0</v>
      </c>
    </row>
    <row r="23" spans="1:19" x14ac:dyDescent="0.25">
      <c r="A23" s="115" t="s">
        <v>84</v>
      </c>
      <c r="B23" s="48" t="s">
        <v>24</v>
      </c>
      <c r="C23" s="48" t="s">
        <v>52</v>
      </c>
      <c r="D23" s="48" t="s">
        <v>53</v>
      </c>
      <c r="E23" s="116" t="s">
        <v>1</v>
      </c>
      <c r="F23" s="116" t="s">
        <v>2</v>
      </c>
      <c r="G23" s="116" t="s">
        <v>48</v>
      </c>
      <c r="H23" s="116" t="s">
        <v>49</v>
      </c>
      <c r="I23" s="116" t="s">
        <v>24</v>
      </c>
      <c r="J23" s="32" t="s">
        <v>56</v>
      </c>
      <c r="K23" s="33">
        <v>0</v>
      </c>
      <c r="L23" s="33">
        <v>0</v>
      </c>
      <c r="M23" s="33">
        <v>0</v>
      </c>
      <c r="N23" s="33">
        <v>0</v>
      </c>
      <c r="O23" s="33">
        <v>0</v>
      </c>
      <c r="P23" s="33">
        <v>0</v>
      </c>
      <c r="Q23" s="33">
        <v>0</v>
      </c>
      <c r="R23" s="33">
        <v>0</v>
      </c>
      <c r="S23" s="33">
        <v>0</v>
      </c>
    </row>
    <row r="24" spans="1:19" x14ac:dyDescent="0.25">
      <c r="A24" s="115" t="s">
        <v>84</v>
      </c>
      <c r="B24" s="48" t="s">
        <v>57</v>
      </c>
      <c r="C24" s="48" t="s">
        <v>53</v>
      </c>
      <c r="D24" s="48" t="s">
        <v>52</v>
      </c>
      <c r="E24" s="116" t="s">
        <v>2</v>
      </c>
      <c r="F24" s="116" t="s">
        <v>1</v>
      </c>
      <c r="G24" s="116" t="s">
        <v>50</v>
      </c>
      <c r="H24" s="116" t="s">
        <v>47</v>
      </c>
      <c r="I24" s="116" t="s">
        <v>57</v>
      </c>
      <c r="J24" s="32" t="s">
        <v>58</v>
      </c>
      <c r="K24" s="33">
        <v>0</v>
      </c>
      <c r="L24" s="33">
        <v>0</v>
      </c>
      <c r="M24" s="33">
        <v>0</v>
      </c>
      <c r="N24" s="33">
        <v>0</v>
      </c>
      <c r="O24" s="33">
        <v>0</v>
      </c>
      <c r="P24" s="33">
        <v>0</v>
      </c>
      <c r="Q24" s="33">
        <v>0</v>
      </c>
      <c r="R24" s="33">
        <v>0</v>
      </c>
      <c r="S24" s="33">
        <v>0</v>
      </c>
    </row>
    <row r="25" spans="1:19" x14ac:dyDescent="0.25">
      <c r="A25" s="115" t="s">
        <v>84</v>
      </c>
      <c r="B25" s="48" t="s">
        <v>23</v>
      </c>
      <c r="C25" s="48" t="s">
        <v>53</v>
      </c>
      <c r="D25" s="48" t="s">
        <v>52</v>
      </c>
      <c r="E25" s="116" t="s">
        <v>2</v>
      </c>
      <c r="F25" s="116" t="s">
        <v>1</v>
      </c>
      <c r="G25" s="116" t="s">
        <v>51</v>
      </c>
      <c r="H25" s="116" t="s">
        <v>49</v>
      </c>
      <c r="I25" s="116" t="s">
        <v>23</v>
      </c>
      <c r="J25" s="32" t="s">
        <v>59</v>
      </c>
      <c r="K25" s="33">
        <v>0</v>
      </c>
      <c r="L25" s="33">
        <v>0</v>
      </c>
      <c r="M25" s="33">
        <v>0</v>
      </c>
      <c r="N25" s="33">
        <v>0</v>
      </c>
      <c r="O25" s="33">
        <v>0</v>
      </c>
      <c r="P25" s="33">
        <v>0</v>
      </c>
      <c r="Q25" s="33">
        <v>0</v>
      </c>
      <c r="R25" s="33">
        <v>0</v>
      </c>
      <c r="S25" s="33">
        <v>0</v>
      </c>
    </row>
    <row r="26" spans="1:19" x14ac:dyDescent="0.25">
      <c r="A26" s="115" t="s">
        <v>87</v>
      </c>
      <c r="B26" s="47" t="s">
        <v>54</v>
      </c>
      <c r="C26" s="47" t="s">
        <v>52</v>
      </c>
      <c r="D26" s="47" t="s">
        <v>53</v>
      </c>
      <c r="E26" s="116" t="s">
        <v>1</v>
      </c>
      <c r="F26" s="116" t="s">
        <v>2</v>
      </c>
      <c r="G26" s="116" t="s">
        <v>46</v>
      </c>
      <c r="H26" s="116" t="s">
        <v>47</v>
      </c>
      <c r="I26" s="116" t="s">
        <v>54</v>
      </c>
      <c r="J26" s="32" t="s">
        <v>55</v>
      </c>
      <c r="K26" s="33">
        <v>0</v>
      </c>
      <c r="L26" s="33">
        <v>0</v>
      </c>
      <c r="M26" s="33">
        <v>0</v>
      </c>
      <c r="N26" s="33">
        <v>0</v>
      </c>
      <c r="O26" s="33">
        <v>0</v>
      </c>
      <c r="P26" s="33">
        <v>0</v>
      </c>
      <c r="Q26" s="33">
        <v>0</v>
      </c>
      <c r="R26" s="33">
        <v>0</v>
      </c>
      <c r="S26" s="33">
        <v>0</v>
      </c>
    </row>
    <row r="27" spans="1:19" x14ac:dyDescent="0.25">
      <c r="A27" s="115" t="s">
        <v>87</v>
      </c>
      <c r="B27" s="48" t="s">
        <v>24</v>
      </c>
      <c r="C27" s="48" t="s">
        <v>52</v>
      </c>
      <c r="D27" s="48" t="s">
        <v>53</v>
      </c>
      <c r="E27" s="116" t="s">
        <v>1</v>
      </c>
      <c r="F27" s="116" t="s">
        <v>2</v>
      </c>
      <c r="G27" s="116" t="s">
        <v>48</v>
      </c>
      <c r="H27" s="116" t="s">
        <v>49</v>
      </c>
      <c r="I27" s="116" t="s">
        <v>24</v>
      </c>
      <c r="J27" s="32" t="s">
        <v>56</v>
      </c>
      <c r="K27" s="33">
        <v>0</v>
      </c>
      <c r="L27" s="33">
        <v>0</v>
      </c>
      <c r="M27" s="33">
        <v>0</v>
      </c>
      <c r="N27" s="33">
        <v>0</v>
      </c>
      <c r="O27" s="33">
        <v>0</v>
      </c>
      <c r="P27" s="33">
        <v>0</v>
      </c>
      <c r="Q27" s="33">
        <v>0</v>
      </c>
      <c r="R27" s="33">
        <v>0</v>
      </c>
      <c r="S27" s="33">
        <v>0</v>
      </c>
    </row>
    <row r="28" spans="1:19" x14ac:dyDescent="0.25">
      <c r="A28" s="115" t="s">
        <v>87</v>
      </c>
      <c r="B28" s="48" t="s">
        <v>57</v>
      </c>
      <c r="C28" s="48" t="s">
        <v>53</v>
      </c>
      <c r="D28" s="48" t="s">
        <v>52</v>
      </c>
      <c r="E28" s="116" t="s">
        <v>2</v>
      </c>
      <c r="F28" s="116" t="s">
        <v>1</v>
      </c>
      <c r="G28" s="116" t="s">
        <v>50</v>
      </c>
      <c r="H28" s="116" t="s">
        <v>47</v>
      </c>
      <c r="I28" s="116" t="s">
        <v>57</v>
      </c>
      <c r="J28" s="32" t="s">
        <v>58</v>
      </c>
      <c r="K28" s="33">
        <v>0</v>
      </c>
      <c r="L28" s="33">
        <v>0</v>
      </c>
      <c r="M28" s="33">
        <v>0</v>
      </c>
      <c r="N28" s="33">
        <v>0</v>
      </c>
      <c r="O28" s="33">
        <v>0</v>
      </c>
      <c r="P28" s="33">
        <v>0</v>
      </c>
      <c r="Q28" s="33">
        <v>0</v>
      </c>
      <c r="R28" s="33">
        <v>0</v>
      </c>
      <c r="S28" s="33">
        <v>0</v>
      </c>
    </row>
    <row r="29" spans="1:19" x14ac:dyDescent="0.25">
      <c r="A29" s="115" t="s">
        <v>87</v>
      </c>
      <c r="B29" s="48" t="s">
        <v>23</v>
      </c>
      <c r="C29" s="48" t="s">
        <v>53</v>
      </c>
      <c r="D29" s="48" t="s">
        <v>52</v>
      </c>
      <c r="E29" s="116" t="s">
        <v>2</v>
      </c>
      <c r="F29" s="116" t="s">
        <v>1</v>
      </c>
      <c r="G29" s="116" t="s">
        <v>51</v>
      </c>
      <c r="H29" s="116" t="s">
        <v>49</v>
      </c>
      <c r="I29" s="116" t="s">
        <v>23</v>
      </c>
      <c r="J29" s="32" t="s">
        <v>59</v>
      </c>
      <c r="K29" s="33">
        <v>0</v>
      </c>
      <c r="L29" s="33">
        <v>0</v>
      </c>
      <c r="M29" s="33">
        <v>0</v>
      </c>
      <c r="N29" s="33">
        <v>0</v>
      </c>
      <c r="O29" s="33">
        <v>0</v>
      </c>
      <c r="P29" s="33">
        <v>0</v>
      </c>
      <c r="Q29" s="33">
        <v>0</v>
      </c>
      <c r="R29" s="33">
        <v>0</v>
      </c>
      <c r="S29" s="33">
        <v>0</v>
      </c>
    </row>
    <row r="30" spans="1:19" x14ac:dyDescent="0.25">
      <c r="A30" s="117" t="s">
        <v>115</v>
      </c>
      <c r="B30" s="47" t="s">
        <v>57</v>
      </c>
      <c r="C30" s="47" t="s">
        <v>53</v>
      </c>
      <c r="D30" s="47" t="s">
        <v>52</v>
      </c>
      <c r="E30" s="116" t="s">
        <v>2</v>
      </c>
      <c r="F30" s="116" t="s">
        <v>1</v>
      </c>
      <c r="G30" s="116" t="s">
        <v>46</v>
      </c>
      <c r="H30" s="116" t="s">
        <v>47</v>
      </c>
      <c r="I30" s="116" t="s">
        <v>57</v>
      </c>
      <c r="J30" s="32" t="s">
        <v>58</v>
      </c>
      <c r="K30" s="33">
        <v>0</v>
      </c>
      <c r="L30" s="33">
        <v>0</v>
      </c>
      <c r="M30" s="33">
        <v>0</v>
      </c>
      <c r="N30" s="33">
        <v>0</v>
      </c>
      <c r="O30" s="33">
        <v>0</v>
      </c>
      <c r="P30" s="33">
        <v>0</v>
      </c>
      <c r="Q30" s="33">
        <v>0</v>
      </c>
      <c r="R30" s="33">
        <v>0</v>
      </c>
      <c r="S30" s="33">
        <v>0</v>
      </c>
    </row>
    <row r="31" spans="1:19" x14ac:dyDescent="0.25">
      <c r="A31" s="117" t="s">
        <v>115</v>
      </c>
      <c r="B31" s="48" t="s">
        <v>23</v>
      </c>
      <c r="C31" s="48" t="s">
        <v>53</v>
      </c>
      <c r="D31" s="48" t="s">
        <v>52</v>
      </c>
      <c r="E31" s="116" t="s">
        <v>2</v>
      </c>
      <c r="F31" s="116" t="s">
        <v>1</v>
      </c>
      <c r="G31" s="116" t="s">
        <v>48</v>
      </c>
      <c r="H31" s="116" t="s">
        <v>49</v>
      </c>
      <c r="I31" s="116" t="s">
        <v>23</v>
      </c>
      <c r="J31" s="32" t="s">
        <v>59</v>
      </c>
      <c r="K31" s="33">
        <v>0</v>
      </c>
      <c r="L31" s="33">
        <v>0</v>
      </c>
      <c r="M31" s="33">
        <v>0</v>
      </c>
      <c r="N31" s="33">
        <v>0</v>
      </c>
      <c r="O31" s="33">
        <v>0</v>
      </c>
      <c r="P31" s="33">
        <v>0</v>
      </c>
      <c r="Q31" s="33">
        <v>0</v>
      </c>
      <c r="R31" s="33">
        <v>0</v>
      </c>
      <c r="S31" s="33">
        <v>0</v>
      </c>
    </row>
    <row r="32" spans="1:19" x14ac:dyDescent="0.25">
      <c r="A32" s="117" t="s">
        <v>115</v>
      </c>
      <c r="B32" s="48" t="s">
        <v>54</v>
      </c>
      <c r="C32" s="48" t="s">
        <v>52</v>
      </c>
      <c r="D32" s="48" t="s">
        <v>53</v>
      </c>
      <c r="E32" s="116" t="s">
        <v>1</v>
      </c>
      <c r="F32" s="116" t="s">
        <v>2</v>
      </c>
      <c r="G32" s="116" t="s">
        <v>50</v>
      </c>
      <c r="H32" s="116" t="s">
        <v>47</v>
      </c>
      <c r="I32" s="116" t="s">
        <v>54</v>
      </c>
      <c r="J32" s="32" t="s">
        <v>55</v>
      </c>
      <c r="K32" s="33">
        <v>0</v>
      </c>
      <c r="L32" s="33">
        <v>0</v>
      </c>
      <c r="M32" s="33">
        <v>0</v>
      </c>
      <c r="N32" s="33">
        <v>0</v>
      </c>
      <c r="O32" s="33">
        <v>0</v>
      </c>
      <c r="P32" s="33">
        <v>0</v>
      </c>
      <c r="Q32" s="33">
        <v>0</v>
      </c>
      <c r="R32" s="33">
        <v>0</v>
      </c>
      <c r="S32" s="33">
        <v>0</v>
      </c>
    </row>
    <row r="33" spans="1:19" x14ac:dyDescent="0.25">
      <c r="A33" s="117" t="s">
        <v>115</v>
      </c>
      <c r="B33" s="48" t="s">
        <v>24</v>
      </c>
      <c r="C33" s="48" t="s">
        <v>52</v>
      </c>
      <c r="D33" s="48" t="s">
        <v>53</v>
      </c>
      <c r="E33" s="116" t="s">
        <v>1</v>
      </c>
      <c r="F33" s="116" t="s">
        <v>2</v>
      </c>
      <c r="G33" s="116" t="s">
        <v>51</v>
      </c>
      <c r="H33" s="116" t="s">
        <v>49</v>
      </c>
      <c r="I33" s="116" t="s">
        <v>24</v>
      </c>
      <c r="J33" s="32" t="s">
        <v>56</v>
      </c>
      <c r="K33" s="33">
        <v>0</v>
      </c>
      <c r="L33" s="33">
        <v>0</v>
      </c>
      <c r="M33" s="33">
        <v>0</v>
      </c>
      <c r="N33" s="33">
        <v>0</v>
      </c>
      <c r="O33" s="33">
        <v>0</v>
      </c>
      <c r="P33" s="33">
        <v>0</v>
      </c>
      <c r="Q33" s="33">
        <v>0</v>
      </c>
      <c r="R33" s="33">
        <v>0</v>
      </c>
      <c r="S33" s="33">
        <v>0</v>
      </c>
    </row>
    <row r="34" spans="1:19" x14ac:dyDescent="0.25">
      <c r="A34" s="117" t="s">
        <v>121</v>
      </c>
      <c r="B34" s="47" t="s">
        <v>57</v>
      </c>
      <c r="C34" s="47" t="s">
        <v>53</v>
      </c>
      <c r="D34" s="47" t="s">
        <v>52</v>
      </c>
      <c r="E34" s="116" t="s">
        <v>2</v>
      </c>
      <c r="F34" s="116" t="s">
        <v>1</v>
      </c>
      <c r="G34" s="116" t="s">
        <v>46</v>
      </c>
      <c r="H34" s="116" t="s">
        <v>47</v>
      </c>
      <c r="I34" s="116" t="s">
        <v>57</v>
      </c>
      <c r="J34" s="32" t="s">
        <v>58</v>
      </c>
      <c r="K34" s="33">
        <v>0</v>
      </c>
      <c r="L34" s="33">
        <v>0</v>
      </c>
      <c r="M34" s="33">
        <v>0</v>
      </c>
      <c r="N34" s="33">
        <v>0</v>
      </c>
      <c r="O34" s="33">
        <v>0</v>
      </c>
      <c r="P34" s="33">
        <v>0</v>
      </c>
      <c r="Q34" s="33">
        <v>0</v>
      </c>
      <c r="R34" s="33">
        <v>0</v>
      </c>
      <c r="S34" s="33">
        <v>0</v>
      </c>
    </row>
    <row r="35" spans="1:19" x14ac:dyDescent="0.25">
      <c r="A35" s="117" t="s">
        <v>121</v>
      </c>
      <c r="B35" s="48" t="s">
        <v>23</v>
      </c>
      <c r="C35" s="48" t="s">
        <v>53</v>
      </c>
      <c r="D35" s="48" t="s">
        <v>52</v>
      </c>
      <c r="E35" s="116" t="s">
        <v>2</v>
      </c>
      <c r="F35" s="116" t="s">
        <v>1</v>
      </c>
      <c r="G35" s="116" t="s">
        <v>48</v>
      </c>
      <c r="H35" s="116" t="s">
        <v>49</v>
      </c>
      <c r="I35" s="116" t="s">
        <v>23</v>
      </c>
      <c r="J35" s="32" t="s">
        <v>59</v>
      </c>
      <c r="K35" s="33">
        <v>0</v>
      </c>
      <c r="L35" s="33">
        <v>0</v>
      </c>
      <c r="M35" s="33">
        <v>0</v>
      </c>
      <c r="N35" s="33">
        <v>0</v>
      </c>
      <c r="O35" s="33">
        <v>0</v>
      </c>
      <c r="P35" s="33">
        <v>0</v>
      </c>
      <c r="Q35" s="33">
        <v>0</v>
      </c>
      <c r="R35" s="33">
        <v>0</v>
      </c>
      <c r="S35" s="33">
        <v>0</v>
      </c>
    </row>
    <row r="36" spans="1:19" x14ac:dyDescent="0.25">
      <c r="A36" s="117" t="s">
        <v>121</v>
      </c>
      <c r="B36" s="48" t="s">
        <v>54</v>
      </c>
      <c r="C36" s="48" t="s">
        <v>52</v>
      </c>
      <c r="D36" s="48" t="s">
        <v>53</v>
      </c>
      <c r="E36" s="116" t="s">
        <v>1</v>
      </c>
      <c r="F36" s="116" t="s">
        <v>2</v>
      </c>
      <c r="G36" s="116" t="s">
        <v>50</v>
      </c>
      <c r="H36" s="116" t="s">
        <v>47</v>
      </c>
      <c r="I36" s="116" t="s">
        <v>54</v>
      </c>
      <c r="J36" s="32" t="s">
        <v>55</v>
      </c>
      <c r="K36" s="33">
        <v>0</v>
      </c>
      <c r="L36" s="33">
        <v>0</v>
      </c>
      <c r="M36" s="33">
        <v>0</v>
      </c>
      <c r="N36" s="33">
        <v>0</v>
      </c>
      <c r="O36" s="33">
        <v>0</v>
      </c>
      <c r="P36" s="33">
        <v>0</v>
      </c>
      <c r="Q36" s="33">
        <v>0</v>
      </c>
      <c r="R36" s="33">
        <v>0</v>
      </c>
      <c r="S36" s="33">
        <v>0</v>
      </c>
    </row>
    <row r="37" spans="1:19" x14ac:dyDescent="0.25">
      <c r="A37" s="117" t="s">
        <v>121</v>
      </c>
      <c r="B37" s="48" t="s">
        <v>24</v>
      </c>
      <c r="C37" s="48" t="s">
        <v>52</v>
      </c>
      <c r="D37" s="48" t="s">
        <v>53</v>
      </c>
      <c r="E37" s="116" t="s">
        <v>1</v>
      </c>
      <c r="F37" s="116" t="s">
        <v>2</v>
      </c>
      <c r="G37" s="116" t="s">
        <v>51</v>
      </c>
      <c r="H37" s="116" t="s">
        <v>49</v>
      </c>
      <c r="I37" s="116" t="s">
        <v>24</v>
      </c>
      <c r="J37" s="32" t="s">
        <v>56</v>
      </c>
      <c r="K37" s="33">
        <v>0</v>
      </c>
      <c r="L37" s="33">
        <v>0</v>
      </c>
      <c r="M37" s="33">
        <v>0</v>
      </c>
      <c r="N37" s="33">
        <v>0</v>
      </c>
      <c r="O37" s="33">
        <v>0</v>
      </c>
      <c r="P37" s="33">
        <v>0</v>
      </c>
      <c r="Q37" s="33">
        <v>0</v>
      </c>
      <c r="R37" s="33">
        <v>0</v>
      </c>
      <c r="S37" s="33">
        <v>0</v>
      </c>
    </row>
    <row r="38" spans="1:19" x14ac:dyDescent="0.25">
      <c r="A38" s="117" t="s">
        <v>247</v>
      </c>
      <c r="B38" s="47" t="s">
        <v>54</v>
      </c>
      <c r="C38" s="47" t="s">
        <v>52</v>
      </c>
      <c r="D38" s="47" t="s">
        <v>53</v>
      </c>
      <c r="E38" s="116" t="s">
        <v>1</v>
      </c>
      <c r="F38" s="116" t="s">
        <v>2</v>
      </c>
      <c r="G38" s="116" t="s">
        <v>46</v>
      </c>
      <c r="H38" s="116" t="s">
        <v>47</v>
      </c>
      <c r="I38" s="116" t="s">
        <v>54</v>
      </c>
      <c r="J38" s="32" t="s">
        <v>55</v>
      </c>
      <c r="K38" s="33">
        <v>0</v>
      </c>
      <c r="L38" s="33">
        <v>0</v>
      </c>
      <c r="M38" s="33">
        <v>0</v>
      </c>
      <c r="N38" s="33">
        <v>0</v>
      </c>
      <c r="O38" s="33">
        <v>0</v>
      </c>
      <c r="P38" s="33">
        <v>0</v>
      </c>
      <c r="Q38" s="33">
        <v>0</v>
      </c>
      <c r="R38" s="33">
        <v>0</v>
      </c>
      <c r="S38" s="33">
        <v>0</v>
      </c>
    </row>
    <row r="39" spans="1:19" x14ac:dyDescent="0.25">
      <c r="A39" s="117" t="s">
        <v>247</v>
      </c>
      <c r="B39" s="48" t="s">
        <v>24</v>
      </c>
      <c r="C39" s="48" t="s">
        <v>52</v>
      </c>
      <c r="D39" s="48" t="s">
        <v>53</v>
      </c>
      <c r="E39" s="116" t="s">
        <v>1</v>
      </c>
      <c r="F39" s="116" t="s">
        <v>2</v>
      </c>
      <c r="G39" s="116" t="s">
        <v>48</v>
      </c>
      <c r="H39" s="116" t="s">
        <v>49</v>
      </c>
      <c r="I39" s="116" t="s">
        <v>24</v>
      </c>
      <c r="J39" s="32" t="s">
        <v>56</v>
      </c>
      <c r="K39" s="33">
        <v>0</v>
      </c>
      <c r="L39" s="33">
        <v>0</v>
      </c>
      <c r="M39" s="33">
        <v>0</v>
      </c>
      <c r="N39" s="33">
        <v>0</v>
      </c>
      <c r="O39" s="33">
        <v>0</v>
      </c>
      <c r="P39" s="33">
        <v>0</v>
      </c>
      <c r="Q39" s="33">
        <v>0</v>
      </c>
      <c r="R39" s="33">
        <v>0</v>
      </c>
      <c r="S39" s="33">
        <v>0</v>
      </c>
    </row>
    <row r="40" spans="1:19" x14ac:dyDescent="0.25">
      <c r="A40" s="117" t="s">
        <v>247</v>
      </c>
      <c r="B40" s="48" t="s">
        <v>57</v>
      </c>
      <c r="C40" s="48" t="s">
        <v>53</v>
      </c>
      <c r="D40" s="48" t="s">
        <v>52</v>
      </c>
      <c r="E40" s="116" t="s">
        <v>2</v>
      </c>
      <c r="F40" s="116" t="s">
        <v>1</v>
      </c>
      <c r="G40" s="116" t="s">
        <v>50</v>
      </c>
      <c r="H40" s="116" t="s">
        <v>47</v>
      </c>
      <c r="I40" s="116" t="s">
        <v>57</v>
      </c>
      <c r="J40" s="32" t="s">
        <v>58</v>
      </c>
      <c r="K40" s="33">
        <v>0</v>
      </c>
      <c r="L40" s="33">
        <v>0</v>
      </c>
      <c r="M40" s="33">
        <v>0</v>
      </c>
      <c r="N40" s="33">
        <v>0</v>
      </c>
      <c r="O40" s="33">
        <v>0</v>
      </c>
      <c r="P40" s="33">
        <v>0</v>
      </c>
      <c r="Q40" s="33">
        <v>0</v>
      </c>
      <c r="R40" s="33">
        <v>0</v>
      </c>
      <c r="S40" s="33">
        <v>0</v>
      </c>
    </row>
    <row r="41" spans="1:19" x14ac:dyDescent="0.25">
      <c r="A41" s="118" t="s">
        <v>247</v>
      </c>
      <c r="B41" s="119" t="s">
        <v>23</v>
      </c>
      <c r="C41" s="119" t="s">
        <v>53</v>
      </c>
      <c r="D41" s="119" t="s">
        <v>52</v>
      </c>
      <c r="E41" s="120" t="s">
        <v>2</v>
      </c>
      <c r="F41" s="120" t="s">
        <v>1</v>
      </c>
      <c r="G41" s="120" t="s">
        <v>51</v>
      </c>
      <c r="H41" s="120" t="s">
        <v>49</v>
      </c>
      <c r="I41" s="120" t="s">
        <v>23</v>
      </c>
      <c r="J41" s="55" t="s">
        <v>59</v>
      </c>
      <c r="K41" s="33">
        <v>0</v>
      </c>
      <c r="L41" s="33">
        <v>0</v>
      </c>
      <c r="M41" s="33">
        <v>0</v>
      </c>
      <c r="N41" s="33">
        <v>0</v>
      </c>
      <c r="O41" s="33">
        <v>0</v>
      </c>
      <c r="P41" s="33">
        <v>0</v>
      </c>
      <c r="Q41" s="33">
        <v>0</v>
      </c>
      <c r="R41" s="33">
        <v>0</v>
      </c>
      <c r="S41" s="33">
        <v>0</v>
      </c>
    </row>
    <row r="42" spans="1:19" x14ac:dyDescent="0.25">
      <c r="A42" s="118" t="s">
        <v>248</v>
      </c>
      <c r="B42" s="47" t="s">
        <v>54</v>
      </c>
      <c r="C42" s="47" t="s">
        <v>52</v>
      </c>
      <c r="D42" s="47" t="s">
        <v>53</v>
      </c>
      <c r="E42" s="120" t="s">
        <v>1</v>
      </c>
      <c r="F42" s="120" t="s">
        <v>2</v>
      </c>
      <c r="G42" s="120" t="s">
        <v>46</v>
      </c>
      <c r="H42" s="120" t="s">
        <v>47</v>
      </c>
      <c r="I42" s="120" t="s">
        <v>54</v>
      </c>
      <c r="J42" s="55" t="s">
        <v>55</v>
      </c>
      <c r="K42" s="33">
        <v>0</v>
      </c>
      <c r="L42" s="33">
        <v>0</v>
      </c>
      <c r="M42" s="33">
        <v>0</v>
      </c>
      <c r="N42" s="33">
        <v>0</v>
      </c>
      <c r="O42" s="33">
        <v>0</v>
      </c>
      <c r="P42" s="33">
        <v>0</v>
      </c>
      <c r="Q42" s="33">
        <v>0</v>
      </c>
      <c r="R42" s="33">
        <v>0</v>
      </c>
      <c r="S42" s="33">
        <v>0</v>
      </c>
    </row>
    <row r="43" spans="1:19" x14ac:dyDescent="0.25">
      <c r="A43" s="118" t="s">
        <v>248</v>
      </c>
      <c r="B43" s="119" t="s">
        <v>24</v>
      </c>
      <c r="C43" s="119" t="s">
        <v>52</v>
      </c>
      <c r="D43" s="119" t="s">
        <v>53</v>
      </c>
      <c r="E43" s="120" t="s">
        <v>1</v>
      </c>
      <c r="F43" s="120" t="s">
        <v>2</v>
      </c>
      <c r="G43" s="120" t="s">
        <v>48</v>
      </c>
      <c r="H43" s="120" t="s">
        <v>49</v>
      </c>
      <c r="I43" s="120" t="s">
        <v>24</v>
      </c>
      <c r="J43" s="55" t="s">
        <v>56</v>
      </c>
      <c r="K43" s="33">
        <v>0</v>
      </c>
      <c r="L43" s="33">
        <v>0</v>
      </c>
      <c r="M43" s="33">
        <v>0</v>
      </c>
      <c r="N43" s="33">
        <v>0</v>
      </c>
      <c r="O43" s="33">
        <v>0</v>
      </c>
      <c r="P43" s="33">
        <v>0</v>
      </c>
      <c r="Q43" s="33">
        <v>0</v>
      </c>
      <c r="R43" s="33">
        <v>0</v>
      </c>
      <c r="S43" s="33">
        <v>0</v>
      </c>
    </row>
    <row r="44" spans="1:19" x14ac:dyDescent="0.25">
      <c r="A44" s="118" t="s">
        <v>248</v>
      </c>
      <c r="B44" s="119" t="s">
        <v>57</v>
      </c>
      <c r="C44" s="119" t="s">
        <v>53</v>
      </c>
      <c r="D44" s="119" t="s">
        <v>52</v>
      </c>
      <c r="E44" s="120" t="s">
        <v>2</v>
      </c>
      <c r="F44" s="120" t="s">
        <v>1</v>
      </c>
      <c r="G44" s="120" t="s">
        <v>50</v>
      </c>
      <c r="H44" s="120" t="s">
        <v>47</v>
      </c>
      <c r="I44" s="120" t="s">
        <v>57</v>
      </c>
      <c r="J44" s="55" t="s">
        <v>58</v>
      </c>
      <c r="K44" s="33">
        <v>0</v>
      </c>
      <c r="L44" s="33">
        <v>0</v>
      </c>
      <c r="M44" s="33">
        <v>0</v>
      </c>
      <c r="N44" s="33">
        <v>0</v>
      </c>
      <c r="O44" s="33">
        <v>0</v>
      </c>
      <c r="P44" s="33">
        <v>0</v>
      </c>
      <c r="Q44" s="33">
        <v>0</v>
      </c>
      <c r="R44" s="33">
        <v>0</v>
      </c>
      <c r="S44" s="33">
        <v>0</v>
      </c>
    </row>
    <row r="45" spans="1:19" x14ac:dyDescent="0.25">
      <c r="A45" s="118" t="s">
        <v>248</v>
      </c>
      <c r="B45" s="119" t="s">
        <v>23</v>
      </c>
      <c r="C45" s="119" t="s">
        <v>53</v>
      </c>
      <c r="D45" s="119" t="s">
        <v>52</v>
      </c>
      <c r="E45" s="120" t="s">
        <v>2</v>
      </c>
      <c r="F45" s="120" t="s">
        <v>1</v>
      </c>
      <c r="G45" s="120" t="s">
        <v>51</v>
      </c>
      <c r="H45" s="120" t="s">
        <v>49</v>
      </c>
      <c r="I45" s="120" t="s">
        <v>23</v>
      </c>
      <c r="J45" s="55" t="s">
        <v>59</v>
      </c>
      <c r="K45" s="33">
        <v>0</v>
      </c>
      <c r="L45" s="33">
        <v>0</v>
      </c>
      <c r="M45" s="33">
        <v>0</v>
      </c>
      <c r="N45" s="33">
        <v>0</v>
      </c>
      <c r="O45" s="33">
        <v>0</v>
      </c>
      <c r="P45" s="33">
        <v>0</v>
      </c>
      <c r="Q45" s="33">
        <v>0</v>
      </c>
      <c r="R45" s="33">
        <v>0</v>
      </c>
      <c r="S45" s="33">
        <v>0</v>
      </c>
    </row>
    <row r="46" spans="1:19" x14ac:dyDescent="0.25">
      <c r="A46" s="118" t="s">
        <v>271</v>
      </c>
      <c r="B46" s="47" t="s">
        <v>54</v>
      </c>
      <c r="C46" s="47" t="s">
        <v>52</v>
      </c>
      <c r="D46" s="47" t="s">
        <v>53</v>
      </c>
      <c r="E46" s="120" t="s">
        <v>1</v>
      </c>
      <c r="F46" s="120" t="s">
        <v>2</v>
      </c>
      <c r="G46" s="120" t="s">
        <v>46</v>
      </c>
      <c r="H46" s="120" t="s">
        <v>47</v>
      </c>
      <c r="I46" s="120" t="s">
        <v>54</v>
      </c>
      <c r="J46" s="55" t="s">
        <v>55</v>
      </c>
      <c r="K46" s="33">
        <v>0</v>
      </c>
      <c r="L46" s="33">
        <v>0</v>
      </c>
      <c r="M46" s="33">
        <v>0</v>
      </c>
      <c r="N46" s="33">
        <v>0</v>
      </c>
      <c r="O46" s="33">
        <v>0</v>
      </c>
      <c r="P46" s="33">
        <v>0</v>
      </c>
      <c r="Q46" s="33">
        <v>0</v>
      </c>
      <c r="R46" s="33">
        <v>0</v>
      </c>
      <c r="S46" s="33">
        <v>0</v>
      </c>
    </row>
    <row r="47" spans="1:19" x14ac:dyDescent="0.25">
      <c r="A47" s="118" t="s">
        <v>271</v>
      </c>
      <c r="B47" s="119" t="s">
        <v>24</v>
      </c>
      <c r="C47" s="119" t="s">
        <v>52</v>
      </c>
      <c r="D47" s="119" t="s">
        <v>53</v>
      </c>
      <c r="E47" s="120" t="s">
        <v>1</v>
      </c>
      <c r="F47" s="120" t="s">
        <v>2</v>
      </c>
      <c r="G47" s="120" t="s">
        <v>48</v>
      </c>
      <c r="H47" s="120" t="s">
        <v>49</v>
      </c>
      <c r="I47" s="120" t="s">
        <v>24</v>
      </c>
      <c r="J47" s="55" t="s">
        <v>56</v>
      </c>
      <c r="K47" s="33">
        <v>0</v>
      </c>
      <c r="L47" s="33">
        <v>0</v>
      </c>
      <c r="M47" s="33">
        <v>0</v>
      </c>
      <c r="N47" s="33">
        <v>0</v>
      </c>
      <c r="O47" s="33">
        <v>0</v>
      </c>
      <c r="P47" s="33">
        <v>0</v>
      </c>
      <c r="Q47" s="33">
        <v>0</v>
      </c>
      <c r="R47" s="33">
        <v>0</v>
      </c>
      <c r="S47" s="33">
        <v>0</v>
      </c>
    </row>
    <row r="48" spans="1:19" x14ac:dyDescent="0.25">
      <c r="A48" s="118" t="s">
        <v>271</v>
      </c>
      <c r="B48" s="119" t="s">
        <v>57</v>
      </c>
      <c r="C48" s="119" t="s">
        <v>53</v>
      </c>
      <c r="D48" s="119" t="s">
        <v>52</v>
      </c>
      <c r="E48" s="120" t="s">
        <v>2</v>
      </c>
      <c r="F48" s="120" t="s">
        <v>1</v>
      </c>
      <c r="G48" s="120" t="s">
        <v>50</v>
      </c>
      <c r="H48" s="120" t="s">
        <v>47</v>
      </c>
      <c r="I48" s="120" t="s">
        <v>57</v>
      </c>
      <c r="J48" s="55" t="s">
        <v>58</v>
      </c>
      <c r="K48" s="33">
        <v>0</v>
      </c>
      <c r="L48" s="33">
        <v>0</v>
      </c>
      <c r="M48" s="33">
        <v>0</v>
      </c>
      <c r="N48" s="33">
        <v>0</v>
      </c>
      <c r="O48" s="33">
        <v>0</v>
      </c>
      <c r="P48" s="33">
        <v>0</v>
      </c>
      <c r="Q48" s="33">
        <v>0</v>
      </c>
      <c r="R48" s="33">
        <v>0</v>
      </c>
      <c r="S48" s="33">
        <v>0</v>
      </c>
    </row>
    <row r="49" spans="1:19" x14ac:dyDescent="0.25">
      <c r="A49" s="118" t="s">
        <v>271</v>
      </c>
      <c r="B49" s="119" t="s">
        <v>23</v>
      </c>
      <c r="C49" s="119" t="s">
        <v>53</v>
      </c>
      <c r="D49" s="119" t="s">
        <v>52</v>
      </c>
      <c r="E49" s="120" t="s">
        <v>2</v>
      </c>
      <c r="F49" s="120" t="s">
        <v>1</v>
      </c>
      <c r="G49" s="120" t="s">
        <v>51</v>
      </c>
      <c r="H49" s="120" t="s">
        <v>49</v>
      </c>
      <c r="I49" s="120" t="s">
        <v>23</v>
      </c>
      <c r="J49" s="55" t="s">
        <v>59</v>
      </c>
      <c r="K49" s="33">
        <v>0</v>
      </c>
      <c r="L49" s="33">
        <v>0</v>
      </c>
      <c r="M49" s="33">
        <v>0</v>
      </c>
      <c r="N49" s="33">
        <v>0</v>
      </c>
      <c r="O49" s="33">
        <v>0</v>
      </c>
      <c r="P49" s="33">
        <v>0</v>
      </c>
      <c r="Q49" s="33">
        <v>0</v>
      </c>
      <c r="R49" s="33">
        <v>0</v>
      </c>
      <c r="S49" s="33">
        <v>0</v>
      </c>
    </row>
    <row r="50" spans="1:19" x14ac:dyDescent="0.25">
      <c r="A50" s="117" t="s">
        <v>146</v>
      </c>
      <c r="B50" s="47" t="s">
        <v>54</v>
      </c>
      <c r="C50" s="47" t="s">
        <v>52</v>
      </c>
      <c r="D50" s="47" t="s">
        <v>53</v>
      </c>
      <c r="E50" s="116" t="s">
        <v>1</v>
      </c>
      <c r="F50" s="116" t="s">
        <v>2</v>
      </c>
      <c r="G50" s="116" t="s">
        <v>46</v>
      </c>
      <c r="H50" s="116" t="s">
        <v>47</v>
      </c>
      <c r="I50" s="116" t="s">
        <v>54</v>
      </c>
      <c r="J50" s="32" t="s">
        <v>55</v>
      </c>
      <c r="K50" s="33">
        <v>0</v>
      </c>
      <c r="L50" s="33">
        <v>0</v>
      </c>
      <c r="M50" s="33">
        <v>0</v>
      </c>
      <c r="N50" s="33">
        <v>0</v>
      </c>
      <c r="O50" s="33">
        <v>0</v>
      </c>
      <c r="P50" s="33">
        <v>0</v>
      </c>
      <c r="Q50" s="33">
        <v>0</v>
      </c>
      <c r="R50" s="33">
        <v>0</v>
      </c>
      <c r="S50" s="33">
        <v>0</v>
      </c>
    </row>
    <row r="51" spans="1:19" x14ac:dyDescent="0.25">
      <c r="A51" s="117" t="s">
        <v>146</v>
      </c>
      <c r="B51" s="48" t="s">
        <v>24</v>
      </c>
      <c r="C51" s="48" t="s">
        <v>52</v>
      </c>
      <c r="D51" s="48" t="s">
        <v>53</v>
      </c>
      <c r="E51" s="116" t="s">
        <v>1</v>
      </c>
      <c r="F51" s="116" t="s">
        <v>2</v>
      </c>
      <c r="G51" s="116" t="s">
        <v>48</v>
      </c>
      <c r="H51" s="116" t="s">
        <v>49</v>
      </c>
      <c r="I51" s="116" t="s">
        <v>24</v>
      </c>
      <c r="J51" s="32" t="s">
        <v>56</v>
      </c>
      <c r="K51" s="33">
        <v>0</v>
      </c>
      <c r="L51" s="33">
        <v>0</v>
      </c>
      <c r="M51" s="33">
        <v>0</v>
      </c>
      <c r="N51" s="33">
        <v>0</v>
      </c>
      <c r="O51" s="33">
        <v>0</v>
      </c>
      <c r="P51" s="33">
        <v>0</v>
      </c>
      <c r="Q51" s="33">
        <v>0</v>
      </c>
      <c r="R51" s="33">
        <v>0</v>
      </c>
      <c r="S51" s="33">
        <v>0</v>
      </c>
    </row>
    <row r="52" spans="1:19" x14ac:dyDescent="0.25">
      <c r="A52" s="117" t="s">
        <v>146</v>
      </c>
      <c r="B52" s="48" t="s">
        <v>57</v>
      </c>
      <c r="C52" s="48" t="s">
        <v>53</v>
      </c>
      <c r="D52" s="48" t="s">
        <v>52</v>
      </c>
      <c r="E52" s="116" t="s">
        <v>2</v>
      </c>
      <c r="F52" s="116" t="s">
        <v>1</v>
      </c>
      <c r="G52" s="116" t="s">
        <v>50</v>
      </c>
      <c r="H52" s="116" t="s">
        <v>47</v>
      </c>
      <c r="I52" s="116" t="s">
        <v>57</v>
      </c>
      <c r="J52" s="32" t="s">
        <v>58</v>
      </c>
      <c r="K52" s="33">
        <v>0</v>
      </c>
      <c r="L52" s="33">
        <v>0</v>
      </c>
      <c r="M52" s="33">
        <v>0</v>
      </c>
      <c r="N52" s="33">
        <v>0</v>
      </c>
      <c r="O52" s="33">
        <v>0</v>
      </c>
      <c r="P52" s="33">
        <v>0</v>
      </c>
      <c r="Q52" s="33">
        <v>0</v>
      </c>
      <c r="R52" s="33">
        <v>0</v>
      </c>
      <c r="S52" s="33">
        <v>0</v>
      </c>
    </row>
    <row r="53" spans="1:19" x14ac:dyDescent="0.25">
      <c r="A53" s="117" t="s">
        <v>146</v>
      </c>
      <c r="B53" s="119" t="s">
        <v>23</v>
      </c>
      <c r="C53" s="119" t="s">
        <v>53</v>
      </c>
      <c r="D53" s="119" t="s">
        <v>52</v>
      </c>
      <c r="E53" s="120" t="s">
        <v>2</v>
      </c>
      <c r="F53" s="120" t="s">
        <v>1</v>
      </c>
      <c r="G53" s="120" t="s">
        <v>51</v>
      </c>
      <c r="H53" s="120" t="s">
        <v>49</v>
      </c>
      <c r="I53" s="120" t="s">
        <v>23</v>
      </c>
      <c r="J53" s="55" t="s">
        <v>59</v>
      </c>
      <c r="K53" s="33">
        <v>0</v>
      </c>
      <c r="L53" s="33">
        <v>0</v>
      </c>
      <c r="M53" s="33">
        <v>0</v>
      </c>
      <c r="N53" s="33">
        <v>0</v>
      </c>
      <c r="O53" s="33">
        <v>0</v>
      </c>
      <c r="P53" s="33">
        <v>0</v>
      </c>
      <c r="Q53" s="33">
        <v>0</v>
      </c>
      <c r="R53" s="33">
        <v>0</v>
      </c>
      <c r="S53" s="33">
        <v>0</v>
      </c>
    </row>
    <row r="54" spans="1:19" x14ac:dyDescent="0.25">
      <c r="A54" s="117" t="s">
        <v>259</v>
      </c>
      <c r="B54" s="47" t="s">
        <v>54</v>
      </c>
      <c r="C54" s="47" t="s">
        <v>52</v>
      </c>
      <c r="D54" s="47" t="s">
        <v>53</v>
      </c>
      <c r="E54" s="116" t="s">
        <v>1</v>
      </c>
      <c r="F54" s="116" t="s">
        <v>2</v>
      </c>
      <c r="G54" s="116" t="s">
        <v>46</v>
      </c>
      <c r="H54" s="116" t="s">
        <v>47</v>
      </c>
      <c r="I54" s="116" t="s">
        <v>54</v>
      </c>
      <c r="J54" s="32" t="s">
        <v>55</v>
      </c>
      <c r="K54" s="33">
        <v>0</v>
      </c>
      <c r="L54" s="33">
        <v>0</v>
      </c>
      <c r="M54" s="33">
        <v>0</v>
      </c>
      <c r="N54" s="33">
        <v>0</v>
      </c>
      <c r="O54" s="33">
        <v>0</v>
      </c>
      <c r="P54" s="33">
        <v>0</v>
      </c>
      <c r="Q54" s="33">
        <v>0</v>
      </c>
      <c r="R54" s="33">
        <v>0</v>
      </c>
      <c r="S54" s="33">
        <v>0</v>
      </c>
    </row>
    <row r="55" spans="1:19" x14ac:dyDescent="0.25">
      <c r="A55" s="117" t="s">
        <v>259</v>
      </c>
      <c r="B55" s="48" t="s">
        <v>24</v>
      </c>
      <c r="C55" s="48" t="s">
        <v>52</v>
      </c>
      <c r="D55" s="48" t="s">
        <v>53</v>
      </c>
      <c r="E55" s="116" t="s">
        <v>1</v>
      </c>
      <c r="F55" s="116" t="s">
        <v>2</v>
      </c>
      <c r="G55" s="116" t="s">
        <v>48</v>
      </c>
      <c r="H55" s="116" t="s">
        <v>49</v>
      </c>
      <c r="I55" s="116" t="s">
        <v>24</v>
      </c>
      <c r="J55" s="32" t="s">
        <v>56</v>
      </c>
      <c r="K55" s="33">
        <v>0</v>
      </c>
      <c r="L55" s="33">
        <v>0</v>
      </c>
      <c r="M55" s="33">
        <v>0</v>
      </c>
      <c r="N55" s="33">
        <v>0</v>
      </c>
      <c r="O55" s="33">
        <v>0</v>
      </c>
      <c r="P55" s="33">
        <v>0</v>
      </c>
      <c r="Q55" s="33">
        <v>0</v>
      </c>
      <c r="R55" s="33">
        <v>0</v>
      </c>
      <c r="S55" s="33">
        <v>0</v>
      </c>
    </row>
    <row r="56" spans="1:19" x14ac:dyDescent="0.25">
      <c r="A56" s="117" t="s">
        <v>259</v>
      </c>
      <c r="B56" s="48" t="s">
        <v>57</v>
      </c>
      <c r="C56" s="48" t="s">
        <v>53</v>
      </c>
      <c r="D56" s="48" t="s">
        <v>52</v>
      </c>
      <c r="E56" s="116" t="s">
        <v>2</v>
      </c>
      <c r="F56" s="116" t="s">
        <v>1</v>
      </c>
      <c r="G56" s="116" t="s">
        <v>50</v>
      </c>
      <c r="H56" s="116" t="s">
        <v>47</v>
      </c>
      <c r="I56" s="116" t="s">
        <v>57</v>
      </c>
      <c r="J56" s="32" t="s">
        <v>58</v>
      </c>
      <c r="K56" s="33">
        <v>0</v>
      </c>
      <c r="L56" s="33">
        <v>0</v>
      </c>
      <c r="M56" s="33">
        <v>0</v>
      </c>
      <c r="N56" s="33">
        <v>0</v>
      </c>
      <c r="O56" s="33">
        <v>0</v>
      </c>
      <c r="P56" s="33">
        <v>0</v>
      </c>
      <c r="Q56" s="33">
        <v>0</v>
      </c>
      <c r="R56" s="33">
        <v>0</v>
      </c>
      <c r="S56" s="33">
        <v>0</v>
      </c>
    </row>
    <row r="57" spans="1:19" x14ac:dyDescent="0.25">
      <c r="A57" s="117" t="s">
        <v>259</v>
      </c>
      <c r="B57" s="119" t="s">
        <v>23</v>
      </c>
      <c r="C57" s="119" t="s">
        <v>53</v>
      </c>
      <c r="D57" s="119" t="s">
        <v>52</v>
      </c>
      <c r="E57" s="120" t="s">
        <v>2</v>
      </c>
      <c r="F57" s="120" t="s">
        <v>1</v>
      </c>
      <c r="G57" s="120" t="s">
        <v>51</v>
      </c>
      <c r="H57" s="120" t="s">
        <v>49</v>
      </c>
      <c r="I57" s="120" t="s">
        <v>23</v>
      </c>
      <c r="J57" s="55" t="s">
        <v>59</v>
      </c>
      <c r="K57" s="33">
        <v>0</v>
      </c>
      <c r="L57" s="33">
        <v>0</v>
      </c>
      <c r="M57" s="33">
        <v>0</v>
      </c>
      <c r="N57" s="33">
        <v>0</v>
      </c>
      <c r="O57" s="33">
        <v>0</v>
      </c>
      <c r="P57" s="33">
        <v>0</v>
      </c>
      <c r="Q57" s="33">
        <v>0</v>
      </c>
      <c r="R57" s="33">
        <v>0</v>
      </c>
      <c r="S57" s="33">
        <v>0</v>
      </c>
    </row>
    <row r="58" spans="1:19" x14ac:dyDescent="0.25">
      <c r="A58" s="117" t="s">
        <v>137</v>
      </c>
      <c r="B58" s="47" t="s">
        <v>54</v>
      </c>
      <c r="C58" s="47" t="s">
        <v>52</v>
      </c>
      <c r="D58" s="47" t="s">
        <v>53</v>
      </c>
      <c r="E58" s="116" t="s">
        <v>1</v>
      </c>
      <c r="F58" s="116" t="s">
        <v>2</v>
      </c>
      <c r="G58" s="116" t="s">
        <v>46</v>
      </c>
      <c r="H58" s="116" t="s">
        <v>47</v>
      </c>
      <c r="I58" s="116" t="s">
        <v>54</v>
      </c>
      <c r="J58" s="32" t="s">
        <v>55</v>
      </c>
      <c r="K58" s="33">
        <v>0</v>
      </c>
      <c r="L58" s="33">
        <v>0</v>
      </c>
      <c r="M58" s="33">
        <v>0</v>
      </c>
      <c r="N58" s="33">
        <v>0</v>
      </c>
      <c r="O58" s="33">
        <v>0</v>
      </c>
      <c r="P58" s="33">
        <v>0</v>
      </c>
      <c r="Q58" s="33">
        <v>0</v>
      </c>
      <c r="R58" s="33">
        <v>0</v>
      </c>
      <c r="S58" s="33">
        <v>0</v>
      </c>
    </row>
    <row r="59" spans="1:19" x14ac:dyDescent="0.25">
      <c r="A59" s="117" t="s">
        <v>137</v>
      </c>
      <c r="B59" s="48" t="s">
        <v>24</v>
      </c>
      <c r="C59" s="48" t="s">
        <v>52</v>
      </c>
      <c r="D59" s="48" t="s">
        <v>53</v>
      </c>
      <c r="E59" s="116" t="s">
        <v>1</v>
      </c>
      <c r="F59" s="116" t="s">
        <v>2</v>
      </c>
      <c r="G59" s="116" t="s">
        <v>48</v>
      </c>
      <c r="H59" s="116" t="s">
        <v>49</v>
      </c>
      <c r="I59" s="116" t="s">
        <v>24</v>
      </c>
      <c r="J59" s="32" t="s">
        <v>56</v>
      </c>
      <c r="K59" s="33">
        <v>0</v>
      </c>
      <c r="L59" s="33">
        <v>0</v>
      </c>
      <c r="M59" s="33">
        <v>0</v>
      </c>
      <c r="N59" s="33">
        <v>0</v>
      </c>
      <c r="O59" s="33">
        <v>0</v>
      </c>
      <c r="P59" s="33">
        <v>0</v>
      </c>
      <c r="Q59" s="33">
        <v>0</v>
      </c>
      <c r="R59" s="33">
        <v>0</v>
      </c>
      <c r="S59" s="33">
        <v>0</v>
      </c>
    </row>
    <row r="60" spans="1:19" x14ac:dyDescent="0.25">
      <c r="A60" s="117" t="s">
        <v>137</v>
      </c>
      <c r="B60" s="48" t="s">
        <v>57</v>
      </c>
      <c r="C60" s="48" t="s">
        <v>53</v>
      </c>
      <c r="D60" s="48" t="s">
        <v>52</v>
      </c>
      <c r="E60" s="116" t="s">
        <v>2</v>
      </c>
      <c r="F60" s="116" t="s">
        <v>1</v>
      </c>
      <c r="G60" s="116" t="s">
        <v>50</v>
      </c>
      <c r="H60" s="116" t="s">
        <v>47</v>
      </c>
      <c r="I60" s="116" t="s">
        <v>57</v>
      </c>
      <c r="J60" s="32" t="s">
        <v>58</v>
      </c>
      <c r="K60" s="33">
        <v>0</v>
      </c>
      <c r="L60" s="33">
        <v>0</v>
      </c>
      <c r="M60" s="33">
        <v>0</v>
      </c>
      <c r="N60" s="33">
        <v>0</v>
      </c>
      <c r="O60" s="33">
        <v>0</v>
      </c>
      <c r="P60" s="33">
        <v>0</v>
      </c>
      <c r="Q60" s="33">
        <v>0</v>
      </c>
      <c r="R60" s="33">
        <v>0</v>
      </c>
      <c r="S60" s="33">
        <v>0</v>
      </c>
    </row>
    <row r="61" spans="1:19" x14ac:dyDescent="0.25">
      <c r="A61" s="117" t="s">
        <v>137</v>
      </c>
      <c r="B61" s="119" t="s">
        <v>23</v>
      </c>
      <c r="C61" s="119" t="s">
        <v>53</v>
      </c>
      <c r="D61" s="119" t="s">
        <v>52</v>
      </c>
      <c r="E61" s="120" t="s">
        <v>2</v>
      </c>
      <c r="F61" s="120" t="s">
        <v>1</v>
      </c>
      <c r="G61" s="120" t="s">
        <v>51</v>
      </c>
      <c r="H61" s="120" t="s">
        <v>49</v>
      </c>
      <c r="I61" s="120" t="s">
        <v>23</v>
      </c>
      <c r="J61" s="55" t="s">
        <v>59</v>
      </c>
      <c r="K61" s="33">
        <v>0</v>
      </c>
      <c r="L61" s="33">
        <v>0</v>
      </c>
      <c r="M61" s="33">
        <v>0</v>
      </c>
      <c r="N61" s="33">
        <v>0</v>
      </c>
      <c r="O61" s="33">
        <v>0</v>
      </c>
      <c r="P61" s="33">
        <v>0</v>
      </c>
      <c r="Q61" s="33">
        <v>0</v>
      </c>
      <c r="R61" s="33">
        <v>0</v>
      </c>
      <c r="S61" s="33">
        <v>0</v>
      </c>
    </row>
    <row r="62" spans="1:19" x14ac:dyDescent="0.25">
      <c r="A62" s="117" t="s">
        <v>138</v>
      </c>
      <c r="B62" s="47" t="s">
        <v>54</v>
      </c>
      <c r="C62" s="47" t="s">
        <v>52</v>
      </c>
      <c r="D62" s="47" t="s">
        <v>53</v>
      </c>
      <c r="E62" s="116" t="s">
        <v>1</v>
      </c>
      <c r="F62" s="116" t="s">
        <v>2</v>
      </c>
      <c r="G62" s="116" t="s">
        <v>46</v>
      </c>
      <c r="H62" s="116" t="s">
        <v>47</v>
      </c>
      <c r="I62" s="116" t="s">
        <v>54</v>
      </c>
      <c r="J62" s="32" t="s">
        <v>55</v>
      </c>
      <c r="K62" s="33">
        <v>0</v>
      </c>
      <c r="L62" s="33">
        <v>0</v>
      </c>
      <c r="M62" s="33">
        <v>0</v>
      </c>
      <c r="N62" s="33">
        <v>0</v>
      </c>
      <c r="O62" s="33">
        <v>0</v>
      </c>
      <c r="P62" s="33">
        <v>0</v>
      </c>
      <c r="Q62" s="33">
        <v>0</v>
      </c>
      <c r="R62" s="33">
        <v>0</v>
      </c>
      <c r="S62" s="33">
        <v>0</v>
      </c>
    </row>
    <row r="63" spans="1:19" x14ac:dyDescent="0.25">
      <c r="A63" s="117" t="s">
        <v>138</v>
      </c>
      <c r="B63" s="48" t="s">
        <v>24</v>
      </c>
      <c r="C63" s="48" t="s">
        <v>52</v>
      </c>
      <c r="D63" s="48" t="s">
        <v>53</v>
      </c>
      <c r="E63" s="116" t="s">
        <v>1</v>
      </c>
      <c r="F63" s="116" t="s">
        <v>2</v>
      </c>
      <c r="G63" s="116" t="s">
        <v>48</v>
      </c>
      <c r="H63" s="116" t="s">
        <v>49</v>
      </c>
      <c r="I63" s="116" t="s">
        <v>24</v>
      </c>
      <c r="J63" s="32" t="s">
        <v>56</v>
      </c>
      <c r="K63" s="33">
        <v>0</v>
      </c>
      <c r="L63" s="33">
        <v>0</v>
      </c>
      <c r="M63" s="33">
        <v>0</v>
      </c>
      <c r="N63" s="33">
        <v>0</v>
      </c>
      <c r="O63" s="33">
        <v>0</v>
      </c>
      <c r="P63" s="33">
        <v>0</v>
      </c>
      <c r="Q63" s="33">
        <v>0</v>
      </c>
      <c r="R63" s="33">
        <v>0</v>
      </c>
      <c r="S63" s="33">
        <v>0</v>
      </c>
    </row>
    <row r="64" spans="1:19" x14ac:dyDescent="0.25">
      <c r="A64" s="117" t="s">
        <v>138</v>
      </c>
      <c r="B64" s="48" t="s">
        <v>57</v>
      </c>
      <c r="C64" s="48" t="s">
        <v>53</v>
      </c>
      <c r="D64" s="48" t="s">
        <v>52</v>
      </c>
      <c r="E64" s="116" t="s">
        <v>2</v>
      </c>
      <c r="F64" s="116" t="s">
        <v>1</v>
      </c>
      <c r="G64" s="116" t="s">
        <v>50</v>
      </c>
      <c r="H64" s="116" t="s">
        <v>47</v>
      </c>
      <c r="I64" s="116" t="s">
        <v>57</v>
      </c>
      <c r="J64" s="32" t="s">
        <v>58</v>
      </c>
      <c r="K64" s="33">
        <v>0</v>
      </c>
      <c r="L64" s="33">
        <v>0</v>
      </c>
      <c r="M64" s="33">
        <v>0</v>
      </c>
      <c r="N64" s="33">
        <v>0</v>
      </c>
      <c r="O64" s="33">
        <v>0</v>
      </c>
      <c r="P64" s="33">
        <v>0</v>
      </c>
      <c r="Q64" s="33">
        <v>0</v>
      </c>
      <c r="R64" s="33">
        <v>0</v>
      </c>
      <c r="S64" s="33">
        <v>0</v>
      </c>
    </row>
    <row r="65" spans="1:19" x14ac:dyDescent="0.25">
      <c r="A65" s="117" t="s">
        <v>138</v>
      </c>
      <c r="B65" s="119" t="s">
        <v>23</v>
      </c>
      <c r="C65" s="119" t="s">
        <v>53</v>
      </c>
      <c r="D65" s="119" t="s">
        <v>52</v>
      </c>
      <c r="E65" s="120" t="s">
        <v>2</v>
      </c>
      <c r="F65" s="120" t="s">
        <v>1</v>
      </c>
      <c r="G65" s="120" t="s">
        <v>51</v>
      </c>
      <c r="H65" s="120" t="s">
        <v>49</v>
      </c>
      <c r="I65" s="120" t="s">
        <v>23</v>
      </c>
      <c r="J65" s="55" t="s">
        <v>59</v>
      </c>
      <c r="K65" s="33">
        <v>0</v>
      </c>
      <c r="L65" s="33">
        <v>0</v>
      </c>
      <c r="M65" s="33">
        <v>0</v>
      </c>
      <c r="N65" s="33">
        <v>0</v>
      </c>
      <c r="O65" s="33">
        <v>0</v>
      </c>
      <c r="P65" s="33">
        <v>0</v>
      </c>
      <c r="Q65" s="33">
        <v>0</v>
      </c>
      <c r="R65" s="33">
        <v>0</v>
      </c>
      <c r="S65" s="33">
        <v>0</v>
      </c>
    </row>
    <row r="66" spans="1:19" x14ac:dyDescent="0.25">
      <c r="A66" s="117" t="s">
        <v>139</v>
      </c>
      <c r="B66" s="47" t="s">
        <v>54</v>
      </c>
      <c r="C66" s="47" t="s">
        <v>52</v>
      </c>
      <c r="D66" s="47" t="s">
        <v>53</v>
      </c>
      <c r="E66" s="116" t="s">
        <v>1</v>
      </c>
      <c r="F66" s="116" t="s">
        <v>2</v>
      </c>
      <c r="G66" s="116" t="s">
        <v>46</v>
      </c>
      <c r="H66" s="116" t="s">
        <v>47</v>
      </c>
      <c r="I66" s="116" t="s">
        <v>54</v>
      </c>
      <c r="J66" s="32" t="s">
        <v>55</v>
      </c>
      <c r="K66" s="33">
        <v>0</v>
      </c>
      <c r="L66" s="33">
        <v>0</v>
      </c>
      <c r="M66" s="33">
        <v>0</v>
      </c>
      <c r="N66" s="33">
        <v>0</v>
      </c>
      <c r="O66" s="33">
        <v>0</v>
      </c>
      <c r="P66" s="33">
        <v>0</v>
      </c>
      <c r="Q66" s="33">
        <v>0</v>
      </c>
      <c r="R66" s="33">
        <v>0</v>
      </c>
      <c r="S66" s="33">
        <v>0</v>
      </c>
    </row>
    <row r="67" spans="1:19" x14ac:dyDescent="0.25">
      <c r="A67" s="117" t="s">
        <v>139</v>
      </c>
      <c r="B67" s="48" t="s">
        <v>24</v>
      </c>
      <c r="C67" s="48" t="s">
        <v>52</v>
      </c>
      <c r="D67" s="48" t="s">
        <v>53</v>
      </c>
      <c r="E67" s="116" t="s">
        <v>1</v>
      </c>
      <c r="F67" s="116" t="s">
        <v>2</v>
      </c>
      <c r="G67" s="116" t="s">
        <v>48</v>
      </c>
      <c r="H67" s="116" t="s">
        <v>49</v>
      </c>
      <c r="I67" s="116" t="s">
        <v>24</v>
      </c>
      <c r="J67" s="32" t="s">
        <v>56</v>
      </c>
      <c r="K67" s="33">
        <v>0</v>
      </c>
      <c r="L67" s="33">
        <v>0</v>
      </c>
      <c r="M67" s="33">
        <v>0</v>
      </c>
      <c r="N67" s="33">
        <v>0</v>
      </c>
      <c r="O67" s="33">
        <v>0</v>
      </c>
      <c r="P67" s="33">
        <v>0</v>
      </c>
      <c r="Q67" s="33">
        <v>0</v>
      </c>
      <c r="R67" s="33">
        <v>0</v>
      </c>
      <c r="S67" s="33">
        <v>0</v>
      </c>
    </row>
    <row r="68" spans="1:19" x14ac:dyDescent="0.25">
      <c r="A68" s="117" t="s">
        <v>139</v>
      </c>
      <c r="B68" s="48" t="s">
        <v>57</v>
      </c>
      <c r="C68" s="48" t="s">
        <v>53</v>
      </c>
      <c r="D68" s="48" t="s">
        <v>52</v>
      </c>
      <c r="E68" s="116" t="s">
        <v>2</v>
      </c>
      <c r="F68" s="116" t="s">
        <v>1</v>
      </c>
      <c r="G68" s="116" t="s">
        <v>50</v>
      </c>
      <c r="H68" s="116" t="s">
        <v>47</v>
      </c>
      <c r="I68" s="116" t="s">
        <v>57</v>
      </c>
      <c r="J68" s="32" t="s">
        <v>58</v>
      </c>
      <c r="K68" s="33">
        <v>0</v>
      </c>
      <c r="L68" s="33">
        <v>0</v>
      </c>
      <c r="M68" s="33">
        <v>0</v>
      </c>
      <c r="N68" s="33">
        <v>0</v>
      </c>
      <c r="O68" s="33">
        <v>0</v>
      </c>
      <c r="P68" s="33">
        <v>0</v>
      </c>
      <c r="Q68" s="33">
        <v>0</v>
      </c>
      <c r="R68" s="33">
        <v>0</v>
      </c>
      <c r="S68" s="33">
        <v>0</v>
      </c>
    </row>
    <row r="69" spans="1:19" x14ac:dyDescent="0.25">
      <c r="A69" s="117" t="s">
        <v>139</v>
      </c>
      <c r="B69" s="119" t="s">
        <v>23</v>
      </c>
      <c r="C69" s="119" t="s">
        <v>53</v>
      </c>
      <c r="D69" s="119" t="s">
        <v>52</v>
      </c>
      <c r="E69" s="120" t="s">
        <v>2</v>
      </c>
      <c r="F69" s="120" t="s">
        <v>1</v>
      </c>
      <c r="G69" s="120" t="s">
        <v>51</v>
      </c>
      <c r="H69" s="120" t="s">
        <v>49</v>
      </c>
      <c r="I69" s="120" t="s">
        <v>23</v>
      </c>
      <c r="J69" s="55" t="s">
        <v>59</v>
      </c>
      <c r="K69" s="33">
        <v>0</v>
      </c>
      <c r="L69" s="33">
        <v>0</v>
      </c>
      <c r="M69" s="33">
        <v>0</v>
      </c>
      <c r="N69" s="33">
        <v>0</v>
      </c>
      <c r="O69" s="33">
        <v>0</v>
      </c>
      <c r="P69" s="33">
        <v>0</v>
      </c>
      <c r="Q69" s="33">
        <v>0</v>
      </c>
      <c r="R69" s="33">
        <v>0</v>
      </c>
      <c r="S69" s="33">
        <v>0</v>
      </c>
    </row>
    <row r="70" spans="1:19" x14ac:dyDescent="0.25">
      <c r="A70" s="117" t="s">
        <v>208</v>
      </c>
      <c r="B70" s="47" t="s">
        <v>54</v>
      </c>
      <c r="C70" s="47" t="s">
        <v>52</v>
      </c>
      <c r="D70" s="47" t="s">
        <v>53</v>
      </c>
      <c r="E70" s="132" t="s">
        <v>1</v>
      </c>
      <c r="F70" s="132" t="s">
        <v>2</v>
      </c>
      <c r="G70" s="132" t="s">
        <v>46</v>
      </c>
      <c r="H70" s="132" t="s">
        <v>47</v>
      </c>
      <c r="I70" s="132" t="s">
        <v>54</v>
      </c>
      <c r="J70" s="32" t="s">
        <v>55</v>
      </c>
      <c r="K70" s="33">
        <v>0</v>
      </c>
      <c r="L70" s="33">
        <v>0</v>
      </c>
      <c r="M70" s="33">
        <v>0</v>
      </c>
      <c r="N70" s="33">
        <v>0</v>
      </c>
      <c r="O70" s="33">
        <v>0</v>
      </c>
      <c r="P70" s="33">
        <v>0</v>
      </c>
      <c r="Q70" s="33">
        <v>0</v>
      </c>
      <c r="R70" s="33">
        <v>0</v>
      </c>
      <c r="S70" s="33">
        <v>0</v>
      </c>
    </row>
    <row r="71" spans="1:19" x14ac:dyDescent="0.25">
      <c r="A71" s="117" t="s">
        <v>208</v>
      </c>
      <c r="B71" s="48" t="s">
        <v>24</v>
      </c>
      <c r="C71" s="48" t="s">
        <v>52</v>
      </c>
      <c r="D71" s="48" t="s">
        <v>53</v>
      </c>
      <c r="E71" s="132" t="s">
        <v>1</v>
      </c>
      <c r="F71" s="132" t="s">
        <v>2</v>
      </c>
      <c r="G71" s="132" t="s">
        <v>48</v>
      </c>
      <c r="H71" s="132" t="s">
        <v>49</v>
      </c>
      <c r="I71" s="132" t="s">
        <v>24</v>
      </c>
      <c r="J71" s="32" t="s">
        <v>56</v>
      </c>
      <c r="K71" s="33">
        <v>0</v>
      </c>
      <c r="L71" s="33">
        <v>0</v>
      </c>
      <c r="M71" s="33">
        <v>0</v>
      </c>
      <c r="N71" s="33">
        <v>0</v>
      </c>
      <c r="O71" s="33">
        <v>0</v>
      </c>
      <c r="P71" s="33">
        <v>0</v>
      </c>
      <c r="Q71" s="33">
        <v>0</v>
      </c>
      <c r="R71" s="33">
        <v>0</v>
      </c>
      <c r="S71" s="33">
        <v>0</v>
      </c>
    </row>
    <row r="72" spans="1:19" x14ac:dyDescent="0.25">
      <c r="A72" s="117" t="s">
        <v>208</v>
      </c>
      <c r="B72" s="48" t="s">
        <v>57</v>
      </c>
      <c r="C72" s="48" t="s">
        <v>53</v>
      </c>
      <c r="D72" s="48" t="s">
        <v>52</v>
      </c>
      <c r="E72" s="132" t="s">
        <v>2</v>
      </c>
      <c r="F72" s="132" t="s">
        <v>1</v>
      </c>
      <c r="G72" s="132" t="s">
        <v>50</v>
      </c>
      <c r="H72" s="132" t="s">
        <v>47</v>
      </c>
      <c r="I72" s="132" t="s">
        <v>57</v>
      </c>
      <c r="J72" s="32" t="s">
        <v>58</v>
      </c>
      <c r="K72" s="33">
        <v>0</v>
      </c>
      <c r="L72" s="33">
        <v>0</v>
      </c>
      <c r="M72" s="33">
        <v>0</v>
      </c>
      <c r="N72" s="33">
        <v>0</v>
      </c>
      <c r="O72" s="33">
        <v>0</v>
      </c>
      <c r="P72" s="33">
        <v>0</v>
      </c>
      <c r="Q72" s="33">
        <v>0</v>
      </c>
      <c r="R72" s="33">
        <v>0</v>
      </c>
      <c r="S72" s="33">
        <v>0</v>
      </c>
    </row>
    <row r="73" spans="1:19" x14ac:dyDescent="0.25">
      <c r="A73" s="118" t="s">
        <v>208</v>
      </c>
      <c r="B73" s="119" t="s">
        <v>23</v>
      </c>
      <c r="C73" s="119" t="s">
        <v>53</v>
      </c>
      <c r="D73" s="119" t="s">
        <v>52</v>
      </c>
      <c r="E73" s="133" t="s">
        <v>2</v>
      </c>
      <c r="F73" s="133" t="s">
        <v>1</v>
      </c>
      <c r="G73" s="133" t="s">
        <v>51</v>
      </c>
      <c r="H73" s="133" t="s">
        <v>49</v>
      </c>
      <c r="I73" s="133" t="s">
        <v>23</v>
      </c>
      <c r="J73" s="55" t="s">
        <v>59</v>
      </c>
      <c r="K73" s="33">
        <v>0</v>
      </c>
      <c r="L73" s="33">
        <v>0</v>
      </c>
      <c r="M73" s="33">
        <v>0</v>
      </c>
      <c r="N73" s="33">
        <v>0</v>
      </c>
      <c r="O73" s="33">
        <v>0</v>
      </c>
      <c r="P73" s="33">
        <v>0</v>
      </c>
      <c r="Q73" s="33">
        <v>0</v>
      </c>
      <c r="R73" s="33">
        <v>0</v>
      </c>
      <c r="S73" s="33">
        <v>0</v>
      </c>
    </row>
    <row r="74" spans="1:19" x14ac:dyDescent="0.25">
      <c r="A74" s="117" t="s">
        <v>238</v>
      </c>
      <c r="B74" s="47" t="s">
        <v>54</v>
      </c>
      <c r="C74" s="47" t="s">
        <v>52</v>
      </c>
      <c r="D74" s="47" t="s">
        <v>53</v>
      </c>
      <c r="E74" s="132" t="s">
        <v>1</v>
      </c>
      <c r="F74" s="132" t="s">
        <v>2</v>
      </c>
      <c r="G74" s="132" t="s">
        <v>46</v>
      </c>
      <c r="H74" s="132" t="s">
        <v>47</v>
      </c>
      <c r="I74" s="132" t="s">
        <v>54</v>
      </c>
      <c r="J74" s="32" t="s">
        <v>55</v>
      </c>
      <c r="K74" s="33">
        <v>0</v>
      </c>
      <c r="L74" s="33">
        <v>0</v>
      </c>
      <c r="M74" s="33">
        <v>0</v>
      </c>
      <c r="N74" s="33">
        <v>0</v>
      </c>
      <c r="O74" s="33">
        <v>0</v>
      </c>
      <c r="P74" s="33">
        <v>0</v>
      </c>
      <c r="Q74" s="33">
        <v>0</v>
      </c>
      <c r="R74" s="33">
        <v>0</v>
      </c>
      <c r="S74" s="33">
        <v>0</v>
      </c>
    </row>
    <row r="75" spans="1:19" x14ac:dyDescent="0.25">
      <c r="A75" s="117" t="s">
        <v>238</v>
      </c>
      <c r="B75" s="48" t="s">
        <v>24</v>
      </c>
      <c r="C75" s="48" t="s">
        <v>52</v>
      </c>
      <c r="D75" s="48" t="s">
        <v>53</v>
      </c>
      <c r="E75" s="132" t="s">
        <v>1</v>
      </c>
      <c r="F75" s="132" t="s">
        <v>2</v>
      </c>
      <c r="G75" s="132" t="s">
        <v>48</v>
      </c>
      <c r="H75" s="132" t="s">
        <v>49</v>
      </c>
      <c r="I75" s="132" t="s">
        <v>24</v>
      </c>
      <c r="J75" s="32" t="s">
        <v>56</v>
      </c>
      <c r="K75" s="33">
        <v>0</v>
      </c>
      <c r="L75" s="33">
        <v>0</v>
      </c>
      <c r="M75" s="33">
        <v>0</v>
      </c>
      <c r="N75" s="33">
        <v>0</v>
      </c>
      <c r="O75" s="33">
        <v>0</v>
      </c>
      <c r="P75" s="33">
        <v>0</v>
      </c>
      <c r="Q75" s="33">
        <v>0</v>
      </c>
      <c r="R75" s="33">
        <v>0</v>
      </c>
      <c r="S75" s="33">
        <v>0</v>
      </c>
    </row>
    <row r="76" spans="1:19" x14ac:dyDescent="0.25">
      <c r="A76" s="117" t="s">
        <v>238</v>
      </c>
      <c r="B76" s="48" t="s">
        <v>57</v>
      </c>
      <c r="C76" s="48" t="s">
        <v>53</v>
      </c>
      <c r="D76" s="48" t="s">
        <v>52</v>
      </c>
      <c r="E76" s="132" t="s">
        <v>2</v>
      </c>
      <c r="F76" s="132" t="s">
        <v>1</v>
      </c>
      <c r="G76" s="132" t="s">
        <v>50</v>
      </c>
      <c r="H76" s="132" t="s">
        <v>47</v>
      </c>
      <c r="I76" s="132" t="s">
        <v>57</v>
      </c>
      <c r="J76" s="32" t="s">
        <v>58</v>
      </c>
      <c r="K76" s="33">
        <v>0</v>
      </c>
      <c r="L76" s="33">
        <v>0</v>
      </c>
      <c r="M76" s="33">
        <v>0</v>
      </c>
      <c r="N76" s="33">
        <v>0</v>
      </c>
      <c r="O76" s="33">
        <v>0</v>
      </c>
      <c r="P76" s="33">
        <v>0</v>
      </c>
      <c r="Q76" s="33">
        <v>0</v>
      </c>
      <c r="R76" s="33">
        <v>0</v>
      </c>
      <c r="S76" s="33">
        <v>0</v>
      </c>
    </row>
    <row r="77" spans="1:19" x14ac:dyDescent="0.25">
      <c r="A77" s="117" t="s">
        <v>238</v>
      </c>
      <c r="B77" s="119" t="s">
        <v>23</v>
      </c>
      <c r="C77" s="119" t="s">
        <v>53</v>
      </c>
      <c r="D77" s="119" t="s">
        <v>52</v>
      </c>
      <c r="E77" s="133" t="s">
        <v>2</v>
      </c>
      <c r="F77" s="133" t="s">
        <v>1</v>
      </c>
      <c r="G77" s="133" t="s">
        <v>51</v>
      </c>
      <c r="H77" s="133" t="s">
        <v>49</v>
      </c>
      <c r="I77" s="133" t="s">
        <v>23</v>
      </c>
      <c r="J77" s="55" t="s">
        <v>59</v>
      </c>
      <c r="K77" s="33">
        <v>0</v>
      </c>
      <c r="L77" s="33">
        <v>0</v>
      </c>
      <c r="M77" s="33">
        <v>0</v>
      </c>
      <c r="N77" s="33">
        <v>0</v>
      </c>
      <c r="O77" s="33">
        <v>0</v>
      </c>
      <c r="P77" s="33">
        <v>0</v>
      </c>
      <c r="Q77" s="33">
        <v>0</v>
      </c>
      <c r="R77" s="33">
        <v>0</v>
      </c>
      <c r="S77" s="33">
        <v>0</v>
      </c>
    </row>
  </sheetData>
  <phoneticPr fontId="57" type="noConversion"/>
  <pageMargins left="0.7" right="0.7" top="0.75" bottom="0.75" header="0.3" footer="0.3"/>
  <pageSetup scale="48"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826CD-8391-428D-8E18-C754CA24C961}">
  <sheetPr codeName="Sheet11">
    <tabColor rgb="FF009999"/>
  </sheetPr>
  <dimension ref="A1:T12"/>
  <sheetViews>
    <sheetView showGridLines="0" zoomScale="85" zoomScaleNormal="85" workbookViewId="0">
      <selection activeCell="F24" sqref="F24"/>
    </sheetView>
  </sheetViews>
  <sheetFormatPr defaultColWidth="18.375" defaultRowHeight="15.75" x14ac:dyDescent="0.25"/>
  <sheetData>
    <row r="1" spans="1:20" x14ac:dyDescent="0.25">
      <c r="A1" s="262" t="s">
        <v>74</v>
      </c>
      <c r="B1" s="263" t="s">
        <v>75</v>
      </c>
      <c r="C1" s="264" t="s">
        <v>76</v>
      </c>
      <c r="D1" s="264" t="s">
        <v>77</v>
      </c>
      <c r="E1" s="263" t="s">
        <v>9</v>
      </c>
      <c r="F1" s="263" t="s">
        <v>10</v>
      </c>
      <c r="G1" s="265" t="s">
        <v>13</v>
      </c>
      <c r="H1" s="265" t="s">
        <v>14</v>
      </c>
      <c r="I1" s="265" t="s">
        <v>78</v>
      </c>
      <c r="J1" s="263" t="s">
        <v>79</v>
      </c>
      <c r="K1" s="263" t="s">
        <v>28</v>
      </c>
      <c r="L1" s="263" t="s">
        <v>80</v>
      </c>
      <c r="M1" s="263" t="s">
        <v>25</v>
      </c>
      <c r="N1" s="263" t="s">
        <v>81</v>
      </c>
      <c r="O1" s="263" t="s">
        <v>12</v>
      </c>
      <c r="P1" s="263" t="s">
        <v>69</v>
      </c>
      <c r="Q1" s="263" t="s">
        <v>242</v>
      </c>
      <c r="R1" s="266" t="s">
        <v>165</v>
      </c>
      <c r="S1" s="263" t="s">
        <v>73</v>
      </c>
      <c r="T1" s="267" t="s">
        <v>160</v>
      </c>
    </row>
    <row r="2" spans="1:20" x14ac:dyDescent="0.25">
      <c r="A2" s="268">
        <f t="shared" ref="A2:B9" si="0">WEEKDAY(C2,2)</f>
        <v>7</v>
      </c>
      <c r="B2" s="269">
        <f t="shared" si="0"/>
        <v>7</v>
      </c>
      <c r="C2" s="352">
        <v>45746</v>
      </c>
      <c r="D2" s="352">
        <v>45760</v>
      </c>
      <c r="E2" s="51" t="s">
        <v>1</v>
      </c>
      <c r="F2" s="51" t="s">
        <v>2</v>
      </c>
      <c r="G2" s="353">
        <v>1</v>
      </c>
      <c r="H2" s="353">
        <v>0</v>
      </c>
      <c r="I2" s="354">
        <f t="shared" ref="I2:I12" si="1">(D2-C2)/7+1-1</f>
        <v>2</v>
      </c>
      <c r="J2" s="355">
        <f t="shared" ref="J2:J12" si="2">IFERROR((G2+H2)*L2/I2,0)</f>
        <v>1</v>
      </c>
      <c r="K2" s="356" t="s">
        <v>247</v>
      </c>
      <c r="L2" s="361">
        <v>2</v>
      </c>
      <c r="M2" s="354" t="str">
        <f t="shared" ref="M2:M9" si="3">E2&amp;"-"&amp;F2&amp;"-"&amp;E2</f>
        <v>SSH-NAP-SSH</v>
      </c>
      <c r="N2" s="358">
        <f t="shared" ref="N2:N12" si="4">G2*L2</f>
        <v>2</v>
      </c>
      <c r="O2" s="359" t="s">
        <v>64</v>
      </c>
      <c r="P2" s="359">
        <v>100</v>
      </c>
      <c r="Q2" s="359"/>
      <c r="R2" s="353">
        <f>Table2[[#This Row],[SELLING]]/Table2[[#This Row],[Y Capacity]]</f>
        <v>0.01</v>
      </c>
      <c r="S2" s="16"/>
      <c r="T2" s="21"/>
    </row>
    <row r="3" spans="1:20" x14ac:dyDescent="0.25">
      <c r="A3" s="268">
        <f>WEEKDAY(C3,2)</f>
        <v>7</v>
      </c>
      <c r="B3" s="269">
        <f>WEEKDAY(D3,2)</f>
        <v>7</v>
      </c>
      <c r="C3" s="352">
        <v>45760</v>
      </c>
      <c r="D3" s="352">
        <v>45781</v>
      </c>
      <c r="E3" s="51" t="s">
        <v>1</v>
      </c>
      <c r="F3" s="51" t="s">
        <v>2</v>
      </c>
      <c r="G3" s="353">
        <v>1</v>
      </c>
      <c r="H3" s="353">
        <v>0</v>
      </c>
      <c r="I3" s="354">
        <f t="shared" si="1"/>
        <v>3</v>
      </c>
      <c r="J3" s="355">
        <f t="shared" si="2"/>
        <v>1.3333333333333333</v>
      </c>
      <c r="K3" s="356" t="s">
        <v>248</v>
      </c>
      <c r="L3" s="357">
        <f t="shared" ref="L3:L12" si="5">(D3-C3)/7+1</f>
        <v>4</v>
      </c>
      <c r="M3" s="354" t="str">
        <f>E3&amp;"-"&amp;F3&amp;"-"&amp;E3</f>
        <v>SSH-NAP-SSH</v>
      </c>
      <c r="N3" s="358">
        <f t="shared" si="4"/>
        <v>4</v>
      </c>
      <c r="O3" s="359" t="s">
        <v>65</v>
      </c>
      <c r="P3" s="359">
        <v>100</v>
      </c>
      <c r="Q3" s="359"/>
      <c r="R3" s="353">
        <f>Table2[[#This Row],[SELLING]]/Table2[[#This Row],[Y Capacity]]</f>
        <v>1.3333333333333332E-2</v>
      </c>
      <c r="S3" s="16"/>
      <c r="T3" s="21"/>
    </row>
    <row r="4" spans="1:20" x14ac:dyDescent="0.25">
      <c r="A4" s="268">
        <v>7</v>
      </c>
      <c r="B4" s="268">
        <v>7</v>
      </c>
      <c r="C4" s="352">
        <v>45781</v>
      </c>
      <c r="D4" s="352">
        <v>45788</v>
      </c>
      <c r="E4" s="51" t="s">
        <v>1</v>
      </c>
      <c r="F4" s="51" t="s">
        <v>2</v>
      </c>
      <c r="G4" s="353">
        <v>1</v>
      </c>
      <c r="H4" s="353"/>
      <c r="I4" s="354">
        <f t="shared" si="1"/>
        <v>1</v>
      </c>
      <c r="J4" s="355">
        <f t="shared" si="2"/>
        <v>1</v>
      </c>
      <c r="K4" s="356" t="s">
        <v>271</v>
      </c>
      <c r="L4" s="361">
        <v>1</v>
      </c>
      <c r="M4" s="354" t="s">
        <v>54</v>
      </c>
      <c r="N4" s="358">
        <f t="shared" si="4"/>
        <v>1</v>
      </c>
      <c r="O4" s="359" t="s">
        <v>64</v>
      </c>
      <c r="P4" s="359">
        <v>100</v>
      </c>
      <c r="Q4" s="359"/>
      <c r="R4" s="353">
        <f>Table2[[#This Row],[SELLING]]/Table2[[#This Row],[Y Capacity]]</f>
        <v>0.01</v>
      </c>
      <c r="S4" s="16"/>
      <c r="T4" s="21"/>
    </row>
    <row r="5" spans="1:20" x14ac:dyDescent="0.25">
      <c r="A5" s="268">
        <f t="shared" si="0"/>
        <v>5</v>
      </c>
      <c r="B5" s="269">
        <f t="shared" si="0"/>
        <v>5</v>
      </c>
      <c r="C5" s="352">
        <v>45765</v>
      </c>
      <c r="D5" s="352">
        <v>45779</v>
      </c>
      <c r="E5" s="51" t="s">
        <v>1</v>
      </c>
      <c r="F5" s="51" t="s">
        <v>2</v>
      </c>
      <c r="G5" s="353">
        <v>1</v>
      </c>
      <c r="H5" s="353">
        <v>0</v>
      </c>
      <c r="I5" s="354">
        <f t="shared" si="1"/>
        <v>2</v>
      </c>
      <c r="J5" s="355">
        <f t="shared" si="2"/>
        <v>1.5</v>
      </c>
      <c r="K5" s="356" t="s">
        <v>146</v>
      </c>
      <c r="L5" s="357">
        <f t="shared" si="5"/>
        <v>3</v>
      </c>
      <c r="M5" s="354" t="str">
        <f>E5&amp;"-"&amp;F5&amp;"-"&amp;E5</f>
        <v>SSH-NAP-SSH</v>
      </c>
      <c r="N5" s="358">
        <f t="shared" si="4"/>
        <v>3</v>
      </c>
      <c r="O5" s="359" t="s">
        <v>65</v>
      </c>
      <c r="P5" s="359">
        <v>100</v>
      </c>
      <c r="Q5" s="359"/>
      <c r="R5" s="353">
        <f>Table2[[#This Row],[SELLING]]/Table2[[#This Row],[Y Capacity]]</f>
        <v>1.4999999999999999E-2</v>
      </c>
      <c r="S5" s="16"/>
      <c r="T5" s="21"/>
    </row>
    <row r="6" spans="1:20" x14ac:dyDescent="0.25">
      <c r="A6" s="221">
        <f>WEEKDAY(C6,2)</f>
        <v>5</v>
      </c>
      <c r="B6" s="221">
        <f>WEEKDAY(D6,2)</f>
        <v>5</v>
      </c>
      <c r="C6" s="363">
        <v>45765</v>
      </c>
      <c r="D6" s="363">
        <v>45779</v>
      </c>
      <c r="E6" s="84" t="s">
        <v>1</v>
      </c>
      <c r="F6" s="84" t="s">
        <v>2</v>
      </c>
      <c r="G6" s="353">
        <v>1</v>
      </c>
      <c r="H6" s="364">
        <v>0</v>
      </c>
      <c r="I6" s="354">
        <f t="shared" si="1"/>
        <v>2</v>
      </c>
      <c r="J6" s="355">
        <f t="shared" si="2"/>
        <v>1.5</v>
      </c>
      <c r="K6" s="365" t="s">
        <v>259</v>
      </c>
      <c r="L6" s="366">
        <f t="shared" si="5"/>
        <v>3</v>
      </c>
      <c r="M6" s="367" t="str">
        <f>E6&amp;"-"&amp;F6&amp;"-"&amp;E6</f>
        <v>SSH-NAP-SSH</v>
      </c>
      <c r="N6" s="358">
        <v>90000</v>
      </c>
      <c r="O6" s="368" t="s">
        <v>64</v>
      </c>
      <c r="P6" s="359">
        <v>100</v>
      </c>
      <c r="Q6" s="369"/>
      <c r="R6" s="353">
        <f>Table2[[#This Row],[SELLING]]/Table2[[#This Row],[Y Capacity]]</f>
        <v>1.4999999999999999E-2</v>
      </c>
      <c r="S6" s="16"/>
      <c r="T6" s="21"/>
    </row>
    <row r="7" spans="1:20" x14ac:dyDescent="0.25">
      <c r="A7" s="268">
        <f t="shared" si="0"/>
        <v>7</v>
      </c>
      <c r="B7" s="269">
        <f t="shared" si="0"/>
        <v>7</v>
      </c>
      <c r="C7" s="352">
        <v>45865</v>
      </c>
      <c r="D7" s="360">
        <v>45963</v>
      </c>
      <c r="E7" s="51" t="s">
        <v>1</v>
      </c>
      <c r="F7" s="51" t="s">
        <v>2</v>
      </c>
      <c r="G7" s="353">
        <v>1</v>
      </c>
      <c r="H7" s="353">
        <v>0</v>
      </c>
      <c r="I7" s="354">
        <f t="shared" si="1"/>
        <v>14</v>
      </c>
      <c r="J7" s="355">
        <f t="shared" si="2"/>
        <v>1.0714285714285714</v>
      </c>
      <c r="K7" s="356" t="s">
        <v>137</v>
      </c>
      <c r="L7" s="357">
        <f t="shared" si="5"/>
        <v>15</v>
      </c>
      <c r="M7" s="354" t="str">
        <f t="shared" si="3"/>
        <v>SSH-NAP-SSH</v>
      </c>
      <c r="N7" s="358">
        <f t="shared" si="4"/>
        <v>15</v>
      </c>
      <c r="O7" s="362" t="s">
        <v>64</v>
      </c>
      <c r="P7" s="359">
        <v>100</v>
      </c>
      <c r="Q7" s="359"/>
      <c r="R7" s="353">
        <f>Table2[[#This Row],[SELLING]]/Table2[[#This Row],[Y Capacity]]</f>
        <v>1.0714285714285714E-2</v>
      </c>
      <c r="S7" s="16"/>
      <c r="T7" s="21"/>
    </row>
    <row r="8" spans="1:20" x14ac:dyDescent="0.25">
      <c r="A8" s="268">
        <f t="shared" si="0"/>
        <v>1</v>
      </c>
      <c r="B8" s="269">
        <f t="shared" si="0"/>
        <v>1</v>
      </c>
      <c r="C8" s="352">
        <v>45866</v>
      </c>
      <c r="D8" s="352">
        <v>45908</v>
      </c>
      <c r="E8" s="51" t="s">
        <v>1</v>
      </c>
      <c r="F8" s="51" t="s">
        <v>2</v>
      </c>
      <c r="G8" s="353">
        <v>1</v>
      </c>
      <c r="H8" s="353">
        <v>0</v>
      </c>
      <c r="I8" s="354">
        <f t="shared" si="1"/>
        <v>6</v>
      </c>
      <c r="J8" s="355">
        <f t="shared" si="2"/>
        <v>1.1666666666666667</v>
      </c>
      <c r="K8" s="356" t="s">
        <v>138</v>
      </c>
      <c r="L8" s="357">
        <f t="shared" si="5"/>
        <v>7</v>
      </c>
      <c r="M8" s="354" t="str">
        <f t="shared" si="3"/>
        <v>SSH-NAP-SSH</v>
      </c>
      <c r="N8" s="358">
        <f t="shared" si="4"/>
        <v>7</v>
      </c>
      <c r="O8" s="362" t="s">
        <v>64</v>
      </c>
      <c r="P8" s="359">
        <v>100</v>
      </c>
      <c r="Q8" s="359"/>
      <c r="R8" s="353">
        <f>Table2[[#This Row],[SELLING]]/Table2[[#This Row],[Y Capacity]]</f>
        <v>1.1666666666666667E-2</v>
      </c>
      <c r="S8" s="16"/>
      <c r="T8" s="21"/>
    </row>
    <row r="9" spans="1:20" x14ac:dyDescent="0.25">
      <c r="A9" s="268">
        <f t="shared" si="0"/>
        <v>1</v>
      </c>
      <c r="B9" s="269">
        <f t="shared" si="0"/>
        <v>1</v>
      </c>
      <c r="C9" s="352">
        <v>45866</v>
      </c>
      <c r="D9" s="352">
        <v>45908</v>
      </c>
      <c r="E9" s="51" t="s">
        <v>1</v>
      </c>
      <c r="F9" s="51" t="s">
        <v>2</v>
      </c>
      <c r="G9" s="353">
        <v>1</v>
      </c>
      <c r="H9" s="353">
        <v>0</v>
      </c>
      <c r="I9" s="354">
        <f t="shared" si="1"/>
        <v>6</v>
      </c>
      <c r="J9" s="355">
        <f t="shared" si="2"/>
        <v>1.1666666666666667</v>
      </c>
      <c r="K9" s="356" t="s">
        <v>139</v>
      </c>
      <c r="L9" s="357">
        <f t="shared" si="5"/>
        <v>7</v>
      </c>
      <c r="M9" s="354" t="str">
        <f t="shared" si="3"/>
        <v>SSH-NAP-SSH</v>
      </c>
      <c r="N9" s="358">
        <f t="shared" si="4"/>
        <v>7</v>
      </c>
      <c r="O9" s="359" t="s">
        <v>65</v>
      </c>
      <c r="P9" s="359">
        <v>100</v>
      </c>
      <c r="Q9" s="359"/>
      <c r="R9" s="353">
        <f>Table2[[#This Row],[SELLING]]/Table2[[#This Row],[Y Capacity]]</f>
        <v>1.1666666666666667E-2</v>
      </c>
      <c r="S9" s="16"/>
      <c r="T9" s="21"/>
    </row>
    <row r="10" spans="1:20" x14ac:dyDescent="0.25">
      <c r="A10" s="268">
        <f t="shared" ref="A10:B12" si="6">WEEKDAY(C10,2)</f>
        <v>1</v>
      </c>
      <c r="B10" s="269">
        <f t="shared" si="6"/>
        <v>1</v>
      </c>
      <c r="C10" s="352">
        <v>45866</v>
      </c>
      <c r="D10" s="352">
        <v>45908</v>
      </c>
      <c r="E10" s="51" t="s">
        <v>1</v>
      </c>
      <c r="F10" s="51" t="s">
        <v>2</v>
      </c>
      <c r="G10" s="353">
        <v>1</v>
      </c>
      <c r="H10" s="353">
        <v>0</v>
      </c>
      <c r="I10" s="354">
        <f t="shared" si="1"/>
        <v>6</v>
      </c>
      <c r="J10" s="355">
        <f t="shared" si="2"/>
        <v>1.1666666666666667</v>
      </c>
      <c r="K10" s="356" t="s">
        <v>208</v>
      </c>
      <c r="L10" s="357">
        <f t="shared" si="5"/>
        <v>7</v>
      </c>
      <c r="M10" s="354" t="str">
        <f>E10&amp;"-"&amp;F10&amp;"-"&amp;E10</f>
        <v>SSH-NAP-SSH</v>
      </c>
      <c r="N10" s="358">
        <f t="shared" si="4"/>
        <v>7</v>
      </c>
      <c r="O10" s="362" t="s">
        <v>64</v>
      </c>
      <c r="P10" s="359">
        <v>100</v>
      </c>
      <c r="Q10" s="359"/>
      <c r="R10" s="353">
        <f>Table2[[#This Row],[SELLING]]/Table2[[#This Row],[Y Capacity]]</f>
        <v>1.1666666666666667E-2</v>
      </c>
      <c r="S10" s="16"/>
      <c r="T10" s="21"/>
    </row>
    <row r="11" spans="1:20" x14ac:dyDescent="0.25">
      <c r="A11" s="268">
        <f t="shared" si="6"/>
        <v>1</v>
      </c>
      <c r="B11" s="269">
        <f t="shared" si="6"/>
        <v>1</v>
      </c>
      <c r="C11" s="352">
        <v>45859</v>
      </c>
      <c r="D11" s="352">
        <v>45908</v>
      </c>
      <c r="E11" s="51" t="s">
        <v>118</v>
      </c>
      <c r="F11" s="51" t="s">
        <v>2</v>
      </c>
      <c r="G11" s="353">
        <v>1</v>
      </c>
      <c r="H11" s="353">
        <v>0</v>
      </c>
      <c r="I11" s="354">
        <f t="shared" si="1"/>
        <v>7</v>
      </c>
      <c r="J11" s="355">
        <f t="shared" si="2"/>
        <v>1.1428571428571428</v>
      </c>
      <c r="K11" s="356" t="s">
        <v>209</v>
      </c>
      <c r="L11" s="357">
        <f t="shared" si="5"/>
        <v>8</v>
      </c>
      <c r="M11" s="354" t="str">
        <f>E11&amp;"-"&amp;F11&amp;"-"&amp;E11</f>
        <v>HRG-NAP-HRG</v>
      </c>
      <c r="N11" s="358">
        <f t="shared" si="4"/>
        <v>8</v>
      </c>
      <c r="O11" s="362" t="s">
        <v>64</v>
      </c>
      <c r="P11" s="359">
        <v>100</v>
      </c>
      <c r="Q11" s="359"/>
      <c r="R11" s="353">
        <f>Table2[[#This Row],[SELLING]]/Table2[[#This Row],[Y Capacity]]</f>
        <v>1.1428571428571429E-2</v>
      </c>
      <c r="S11" s="16"/>
      <c r="T11" s="21"/>
    </row>
    <row r="12" spans="1:20" x14ac:dyDescent="0.25">
      <c r="A12" s="270">
        <f t="shared" si="6"/>
        <v>1</v>
      </c>
      <c r="B12" s="271">
        <f t="shared" si="6"/>
        <v>1</v>
      </c>
      <c r="C12" s="360">
        <v>46013</v>
      </c>
      <c r="D12" s="360">
        <v>46027</v>
      </c>
      <c r="E12" s="51" t="s">
        <v>1</v>
      </c>
      <c r="F12" s="51" t="s">
        <v>2</v>
      </c>
      <c r="G12" s="353">
        <v>1</v>
      </c>
      <c r="H12" s="353">
        <v>0</v>
      </c>
      <c r="I12" s="354">
        <f t="shared" si="1"/>
        <v>2</v>
      </c>
      <c r="J12" s="355">
        <f t="shared" si="2"/>
        <v>1.5</v>
      </c>
      <c r="K12" s="356" t="s">
        <v>238</v>
      </c>
      <c r="L12" s="357">
        <f t="shared" si="5"/>
        <v>3</v>
      </c>
      <c r="M12" s="354" t="str">
        <f>E12&amp;"-"&amp;F12&amp;"-"&amp;E12</f>
        <v>SSH-NAP-SSH</v>
      </c>
      <c r="N12" s="358">
        <f t="shared" si="4"/>
        <v>3</v>
      </c>
      <c r="O12" s="362" t="s">
        <v>64</v>
      </c>
      <c r="P12" s="359">
        <v>100</v>
      </c>
      <c r="Q12" s="359"/>
      <c r="R12" s="353">
        <f>Table2[[#This Row],[SELLING]]/Table2[[#This Row],[Y Capacity]]</f>
        <v>1.4999999999999999E-2</v>
      </c>
      <c r="S12" s="16"/>
      <c r="T12" s="21"/>
    </row>
  </sheetData>
  <phoneticPr fontId="57" type="noConversion"/>
  <conditionalFormatting sqref="B2:B3 B5:B12">
    <cfRule type="cellIs" dxfId="0" priority="1" operator="notEqual">
      <formula>$A2</formula>
    </cfRule>
  </conditionalFormatting>
  <pageMargins left="0.7" right="0.7" top="0.75" bottom="0.75" header="0.3" footer="0.3"/>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43A2-2770-4A40-A900-B3D6B60CEB52}">
  <sheetPr codeName="Sheet13">
    <tabColor rgb="FF009999"/>
  </sheetPr>
  <dimension ref="A2:AE29"/>
  <sheetViews>
    <sheetView showGridLines="0" zoomScale="90" zoomScaleNormal="90" workbookViewId="0">
      <selection activeCell="T37" sqref="T37"/>
    </sheetView>
  </sheetViews>
  <sheetFormatPr defaultColWidth="10.5" defaultRowHeight="15.75" x14ac:dyDescent="0.25"/>
  <cols>
    <col min="1" max="1" width="9" style="14" customWidth="1"/>
    <col min="2" max="11" width="14" style="14" customWidth="1"/>
    <col min="12" max="15" width="14" style="12" customWidth="1"/>
    <col min="16" max="16" width="10" style="12" customWidth="1"/>
    <col min="17" max="25" width="10.5" style="12" customWidth="1"/>
    <col min="26" max="27" width="11.625" style="12" bestFit="1" customWidth="1"/>
    <col min="28" max="29" width="10.5" style="12"/>
    <col min="30" max="30" width="13.125" style="12" customWidth="1"/>
    <col min="31" max="16384" width="10.5" style="12"/>
  </cols>
  <sheetData>
    <row r="2" spans="1:31" x14ac:dyDescent="0.25">
      <c r="A2" s="181" t="s">
        <v>86</v>
      </c>
      <c r="B2" s="136" t="s">
        <v>147</v>
      </c>
      <c r="C2" s="136" t="s">
        <v>231</v>
      </c>
      <c r="D2" s="136" t="s">
        <v>148</v>
      </c>
      <c r="E2" s="136" t="s">
        <v>243</v>
      </c>
      <c r="F2" s="136" t="s">
        <v>149</v>
      </c>
      <c r="G2" s="136" t="s">
        <v>246</v>
      </c>
      <c r="H2" s="136" t="s">
        <v>143</v>
      </c>
      <c r="I2" s="136" t="s">
        <v>150</v>
      </c>
      <c r="J2" s="136" t="s">
        <v>232</v>
      </c>
      <c r="K2" s="136" t="s">
        <v>218</v>
      </c>
      <c r="L2" s="136" t="s">
        <v>219</v>
      </c>
      <c r="M2" s="136" t="s">
        <v>220</v>
      </c>
      <c r="N2" s="136" t="s">
        <v>151</v>
      </c>
      <c r="O2" s="136" t="s">
        <v>144</v>
      </c>
      <c r="P2" s="136" t="s">
        <v>152</v>
      </c>
      <c r="Q2" s="136" t="s">
        <v>153</v>
      </c>
      <c r="R2" s="136" t="s">
        <v>221</v>
      </c>
      <c r="S2" s="136" t="s">
        <v>154</v>
      </c>
      <c r="T2" s="136" t="s">
        <v>222</v>
      </c>
      <c r="U2" s="136" t="s">
        <v>155</v>
      </c>
      <c r="V2" s="136" t="s">
        <v>156</v>
      </c>
      <c r="W2" s="136" t="s">
        <v>157</v>
      </c>
      <c r="X2" s="136" t="s">
        <v>223</v>
      </c>
      <c r="Y2" s="136" t="s">
        <v>158</v>
      </c>
      <c r="Z2" s="136" t="s">
        <v>224</v>
      </c>
      <c r="AA2" s="136" t="s">
        <v>225</v>
      </c>
      <c r="AB2" s="136" t="s">
        <v>210</v>
      </c>
      <c r="AC2" s="136" t="s">
        <v>54</v>
      </c>
      <c r="AD2" s="136" t="s">
        <v>249</v>
      </c>
      <c r="AE2" s="136" t="s">
        <v>120</v>
      </c>
    </row>
    <row r="3" spans="1:31" x14ac:dyDescent="0.25">
      <c r="A3" s="182" t="s">
        <v>29</v>
      </c>
      <c r="B3" s="183" t="s">
        <v>126</v>
      </c>
      <c r="C3" s="183" t="s">
        <v>233</v>
      </c>
      <c r="D3" s="183" t="s">
        <v>236</v>
      </c>
      <c r="E3" s="183" t="s">
        <v>244</v>
      </c>
      <c r="F3" s="183" t="s">
        <v>247</v>
      </c>
      <c r="G3" s="183" t="s">
        <v>248</v>
      </c>
      <c r="H3" s="183" t="s">
        <v>127</v>
      </c>
      <c r="I3" s="183" t="s">
        <v>234</v>
      </c>
      <c r="J3" s="183" t="s">
        <v>235</v>
      </c>
      <c r="K3" s="183" t="s">
        <v>128</v>
      </c>
      <c r="L3" s="183" t="s">
        <v>129</v>
      </c>
      <c r="M3" s="183" t="s">
        <v>130</v>
      </c>
      <c r="N3" s="183" t="s">
        <v>146</v>
      </c>
      <c r="O3" s="183" t="s">
        <v>226</v>
      </c>
      <c r="P3" s="137" t="s">
        <v>131</v>
      </c>
      <c r="Q3" s="137" t="s">
        <v>132</v>
      </c>
      <c r="R3" s="137" t="s">
        <v>133</v>
      </c>
      <c r="S3" s="137" t="s">
        <v>135</v>
      </c>
      <c r="T3" s="137" t="s">
        <v>136</v>
      </c>
      <c r="U3" s="137" t="s">
        <v>137</v>
      </c>
      <c r="V3" s="137" t="s">
        <v>138</v>
      </c>
      <c r="W3" s="137" t="s">
        <v>139</v>
      </c>
      <c r="X3" s="137" t="s">
        <v>140</v>
      </c>
      <c r="Y3" s="137" t="s">
        <v>141</v>
      </c>
      <c r="Z3" s="137" t="s">
        <v>142</v>
      </c>
      <c r="AA3" s="137" t="s">
        <v>208</v>
      </c>
      <c r="AB3" s="137" t="s">
        <v>209</v>
      </c>
      <c r="AC3" s="137" t="s">
        <v>238</v>
      </c>
      <c r="AD3" s="137" t="s">
        <v>250</v>
      </c>
      <c r="AE3" s="138" t="s">
        <v>166</v>
      </c>
    </row>
    <row r="4" spans="1:31" x14ac:dyDescent="0.25">
      <c r="A4" s="13">
        <v>1</v>
      </c>
      <c r="B4" s="56">
        <v>45745</v>
      </c>
      <c r="C4" s="56">
        <v>45752</v>
      </c>
      <c r="D4" s="56">
        <v>45766</v>
      </c>
      <c r="E4" s="56">
        <v>45787</v>
      </c>
      <c r="F4" s="56">
        <v>45746</v>
      </c>
      <c r="G4" s="56">
        <v>45760</v>
      </c>
      <c r="H4" s="56">
        <v>45765</v>
      </c>
      <c r="I4" s="56">
        <v>45752</v>
      </c>
      <c r="J4" s="56">
        <v>45766</v>
      </c>
      <c r="K4" s="56">
        <v>45766</v>
      </c>
      <c r="L4" s="56">
        <v>45753</v>
      </c>
      <c r="M4" s="56">
        <v>45753</v>
      </c>
      <c r="N4" s="218">
        <v>45765</v>
      </c>
      <c r="O4" s="56">
        <v>45765</v>
      </c>
      <c r="P4" s="56">
        <v>45836</v>
      </c>
      <c r="Q4" s="56">
        <v>45863</v>
      </c>
      <c r="R4" s="56">
        <v>45863</v>
      </c>
      <c r="S4" s="56">
        <v>45864</v>
      </c>
      <c r="T4" s="56">
        <v>45500</v>
      </c>
      <c r="U4" s="56">
        <v>45865</v>
      </c>
      <c r="V4" s="56">
        <v>45501</v>
      </c>
      <c r="W4" s="56">
        <v>45866</v>
      </c>
      <c r="X4" s="56">
        <v>45866</v>
      </c>
      <c r="Y4" s="56">
        <v>45502</v>
      </c>
      <c r="Z4" s="56">
        <v>45505</v>
      </c>
      <c r="AA4" s="56">
        <v>45866</v>
      </c>
      <c r="AB4" s="56">
        <v>45859</v>
      </c>
      <c r="AC4" s="56">
        <v>46013</v>
      </c>
      <c r="AD4" s="56">
        <v>45856</v>
      </c>
      <c r="AE4" s="56">
        <v>45717</v>
      </c>
    </row>
    <row r="5" spans="1:31" x14ac:dyDescent="0.25">
      <c r="A5" s="13">
        <v>2</v>
      </c>
      <c r="B5" s="56"/>
      <c r="C5" s="56">
        <v>45759</v>
      </c>
      <c r="D5" s="56">
        <f>D4+7</f>
        <v>45773</v>
      </c>
      <c r="E5" s="56"/>
      <c r="F5" s="56">
        <f t="shared" ref="F5:Z20" si="0">F4+7</f>
        <v>45753</v>
      </c>
      <c r="G5" s="56">
        <v>45767</v>
      </c>
      <c r="H5" s="56">
        <f t="shared" si="0"/>
        <v>45772</v>
      </c>
      <c r="I5" s="56">
        <f>I4+7</f>
        <v>45759</v>
      </c>
      <c r="J5" s="56">
        <v>45773</v>
      </c>
      <c r="K5" s="56">
        <f t="shared" si="0"/>
        <v>45773</v>
      </c>
      <c r="L5" s="56">
        <f t="shared" si="0"/>
        <v>45760</v>
      </c>
      <c r="M5" s="56">
        <f t="shared" si="0"/>
        <v>45760</v>
      </c>
      <c r="N5" s="219">
        <f>N4+7</f>
        <v>45772</v>
      </c>
      <c r="O5" s="56">
        <f>O4+7</f>
        <v>45772</v>
      </c>
      <c r="P5" s="56">
        <f t="shared" si="0"/>
        <v>45843</v>
      </c>
      <c r="Q5" s="56">
        <f t="shared" si="0"/>
        <v>45870</v>
      </c>
      <c r="R5" s="56">
        <f t="shared" si="0"/>
        <v>45870</v>
      </c>
      <c r="S5" s="56">
        <f t="shared" si="0"/>
        <v>45871</v>
      </c>
      <c r="T5" s="56">
        <f t="shared" si="0"/>
        <v>45507</v>
      </c>
      <c r="U5" s="56">
        <f t="shared" si="0"/>
        <v>45872</v>
      </c>
      <c r="V5" s="56">
        <f t="shared" si="0"/>
        <v>45508</v>
      </c>
      <c r="W5" s="56">
        <f t="shared" si="0"/>
        <v>45873</v>
      </c>
      <c r="X5" s="56">
        <f t="shared" si="0"/>
        <v>45873</v>
      </c>
      <c r="Y5" s="56">
        <f t="shared" si="0"/>
        <v>45509</v>
      </c>
      <c r="Z5" s="56">
        <f t="shared" si="0"/>
        <v>45512</v>
      </c>
      <c r="AA5" s="56">
        <f>AA4+7</f>
        <v>45873</v>
      </c>
      <c r="AB5" s="56">
        <v>45866</v>
      </c>
      <c r="AC5" s="56">
        <f>AC4+7</f>
        <v>46020</v>
      </c>
      <c r="AD5" s="56">
        <v>45863</v>
      </c>
      <c r="AE5" s="56">
        <f>AE4+7</f>
        <v>45724</v>
      </c>
    </row>
    <row r="6" spans="1:31" x14ac:dyDescent="0.25">
      <c r="A6" s="13">
        <v>3</v>
      </c>
      <c r="B6" s="56"/>
      <c r="C6" s="56"/>
      <c r="D6" s="56">
        <f>D5+7</f>
        <v>45780</v>
      </c>
      <c r="E6" s="56"/>
      <c r="F6" s="56">
        <f t="shared" si="0"/>
        <v>45760</v>
      </c>
      <c r="G6" s="56">
        <v>45774</v>
      </c>
      <c r="H6" s="56">
        <f t="shared" si="0"/>
        <v>45779</v>
      </c>
      <c r="I6" s="56"/>
      <c r="J6" s="56">
        <v>45780</v>
      </c>
      <c r="K6" s="56">
        <f t="shared" si="0"/>
        <v>45780</v>
      </c>
      <c r="L6" s="56">
        <f t="shared" si="0"/>
        <v>45767</v>
      </c>
      <c r="M6" s="56">
        <f t="shared" si="0"/>
        <v>45767</v>
      </c>
      <c r="N6" s="218">
        <f t="shared" si="0"/>
        <v>45779</v>
      </c>
      <c r="O6" s="56">
        <f>O5+7</f>
        <v>45779</v>
      </c>
      <c r="P6" s="56">
        <f t="shared" si="0"/>
        <v>45850</v>
      </c>
      <c r="Q6" s="56">
        <f t="shared" si="0"/>
        <v>45877</v>
      </c>
      <c r="R6" s="56">
        <f t="shared" si="0"/>
        <v>45877</v>
      </c>
      <c r="S6" s="56">
        <f t="shared" si="0"/>
        <v>45878</v>
      </c>
      <c r="T6" s="56">
        <f t="shared" si="0"/>
        <v>45514</v>
      </c>
      <c r="U6" s="56">
        <f t="shared" si="0"/>
        <v>45879</v>
      </c>
      <c r="V6" s="56">
        <f t="shared" si="0"/>
        <v>45515</v>
      </c>
      <c r="W6" s="56">
        <f t="shared" si="0"/>
        <v>45880</v>
      </c>
      <c r="X6" s="56">
        <f t="shared" si="0"/>
        <v>45880</v>
      </c>
      <c r="Y6" s="56">
        <f t="shared" si="0"/>
        <v>45516</v>
      </c>
      <c r="Z6" s="56">
        <f t="shared" si="0"/>
        <v>45519</v>
      </c>
      <c r="AA6" s="56">
        <f t="shared" ref="W6:AE10" si="1">AA5+7</f>
        <v>45880</v>
      </c>
      <c r="AB6" s="56">
        <v>45873</v>
      </c>
      <c r="AC6" s="56">
        <f>AC5+7</f>
        <v>46027</v>
      </c>
      <c r="AD6" s="56">
        <v>45870</v>
      </c>
      <c r="AE6" s="56">
        <f t="shared" si="1"/>
        <v>45731</v>
      </c>
    </row>
    <row r="7" spans="1:31" x14ac:dyDescent="0.25">
      <c r="A7" s="13">
        <v>4</v>
      </c>
      <c r="B7" s="56"/>
      <c r="C7" s="56"/>
      <c r="D7" s="56"/>
      <c r="E7" s="56"/>
      <c r="F7" s="56"/>
      <c r="G7" s="56">
        <v>45781</v>
      </c>
      <c r="H7" s="56"/>
      <c r="I7" s="56"/>
      <c r="J7" s="56"/>
      <c r="K7" s="56"/>
      <c r="L7" s="56">
        <f t="shared" si="0"/>
        <v>45774</v>
      </c>
      <c r="M7" s="56">
        <f t="shared" si="0"/>
        <v>45774</v>
      </c>
      <c r="N7" s="219"/>
      <c r="O7" s="220"/>
      <c r="P7" s="56">
        <f t="shared" si="0"/>
        <v>45857</v>
      </c>
      <c r="Q7" s="56">
        <f t="shared" si="0"/>
        <v>45884</v>
      </c>
      <c r="R7" s="56">
        <f t="shared" si="0"/>
        <v>45884</v>
      </c>
      <c r="S7" s="56">
        <f t="shared" si="0"/>
        <v>45885</v>
      </c>
      <c r="T7" s="56">
        <f t="shared" si="0"/>
        <v>45521</v>
      </c>
      <c r="U7" s="56">
        <f t="shared" si="0"/>
        <v>45886</v>
      </c>
      <c r="V7" s="56">
        <f t="shared" si="0"/>
        <v>45522</v>
      </c>
      <c r="W7" s="56">
        <f t="shared" si="1"/>
        <v>45887</v>
      </c>
      <c r="X7" s="56">
        <f t="shared" si="1"/>
        <v>45887</v>
      </c>
      <c r="Y7" s="56">
        <f t="shared" si="0"/>
        <v>45523</v>
      </c>
      <c r="Z7" s="56">
        <f t="shared" si="1"/>
        <v>45526</v>
      </c>
      <c r="AA7" s="56">
        <f t="shared" si="1"/>
        <v>45887</v>
      </c>
      <c r="AB7" s="56">
        <v>45880</v>
      </c>
      <c r="AC7" s="56"/>
      <c r="AD7" s="56">
        <v>45877</v>
      </c>
      <c r="AE7" s="56">
        <f t="shared" si="1"/>
        <v>45738</v>
      </c>
    </row>
    <row r="8" spans="1:31" x14ac:dyDescent="0.25">
      <c r="A8" s="13">
        <v>5</v>
      </c>
      <c r="B8" s="56"/>
      <c r="C8" s="56"/>
      <c r="D8" s="56"/>
      <c r="E8" s="56"/>
      <c r="F8" s="56"/>
      <c r="G8" s="56"/>
      <c r="H8" s="56"/>
      <c r="I8" s="56"/>
      <c r="J8" s="56"/>
      <c r="K8" s="56"/>
      <c r="L8" s="56">
        <f t="shared" si="0"/>
        <v>45781</v>
      </c>
      <c r="M8" s="56">
        <f t="shared" si="0"/>
        <v>45781</v>
      </c>
      <c r="N8" s="218"/>
      <c r="O8" s="56"/>
      <c r="P8" s="56">
        <f t="shared" si="0"/>
        <v>45864</v>
      </c>
      <c r="Q8" s="56">
        <f t="shared" si="0"/>
        <v>45891</v>
      </c>
      <c r="R8" s="56">
        <f t="shared" si="0"/>
        <v>45891</v>
      </c>
      <c r="S8" s="56">
        <f t="shared" si="0"/>
        <v>45892</v>
      </c>
      <c r="T8" s="56">
        <f t="shared" si="0"/>
        <v>45528</v>
      </c>
      <c r="U8" s="56">
        <f t="shared" si="0"/>
        <v>45893</v>
      </c>
      <c r="V8" s="56">
        <f t="shared" si="0"/>
        <v>45529</v>
      </c>
      <c r="W8" s="56">
        <f t="shared" si="1"/>
        <v>45894</v>
      </c>
      <c r="X8" s="56">
        <f t="shared" si="1"/>
        <v>45894</v>
      </c>
      <c r="Y8" s="56">
        <f t="shared" si="0"/>
        <v>45530</v>
      </c>
      <c r="Z8" s="56">
        <f t="shared" si="1"/>
        <v>45533</v>
      </c>
      <c r="AA8" s="56">
        <f t="shared" si="1"/>
        <v>45894</v>
      </c>
      <c r="AB8" s="56">
        <v>45887</v>
      </c>
      <c r="AC8" s="56"/>
      <c r="AD8" s="56">
        <v>45884</v>
      </c>
      <c r="AE8" s="56">
        <f t="shared" si="1"/>
        <v>45745</v>
      </c>
    </row>
    <row r="9" spans="1:31" x14ac:dyDescent="0.25">
      <c r="A9" s="13">
        <v>6</v>
      </c>
      <c r="B9" s="56"/>
      <c r="C9" s="56"/>
      <c r="D9" s="56"/>
      <c r="E9" s="56"/>
      <c r="F9" s="56"/>
      <c r="G9" s="56"/>
      <c r="H9" s="56"/>
      <c r="I9" s="56"/>
      <c r="J9" s="56"/>
      <c r="K9" s="56"/>
      <c r="L9" s="56"/>
      <c r="M9" s="56"/>
      <c r="N9" s="219"/>
      <c r="O9" s="220"/>
      <c r="P9" s="56">
        <f t="shared" si="0"/>
        <v>45871</v>
      </c>
      <c r="Q9" s="56">
        <f t="shared" si="0"/>
        <v>45898</v>
      </c>
      <c r="R9" s="56">
        <f t="shared" si="0"/>
        <v>45898</v>
      </c>
      <c r="S9" s="56">
        <f t="shared" si="0"/>
        <v>45899</v>
      </c>
      <c r="T9" s="56">
        <f t="shared" si="0"/>
        <v>45535</v>
      </c>
      <c r="U9" s="56">
        <f t="shared" si="0"/>
        <v>45900</v>
      </c>
      <c r="V9" s="56">
        <f t="shared" si="0"/>
        <v>45536</v>
      </c>
      <c r="W9" s="56">
        <f t="shared" si="1"/>
        <v>45901</v>
      </c>
      <c r="X9" s="56">
        <f t="shared" si="1"/>
        <v>45901</v>
      </c>
      <c r="Y9" s="56">
        <f t="shared" si="0"/>
        <v>45537</v>
      </c>
      <c r="Z9" s="56"/>
      <c r="AA9" s="56">
        <f t="shared" si="1"/>
        <v>45901</v>
      </c>
      <c r="AB9" s="56">
        <v>45894</v>
      </c>
      <c r="AC9" s="56"/>
      <c r="AD9" s="56">
        <v>45891</v>
      </c>
      <c r="AE9" s="56"/>
    </row>
    <row r="10" spans="1:31" x14ac:dyDescent="0.25">
      <c r="A10" s="13">
        <v>7</v>
      </c>
      <c r="B10" s="56"/>
      <c r="C10" s="56"/>
      <c r="D10" s="56"/>
      <c r="E10" s="56"/>
      <c r="F10" s="56"/>
      <c r="G10" s="56"/>
      <c r="H10" s="56"/>
      <c r="I10" s="56"/>
      <c r="J10" s="56"/>
      <c r="K10" s="56"/>
      <c r="L10" s="56"/>
      <c r="M10" s="56"/>
      <c r="N10" s="218"/>
      <c r="O10" s="56"/>
      <c r="P10" s="56">
        <f t="shared" si="0"/>
        <v>45878</v>
      </c>
      <c r="Q10" s="56">
        <f t="shared" si="0"/>
        <v>45905</v>
      </c>
      <c r="R10" s="56">
        <f t="shared" si="0"/>
        <v>45905</v>
      </c>
      <c r="S10" s="56">
        <f t="shared" si="0"/>
        <v>45906</v>
      </c>
      <c r="T10" s="56">
        <f t="shared" si="0"/>
        <v>45542</v>
      </c>
      <c r="U10" s="56">
        <f t="shared" si="0"/>
        <v>45907</v>
      </c>
      <c r="V10" s="56">
        <f t="shared" si="0"/>
        <v>45543</v>
      </c>
      <c r="W10" s="56">
        <f t="shared" si="1"/>
        <v>45908</v>
      </c>
      <c r="X10" s="56">
        <f t="shared" si="1"/>
        <v>45908</v>
      </c>
      <c r="Y10" s="56">
        <f t="shared" si="0"/>
        <v>45544</v>
      </c>
      <c r="Z10" s="56"/>
      <c r="AA10" s="56">
        <f t="shared" si="1"/>
        <v>45908</v>
      </c>
      <c r="AB10" s="56">
        <v>45901</v>
      </c>
      <c r="AC10" s="56"/>
      <c r="AD10" s="56">
        <v>45898</v>
      </c>
      <c r="AE10" s="56"/>
    </row>
    <row r="11" spans="1:31" x14ac:dyDescent="0.25">
      <c r="A11" s="13">
        <v>8</v>
      </c>
      <c r="B11" s="56"/>
      <c r="C11" s="56"/>
      <c r="D11" s="56"/>
      <c r="E11" s="56"/>
      <c r="F11" s="56"/>
      <c r="G11" s="56"/>
      <c r="H11" s="56"/>
      <c r="I11" s="56"/>
      <c r="J11" s="56"/>
      <c r="K11" s="56"/>
      <c r="L11" s="56"/>
      <c r="M11" s="56"/>
      <c r="N11" s="219"/>
      <c r="O11" s="220"/>
      <c r="P11" s="56">
        <f t="shared" si="0"/>
        <v>45885</v>
      </c>
      <c r="Q11" s="56"/>
      <c r="R11" s="56"/>
      <c r="S11" s="83">
        <f t="shared" si="0"/>
        <v>45913</v>
      </c>
      <c r="T11" s="56">
        <f t="shared" si="0"/>
        <v>45549</v>
      </c>
      <c r="U11" s="56">
        <f t="shared" si="0"/>
        <v>45914</v>
      </c>
      <c r="V11" s="56"/>
      <c r="W11" s="56"/>
      <c r="X11" s="56"/>
      <c r="Y11" s="56"/>
      <c r="Z11" s="56"/>
      <c r="AA11" s="56"/>
      <c r="AB11" s="56">
        <v>45908</v>
      </c>
      <c r="AC11" s="56"/>
      <c r="AD11" s="56">
        <v>45905</v>
      </c>
      <c r="AE11" s="56"/>
    </row>
    <row r="12" spans="1:31" x14ac:dyDescent="0.25">
      <c r="A12" s="13">
        <v>9</v>
      </c>
      <c r="B12" s="56"/>
      <c r="C12" s="56"/>
      <c r="D12" s="56"/>
      <c r="E12" s="56"/>
      <c r="F12" s="56"/>
      <c r="G12" s="56"/>
      <c r="H12" s="56"/>
      <c r="I12" s="56"/>
      <c r="J12" s="56"/>
      <c r="K12" s="56"/>
      <c r="L12" s="56"/>
      <c r="M12" s="56"/>
      <c r="N12" s="218"/>
      <c r="O12" s="56"/>
      <c r="P12" s="56">
        <f t="shared" si="0"/>
        <v>45892</v>
      </c>
      <c r="Q12" s="56"/>
      <c r="R12" s="56"/>
      <c r="S12" s="83">
        <f t="shared" si="0"/>
        <v>45920</v>
      </c>
      <c r="T12" s="56">
        <f t="shared" si="0"/>
        <v>45556</v>
      </c>
      <c r="U12" s="56">
        <f t="shared" si="0"/>
        <v>45921</v>
      </c>
      <c r="V12" s="56"/>
      <c r="W12" s="56"/>
      <c r="X12" s="56"/>
      <c r="Y12" s="56"/>
      <c r="Z12" s="56"/>
      <c r="AA12" s="56"/>
      <c r="AB12" s="56"/>
      <c r="AC12" s="56"/>
      <c r="AD12" s="56">
        <v>45912</v>
      </c>
      <c r="AE12" s="56"/>
    </row>
    <row r="13" spans="1:31" x14ac:dyDescent="0.25">
      <c r="A13" s="13">
        <v>10</v>
      </c>
      <c r="B13" s="56"/>
      <c r="C13" s="56"/>
      <c r="D13" s="56"/>
      <c r="E13" s="56"/>
      <c r="F13" s="56"/>
      <c r="G13" s="56"/>
      <c r="H13" s="56"/>
      <c r="I13" s="56"/>
      <c r="J13" s="56"/>
      <c r="K13" s="56"/>
      <c r="L13" s="56"/>
      <c r="M13" s="56"/>
      <c r="N13" s="219"/>
      <c r="O13" s="220"/>
      <c r="P13" s="56">
        <f t="shared" si="0"/>
        <v>45899</v>
      </c>
      <c r="Q13" s="56"/>
      <c r="R13" s="56"/>
      <c r="S13" s="83">
        <f t="shared" si="0"/>
        <v>45927</v>
      </c>
      <c r="T13" s="56">
        <f t="shared" si="0"/>
        <v>45563</v>
      </c>
      <c r="U13" s="56">
        <f t="shared" si="0"/>
        <v>45928</v>
      </c>
      <c r="V13" s="56"/>
      <c r="W13" s="56"/>
      <c r="X13" s="56"/>
      <c r="Y13" s="56"/>
      <c r="Z13" s="56"/>
      <c r="AA13" s="56"/>
      <c r="AB13" s="56"/>
      <c r="AC13" s="56"/>
      <c r="AD13" s="56"/>
      <c r="AE13" s="56"/>
    </row>
    <row r="14" spans="1:31" x14ac:dyDescent="0.25">
      <c r="A14" s="13">
        <v>11</v>
      </c>
      <c r="B14" s="56"/>
      <c r="C14" s="56"/>
      <c r="D14" s="56"/>
      <c r="E14" s="56"/>
      <c r="F14" s="56"/>
      <c r="G14" s="56"/>
      <c r="H14" s="56"/>
      <c r="I14" s="56"/>
      <c r="J14" s="56"/>
      <c r="K14" s="56"/>
      <c r="L14" s="56"/>
      <c r="M14" s="56"/>
      <c r="N14" s="218"/>
      <c r="O14" s="56"/>
      <c r="P14" s="56">
        <f t="shared" si="0"/>
        <v>45906</v>
      </c>
      <c r="Q14" s="56"/>
      <c r="R14" s="56"/>
      <c r="S14" s="83">
        <f t="shared" si="0"/>
        <v>45934</v>
      </c>
      <c r="T14" s="56">
        <f t="shared" si="0"/>
        <v>45570</v>
      </c>
      <c r="U14" s="56">
        <f t="shared" si="0"/>
        <v>45935</v>
      </c>
      <c r="V14" s="56"/>
      <c r="W14" s="56"/>
      <c r="X14" s="56"/>
      <c r="Y14" s="56"/>
      <c r="Z14" s="56"/>
      <c r="AA14" s="56"/>
      <c r="AB14" s="56"/>
      <c r="AC14" s="56"/>
      <c r="AD14" s="56"/>
      <c r="AE14" s="56"/>
    </row>
    <row r="15" spans="1:31" x14ac:dyDescent="0.25">
      <c r="A15" s="13">
        <v>12</v>
      </c>
      <c r="B15" s="56"/>
      <c r="C15" s="56"/>
      <c r="D15" s="56"/>
      <c r="E15" s="56"/>
      <c r="F15" s="56"/>
      <c r="G15" s="56"/>
      <c r="H15" s="56"/>
      <c r="I15" s="56"/>
      <c r="J15" s="56"/>
      <c r="K15" s="56"/>
      <c r="L15" s="56"/>
      <c r="M15" s="56"/>
      <c r="N15" s="219"/>
      <c r="O15" s="220"/>
      <c r="P15" s="56">
        <f t="shared" si="0"/>
        <v>45913</v>
      </c>
      <c r="Q15" s="56"/>
      <c r="R15" s="56"/>
      <c r="S15" s="83">
        <f t="shared" si="0"/>
        <v>45941</v>
      </c>
      <c r="T15" s="56">
        <f t="shared" si="0"/>
        <v>45577</v>
      </c>
      <c r="U15" s="56">
        <f t="shared" si="0"/>
        <v>45942</v>
      </c>
      <c r="V15" s="56"/>
      <c r="W15" s="56"/>
      <c r="X15" s="56"/>
      <c r="Y15" s="56"/>
      <c r="Z15" s="56"/>
      <c r="AA15" s="56"/>
      <c r="AB15" s="56"/>
      <c r="AC15" s="56"/>
      <c r="AD15" s="56"/>
      <c r="AE15" s="56"/>
    </row>
    <row r="16" spans="1:31" x14ac:dyDescent="0.25">
      <c r="A16" s="13">
        <v>13</v>
      </c>
      <c r="B16" s="56"/>
      <c r="C16" s="56"/>
      <c r="D16" s="56"/>
      <c r="E16" s="56"/>
      <c r="F16" s="56"/>
      <c r="G16" s="56"/>
      <c r="H16" s="56"/>
      <c r="I16" s="56"/>
      <c r="J16" s="56"/>
      <c r="K16" s="56"/>
      <c r="L16" s="56"/>
      <c r="M16" s="56"/>
      <c r="N16" s="218"/>
      <c r="O16" s="56"/>
      <c r="P16" s="56">
        <f t="shared" si="0"/>
        <v>45920</v>
      </c>
      <c r="Q16" s="56"/>
      <c r="R16" s="56"/>
      <c r="S16" s="83">
        <f t="shared" si="0"/>
        <v>45948</v>
      </c>
      <c r="T16" s="56">
        <f t="shared" si="0"/>
        <v>45584</v>
      </c>
      <c r="U16" s="56">
        <f t="shared" si="0"/>
        <v>45949</v>
      </c>
      <c r="V16" s="56"/>
      <c r="W16" s="56"/>
      <c r="X16" s="56"/>
      <c r="Y16" s="56"/>
      <c r="Z16" s="56"/>
      <c r="AA16" s="56"/>
      <c r="AB16" s="56"/>
      <c r="AC16" s="56"/>
      <c r="AD16" s="56"/>
      <c r="AE16" s="56"/>
    </row>
    <row r="17" spans="1:31" x14ac:dyDescent="0.25">
      <c r="A17" s="13">
        <v>14</v>
      </c>
      <c r="B17" s="56"/>
      <c r="C17" s="56"/>
      <c r="D17" s="56"/>
      <c r="E17" s="56"/>
      <c r="F17" s="56"/>
      <c r="G17" s="56"/>
      <c r="H17" s="56"/>
      <c r="I17" s="56"/>
      <c r="J17" s="56"/>
      <c r="K17" s="56"/>
      <c r="L17" s="56"/>
      <c r="M17" s="56"/>
      <c r="N17" s="219"/>
      <c r="O17" s="220"/>
      <c r="P17" s="56">
        <f t="shared" si="0"/>
        <v>45927</v>
      </c>
      <c r="Q17" s="56"/>
      <c r="R17" s="56"/>
      <c r="S17" s="83">
        <f t="shared" si="0"/>
        <v>45955</v>
      </c>
      <c r="T17" s="56">
        <f t="shared" si="0"/>
        <v>45591</v>
      </c>
      <c r="U17" s="56">
        <f t="shared" si="0"/>
        <v>45956</v>
      </c>
      <c r="V17" s="56"/>
      <c r="W17" s="56"/>
      <c r="X17" s="56"/>
      <c r="Y17" s="56"/>
      <c r="Z17" s="56"/>
      <c r="AA17" s="56"/>
      <c r="AB17" s="56"/>
      <c r="AC17" s="56"/>
      <c r="AD17" s="56"/>
      <c r="AE17" s="56"/>
    </row>
    <row r="18" spans="1:31" x14ac:dyDescent="0.25">
      <c r="A18" s="13">
        <v>15</v>
      </c>
      <c r="B18" s="56"/>
      <c r="C18" s="56"/>
      <c r="D18" s="56"/>
      <c r="E18" s="56"/>
      <c r="F18" s="56"/>
      <c r="G18" s="56"/>
      <c r="H18" s="56"/>
      <c r="I18" s="56"/>
      <c r="J18" s="56"/>
      <c r="K18" s="56"/>
      <c r="L18" s="56"/>
      <c r="M18" s="56"/>
      <c r="N18" s="218"/>
      <c r="O18" s="56"/>
      <c r="P18" s="56">
        <f t="shared" si="0"/>
        <v>45934</v>
      </c>
      <c r="Q18" s="56"/>
      <c r="R18" s="56"/>
      <c r="S18" s="83">
        <f t="shared" si="0"/>
        <v>45962</v>
      </c>
      <c r="T18" s="56">
        <f t="shared" si="0"/>
        <v>45598</v>
      </c>
      <c r="U18" s="56">
        <f t="shared" si="0"/>
        <v>45963</v>
      </c>
      <c r="V18" s="56"/>
      <c r="W18" s="56"/>
      <c r="X18" s="56"/>
      <c r="Y18" s="56"/>
      <c r="Z18" s="56"/>
      <c r="AA18" s="56"/>
      <c r="AB18" s="56"/>
      <c r="AC18" s="56"/>
      <c r="AD18" s="56"/>
      <c r="AE18" s="56"/>
    </row>
    <row r="19" spans="1:31" x14ac:dyDescent="0.25">
      <c r="A19" s="13">
        <v>16</v>
      </c>
      <c r="B19" s="56"/>
      <c r="C19" s="56"/>
      <c r="D19" s="56"/>
      <c r="E19" s="56"/>
      <c r="F19" s="56"/>
      <c r="G19" s="56"/>
      <c r="H19" s="56"/>
      <c r="I19" s="56"/>
      <c r="J19" s="56"/>
      <c r="K19" s="56"/>
      <c r="L19" s="56"/>
      <c r="M19" s="56"/>
      <c r="N19" s="219"/>
      <c r="O19" s="220"/>
      <c r="P19" s="56">
        <f t="shared" si="0"/>
        <v>45941</v>
      </c>
      <c r="Q19" s="56"/>
      <c r="R19" s="56"/>
      <c r="S19" s="83">
        <f t="shared" si="0"/>
        <v>45969</v>
      </c>
      <c r="T19" s="56">
        <f t="shared" si="0"/>
        <v>45605</v>
      </c>
      <c r="U19" s="83">
        <f t="shared" si="0"/>
        <v>45970</v>
      </c>
      <c r="V19" s="56"/>
      <c r="W19" s="56"/>
      <c r="X19" s="56"/>
      <c r="Y19" s="56"/>
      <c r="Z19" s="56"/>
      <c r="AA19" s="56"/>
      <c r="AB19" s="56"/>
      <c r="AC19" s="56"/>
      <c r="AD19" s="56"/>
      <c r="AE19" s="56"/>
    </row>
    <row r="20" spans="1:31" x14ac:dyDescent="0.25">
      <c r="A20" s="13">
        <v>17</v>
      </c>
      <c r="B20" s="56"/>
      <c r="C20" s="56"/>
      <c r="D20" s="56"/>
      <c r="E20" s="56"/>
      <c r="F20" s="56"/>
      <c r="G20" s="56"/>
      <c r="H20" s="56"/>
      <c r="I20" s="56"/>
      <c r="J20" s="56"/>
      <c r="K20" s="56"/>
      <c r="L20" s="56"/>
      <c r="M20" s="56"/>
      <c r="N20" s="218"/>
      <c r="O20" s="56"/>
      <c r="P20" s="56">
        <f t="shared" si="0"/>
        <v>45948</v>
      </c>
      <c r="Q20" s="56"/>
      <c r="R20" s="56"/>
      <c r="S20" s="83">
        <f t="shared" si="0"/>
        <v>45976</v>
      </c>
      <c r="T20" s="56">
        <f t="shared" si="0"/>
        <v>45612</v>
      </c>
      <c r="U20" s="83">
        <f t="shared" si="0"/>
        <v>45977</v>
      </c>
      <c r="V20" s="56"/>
      <c r="W20" s="56"/>
      <c r="X20" s="56"/>
      <c r="Y20" s="56"/>
      <c r="Z20" s="56"/>
      <c r="AA20" s="56"/>
      <c r="AB20" s="56"/>
      <c r="AC20" s="56"/>
      <c r="AD20" s="56"/>
      <c r="AE20" s="56"/>
    </row>
    <row r="21" spans="1:31" x14ac:dyDescent="0.25">
      <c r="A21" s="13">
        <v>18</v>
      </c>
      <c r="B21" s="56"/>
      <c r="C21" s="56"/>
      <c r="D21" s="56"/>
      <c r="E21" s="56"/>
      <c r="F21" s="56"/>
      <c r="G21" s="56"/>
      <c r="H21" s="56"/>
      <c r="I21" s="56"/>
      <c r="J21" s="56"/>
      <c r="K21" s="56"/>
      <c r="L21" s="56"/>
      <c r="M21" s="56"/>
      <c r="N21" s="219"/>
      <c r="O21" s="220"/>
      <c r="P21" s="56">
        <f t="shared" ref="P21:U29" si="2">P20+7</f>
        <v>45955</v>
      </c>
      <c r="Q21" s="56"/>
      <c r="R21" s="56"/>
      <c r="S21" s="83">
        <f t="shared" si="2"/>
        <v>45983</v>
      </c>
      <c r="T21" s="56">
        <f t="shared" si="2"/>
        <v>45619</v>
      </c>
      <c r="U21" s="83">
        <f t="shared" si="2"/>
        <v>45984</v>
      </c>
      <c r="V21" s="56"/>
      <c r="W21" s="56"/>
      <c r="X21" s="56"/>
      <c r="Y21" s="56"/>
      <c r="Z21" s="56"/>
      <c r="AA21" s="56"/>
      <c r="AB21" s="56"/>
      <c r="AC21" s="56"/>
      <c r="AD21" s="56"/>
      <c r="AE21" s="56"/>
    </row>
    <row r="22" spans="1:31" x14ac:dyDescent="0.25">
      <c r="A22" s="13">
        <v>19</v>
      </c>
      <c r="B22" s="56"/>
      <c r="C22" s="56"/>
      <c r="D22" s="56"/>
      <c r="E22" s="56"/>
      <c r="F22" s="56"/>
      <c r="G22" s="56"/>
      <c r="H22" s="56"/>
      <c r="I22" s="56"/>
      <c r="J22" s="56"/>
      <c r="K22" s="56"/>
      <c r="L22" s="56"/>
      <c r="M22" s="56"/>
      <c r="N22" s="218"/>
      <c r="O22" s="56"/>
      <c r="P22" s="56">
        <f t="shared" si="2"/>
        <v>45962</v>
      </c>
      <c r="Q22" s="56"/>
      <c r="R22" s="56"/>
      <c r="S22" s="83">
        <f t="shared" si="2"/>
        <v>45990</v>
      </c>
      <c r="T22" s="56">
        <f t="shared" si="2"/>
        <v>45626</v>
      </c>
      <c r="U22" s="83">
        <f t="shared" si="2"/>
        <v>45991</v>
      </c>
      <c r="V22" s="56"/>
      <c r="W22" s="56"/>
      <c r="X22" s="56"/>
      <c r="Y22" s="56"/>
      <c r="Z22" s="56"/>
      <c r="AA22" s="56"/>
      <c r="AB22" s="56"/>
      <c r="AC22" s="56"/>
      <c r="AD22" s="56"/>
      <c r="AE22" s="56"/>
    </row>
    <row r="23" spans="1:31" x14ac:dyDescent="0.25">
      <c r="A23" s="13">
        <v>20</v>
      </c>
      <c r="B23" s="56"/>
      <c r="C23" s="56"/>
      <c r="D23" s="56"/>
      <c r="E23" s="56"/>
      <c r="F23" s="56"/>
      <c r="G23" s="56"/>
      <c r="H23" s="56"/>
      <c r="I23" s="56"/>
      <c r="J23" s="56"/>
      <c r="K23" s="56"/>
      <c r="L23" s="56"/>
      <c r="M23" s="56"/>
      <c r="N23" s="219"/>
      <c r="O23" s="220"/>
      <c r="P23" s="56">
        <f t="shared" si="2"/>
        <v>45969</v>
      </c>
      <c r="Q23" s="56"/>
      <c r="R23" s="56"/>
      <c r="S23" s="56"/>
      <c r="T23" s="56"/>
      <c r="U23" s="56"/>
      <c r="V23" s="56"/>
      <c r="W23" s="56"/>
      <c r="X23" s="56"/>
      <c r="Y23" s="56"/>
      <c r="Z23" s="56"/>
      <c r="AA23" s="56"/>
      <c r="AB23" s="56"/>
      <c r="AC23" s="56"/>
      <c r="AD23" s="56"/>
      <c r="AE23" s="56"/>
    </row>
    <row r="24" spans="1:31" x14ac:dyDescent="0.25">
      <c r="A24" s="13">
        <v>21</v>
      </c>
      <c r="B24" s="56"/>
      <c r="C24" s="56"/>
      <c r="D24" s="56"/>
      <c r="E24" s="56"/>
      <c r="F24" s="56"/>
      <c r="G24" s="56"/>
      <c r="H24" s="56"/>
      <c r="I24" s="56"/>
      <c r="J24" s="56"/>
      <c r="K24" s="56"/>
      <c r="L24" s="56"/>
      <c r="M24" s="56"/>
      <c r="N24" s="218"/>
      <c r="O24" s="56"/>
      <c r="P24" s="56">
        <f t="shared" si="2"/>
        <v>45976</v>
      </c>
      <c r="Q24" s="56"/>
      <c r="R24" s="56"/>
      <c r="S24" s="56"/>
      <c r="T24" s="56"/>
      <c r="U24" s="56"/>
      <c r="V24" s="56"/>
      <c r="W24" s="56"/>
      <c r="X24" s="56"/>
      <c r="Y24" s="56"/>
      <c r="Z24" s="56"/>
      <c r="AA24" s="56"/>
      <c r="AB24" s="56"/>
      <c r="AC24" s="56"/>
      <c r="AD24" s="56"/>
      <c r="AE24" s="56"/>
    </row>
    <row r="25" spans="1:31" x14ac:dyDescent="0.25">
      <c r="A25" s="13">
        <v>22</v>
      </c>
      <c r="B25" s="56"/>
      <c r="C25" s="56"/>
      <c r="D25" s="56"/>
      <c r="E25" s="56"/>
      <c r="F25" s="56"/>
      <c r="G25" s="56"/>
      <c r="H25" s="56"/>
      <c r="I25" s="56"/>
      <c r="J25" s="56"/>
      <c r="K25" s="56"/>
      <c r="L25" s="56"/>
      <c r="M25" s="56"/>
      <c r="N25" s="219"/>
      <c r="O25" s="220"/>
      <c r="P25" s="56">
        <f t="shared" si="2"/>
        <v>45983</v>
      </c>
      <c r="Q25" s="56"/>
      <c r="R25" s="56"/>
      <c r="S25" s="56"/>
      <c r="T25" s="56"/>
      <c r="U25" s="56"/>
      <c r="V25" s="56"/>
      <c r="W25" s="56"/>
      <c r="X25" s="56"/>
      <c r="Y25" s="56"/>
      <c r="Z25" s="56"/>
      <c r="AA25" s="56"/>
      <c r="AB25" s="56"/>
      <c r="AC25" s="56"/>
      <c r="AD25" s="56"/>
      <c r="AE25" s="56"/>
    </row>
    <row r="26" spans="1:31" x14ac:dyDescent="0.25">
      <c r="A26" s="13">
        <v>23</v>
      </c>
      <c r="B26" s="56"/>
      <c r="C26" s="56"/>
      <c r="D26" s="56"/>
      <c r="E26" s="56"/>
      <c r="F26" s="56"/>
      <c r="G26" s="56"/>
      <c r="H26" s="56"/>
      <c r="I26" s="56"/>
      <c r="J26" s="56"/>
      <c r="K26" s="56"/>
      <c r="L26" s="56"/>
      <c r="M26" s="56"/>
      <c r="N26" s="218"/>
      <c r="O26" s="56"/>
      <c r="P26" s="56">
        <f t="shared" si="2"/>
        <v>45990</v>
      </c>
      <c r="Q26" s="56"/>
      <c r="R26" s="56"/>
      <c r="S26" s="56"/>
      <c r="T26" s="56"/>
      <c r="U26" s="56"/>
      <c r="V26" s="56"/>
      <c r="W26" s="56"/>
      <c r="X26" s="56"/>
      <c r="Y26" s="56"/>
      <c r="Z26" s="56"/>
      <c r="AA26" s="56"/>
      <c r="AB26" s="56"/>
      <c r="AC26" s="56"/>
      <c r="AD26" s="56"/>
      <c r="AE26" s="56"/>
    </row>
    <row r="27" spans="1:31" x14ac:dyDescent="0.25">
      <c r="A27" s="13">
        <v>24</v>
      </c>
      <c r="B27" s="56"/>
      <c r="C27" s="56"/>
      <c r="D27" s="56"/>
      <c r="E27" s="56"/>
      <c r="F27" s="56"/>
      <c r="G27" s="56"/>
      <c r="H27" s="56"/>
      <c r="I27" s="56"/>
      <c r="J27" s="56"/>
      <c r="K27" s="56"/>
      <c r="L27" s="56"/>
      <c r="M27" s="56"/>
      <c r="N27" s="219"/>
      <c r="O27" s="220"/>
      <c r="P27" s="56">
        <v>46011</v>
      </c>
      <c r="Q27" s="56"/>
      <c r="R27" s="56"/>
      <c r="S27" s="56"/>
      <c r="T27" s="56"/>
      <c r="U27" s="56"/>
      <c r="V27" s="56"/>
      <c r="W27" s="56"/>
      <c r="X27" s="56"/>
      <c r="Y27" s="56"/>
      <c r="Z27" s="56"/>
      <c r="AA27" s="56"/>
      <c r="AB27" s="56"/>
      <c r="AC27" s="56"/>
      <c r="AD27" s="56"/>
      <c r="AE27" s="56"/>
    </row>
    <row r="28" spans="1:31" x14ac:dyDescent="0.25">
      <c r="A28" s="13">
        <v>25</v>
      </c>
      <c r="B28" s="56"/>
      <c r="C28" s="56"/>
      <c r="D28" s="56"/>
      <c r="E28" s="56"/>
      <c r="F28" s="56"/>
      <c r="G28" s="56"/>
      <c r="H28" s="56"/>
      <c r="I28" s="56"/>
      <c r="J28" s="56"/>
      <c r="K28" s="56"/>
      <c r="L28" s="56"/>
      <c r="M28" s="56"/>
      <c r="N28" s="218"/>
      <c r="O28" s="56"/>
      <c r="P28" s="56">
        <f t="shared" si="2"/>
        <v>46018</v>
      </c>
      <c r="Q28" s="56"/>
      <c r="R28" s="56"/>
      <c r="S28" s="56"/>
      <c r="T28" s="56"/>
      <c r="U28" s="56"/>
      <c r="V28" s="56"/>
      <c r="W28" s="56"/>
      <c r="X28" s="56"/>
      <c r="Y28" s="56"/>
      <c r="Z28" s="56"/>
      <c r="AA28" s="56"/>
      <c r="AB28" s="56"/>
      <c r="AC28" s="56"/>
      <c r="AD28" s="56"/>
      <c r="AE28" s="56"/>
    </row>
    <row r="29" spans="1:31" x14ac:dyDescent="0.25">
      <c r="A29" s="13">
        <v>26</v>
      </c>
      <c r="B29" s="56"/>
      <c r="C29" s="56"/>
      <c r="D29" s="56"/>
      <c r="E29" s="56"/>
      <c r="F29" s="56"/>
      <c r="G29" s="56"/>
      <c r="H29" s="56"/>
      <c r="I29" s="56"/>
      <c r="J29" s="56"/>
      <c r="K29" s="56"/>
      <c r="L29" s="56"/>
      <c r="M29" s="56"/>
      <c r="N29" s="219"/>
      <c r="O29" s="220"/>
      <c r="P29" s="56">
        <f t="shared" si="2"/>
        <v>46025</v>
      </c>
      <c r="Q29" s="56"/>
      <c r="R29" s="56"/>
      <c r="S29" s="56"/>
      <c r="T29" s="56"/>
      <c r="U29" s="56"/>
      <c r="V29" s="56"/>
      <c r="W29" s="56"/>
      <c r="X29" s="56"/>
      <c r="Y29" s="56"/>
      <c r="Z29" s="56"/>
      <c r="AA29" s="56"/>
      <c r="AB29" s="56"/>
      <c r="AC29" s="56"/>
      <c r="AD29" s="56"/>
      <c r="AE29" s="184"/>
    </row>
  </sheetData>
  <phoneticPr fontId="57"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Weekly Avl Seats Rev vs Cost</vt:lpstr>
      <vt:lpstr>Weekly Rotation Revenue</vt:lpstr>
      <vt:lpstr>For PNL Updates</vt:lpstr>
      <vt:lpstr>Summary</vt:lpstr>
      <vt:lpstr>Booking_Data</vt:lpstr>
      <vt:lpstr>PRL</vt:lpstr>
      <vt:lpstr>LookUp</vt:lpstr>
      <vt:lpstr>Flight Rotation Weeks</vt:lpstr>
      <vt:lpstr>Routes Taxes</vt:lpstr>
      <vt:lpstr>Flight Plan Budget</vt:lpstr>
      <vt:lpstr>Departure Date</vt:lpstr>
      <vt:lpstr>'Departure Date'!Route3</vt:lpstr>
      <vt:lpstr>'Departure Date'!S01_</vt:lpstr>
      <vt:lpstr>'Departure Date'!S02_</vt:lpstr>
      <vt:lpstr>'Departure Date'!S03_</vt:lpstr>
      <vt:lpstr>'Departure Date'!S04_</vt:lpstr>
      <vt:lpstr>'Departure Date'!S05_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Hamed</dc:creator>
  <cp:lastModifiedBy>Donia Elgendy</cp:lastModifiedBy>
  <cp:lastPrinted>2024-11-29T11:46:21Z</cp:lastPrinted>
  <dcterms:created xsi:type="dcterms:W3CDTF">2023-10-16T10:24:53Z</dcterms:created>
  <dcterms:modified xsi:type="dcterms:W3CDTF">2025-03-17T07:51:11Z</dcterms:modified>
</cp:coreProperties>
</file>