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273" windowHeight="10480" tabRatio="990"/>
  </bookViews>
  <sheets>
    <sheet name="iCE40hxk4_dev_board. " sheetId="1" r:id="rId1"/>
    <sheet name="Sheet1" sheetId="2" r:id="rId2"/>
  </sheets>
  <definedNames>
    <definedName name="BoardQty">'iCE40hxk4_dev_board. '!$I$1</definedName>
    <definedName name="digikey_part_data">'iCE40hxk4_dev_board. '!$J$5:$O$86</definedName>
    <definedName name="farnell_part_data">'iCE40hxk4_dev_board. '!$P$5:$U$86</definedName>
    <definedName name="global_part_data">'iCE40hxk4_dev_board. '!$A$5:$I$86</definedName>
    <definedName name="mouser_part_data">'iCE40hxk4_dev_board. '!$V$5:$AA$86</definedName>
    <definedName name="newark_part_data">'iCE40hxk4_dev_board. '!$AB$5:$AG$86</definedName>
    <definedName name="rs_part_data">'iCE40hxk4_dev_board. '!$AH$5:$AM$86</definedName>
    <definedName name="TotalCost">'iCE40hxk4_dev_board. '!$I$2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9"/>
            <color indexed="81"/>
            <rFont val="宋体"/>
            <charset val="134"/>
          </rPr>
          <t xml:space="preserve">Schematic identifier for each part.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Value of each part.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Description of each part.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PCB footprint for each part.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Manufacturer of each part.</t>
        </r>
      </text>
    </comment>
    <comment ref="F6" authorId="0">
      <text>
        <r>
          <rPr>
            <sz val="9"/>
            <color indexed="81"/>
            <rFont val="宋体"/>
            <charset val="134"/>
          </rPr>
          <t xml:space="preserve">Manufacturer number for each part.</t>
        </r>
      </text>
    </comment>
    <comment ref="G6" authorId="0">
      <text>
        <r>
          <rPr>
            <sz val="9"/>
            <color indexed="81"/>
            <rFont val="宋体"/>
            <charset val="134"/>
          </rPr>
          <t xml:space="preserve">Total number of each part needed to assemble the board.</t>
        </r>
      </text>
    </comment>
    <comment ref="H6" authorId="0">
      <text>
        <r>
          <rPr>
            <sz val="9"/>
            <color indexed="81"/>
            <rFont val="宋体"/>
            <charset val="134"/>
          </rPr>
          <t xml:space="preserve">Minimum unit price for each part across all distributors.</t>
        </r>
      </text>
    </comment>
    <comment ref="I6" authorId="0">
      <text>
        <r>
          <rPr>
            <sz val="9"/>
            <color indexed="81"/>
            <rFont val="宋体"/>
            <charset val="134"/>
          </rPr>
          <t xml:space="preserve">Minimum extended price for each part across all distributors.</t>
        </r>
      </text>
    </comment>
    <comment ref="J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K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L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M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N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O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  <comment ref="P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Q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R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S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T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U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  <comment ref="V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W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X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Y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AA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  <comment ref="AB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AC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AD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AE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AF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AG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  <comment ref="AH6" authorId="0">
      <text>
        <r>
          <rPr>
            <sz val="9"/>
            <color indexed="81"/>
            <rFont val="宋体"/>
            <charset val="134"/>
          </rPr>
          <t xml:space="preserve">Available quantity of each part at the distributor.</t>
        </r>
      </text>
    </comment>
    <comment ref="AI6" authorId="0">
      <text>
        <r>
          <rPr>
            <sz val="9"/>
            <color indexed="81"/>
            <rFont val="宋体"/>
            <charset val="134"/>
          </rPr>
          <t xml:space="preserve">Purchase quantity of each part from this distributor.</t>
        </r>
      </text>
    </comment>
    <comment ref="AJ6" authorId="0">
      <text>
        <r>
          <rPr>
            <sz val="9"/>
            <color indexed="81"/>
            <rFont val="宋体"/>
            <charset val="134"/>
          </rPr>
          <t xml:space="preserve">Unit price of each part from this distributor.</t>
        </r>
      </text>
    </comment>
    <comment ref="AK6" authorId="0">
      <text>
        <r>
          <rPr>
            <sz val="9"/>
            <color indexed="81"/>
            <rFont val="宋体"/>
            <charset val="134"/>
          </rPr>
          <t xml:space="preserve">(Unit Price) x (Purchase Qty) of each part from this distributor.</t>
        </r>
      </text>
    </comment>
    <comment ref="AL6" authorId="0">
      <text>
        <r>
          <rPr>
            <sz val="9"/>
            <color indexed="81"/>
            <rFont val="宋体"/>
            <charset val="134"/>
          </rPr>
          <t xml:space="preserve">Distributor-assigned part number for each part.</t>
        </r>
      </text>
    </comment>
    <comment ref="AM6" authorId="0">
      <text>
        <r>
          <rPr>
            <sz val="9"/>
            <color indexed="81"/>
            <rFont val="宋体"/>
            <charset val="134"/>
          </rPr>
          <t xml:space="preserve">Link to distributor webpage for each part.</t>
        </r>
      </text>
    </comment>
  </commentList>
</comments>
</file>

<file path=xl/sharedStrings.xml><?xml version="1.0" encoding="utf-8"?>
<sst xmlns="http://schemas.openxmlformats.org/spreadsheetml/2006/main" count="445">
  <si>
    <t>Board Qty:</t>
  </si>
  <si>
    <t>Total Cost:</t>
  </si>
  <si>
    <t>Unit Cost:</t>
  </si>
  <si>
    <t>Global Part Info</t>
  </si>
  <si>
    <t>Digi-Key</t>
  </si>
  <si>
    <t>Farnell</t>
  </si>
  <si>
    <t>Mouser</t>
  </si>
  <si>
    <t>Newark</t>
  </si>
  <si>
    <t>Rs Components</t>
  </si>
  <si>
    <t xml:space="preserve"> 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</si>
  <si>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</si>
  <si>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</si>
  <si>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</si>
  <si>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</si>
  <si>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</si>
  <si>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</si>
  <si>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</si>
  <si>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</si>
  <si>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Avail</t>
  </si>
  <si>
    <t>Purch</t>
  </si>
  <si>
    <t>Cat#</t>
  </si>
  <si>
    <t>Doc</t>
  </si>
  <si>
    <t>R213-R231</t>
  </si>
  <si>
    <t>0R</t>
  </si>
  <si>
    <t>Resistors_SMD:R_0603_HandSoldering</t>
  </si>
  <si>
    <t>RC1206JR-070RL</t>
  </si>
  <si>
    <t>311-0.0ERCT-ND</t>
  </si>
  <si>
    <t>Link</t>
  </si>
  <si>
    <t>603-RC1206JR-070RL</t>
  </si>
  <si>
    <t>68R0297</t>
  </si>
  <si>
    <t>Xtal201,Xtal401</t>
  </si>
  <si>
    <t>LFSPXO019966</t>
  </si>
  <si>
    <t>Oscillators:Oscillator_SMD_Fordahl_DFAS11-4pin_7.0x5.0mm_HandSoldering</t>
  </si>
  <si>
    <t>449-LFSPXO019966REEL</t>
  </si>
  <si>
    <t>94X0882</t>
  </si>
  <si>
    <t>814-1626</t>
  </si>
  <si>
    <t>C601,C603,C605,C606,C608,C612,C614,C616,C618,C619,C621,C623,C625,C627,C629,C631,C633,C635,C905,C1002,C1003,C1005,C1006,C1010,C1011,C1018,C1101,C1102</t>
  </si>
  <si>
    <t>100nF</t>
  </si>
  <si>
    <t>Capacitors_SMD:C_0603_HandSoldering</t>
  </si>
  <si>
    <t>C0603C104K3RACTU</t>
  </si>
  <si>
    <t>399-1281-1-ND</t>
  </si>
  <si>
    <t>80-C0603C104K3R</t>
  </si>
  <si>
    <t>64K2837</t>
  </si>
  <si>
    <t>147-538</t>
  </si>
  <si>
    <t>R1111,R1112</t>
  </si>
  <si>
    <t>330R</t>
  </si>
  <si>
    <t>RC0603FR-07330RL</t>
  </si>
  <si>
    <t>311-330HRCT-ND</t>
  </si>
  <si>
    <t>603-RC0603FR-07330RL</t>
  </si>
  <si>
    <t>75X0150</t>
  </si>
  <si>
    <t>U205</t>
  </si>
  <si>
    <t>FT2232H</t>
  </si>
  <si>
    <t>Housings_QFP:LQFP-64_10x10mm_Pitch0.5mm</t>
  </si>
  <si>
    <t>895-FT2232HQ-TRAY</t>
  </si>
  <si>
    <t>80P4235</t>
  </si>
  <si>
    <t>687-7720</t>
  </si>
  <si>
    <t>D1002</t>
  </si>
  <si>
    <t>LM4041EIM3-1.2/NOPB</t>
  </si>
  <si>
    <t>TO_SOT_Packages_SMD:SOT-23</t>
  </si>
  <si>
    <t>LM4041EIM3-1.2/NOPBCT-ND</t>
  </si>
  <si>
    <t>926-LM4041EIM312NOPB</t>
  </si>
  <si>
    <t>41K5322</t>
  </si>
  <si>
    <t>811-5636</t>
  </si>
  <si>
    <t>U902</t>
  </si>
  <si>
    <t>TCR2EF13,LM(CT</t>
  </si>
  <si>
    <t>library:SC-74(5-pins)</t>
  </si>
  <si>
    <t>TCR2EF13LM(CTCT-ND</t>
  </si>
  <si>
    <t>757-TCR2EF13LMCT</t>
  </si>
  <si>
    <t>R202,R204,R205</t>
  </si>
  <si>
    <t>1K5</t>
  </si>
  <si>
    <t>CRCW06031K50JNEA</t>
  </si>
  <si>
    <t>541-1.5KGCT-ND</t>
  </si>
  <si>
    <t>71-CRCW0603J-1.5K-E3</t>
  </si>
  <si>
    <t>59M6753</t>
  </si>
  <si>
    <t>830-6668</t>
  </si>
  <si>
    <t>U803</t>
  </si>
  <si>
    <t>CLC4007</t>
  </si>
  <si>
    <t>Housings_SSOP:TSSOP-14_4.4x5mm_Pitch0.65mm</t>
  </si>
  <si>
    <t>701-CLC4007ITP14MTR</t>
  </si>
  <si>
    <t>791-7472</t>
  </si>
  <si>
    <t>R1119,R1120</t>
  </si>
  <si>
    <t>6K8</t>
  </si>
  <si>
    <t>RC0603FR-076K8L</t>
  </si>
  <si>
    <t>311-6.80KHRCT-ND</t>
  </si>
  <si>
    <t>603-RC0603FR-076K8L</t>
  </si>
  <si>
    <t>68R0109</t>
  </si>
  <si>
    <t>C303,C306</t>
  </si>
  <si>
    <t>1uF</t>
  </si>
  <si>
    <t>GRM188R61C105KA93D</t>
  </si>
  <si>
    <t>490-1536-1-ND</t>
  </si>
  <si>
    <t>81-GRM39R105K16</t>
  </si>
  <si>
    <t>03AC2661</t>
  </si>
  <si>
    <t>723-5578</t>
  </si>
  <si>
    <t>C701,C702</t>
  </si>
  <si>
    <t>100pF</t>
  </si>
  <si>
    <t>VJ0603A101JXACW1BC</t>
  </si>
  <si>
    <t>720-1526-1-ND</t>
  </si>
  <si>
    <t>77-VJ0603A101JXACBC</t>
  </si>
  <si>
    <t>57J8521</t>
  </si>
  <si>
    <t>L1001-L1007</t>
  </si>
  <si>
    <t>L_BLM18AG121SN1D</t>
  </si>
  <si>
    <t>Inductors_SMD:L_0603_HandSoldering</t>
  </si>
  <si>
    <t>BLM18AG121SN1D</t>
  </si>
  <si>
    <t>490-1011-1-ND</t>
  </si>
  <si>
    <t>81-BLM11A121S</t>
  </si>
  <si>
    <t>73M9051</t>
  </si>
  <si>
    <t>202-3550</t>
  </si>
  <si>
    <t>C214</t>
  </si>
  <si>
    <t>4.7uF</t>
  </si>
  <si>
    <t>Capacitors_SMD:C_0805_HandSoldering</t>
  </si>
  <si>
    <t>GRM21BR71C475KE51L</t>
  </si>
  <si>
    <t>490-14466-1-ND</t>
  </si>
  <si>
    <t>81-GRM21BR71C475KE1L</t>
  </si>
  <si>
    <t>12AC6496</t>
  </si>
  <si>
    <t>R702,R706</t>
  </si>
  <si>
    <t>887K</t>
  </si>
  <si>
    <t>RC0603FR-07887KL</t>
  </si>
  <si>
    <t>311-887KHRCT-ND</t>
  </si>
  <si>
    <t>603-RC0603FR-07887KL</t>
  </si>
  <si>
    <t>66R2611</t>
  </si>
  <si>
    <t>R802,R804,R1101,R1102</t>
  </si>
  <si>
    <t>Let it open</t>
  </si>
  <si>
    <t>C210-C212</t>
  </si>
  <si>
    <t>2.2uF</t>
  </si>
  <si>
    <t>GRM21BR71A225KA01K</t>
  </si>
  <si>
    <t>490-11596-1-ND</t>
  </si>
  <si>
    <t>81-GRM21BR71A225KA1K</t>
  </si>
  <si>
    <t>106-757</t>
  </si>
  <si>
    <t>D1004,D1005</t>
  </si>
  <si>
    <t>D_Schottky_BAT54-7-F</t>
  </si>
  <si>
    <t>Diodes_SMD:D_SOT-23_ANK</t>
  </si>
  <si>
    <t>BAT54-7-F</t>
  </si>
  <si>
    <t>BAT54-FDICT-ND</t>
  </si>
  <si>
    <t>621-BAT54-F</t>
  </si>
  <si>
    <t>65W8455</t>
  </si>
  <si>
    <t>738-4829</t>
  </si>
  <si>
    <t>R827,R830,R1115,R1118</t>
  </si>
  <si>
    <t>1K</t>
  </si>
  <si>
    <t>RC0603FR-071KL</t>
  </si>
  <si>
    <t>311-1.00KHRCT-ND</t>
  </si>
  <si>
    <t>603-RC0603FR-071KL</t>
  </si>
  <si>
    <t>68R0042</t>
  </si>
  <si>
    <t>R809,R810,R813,R814,R816,R819,R822,R825</t>
  </si>
  <si>
    <t>1K8</t>
  </si>
  <si>
    <t>RC0603FR-071K8L</t>
  </si>
  <si>
    <t>311-1.80KHRCT-ND</t>
  </si>
  <si>
    <t>603-RC0603FR-071K8L</t>
  </si>
  <si>
    <t>12AC2123</t>
  </si>
  <si>
    <t>R805-R808,R1010,R1011</t>
  </si>
  <si>
    <t>470R</t>
  </si>
  <si>
    <t>RC0603FR-07470RL</t>
  </si>
  <si>
    <t>311-470HRCT-ND</t>
  </si>
  <si>
    <t>603-RC0603FR-07470RL</t>
  </si>
  <si>
    <t>68R0099</t>
  </si>
  <si>
    <t>R1121,R1122</t>
  </si>
  <si>
    <t>62K</t>
  </si>
  <si>
    <t>RC0603FR-0762KL</t>
  </si>
  <si>
    <t>311-62.0KHRCT-ND</t>
  </si>
  <si>
    <t>603-RC0603FR-0762KL</t>
  </si>
  <si>
    <t>66R2519</t>
  </si>
  <si>
    <t>U1104</t>
  </si>
  <si>
    <t>MCP4716</t>
  </si>
  <si>
    <t>TO_SOT_Packages_SMD:SOT-23-6</t>
  </si>
  <si>
    <t>MCP4716A0T-E/CH</t>
  </si>
  <si>
    <t>MCP4716A0T-E/CHCT-ND</t>
  </si>
  <si>
    <t>579-MCP4716A0TECH</t>
  </si>
  <si>
    <t>58T2010</t>
  </si>
  <si>
    <t>738-7124</t>
  </si>
  <si>
    <t>U1103</t>
  </si>
  <si>
    <t>MCP4716A1T-E/CH</t>
  </si>
  <si>
    <t>MCP4716A1T-E/CHCT-ND</t>
  </si>
  <si>
    <t>579-MCP4716A1TECH</t>
  </si>
  <si>
    <t>823-0959</t>
  </si>
  <si>
    <t>C704,C707</t>
  </si>
  <si>
    <t>1-3pF</t>
  </si>
  <si>
    <t>Capacitors_THT:CP_Radial_Tantal_D6.0mm_P5.00mm</t>
  </si>
  <si>
    <t>GKG3R015</t>
  </si>
  <si>
    <t>SG9031-ND</t>
  </si>
  <si>
    <t>659-GKG3R015</t>
  </si>
  <si>
    <t>D201,D208</t>
  </si>
  <si>
    <t>D_Schottky_CDBURT0530LL-HF</t>
  </si>
  <si>
    <t>Diodes_SMD:D_0603</t>
  </si>
  <si>
    <t>CDBURT0530LL-HF</t>
  </si>
  <si>
    <t>641-1520-1-ND</t>
  </si>
  <si>
    <t>750-CDBURT0530LL-HF</t>
  </si>
  <si>
    <t>C302,C304,C315,C317</t>
  </si>
  <si>
    <t>10uF</t>
  </si>
  <si>
    <t>Capacitors_SMD:C_1206_HandSoldering</t>
  </si>
  <si>
    <t>TAJA106K016TNJ</t>
  </si>
  <si>
    <t>478-10744-1-ND</t>
  </si>
  <si>
    <t>581-TAJA106K016TNJ</t>
  </si>
  <si>
    <t>60R5827</t>
  </si>
  <si>
    <t>D203</t>
  </si>
  <si>
    <t>RED</t>
  </si>
  <si>
    <t>LEDs:LED_0603</t>
  </si>
  <si>
    <t>APTD1608LSURCK</t>
  </si>
  <si>
    <t>754-2038-1-ND</t>
  </si>
  <si>
    <t>604-APTD1608LSURCK</t>
  </si>
  <si>
    <t>C907</t>
  </si>
  <si>
    <t>C201,C204,C206,C208,C209,C216-C224,C301,C305,C307-C309,C311,C313,C314,C316,C401-C405,C407,C501-C510</t>
  </si>
  <si>
    <t>J202</t>
  </si>
  <si>
    <t>USB_OTG</t>
  </si>
  <si>
    <t>Connectors:USB_Micro-B</t>
  </si>
  <si>
    <t>47642-0001</t>
  </si>
  <si>
    <t>WM1398CT-ND</t>
  </si>
  <si>
    <t>538-47642-0001</t>
  </si>
  <si>
    <t>78R2131</t>
  </si>
  <si>
    <t>896-7419</t>
  </si>
  <si>
    <t>U203</t>
  </si>
  <si>
    <t>93LC56BT-I/OT</t>
  </si>
  <si>
    <t>TO_SOT_Packages_SMD:SOT-23-6_Handsoldering</t>
  </si>
  <si>
    <t>93LC56BT-I/OTCT-ND</t>
  </si>
  <si>
    <t>579-93LC56BT-I/OT</t>
  </si>
  <si>
    <t>30H4760</t>
  </si>
  <si>
    <t>454-343</t>
  </si>
  <si>
    <t>U1101,U1102,U1105,U1106</t>
  </si>
  <si>
    <t>MIC7300</t>
  </si>
  <si>
    <t>TO_SOT_Packages_SMD:SOT-23-5</t>
  </si>
  <si>
    <t>MIC7300YM5-TR</t>
  </si>
  <si>
    <t>576-1319-1-ND</t>
  </si>
  <si>
    <t>998-MIC7300YM5TR</t>
  </si>
  <si>
    <t>72Y5351</t>
  </si>
  <si>
    <t>910-1874</t>
  </si>
  <si>
    <t>D301</t>
  </si>
  <si>
    <t>D_BAS21,215</t>
  </si>
  <si>
    <t>BAS21,215</t>
  </si>
  <si>
    <t>1727-2889-1-ND</t>
  </si>
  <si>
    <t>771-BAS21-T/R</t>
  </si>
  <si>
    <t>75R4934</t>
  </si>
  <si>
    <t>738-4803</t>
  </si>
  <si>
    <t>J101,J601,J602</t>
  </si>
  <si>
    <t>CONN_01X02</t>
  </si>
  <si>
    <t>Pin_Headers:Pin_Header_Straight_1x02_Pitch1.27mm</t>
  </si>
  <si>
    <t>R703,R707</t>
  </si>
  <si>
    <t>89K8</t>
  </si>
  <si>
    <t>RT0603DRE0789K8L</t>
  </si>
  <si>
    <t>603-RT0603DRE0789K8L</t>
  </si>
  <si>
    <t>R828,R831</t>
  </si>
  <si>
    <t>47K</t>
  </si>
  <si>
    <t>RC0603FR-0747KL</t>
  </si>
  <si>
    <t>311-47.0KHRCT-ND</t>
  </si>
  <si>
    <t>603-RC0603FR-0747KL</t>
  </si>
  <si>
    <t>26M6759</t>
  </si>
  <si>
    <t>U302</t>
  </si>
  <si>
    <t>25LC_EEPROM</t>
  </si>
  <si>
    <t>TO_SOT_Packages_SMD:SOT-23-8_Handsoldering</t>
  </si>
  <si>
    <t>C205,C207,C213,C215</t>
  </si>
  <si>
    <t>TAJA475K016UNJ</t>
  </si>
  <si>
    <t>581-TAJA475K016UNJ</t>
  </si>
  <si>
    <t>60R5857</t>
  </si>
  <si>
    <t>R307,R308</t>
  </si>
  <si>
    <t>100R</t>
  </si>
  <si>
    <t>RC0603FR-07100RL</t>
  </si>
  <si>
    <t>311-100HRCT-ND</t>
  </si>
  <si>
    <t>603-RC0603FR-07100RL</t>
  </si>
  <si>
    <t>68R0052</t>
  </si>
  <si>
    <t>R1006-R1009,R1113,R1116</t>
  </si>
  <si>
    <t>4K7</t>
  </si>
  <si>
    <t>RC0603FR-074K7L</t>
  </si>
  <si>
    <t>311-4.70KHRCT-ND</t>
  </si>
  <si>
    <t>603-RC0603FR-074K7L</t>
  </si>
  <si>
    <t>68R0092</t>
  </si>
  <si>
    <t>U903</t>
  </si>
  <si>
    <t>MIC5270</t>
  </si>
  <si>
    <t>576-1295-1-ND</t>
  </si>
  <si>
    <t>998-MIC5270YM5TR</t>
  </si>
  <si>
    <t>72Y5346</t>
  </si>
  <si>
    <t>910-1698</t>
  </si>
  <si>
    <t>R212,R309-R322</t>
  </si>
  <si>
    <t>C202,C203,C310,C312</t>
  </si>
  <si>
    <t>10nF</t>
  </si>
  <si>
    <t>C0603C103K5RECTU</t>
  </si>
  <si>
    <t>399-14172-2-ND</t>
  </si>
  <si>
    <t>80-C0603C103K5REC</t>
  </si>
  <si>
    <t>D202,D204,D401-D408</t>
  </si>
  <si>
    <t>GREEN</t>
  </si>
  <si>
    <t>APTD1608LCGCK</t>
  </si>
  <si>
    <t>754-2037-1-ND</t>
  </si>
  <si>
    <t>604-APTD1608LCGCK</t>
  </si>
  <si>
    <t>R701,R705</t>
  </si>
  <si>
    <t>13K</t>
  </si>
  <si>
    <t>RC0603FR-0713KL</t>
  </si>
  <si>
    <t>311-13.0KHRCT-ND</t>
  </si>
  <si>
    <t>603-RC0603FR-0713KL</t>
  </si>
  <si>
    <t>68R0057</t>
  </si>
  <si>
    <t>C705,C708</t>
  </si>
  <si>
    <t>5-20pF</t>
  </si>
  <si>
    <t>GKG20015</t>
  </si>
  <si>
    <t>SG9029-ND</t>
  </si>
  <si>
    <t>659-GKG20015</t>
  </si>
  <si>
    <t>U501</t>
  </si>
  <si>
    <t>AS4C1M16S</t>
  </si>
  <si>
    <t>TSOP50-II:TSOP50-II</t>
  </si>
  <si>
    <t>1450-1004-ND</t>
  </si>
  <si>
    <t>913-AS4C1M16S-7TCN</t>
  </si>
  <si>
    <t>797-5790</t>
  </si>
  <si>
    <t>R829,R832</t>
  </si>
  <si>
    <t>2K2</t>
  </si>
  <si>
    <t>RC0603FR-072K2L</t>
  </si>
  <si>
    <t>311-2.20KHRCT-ND</t>
  </si>
  <si>
    <t>603-RC0603FR-072K2L</t>
  </si>
  <si>
    <t>68R0064</t>
  </si>
  <si>
    <t>J401-J406,J501,J502,J603-J605,J701-J706,J801-J810,J1001-J1004</t>
  </si>
  <si>
    <t>Testpoint</t>
  </si>
  <si>
    <t>library:TestPoint</t>
  </si>
  <si>
    <t>C602,C604,C607,C609,C611,C613,C615,C617,C622,C624,C626,C628,C630,C632,C634,C636,C903,C904,C906</t>
  </si>
  <si>
    <t>J102</t>
  </si>
  <si>
    <t>KobiConn_161-3507_Jack_3.5mm</t>
  </si>
  <si>
    <t>library:KobiConn_161-3507_Jack_3.5mm</t>
  </si>
  <si>
    <t>KobiConn_161-3507</t>
  </si>
  <si>
    <t>161-3507-E</t>
  </si>
  <si>
    <t>C1001,C1004,C1007-C1009,C1012-C1017</t>
  </si>
  <si>
    <t>R709,R710,R801,R803,R1002,R1005,R1103,R1104</t>
  </si>
  <si>
    <t>R208</t>
  </si>
  <si>
    <t>R821,R823,R824,R826</t>
  </si>
  <si>
    <t>U1001,U1002</t>
  </si>
  <si>
    <t>ADC1175</t>
  </si>
  <si>
    <t>library:TSSOP-24_4.4x7.8mm_Pitch0.65mm</t>
  </si>
  <si>
    <t>ADC1175CIMTCX/NOPB</t>
  </si>
  <si>
    <t>296-35235-1-ND</t>
  </si>
  <si>
    <t>926-ADC1175CIMTCXNPB</t>
  </si>
  <si>
    <t>55K5084</t>
  </si>
  <si>
    <t>R211</t>
  </si>
  <si>
    <t>12K</t>
  </si>
  <si>
    <t>RC0603FR-0712KL</t>
  </si>
  <si>
    <t>311-12.0KHRCT-ND</t>
  </si>
  <si>
    <t>603-RC0603FR-0712KL</t>
  </si>
  <si>
    <t>68R0054</t>
  </si>
  <si>
    <t>U901</t>
  </si>
  <si>
    <t>LM2776DBVR</t>
  </si>
  <si>
    <t>296-43957-1-ND</t>
  </si>
  <si>
    <t>595-LM2776DBVR</t>
  </si>
  <si>
    <t>53Y0672</t>
  </si>
  <si>
    <t>R101,R201,R207,R209,R210,R301-R306,R704,R708,R1105-R1110</t>
  </si>
  <si>
    <t>10K</t>
  </si>
  <si>
    <t>RT0603DRE0710KL</t>
  </si>
  <si>
    <t>YAG2318CT-ND</t>
  </si>
  <si>
    <t>603-RT0603DRE0710KL</t>
  </si>
  <si>
    <t>66R7868</t>
  </si>
  <si>
    <t>R1001,R1004</t>
  </si>
  <si>
    <t>50R</t>
  </si>
  <si>
    <t>CRCW060350R0FKEA</t>
  </si>
  <si>
    <t>541-3318-1-ND</t>
  </si>
  <si>
    <t>71-CRCW0603-50-E3</t>
  </si>
  <si>
    <t>89M6778</t>
  </si>
  <si>
    <t>830-6517</t>
  </si>
  <si>
    <t>D701,D702,D1006,D1007</t>
  </si>
  <si>
    <t>D_Schottky_BAT54S-7-F</t>
  </si>
  <si>
    <t>BAT54S-7-F</t>
  </si>
  <si>
    <t>BAT54S-FDICT-ND</t>
  </si>
  <si>
    <t>621-BAT54S-F</t>
  </si>
  <si>
    <t>65W8468</t>
  </si>
  <si>
    <t>738-4831</t>
  </si>
  <si>
    <t>J103,J104</t>
  </si>
  <si>
    <t>CONN_COAXIAL</t>
  </si>
  <si>
    <t>library:Molex_73100-0105_BNC</t>
  </si>
  <si>
    <t>73100-0105</t>
  </si>
  <si>
    <t>WM5524-ND</t>
  </si>
  <si>
    <t>538-73100-0105</t>
  </si>
  <si>
    <t>97C7196</t>
  </si>
  <si>
    <t>R811,R812,R815,R817,R818,R820,R1003,R1012,R1013</t>
  </si>
  <si>
    <t>220R</t>
  </si>
  <si>
    <t>RC0603JR-07220RL</t>
  </si>
  <si>
    <t>311-220GRCT-ND</t>
  </si>
  <si>
    <t>603-RC0603JR-07220RL</t>
  </si>
  <si>
    <t>68R0170</t>
  </si>
  <si>
    <t>U204</t>
  </si>
  <si>
    <t>MIC5355-S4YMME</t>
  </si>
  <si>
    <t xml:space="preserve">MIC5355-S4YMME </t>
  </si>
  <si>
    <t>576-3880-5-ND</t>
  </si>
  <si>
    <t>998-MIC5355-S4YMME</t>
  </si>
  <si>
    <t>J1101</t>
  </si>
  <si>
    <t>CONN_01X25</t>
  </si>
  <si>
    <t>Pin_Headers:Pin_Header_Straight_1x25_Pitch1.27mm</t>
  </si>
  <si>
    <t>R1114,R1117</t>
  </si>
  <si>
    <t>1K2</t>
  </si>
  <si>
    <t>RC0603FR-071K2L</t>
  </si>
  <si>
    <t>311-1.20KHRCT-ND</t>
  </si>
  <si>
    <t>603-RC0603FR-071K2L</t>
  </si>
  <si>
    <t>68R0044</t>
  </si>
  <si>
    <t>U703,U704,U801,U802</t>
  </si>
  <si>
    <t>CD4051BM96</t>
  </si>
  <si>
    <t>Housings_SOIC:SOIC-16_3.9x9.9mm_Pitch1.27mm</t>
  </si>
  <si>
    <t>296-14271-1-ND</t>
  </si>
  <si>
    <t>595-CD4051BM96</t>
  </si>
  <si>
    <t>05B5596</t>
  </si>
  <si>
    <t>528-393</t>
  </si>
  <si>
    <t>C610,C620,C901,C902</t>
  </si>
  <si>
    <t>GRM188R60J106ME47J</t>
  </si>
  <si>
    <t>490-6405-1-ND</t>
  </si>
  <si>
    <t>81-GRM188R60J106ME7J</t>
  </si>
  <si>
    <t>96Y9254</t>
  </si>
  <si>
    <t>815-1355</t>
  </si>
  <si>
    <t>C710,C712</t>
  </si>
  <si>
    <t>1800p</t>
  </si>
  <si>
    <t>GCM1885C1H182FA16D</t>
  </si>
  <si>
    <t>81-GCM1885C1H182FA6D</t>
  </si>
  <si>
    <t>L201-L204</t>
  </si>
  <si>
    <t>L_BLM18BA750SZ1D</t>
  </si>
  <si>
    <t>U701,U702</t>
  </si>
  <si>
    <t>CPC1017N</t>
  </si>
  <si>
    <t>library:2.54SOP4</t>
  </si>
  <si>
    <t>CLA153-ND</t>
  </si>
  <si>
    <t>849-CPC1017N</t>
  </si>
  <si>
    <t>70C4236</t>
  </si>
  <si>
    <t>906-1017</t>
  </si>
  <si>
    <t>C709,C711</t>
  </si>
  <si>
    <t>180p</t>
  </si>
  <si>
    <t>VJ0603A181FXXPW1BC</t>
  </si>
  <si>
    <t>77-VJ0603A181FXXPBC</t>
  </si>
  <si>
    <t>U201</t>
  </si>
  <si>
    <t>MIC2005A-2YM5</t>
  </si>
  <si>
    <t>TO_SOT_Packages_SMD:SOT-23-5_HandSoldering</t>
  </si>
  <si>
    <t>576-3464-1-ND</t>
  </si>
  <si>
    <t>998-MIC2005A-2YM5TR</t>
  </si>
  <si>
    <t>11AC9662</t>
  </si>
  <si>
    <t>727-5113</t>
  </si>
  <si>
    <t>R401-R408</t>
  </si>
  <si>
    <t>680R</t>
  </si>
  <si>
    <t>RC0603FR-07680RL</t>
  </si>
  <si>
    <t>311-680HRCT-ND</t>
  </si>
  <si>
    <t>603-RC0603FR-07680RL</t>
  </si>
  <si>
    <t>68R0112</t>
  </si>
  <si>
    <t>U301</t>
  </si>
  <si>
    <t>iCE40-HX4K-TQ144</t>
  </si>
  <si>
    <t>Housings_QFP:LQFP-144_20x20mm_Pitch0.5mm</t>
  </si>
  <si>
    <t>220-1572-ND</t>
  </si>
  <si>
    <t>842-ICE40HX4K-TQ144</t>
  </si>
  <si>
    <t>772-0057</t>
  </si>
  <si>
    <t>D1001,D1003</t>
  </si>
  <si>
    <t>LM4040DYM3-2.5-TR</t>
  </si>
  <si>
    <t>576-1047-1-ND</t>
  </si>
  <si>
    <t>998-LM4040DYM3-2.5TR</t>
  </si>
  <si>
    <t>91Y4892</t>
  </si>
  <si>
    <t>J1005</t>
  </si>
  <si>
    <t>USB_EXT</t>
  </si>
  <si>
    <t>C703,C706</t>
  </si>
  <si>
    <t>22pF</t>
  </si>
  <si>
    <t>06031U220FAT2A</t>
  </si>
  <si>
    <t>478-10233-1-ND</t>
  </si>
  <si>
    <t>581-06031U220FAT2A</t>
  </si>
  <si>
    <t>55J3520</t>
  </si>
  <si>
    <t>SW1101</t>
  </si>
  <si>
    <t>SW_Push</t>
  </si>
  <si>
    <t>Buttons_Switches_THT:SW_PUSH_6mm_h4.3mm</t>
  </si>
</sst>
</file>

<file path=xl/styles.xml><?xml version="1.0" encoding="utf-8"?>
<styleSheet xmlns="http://schemas.openxmlformats.org/spreadsheetml/2006/main">
  <numFmts count="6">
    <numFmt numFmtId="176" formatCode="0.00_ "/>
    <numFmt numFmtId="41" formatCode="_(* #,##0_);_(* \(#,##0\);_(* &quot;-&quot;_);_(@_)"/>
    <numFmt numFmtId="177" formatCode="&quot;$&quot;#,##0.00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1"/>
      <color rgb="FF000000"/>
      <name val="Calibri"/>
      <charset val="1"/>
    </font>
    <font>
      <b/>
      <sz val="14"/>
      <color rgb="FFFFFFFF"/>
      <name val="Calibri"/>
      <charset val="1"/>
    </font>
    <font>
      <b/>
      <sz val="12"/>
      <color rgb="FF000000"/>
      <name val="Calibri"/>
      <charset val="1"/>
    </font>
    <font>
      <b/>
      <sz val="13"/>
      <color rgb="FF000000"/>
      <name val="Calibri"/>
      <charset val="1"/>
    </font>
    <font>
      <b/>
      <sz val="13"/>
      <color rgb="FFFF0000"/>
      <name val="Calibri"/>
      <charset val="1"/>
    </font>
    <font>
      <b/>
      <sz val="13"/>
      <color rgb="FF008000"/>
      <name val="Calibri"/>
      <charset val="1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066CC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9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1" fontId="6" fillId="0" borderId="0" applyBorder="0" applyAlignment="0" applyProtection="0"/>
    <xf numFmtId="0" fontId="24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5" fillId="10" borderId="8" applyNumberFormat="0" applyAlignment="0" applyProtection="0">
      <alignment vertical="center"/>
    </xf>
    <xf numFmtId="44" fontId="6" fillId="0" borderId="0" applyBorder="0" applyAlignment="0" applyProtection="0"/>
    <xf numFmtId="0" fontId="14" fillId="12" borderId="0" applyNumberFormat="0" applyBorder="0" applyAlignment="0" applyProtection="0">
      <alignment vertical="center"/>
    </xf>
    <xf numFmtId="0" fontId="16" fillId="15" borderId="3" applyNumberFormat="0" applyFon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2" fontId="6" fillId="0" borderId="0" applyBorder="0" applyAlignment="0" applyProtection="0"/>
    <xf numFmtId="0" fontId="22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6" fillId="0" borderId="0" applyBorder="0" applyAlignment="0" applyProtection="0"/>
    <xf numFmtId="0" fontId="12" fillId="11" borderId="2" applyNumberFormat="0" applyAlignment="0" applyProtection="0">
      <alignment vertical="center"/>
    </xf>
    <xf numFmtId="9" fontId="6" fillId="0" borderId="0" applyBorder="0" applyAlignment="0" applyProtection="0"/>
  </cellStyleXfs>
  <cellXfs count="15">
    <xf numFmtId="0" fontId="0" fillId="0" borderId="0" xfId="0">
      <alignment vertical="top"/>
    </xf>
    <xf numFmtId="176" fontId="0" fillId="0" borderId="0" xfId="0" applyNumberFormat="1">
      <alignment vertical="top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right" vertical="center"/>
    </xf>
    <xf numFmtId="177" fontId="0" fillId="0" borderId="0" xfId="0" applyNumberFormat="1">
      <alignment vertical="top"/>
    </xf>
    <xf numFmtId="177" fontId="4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7">
    <dxf>
      <fill>
        <patternFill patternType="solid">
          <bgColor rgb="FF80FF80"/>
        </patternFill>
      </fill>
    </dxf>
    <dxf>
      <fill>
        <patternFill patternType="solid">
          <bgColor rgb="FFF14537"/>
        </patternFill>
      </fill>
    </dxf>
    <dxf>
      <fill>
        <patternFill patternType="solid">
          <bgColor rgb="FF80FF80"/>
        </patternFill>
      </fill>
    </dxf>
    <dxf>
      <fill>
        <patternFill patternType="solid">
          <bgColor rgb="FF80FF80"/>
        </patternFill>
      </fill>
    </dxf>
    <dxf>
      <fill>
        <patternFill patternType="solid">
          <bgColor rgb="FF80FF80"/>
        </patternFill>
      </fill>
    </dxf>
    <dxf>
      <font>
        <b val="0"/>
        <i val="0"/>
        <color rgb="FFFF0000"/>
      </font>
    </dxf>
    <dxf>
      <font>
        <b val="0"/>
        <i val="0"/>
        <color rgb="FFFF0000"/>
      </font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80FF80"/>
      <rgbColor rgb="00FFFF99"/>
      <rgbColor rgb="0099CCFF"/>
      <rgbColor rgb="00FF99CC"/>
      <rgbColor rgb="00CC99FF"/>
      <rgbColor rgb="00FFCC99"/>
      <rgbColor rgb="003366FF"/>
      <rgbColor rgb="0033CCCC"/>
      <rgbColor rgb="00A2AE06"/>
      <rgbColor rgb="00FFCC00"/>
      <rgbColor rgb="00FF9900"/>
      <rgbColor rgb="00FF6600"/>
      <rgbColor rgb="00666699"/>
      <rgbColor rgb="00969696"/>
      <rgbColor rgb="00004A85"/>
      <rgbColor rgb="00339966"/>
      <rgbColor rgb="00003300"/>
      <rgbColor rgb="00333300"/>
      <rgbColor rgb="00993300"/>
      <rgbColor rgb="00993366"/>
      <rgbColor rgb="00333399"/>
      <rgbColor rgb="0030303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14537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www.mouser.com/ProductDetail/Nexperia/BAS21215/?qs=sGAEpiMZZMtoHjESLttvklAT8BXmK%2F4omVaCBsTVk9k%3D" TargetMode="External"/><Relationship Id="rId98" Type="http://schemas.openxmlformats.org/officeDocument/2006/relationships/hyperlink" Target="http://www.digikey.com/product-detail/en/nexperia-usa-inc/BAS21,215/1727-2889-1-ND/763425" TargetMode="External"/><Relationship Id="rId97" Type="http://schemas.openxmlformats.org/officeDocument/2006/relationships/hyperlink" Target="http://it.rs-online.com/web/p/amplificatori-operazionali/9101874/" TargetMode="External"/><Relationship Id="rId96" Type="http://schemas.openxmlformats.org/officeDocument/2006/relationships/hyperlink" Target="http://www.newark.com/webapp/wcs/stores/servlet/Search?catalogId=15003&amp;langId=-1&amp;storeId=10194&amp;gs=true&amp;st=MIC7300YM5-TR%20" TargetMode="External"/><Relationship Id="rId95" Type="http://schemas.openxmlformats.org/officeDocument/2006/relationships/hyperlink" Target="http://www.mouser.com/Search/Refine.aspx?Keyword=MIC7300YM5-TR%20" TargetMode="External"/><Relationship Id="rId94" Type="http://schemas.openxmlformats.org/officeDocument/2006/relationships/hyperlink" Target="http://www.digikey.com/product-detail/en/microchip-technology/MIC7300YM5-TR/576-1319-1-ND/771923" TargetMode="External"/><Relationship Id="rId93" Type="http://schemas.openxmlformats.org/officeDocument/2006/relationships/hyperlink" Target="http://it.rs-online.com/web/p/memorie-eeprom/0454343/" TargetMode="External"/><Relationship Id="rId92" Type="http://schemas.openxmlformats.org/officeDocument/2006/relationships/hyperlink" Target="http://www.newark.com/microchip/93lc56bt-i-ot/serial-eeprom-2kbit-2mhz-sot-23/dp/30H4760" TargetMode="External"/><Relationship Id="rId91" Type="http://schemas.openxmlformats.org/officeDocument/2006/relationships/hyperlink" Target="http://www.mouser.com/Search/Refine.aspx?Keyword=93LC56BT-I%2FOT%20" TargetMode="External"/><Relationship Id="rId90" Type="http://schemas.openxmlformats.org/officeDocument/2006/relationships/hyperlink" Target="http://www.digikey.com/product-detail/en/microchip-technology/93LC56BT-I-OT/93LC56BT-I-OTCT-ND/857632" TargetMode="External"/><Relationship Id="rId9" Type="http://schemas.openxmlformats.org/officeDocument/2006/relationships/hyperlink" Target="http://www.digikey.com/product-detail/en/kemet/C0603C104K3RACTU/399-1281-1-ND/416057" TargetMode="External"/><Relationship Id="rId89" Type="http://schemas.openxmlformats.org/officeDocument/2006/relationships/hyperlink" Target="http://it.rs-online.com/web/c/?searchTerm=47642-0001%20" TargetMode="External"/><Relationship Id="rId88" Type="http://schemas.openxmlformats.org/officeDocument/2006/relationships/hyperlink" Target="http://www.newark.com/webapp/wcs/stores/servlet/Search?catalogId=15003&amp;langId=-1&amp;storeId=10194&amp;gs=true&amp;st=47642-0001%20" TargetMode="External"/><Relationship Id="rId87" Type="http://schemas.openxmlformats.org/officeDocument/2006/relationships/hyperlink" Target="http://www.mouser.com/Search/Refine.aspx?Keyword=47642-0001%20" TargetMode="External"/><Relationship Id="rId86" Type="http://schemas.openxmlformats.org/officeDocument/2006/relationships/hyperlink" Target="http://www.digikey.com/product-detail/en/molex-llc/0476420001/WM1398CT-ND/2350884" TargetMode="External"/><Relationship Id="rId85" Type="http://schemas.openxmlformats.org/officeDocument/2006/relationships/hyperlink" Target="http://www.mouser.com/Search/Refine.aspx?Keyword=APTD1608LSURCK%20" TargetMode="External"/><Relationship Id="rId84" Type="http://schemas.openxmlformats.org/officeDocument/2006/relationships/hyperlink" Target="http://www.digikey.com/product-detail/en/kingbright/APTD1608LSURCK/754-2038-1-ND/7043092" TargetMode="External"/><Relationship Id="rId83" Type="http://schemas.openxmlformats.org/officeDocument/2006/relationships/hyperlink" Target="http://www.newark.com/avx/taja106k016rnj/tantalum-capacitor-10uf-16v-3/dp/60R5827?rpsku=rel3%3ATAJA106K016TNJ" TargetMode="External"/><Relationship Id="rId82" Type="http://schemas.openxmlformats.org/officeDocument/2006/relationships/hyperlink" Target="http://www.mouser.com/Search/Refine.aspx?Keyword=TAJA106K016TNJ%20" TargetMode="External"/><Relationship Id="rId81" Type="http://schemas.openxmlformats.org/officeDocument/2006/relationships/hyperlink" Target="http://www.digikey.com/product-detail/en/avx-corporation/TAJA106K016TNJ/478-10744-1-ND/7536607" TargetMode="External"/><Relationship Id="rId80" Type="http://schemas.openxmlformats.org/officeDocument/2006/relationships/hyperlink" Target="http://www.mouser.com/Search/Refine.aspx?Keyword=CDBURT0530LL-HF%20" TargetMode="External"/><Relationship Id="rId8" Type="http://schemas.openxmlformats.org/officeDocument/2006/relationships/hyperlink" Target="http://it.rs-online.com/web/c/?searchTerm=LFSPXO019966%20" TargetMode="External"/><Relationship Id="rId79" Type="http://schemas.openxmlformats.org/officeDocument/2006/relationships/hyperlink" Target="http://www.digikey.com/product-detail/en/comchip-technology/CDBURT0530LL-HF/641-1520-1-ND/4835670" TargetMode="External"/><Relationship Id="rId78" Type="http://schemas.openxmlformats.org/officeDocument/2006/relationships/hyperlink" Target="http://www.mouser.com/Search/Refine.aspx?Keyword=GKG3R015%20" TargetMode="External"/><Relationship Id="rId77" Type="http://schemas.openxmlformats.org/officeDocument/2006/relationships/hyperlink" Target="http://www.digikey.com/scripts/DkSearch/dksus.dll?WT.z_header=search_go&amp;lang=en&amp;keywords=GKG3R015%20" TargetMode="External"/><Relationship Id="rId76" Type="http://schemas.openxmlformats.org/officeDocument/2006/relationships/hyperlink" Target="http://it.rs-online.com/web/c/?searchTerm=MCP4716A1T-E%2FCH%20" TargetMode="External"/><Relationship Id="rId75" Type="http://schemas.openxmlformats.org/officeDocument/2006/relationships/hyperlink" Target="http://www.mouser.com/Search/Refine.aspx?Keyword=MCP4716A1T-E%2FCH%20" TargetMode="External"/><Relationship Id="rId74" Type="http://schemas.openxmlformats.org/officeDocument/2006/relationships/hyperlink" Target="http://www.digikey.com/product-detail/en/microchip-technology/MCP4716A1T-E-CH/MCP4716A1T-E-CHCT-ND/7065581" TargetMode="External"/><Relationship Id="rId73" Type="http://schemas.openxmlformats.org/officeDocument/2006/relationships/hyperlink" Target="http://it.rs-online.com/web/p/dac-per-impieghi-generali/7387124/" TargetMode="External"/><Relationship Id="rId72" Type="http://schemas.openxmlformats.org/officeDocument/2006/relationships/hyperlink" Target="http://www.newark.com/webapp/wcs/stores/servlet/Search?catalogId=15003&amp;langId=-1&amp;storeId=10194&amp;gs=true&amp;st=MCP4716A0T-E%2FCH%20" TargetMode="External"/><Relationship Id="rId71" Type="http://schemas.openxmlformats.org/officeDocument/2006/relationships/hyperlink" Target="http://www.mouser.com/Search/Refine.aspx?Keyword=MCP4716A0T-E%2FCH%20" TargetMode="External"/><Relationship Id="rId70" Type="http://schemas.openxmlformats.org/officeDocument/2006/relationships/hyperlink" Target="http://www.digikey.com/product-detail/en/microchip-technology/MCP4716A0T-E-CH/MCP4716A0T-E-CHCT-ND/2684987" TargetMode="External"/><Relationship Id="rId7" Type="http://schemas.openxmlformats.org/officeDocument/2006/relationships/hyperlink" Target="http://www.newark.com/webapp/wcs/stores/servlet/Search?catalogId=15003&amp;langId=-1&amp;storeId=10194&amp;gs=true&amp;st=LFSPXO019966%20" TargetMode="External"/><Relationship Id="rId69" Type="http://schemas.openxmlformats.org/officeDocument/2006/relationships/hyperlink" Target="http://www.newark.com/webapp/wcs/stores/servlet/Search?catalogId=15003&amp;langId=-1&amp;storeId=10194&amp;gs=true&amp;st=RC0603FR-0762KL%20" TargetMode="External"/><Relationship Id="rId68" Type="http://schemas.openxmlformats.org/officeDocument/2006/relationships/hyperlink" Target="http://www.mouser.com/ProductDetail/Yageo/RC0603FR-0762KL/?qs=sGAEpiMZZMu61qfTUdNhG6gKAQVNBKOo1YUM907byVY%3D" TargetMode="External"/><Relationship Id="rId67" Type="http://schemas.openxmlformats.org/officeDocument/2006/relationships/hyperlink" Target="http://www.digikey.com/product-detail/en/yageo/RC0603FR-0762KL/311-62.0KHRCT-ND/730283" TargetMode="External"/><Relationship Id="rId66" Type="http://schemas.openxmlformats.org/officeDocument/2006/relationships/hyperlink" Target="http://www.newark.com/yageo/rc0603fr-07470rl/res-thick-film-470r-1-0-1w-0603/dp/68R0099" TargetMode="External"/><Relationship Id="rId65" Type="http://schemas.openxmlformats.org/officeDocument/2006/relationships/hyperlink" Target="http://www.mouser.com/Search/Refine.aspx?Keyword=RC0603FR-07470RL%20" TargetMode="External"/><Relationship Id="rId64" Type="http://schemas.openxmlformats.org/officeDocument/2006/relationships/hyperlink" Target="http://www.digikey.com/product-detail/en/yageo/RC0603FR-07470RL/311-470HRCT-ND/730203" TargetMode="External"/><Relationship Id="rId63" Type="http://schemas.openxmlformats.org/officeDocument/2006/relationships/hyperlink" Target="http://www.newark.com/yageo-phycomp/rc0603fr-071k8l/res-thick-film-1k8-1-0-1w-0603/dp/12AC2123" TargetMode="External"/><Relationship Id="rId62" Type="http://schemas.openxmlformats.org/officeDocument/2006/relationships/hyperlink" Target="http://www.mouser.com/ProductDetail/Yageo/RC0603FR-071K8L/?qs=sGAEpiMZZMu61qfTUdNhG5eFuApKbqVdVKGQIhGipHw%3D" TargetMode="External"/><Relationship Id="rId61" Type="http://schemas.openxmlformats.org/officeDocument/2006/relationships/hyperlink" Target="http://www.digikey.com/product-detail/en/yageo/RC0603FR-071K8L/311-1.80KHRCT-ND/729821" TargetMode="External"/><Relationship Id="rId60" Type="http://schemas.openxmlformats.org/officeDocument/2006/relationships/hyperlink" Target="http://www.newark.com/yageo/rc0603fr-071kl/res-thick-film-1k-1-0-1w-0603/dp/68R0042" TargetMode="External"/><Relationship Id="rId6" Type="http://schemas.openxmlformats.org/officeDocument/2006/relationships/hyperlink" Target="http://www.mouser.com/ProductDetail/IQD/LFSPXO019966Reel/?qs=sGAEpiMZZMt8zWNA7msRCnpRHY9ZICJ2uB0zrBmW14dWgmhbdcdJ1w%3D%3D" TargetMode="External"/><Relationship Id="rId59" Type="http://schemas.openxmlformats.org/officeDocument/2006/relationships/hyperlink" Target="http://www.mouser.com/Search/Refine.aspx?Keyword=RC0603FR-071KL%20" TargetMode="External"/><Relationship Id="rId58" Type="http://schemas.openxmlformats.org/officeDocument/2006/relationships/hyperlink" Target="http://www.digikey.com/product-detail/en/yageo/RC0603FR-071KL/311-1.00KHRCT-ND/729790" TargetMode="External"/><Relationship Id="rId57" Type="http://schemas.openxmlformats.org/officeDocument/2006/relationships/hyperlink" Target="http://it.rs-online.com/web/p/diodi-rettificatori-e-schottky/7384829/" TargetMode="External"/><Relationship Id="rId56" Type="http://schemas.openxmlformats.org/officeDocument/2006/relationships/hyperlink" Target="http://www.newark.com/multicomp/bat54-7-f/diode-ultrafast-recovery-200ma/dp/65W8455" TargetMode="External"/><Relationship Id="rId55" Type="http://schemas.openxmlformats.org/officeDocument/2006/relationships/hyperlink" Target="http://www.mouser.com/Search/Refine.aspx?Keyword=BAT54-7-F%20" TargetMode="External"/><Relationship Id="rId54" Type="http://schemas.openxmlformats.org/officeDocument/2006/relationships/hyperlink" Target="http://www.digikey.com/product-detail/en/diodes-incorporated/BAT54-7-F/BAT54-FDICT-ND/717819" TargetMode="External"/><Relationship Id="rId53" Type="http://schemas.openxmlformats.org/officeDocument/2006/relationships/hyperlink" Target="http://it.rs-online.com/web/c/?searchTerm=GRM21BR71A225KA01K%20" TargetMode="External"/><Relationship Id="rId52" Type="http://schemas.openxmlformats.org/officeDocument/2006/relationships/hyperlink" Target="http://www.mouser.com/Search/Refine.aspx?Keyword=GRM21BR71A225KA01K%20" TargetMode="External"/><Relationship Id="rId51" Type="http://schemas.openxmlformats.org/officeDocument/2006/relationships/hyperlink" Target="http://www.digikey.com/product-detail/en/murata-electronics-north-america/GRM21BR71A225KA01K/490-11596-1-ND/5333436" TargetMode="External"/><Relationship Id="rId50" Type="http://schemas.openxmlformats.org/officeDocument/2006/relationships/hyperlink" Target="http://www.newark.com/webapp/wcs/stores/servlet/Search?catalogId=15003&amp;langId=-1&amp;storeId=10194&amp;gs=true&amp;st=RC0603FR-07887KL%20" TargetMode="External"/><Relationship Id="rId5" Type="http://schemas.openxmlformats.org/officeDocument/2006/relationships/hyperlink" Target="http://www.newark.com/yageo/rc1206jr-070rl/res-thick-film-0r-0-25w-1206/dp/68R0297" TargetMode="External"/><Relationship Id="rId49" Type="http://schemas.openxmlformats.org/officeDocument/2006/relationships/hyperlink" Target="http://www.mouser.com/Search/Refine.aspx?Keyword=RC0603FR-07887KL%20" TargetMode="External"/><Relationship Id="rId48" Type="http://schemas.openxmlformats.org/officeDocument/2006/relationships/hyperlink" Target="http://www.digikey.com/product-detail/en/yageo/RC0603FR-07887KL/311-887KHRCT-ND/730364" TargetMode="External"/><Relationship Id="rId47" Type="http://schemas.openxmlformats.org/officeDocument/2006/relationships/hyperlink" Target="http://www.newark.com/murata/grm21br71c475ke51l/cap-mlcc-x7r-4-7uf-16v-0805/dp/12AC6496" TargetMode="External"/><Relationship Id="rId46" Type="http://schemas.openxmlformats.org/officeDocument/2006/relationships/hyperlink" Target="http://www.mouser.com/ProductDetail/Murata-Electronics/GRM21BR71C475KE51L/?qs=sGAEpiMZZMs0AnBnWHyRQKFZIQ7b73cdMjOc2YctvztsfCLk1VfEnw%3D%3D" TargetMode="External"/><Relationship Id="rId45" Type="http://schemas.openxmlformats.org/officeDocument/2006/relationships/hyperlink" Target="http://www.digikey.com/product-detail/en/murata-electronics-north-america/GRM21BR71C475KE51L/490-14466-1-ND/6606927" TargetMode="External"/><Relationship Id="rId44" Type="http://schemas.openxmlformats.org/officeDocument/2006/relationships/hyperlink" Target="http://it.rs-online.com/web/c/?searchTerm=BLM18AG121SN1D%20" TargetMode="External"/><Relationship Id="rId43" Type="http://schemas.openxmlformats.org/officeDocument/2006/relationships/hyperlink" Target="http://www.newark.com/webapp/wcs/stores/servlet/Search?catalogId=15003&amp;langId=-1&amp;storeId=10194&amp;gs=true&amp;st=BLM18AG121SN1D%20" TargetMode="External"/><Relationship Id="rId42" Type="http://schemas.openxmlformats.org/officeDocument/2006/relationships/hyperlink" Target="http://www.mouser.com/Search/Refine.aspx?Keyword=BLM18AG121SN1D%20" TargetMode="External"/><Relationship Id="rId41" Type="http://schemas.openxmlformats.org/officeDocument/2006/relationships/hyperlink" Target="http://www.digikey.com/product-detail/en/murata-electronics-north-america/BLM18AG121SN1D/490-1011-1-ND/584459" TargetMode="External"/><Relationship Id="rId40" Type="http://schemas.openxmlformats.org/officeDocument/2006/relationships/hyperlink" Target="http://www.newark.com/webapp/wcs/stores/servlet/Search?catalogId=15003&amp;langId=-1&amp;storeId=10194&amp;gs=true&amp;st=VJ0603A101JXACW1BC%20" TargetMode="External"/><Relationship Id="rId4" Type="http://schemas.openxmlformats.org/officeDocument/2006/relationships/hyperlink" Target="http://www.mouser.com/Search/Refine.aspx?Keyword=RC1206JR-070RL%20" TargetMode="External"/><Relationship Id="rId39" Type="http://schemas.openxmlformats.org/officeDocument/2006/relationships/hyperlink" Target="http://www.mouser.com/Search/Refine.aspx?Keyword=VJ0603A101JXACW1BC%20" TargetMode="External"/><Relationship Id="rId38" Type="http://schemas.openxmlformats.org/officeDocument/2006/relationships/hyperlink" Target="http://www.digikey.com/product-detail/en/vishay-vitramon/VJ0603A101JXACW1BC/720-1526-1-ND/420993" TargetMode="External"/><Relationship Id="rId37" Type="http://schemas.openxmlformats.org/officeDocument/2006/relationships/hyperlink" Target="http://it.rs-online.com/web/c/?searchTerm=GRM188R61C105KA93D%20" TargetMode="External"/><Relationship Id="rId36" Type="http://schemas.openxmlformats.org/officeDocument/2006/relationships/hyperlink" Target="http://www.newark.com/murata/grm188r61c105ka93d/cap-mlcc-x5r-1uf-16v-0603-reel/dp/03AC2661" TargetMode="External"/><Relationship Id="rId35" Type="http://schemas.openxmlformats.org/officeDocument/2006/relationships/hyperlink" Target="http://www.mouser.com/Search/Refine.aspx?Keyword=GRM188R61C105KA93D%20" TargetMode="External"/><Relationship Id="rId34" Type="http://schemas.openxmlformats.org/officeDocument/2006/relationships/hyperlink" Target="http://www.digikey.com/product-detail/en/murata-electronics-north-america/GRM188R61C105KA93D/490-1536-1-ND/587769" TargetMode="External"/><Relationship Id="rId33" Type="http://schemas.openxmlformats.org/officeDocument/2006/relationships/hyperlink" Target="http://www.newark.com/yageo/rc0603fr-076k8l/res-thick-film-6k8-1-0-1w-0603/dp/68R0109" TargetMode="External"/><Relationship Id="rId32" Type="http://schemas.openxmlformats.org/officeDocument/2006/relationships/hyperlink" Target="http://www.mouser.com/Search/Refine.aspx?Keyword=RC0603FR-076K8L%20" TargetMode="External"/><Relationship Id="rId31" Type="http://schemas.openxmlformats.org/officeDocument/2006/relationships/hyperlink" Target="http://www.digikey.com/product-detail/en/yageo/RC0603FR-076K8L/311-6.80KHRCT-ND/730270" TargetMode="External"/><Relationship Id="rId30" Type="http://schemas.openxmlformats.org/officeDocument/2006/relationships/hyperlink" Target="http://it.rs-online.com/web/p/amplificatori-operazionali/7917472/" TargetMode="External"/><Relationship Id="rId3" Type="http://schemas.openxmlformats.org/officeDocument/2006/relationships/hyperlink" Target="http://www.digikey.com/product-detail/en/yageo/RC1206JR-070RL/311-0.0ERCT-ND/732131" TargetMode="External"/><Relationship Id="rId29" Type="http://schemas.openxmlformats.org/officeDocument/2006/relationships/hyperlink" Target="http://www.mouser.com/ProductDetail/Exar/CLC4007ITP14MTR/?qs=sGAEpiMZZMtp5ziQ9mm%252bAti99N1V1BDqm11AMZ2SzdI%3D" TargetMode="External"/><Relationship Id="rId28" Type="http://schemas.openxmlformats.org/officeDocument/2006/relationships/hyperlink" Target="http://it.rs-online.com/web/c/?searchTerm=CRCW06031K50JNEA%20" TargetMode="External"/><Relationship Id="rId27" Type="http://schemas.openxmlformats.org/officeDocument/2006/relationships/hyperlink" Target="http://www.newark.com/vishay/crcw06031k50jnea/res-thick-film-1k5-5-0-1w-0603/dp/59M6753" TargetMode="External"/><Relationship Id="rId26" Type="http://schemas.openxmlformats.org/officeDocument/2006/relationships/hyperlink" Target="http://www.mouser.com/ProductDetail/Vishay/CRCW06031K50JNEA/?qs=sGAEpiMZZMu61qfTUdNhG82Z6Ry1C7AqqcTNlUx7YuQ%3D" TargetMode="External"/><Relationship Id="rId25" Type="http://schemas.openxmlformats.org/officeDocument/2006/relationships/hyperlink" Target="http://www.digikey.com/product-detail/en/vishay-dale/CRCW06031K50JNEA/541-1.5KGCT-ND/1179373" TargetMode="External"/><Relationship Id="rId24" Type="http://schemas.openxmlformats.org/officeDocument/2006/relationships/hyperlink" Target="http://www.mouser.com/Search/Refine.aspx?Keyword=TCR2EF13%2CLM%28CT%20" TargetMode="External"/><Relationship Id="rId23" Type="http://schemas.openxmlformats.org/officeDocument/2006/relationships/hyperlink" Target="http://www.digikey.com/product-detail/en/toshiba-semiconductor-and-storage/TCR2EF13,LM(CT/TCR2EF13LM(CTCT-ND/4503319" TargetMode="External"/><Relationship Id="rId22" Type="http://schemas.openxmlformats.org/officeDocument/2006/relationships/hyperlink" Target="http://it.rs-online.com/web/c/?searchTerm=LM4041EIM3-1.2%2FNOPB%20" TargetMode="External"/><Relationship Id="rId21" Type="http://schemas.openxmlformats.org/officeDocument/2006/relationships/hyperlink" Target="http://www.newark.com/texas-instruments/lm4041eim3-1-2-nopb/voltage-ref-shunt-1-225v-sot-23/dp/41K5322" TargetMode="External"/><Relationship Id="rId20" Type="http://schemas.openxmlformats.org/officeDocument/2006/relationships/hyperlink" Target="http://www.mouser.com/ProductDetail/Texas-Instruments/LM4041EIM3-12-NOPB/?qs=sGAEpiMZZMuBck1X%252b7j9fFxOFMTVQaIHI6EXGdq4KA0%3D" TargetMode="External"/><Relationship Id="rId2" Type="http://schemas.openxmlformats.org/officeDocument/2006/relationships/vmlDrawing" Target="../drawings/vmlDrawing1.vml"/><Relationship Id="rId194" Type="http://schemas.openxmlformats.org/officeDocument/2006/relationships/hyperlink" Target="http://www.newark.com/webapp/wcs/stores/servlet/Search?catalogId=15003&amp;langId=-1&amp;storeId=10194&amp;gs=true&amp;st=06031U220FAT2A%20" TargetMode="External"/><Relationship Id="rId193" Type="http://schemas.openxmlformats.org/officeDocument/2006/relationships/hyperlink" Target="http://www.mouser.com/Search/Refine.aspx?Keyword=06031U220FAT2A%20" TargetMode="External"/><Relationship Id="rId192" Type="http://schemas.openxmlformats.org/officeDocument/2006/relationships/hyperlink" Target="http://www.digikey.com/product-detail/en/avx-corporation/06031U220FAT2A/478-10233-1-ND/6797453" TargetMode="External"/><Relationship Id="rId191" Type="http://schemas.openxmlformats.org/officeDocument/2006/relationships/hyperlink" Target="http://www.newark.com/webapp/wcs/stores/servlet/Search?catalogId=15003&amp;langId=-1&amp;storeId=10194&amp;gs=true&amp;st=LM4040DYM3-2.5-TR%20" TargetMode="External"/><Relationship Id="rId190" Type="http://schemas.openxmlformats.org/officeDocument/2006/relationships/hyperlink" Target="http://www.mouser.com/Search/Refine.aspx?Keyword=LM4040DYM3-2.5-TR%20" TargetMode="External"/><Relationship Id="rId19" Type="http://schemas.openxmlformats.org/officeDocument/2006/relationships/hyperlink" Target="http://www.digikey.com/product-detail/en/texas-instruments/LM4041EIM3-1.2-NOPB/LM4041EIM3-1.2-NOPBCT-ND/212732" TargetMode="External"/><Relationship Id="rId189" Type="http://schemas.openxmlformats.org/officeDocument/2006/relationships/hyperlink" Target="http://www.digikey.com/product-detail/en/microchip-technology/LM4040DYM3-2.5-TR/576-1047-1-ND/771818" TargetMode="External"/><Relationship Id="rId188" Type="http://schemas.openxmlformats.org/officeDocument/2006/relationships/hyperlink" Target="http://it.rs-online.com/web/p/fpga/7720057/" TargetMode="External"/><Relationship Id="rId187" Type="http://schemas.openxmlformats.org/officeDocument/2006/relationships/hyperlink" Target="http://www.mouser.com/Search/Refine.aspx?Keyword=iCE40-HX4K-TQ144%20" TargetMode="External"/><Relationship Id="rId186" Type="http://schemas.openxmlformats.org/officeDocument/2006/relationships/hyperlink" Target="http://www.digikey.com/scripts/DkSearch/dksus.dll?WT.z_header=search_go&amp;lang=en&amp;keywords=iCE40-HX4K-TQ144%20" TargetMode="External"/><Relationship Id="rId185" Type="http://schemas.openxmlformats.org/officeDocument/2006/relationships/hyperlink" Target="http://www.newark.com/yageo/rc0603fr-07680rl/res-thick-film-680r-1-0-1w-0603/dp/68R0112" TargetMode="External"/><Relationship Id="rId184" Type="http://schemas.openxmlformats.org/officeDocument/2006/relationships/hyperlink" Target="http://www.mouser.com/Search/Refine.aspx?Keyword=RC0603FR-07680RL%20" TargetMode="External"/><Relationship Id="rId183" Type="http://schemas.openxmlformats.org/officeDocument/2006/relationships/hyperlink" Target="http://www.digikey.com/product-detail/en/yageo/RC0603FR-07680RL/311-680HRCT-ND/730302" TargetMode="External"/><Relationship Id="rId182" Type="http://schemas.openxmlformats.org/officeDocument/2006/relationships/hyperlink" Target="http://it.rs-online.com/web/c/?searchTerm=MIC2005A-2YM5%20" TargetMode="External"/><Relationship Id="rId181" Type="http://schemas.openxmlformats.org/officeDocument/2006/relationships/hyperlink" Target="http://www.newark.com/webapp/wcs/stores/servlet/Search?catalogId=15003&amp;langId=-1&amp;storeId=10194&amp;gs=true&amp;st=MIC2005A-2YM5%20" TargetMode="External"/><Relationship Id="rId180" Type="http://schemas.openxmlformats.org/officeDocument/2006/relationships/hyperlink" Target="http://www.mouser.com/Search/Refine.aspx?Keyword=MIC2005A-2YM5%20" TargetMode="External"/><Relationship Id="rId18" Type="http://schemas.openxmlformats.org/officeDocument/2006/relationships/hyperlink" Target="http://it.rs-online.com/web/p/trasmettitori-e-ricevitori-universali-asincroni/6877720/" TargetMode="External"/><Relationship Id="rId179" Type="http://schemas.openxmlformats.org/officeDocument/2006/relationships/hyperlink" Target="http://www.digikey.com/product-detail/en/microchip-technology/MIC2005A-2YM5-TR/576-3464-1-ND/2062464" TargetMode="External"/><Relationship Id="rId178" Type="http://schemas.openxmlformats.org/officeDocument/2006/relationships/hyperlink" Target="http://www.mouser.com/Search/Refine.aspx?Keyword=VJ0603A181FXXPW1BC%20" TargetMode="External"/><Relationship Id="rId177" Type="http://schemas.openxmlformats.org/officeDocument/2006/relationships/hyperlink" Target="http://it.rs-online.com/web/c/?searchTerm=CPC1017N%20" TargetMode="External"/><Relationship Id="rId176" Type="http://schemas.openxmlformats.org/officeDocument/2006/relationships/hyperlink" Target="http://www.newark.com/clare/cpc1017n/ic-normally-open-pc-mount-solid/dp/70C4236" TargetMode="External"/><Relationship Id="rId175" Type="http://schemas.openxmlformats.org/officeDocument/2006/relationships/hyperlink" Target="http://www.mouser.com/ProductDetail/IXYS-Integrated-Circuits/CPC1017N/?qs=sGAEpiMZZMsUriz2CNI3E0bxyj4gwKaX1hdREZC6paQ%3D" TargetMode="External"/><Relationship Id="rId174" Type="http://schemas.openxmlformats.org/officeDocument/2006/relationships/hyperlink" Target="http://www.digikey.com/product-detail/en/ixys-integrated-circuits-division/CPC1017N/CLA153-ND/555063" TargetMode="External"/><Relationship Id="rId173" Type="http://schemas.openxmlformats.org/officeDocument/2006/relationships/hyperlink" Target="http://www.mouser.com/ProductDetail/Murata-Electronics/GCM1885C1H182FA16D/?qs=sGAEpiMZZMs0AnBnWHyRQAsAWwhBCY7b8LEQHa6IUNbBPUIjljXsWw%3D%3D" TargetMode="External"/><Relationship Id="rId172" Type="http://schemas.openxmlformats.org/officeDocument/2006/relationships/hyperlink" Target="http://it.rs-online.com/web/c/?searchTerm=GRM188R60J106ME47J%20" TargetMode="External"/><Relationship Id="rId171" Type="http://schemas.openxmlformats.org/officeDocument/2006/relationships/hyperlink" Target="http://www.newark.com/webapp/wcs/stores/servlet/Search?catalogId=15003&amp;langId=-1&amp;storeId=10194&amp;gs=true&amp;st=GRM188R60J106ME47J%20" TargetMode="External"/><Relationship Id="rId170" Type="http://schemas.openxmlformats.org/officeDocument/2006/relationships/hyperlink" Target="http://www.mouser.com/Search/Refine.aspx?Keyword=GRM188R60J106ME47J%20" TargetMode="External"/><Relationship Id="rId17" Type="http://schemas.openxmlformats.org/officeDocument/2006/relationships/hyperlink" Target="http://www.newark.com/ftdi/ft2232hl-r/usb-uart-fifo-dual-64-lqfp/dp/80P4235" TargetMode="External"/><Relationship Id="rId169" Type="http://schemas.openxmlformats.org/officeDocument/2006/relationships/hyperlink" Target="http://www.digikey.com/product-detail/en/murata-electronics-north-america/GRM188R60J106ME47J/490-6405-1-ND/3845602" TargetMode="External"/><Relationship Id="rId168" Type="http://schemas.openxmlformats.org/officeDocument/2006/relationships/hyperlink" Target="http://it.rs-online.com/web/c/?searchTerm=CD4051BM96%20" TargetMode="External"/><Relationship Id="rId167" Type="http://schemas.openxmlformats.org/officeDocument/2006/relationships/hyperlink" Target="http://www.newark.com/texas-instruments/cd4051bm96/analog-mux-dmux-8-x-1-soic-16/dp/05B5596" TargetMode="External"/><Relationship Id="rId166" Type="http://schemas.openxmlformats.org/officeDocument/2006/relationships/hyperlink" Target="http://www.mouser.com/ProductDetail/Texas-Instruments/CD4051BM96/?qs=sGAEpiMZZMtxrAS98ir%252bsyyzhQKXP6Bbl4qwrOlBtBQ%3D" TargetMode="External"/><Relationship Id="rId165" Type="http://schemas.openxmlformats.org/officeDocument/2006/relationships/hyperlink" Target="http://www.digikey.com/product-detail/en/texas-instruments/CD4051BM96/296-14271-1-ND/528348" TargetMode="External"/><Relationship Id="rId164" Type="http://schemas.openxmlformats.org/officeDocument/2006/relationships/hyperlink" Target="http://www.newark.com/yageo/rc0603fr-071k2l/res-thick-film-1k2-1-0-1w-0603/dp/68R0044" TargetMode="External"/><Relationship Id="rId163" Type="http://schemas.openxmlformats.org/officeDocument/2006/relationships/hyperlink" Target="http://www.mouser.com/ProductDetail/Yageo/RC0603FR-071K2L/?qs=sGAEpiMZZMu61qfTUdNhG5eFuApKbqVdGHoRw3xWRI8%3D" TargetMode="External"/><Relationship Id="rId162" Type="http://schemas.openxmlformats.org/officeDocument/2006/relationships/hyperlink" Target="http://www.digikey.com/product-detail/en/yageo/RC0603FR-071K2L/311-1.20KHRCT-ND/729799" TargetMode="External"/><Relationship Id="rId161" Type="http://schemas.openxmlformats.org/officeDocument/2006/relationships/hyperlink" Target="http://www.mouser.com/ProductDetail/Microchip-Technology-Micrel/MIC5355-S4YMME/?qs=sGAEpiMZZMsGz1a6aV8DcP%252b6ey5cUOYklbyck%2FhHfxg%3D" TargetMode="External"/><Relationship Id="rId160" Type="http://schemas.openxmlformats.org/officeDocument/2006/relationships/hyperlink" Target="http://www.digikey.com/product-detail/en/microchip-technology/MIC5355-S4YMME/576-3880-5-ND/2650442" TargetMode="External"/><Relationship Id="rId16" Type="http://schemas.openxmlformats.org/officeDocument/2006/relationships/hyperlink" Target="http://www.mouser.com/ProductDetail/FTDI/FT2232HQ-TRAY/?qs=sGAEpiMZZMsgaWLkU6GBSGjDT7KmzkpI" TargetMode="External"/><Relationship Id="rId159" Type="http://schemas.openxmlformats.org/officeDocument/2006/relationships/hyperlink" Target="http://www.newark.com/yageo/rc0603jr-07220rl/res-thick-film-220r-5-0-1w-0603/dp/68R0170" TargetMode="External"/><Relationship Id="rId158" Type="http://schemas.openxmlformats.org/officeDocument/2006/relationships/hyperlink" Target="http://www.mouser.com/ProductDetail/Yageo/RC0603JR-07220RL/?qs=sGAEpiMZZMu61qfTUdNhG7061%252buhCRVw%2FNvkE8I4DWs%3D" TargetMode="External"/><Relationship Id="rId157" Type="http://schemas.openxmlformats.org/officeDocument/2006/relationships/hyperlink" Target="http://www.digikey.com/product-detail/en/yageo/RC0603JR-07220RL/311-220GRCT-ND/729688" TargetMode="External"/><Relationship Id="rId156" Type="http://schemas.openxmlformats.org/officeDocument/2006/relationships/hyperlink" Target="http://www.newark.com/webapp/wcs/stores/servlet/Search?catalogId=15003&amp;langId=-1&amp;storeId=10194&amp;gs=true&amp;st=73100-0105%20" TargetMode="External"/><Relationship Id="rId155" Type="http://schemas.openxmlformats.org/officeDocument/2006/relationships/hyperlink" Target="http://www.mouser.com/Search/Refine.aspx?Keyword=73100-0105%20" TargetMode="External"/><Relationship Id="rId154" Type="http://schemas.openxmlformats.org/officeDocument/2006/relationships/hyperlink" Target="http://www.digikey.com/scripts/DkSearch/dksus.dll?WT.z_header=search_go&amp;lang=en&amp;keywords=73100-0105%20" TargetMode="External"/><Relationship Id="rId153" Type="http://schemas.openxmlformats.org/officeDocument/2006/relationships/hyperlink" Target="http://it.rs-online.com/web/p/diodi-rettificatori-e-schottky/7384831/" TargetMode="External"/><Relationship Id="rId152" Type="http://schemas.openxmlformats.org/officeDocument/2006/relationships/hyperlink" Target="http://www.newark.com/multicomp/bat54s-7-f/diode-ultrafast-recovery-200ma/dp/65W8468" TargetMode="External"/><Relationship Id="rId151" Type="http://schemas.openxmlformats.org/officeDocument/2006/relationships/hyperlink" Target="http://www.mouser.com/Search/Refine.aspx?Keyword=BAT54S-7-F%20" TargetMode="External"/><Relationship Id="rId150" Type="http://schemas.openxmlformats.org/officeDocument/2006/relationships/hyperlink" Target="http://www.digikey.com/product-detail/en/diodes-incorporated/BAT54S-7-F/BAT54S-FDICT-ND/755493" TargetMode="External"/><Relationship Id="rId15" Type="http://schemas.openxmlformats.org/officeDocument/2006/relationships/hyperlink" Target="http://www.newark.com/yageo-phycomp/rc0603fr-07330rl/surface-mount-chip-resistor-thick/dp/75X0150" TargetMode="External"/><Relationship Id="rId149" Type="http://schemas.openxmlformats.org/officeDocument/2006/relationships/hyperlink" Target="http://it.rs-online.com/web/c/?searchTerm=CRCW060350R0FKEA%20" TargetMode="External"/><Relationship Id="rId148" Type="http://schemas.openxmlformats.org/officeDocument/2006/relationships/hyperlink" Target="http://www.newark.com/vishay/crcw060350r0fkea/res-thick-film-50r-1-0-1w-0603/dp/89M6778" TargetMode="External"/><Relationship Id="rId147" Type="http://schemas.openxmlformats.org/officeDocument/2006/relationships/hyperlink" Target="http://www.mouser.com/Search/Refine.aspx?Keyword=CRCW060350R0FKEA%20" TargetMode="External"/><Relationship Id="rId146" Type="http://schemas.openxmlformats.org/officeDocument/2006/relationships/hyperlink" Target="http://www.digikey.com/product-detail/en/vishay-dale/CRCW060350R0FKEA/541-3318-1-ND/6684924" TargetMode="External"/><Relationship Id="rId145" Type="http://schemas.openxmlformats.org/officeDocument/2006/relationships/hyperlink" Target="http://www.newark.com/webapp/wcs/stores/servlet/Search?catalogId=15003&amp;langId=-1&amp;storeId=10194&amp;gs=true&amp;st=RT0603DRE0710KL%20" TargetMode="External"/><Relationship Id="rId144" Type="http://schemas.openxmlformats.org/officeDocument/2006/relationships/hyperlink" Target="http://www.mouser.com/Search/Refine.aspx?Keyword=RT0603DRE0710KL%20" TargetMode="External"/><Relationship Id="rId143" Type="http://schemas.openxmlformats.org/officeDocument/2006/relationships/hyperlink" Target="http://www.digikey.com/product-detail/en/yageo/RT0603DRE0710KL/YAG2318CT-ND/5252432" TargetMode="External"/><Relationship Id="rId142" Type="http://schemas.openxmlformats.org/officeDocument/2006/relationships/hyperlink" Target="http://www.newark.com/webapp/wcs/stores/servlet/Search?catalogId=15003&amp;langId=-1&amp;storeId=10194&amp;gs=true&amp;st=LM2776DBVR%20" TargetMode="External"/><Relationship Id="rId141" Type="http://schemas.openxmlformats.org/officeDocument/2006/relationships/hyperlink" Target="http://www.mouser.com/ProductDetail/Texas-Instruments/LM2776DBVR/?qs=sGAEpiMZZMtitjHzVIkrqW9Sm33XTU9xaywidxamkeax3hA3goWuGA%3D%3D" TargetMode="External"/><Relationship Id="rId140" Type="http://schemas.openxmlformats.org/officeDocument/2006/relationships/hyperlink" Target="http://www.digikey.com/product-detail/en/texas-instruments/LM2776DBVR/296-43957-1-ND/5973203" TargetMode="External"/><Relationship Id="rId14" Type="http://schemas.openxmlformats.org/officeDocument/2006/relationships/hyperlink" Target="http://www.mouser.com/Search/Refine.aspx?Keyword=RC0603FR-07330RL%20" TargetMode="External"/><Relationship Id="rId139" Type="http://schemas.openxmlformats.org/officeDocument/2006/relationships/hyperlink" Target="http://www.newark.com/yageo/rc0603fr-0712kl/res-thick-film-12k-1-0-1w-0603/dp/68R0054" TargetMode="External"/><Relationship Id="rId138" Type="http://schemas.openxmlformats.org/officeDocument/2006/relationships/hyperlink" Target="http://www.mouser.com/ProductDetail/Yageo/RC0603FR-0712KL/?qs=sGAEpiMZZMu61qfTUdNhG5eFuApKbqVdgfbTkB8L%252bsI%3D" TargetMode="External"/><Relationship Id="rId137" Type="http://schemas.openxmlformats.org/officeDocument/2006/relationships/hyperlink" Target="http://www.digikey.com/product-detail/en/yageo/RC0603FR-0712KL/311-12.0KHRCT-ND/729860" TargetMode="External"/><Relationship Id="rId136" Type="http://schemas.openxmlformats.org/officeDocument/2006/relationships/hyperlink" Target="http://www.newark.com/webapp/wcs/stores/servlet/Search?catalogId=15003&amp;langId=-1&amp;storeId=10194&amp;gs=true&amp;st=ADC1175CIMTCX%2FNOPB%20" TargetMode="External"/><Relationship Id="rId135" Type="http://schemas.openxmlformats.org/officeDocument/2006/relationships/hyperlink" Target="http://www.mouser.com/ProductDetail/Texas-Instruments/ADC1175CIMTCX-NOPB/?qs=sGAEpiMZZMvTvDTV69d2QmTpGOaZbimbJbS3NWokLDA%3D" TargetMode="External"/><Relationship Id="rId134" Type="http://schemas.openxmlformats.org/officeDocument/2006/relationships/hyperlink" Target="http://www.digikey.com/product-detail/en/texas-instruments/ADC1175CIMTCX-NOPB/296-35235-1-ND/3738943" TargetMode="External"/><Relationship Id="rId133" Type="http://schemas.openxmlformats.org/officeDocument/2006/relationships/hyperlink" Target="http://www.mouser.com/Search/Refine.aspx?Keyword=KobiConn_161-3507%20" TargetMode="External"/><Relationship Id="rId132" Type="http://schemas.openxmlformats.org/officeDocument/2006/relationships/hyperlink" Target="http://www.newark.com/yageo/rc0603fr-072k2l/res-thick-film-2k2-1-0-1w-0603/dp/68R0064" TargetMode="External"/><Relationship Id="rId131" Type="http://schemas.openxmlformats.org/officeDocument/2006/relationships/hyperlink" Target="http://www.mouser.com/Search/Refine.aspx?Keyword=RC0603FR-072K2L%20" TargetMode="External"/><Relationship Id="rId130" Type="http://schemas.openxmlformats.org/officeDocument/2006/relationships/hyperlink" Target="http://www.digikey.com/product-detail/en/yageo/RC0603FR-072K2L/311-2.20KHRCT-ND/729963" TargetMode="External"/><Relationship Id="rId13" Type="http://schemas.openxmlformats.org/officeDocument/2006/relationships/hyperlink" Target="http://www.digikey.com/product-detail/en/yageo/RC0603FR-07330RL/311-330HRCT-ND/730109" TargetMode="External"/><Relationship Id="rId129" Type="http://schemas.openxmlformats.org/officeDocument/2006/relationships/hyperlink" Target="http://it.rs-online.com/web/c/?searchTerm=AS4C1M16S%20" TargetMode="External"/><Relationship Id="rId128" Type="http://schemas.openxmlformats.org/officeDocument/2006/relationships/hyperlink" Target="http://www.mouser.com/ProductDetail/Alliance-Memory/AS4C1M16S-7TCN/?qs=sGAEpiMZZMti5BT4iPSEnVeWD45jS%2FiP9v5oax8%252blEY%3D" TargetMode="External"/><Relationship Id="rId127" Type="http://schemas.openxmlformats.org/officeDocument/2006/relationships/hyperlink" Target="http://www.digikey.com/product-detail/en/alliance-memory-inc/AS4C1M16S-7TCN/1450-1004-ND/4234563" TargetMode="External"/><Relationship Id="rId126" Type="http://schemas.openxmlformats.org/officeDocument/2006/relationships/hyperlink" Target="http://www.mouser.com/Search/Refine.aspx?Keyword=GKG20015%20" TargetMode="External"/><Relationship Id="rId125" Type="http://schemas.openxmlformats.org/officeDocument/2006/relationships/hyperlink" Target="http://www.digikey.com/scripts/DkSearch/dksus.dll?WT.z_header=search_go&amp;lang=en&amp;keywords=GKG20015%20" TargetMode="External"/><Relationship Id="rId124" Type="http://schemas.openxmlformats.org/officeDocument/2006/relationships/hyperlink" Target="http://www.newark.com/yageo/rc0603fr-0713kl/res-thick-film-13k-1-0-1w-0603/dp/68R0057" TargetMode="External"/><Relationship Id="rId123" Type="http://schemas.openxmlformats.org/officeDocument/2006/relationships/hyperlink" Target="http://www.mouser.com/Search/Refine.aspx?Keyword=RC0603FR-0713KL%20" TargetMode="External"/><Relationship Id="rId122" Type="http://schemas.openxmlformats.org/officeDocument/2006/relationships/hyperlink" Target="http://www.digikey.com/product-detail/en/yageo/RC0603FR-0713KL/311-13.0KHRCT-ND/729876" TargetMode="External"/><Relationship Id="rId121" Type="http://schemas.openxmlformats.org/officeDocument/2006/relationships/hyperlink" Target="http://www.mouser.com/Search/Refine.aspx?Keyword=APTD1608LCGCK%20" TargetMode="External"/><Relationship Id="rId120" Type="http://schemas.openxmlformats.org/officeDocument/2006/relationships/hyperlink" Target="http://www.digikey.com/product-detail/en/kingbright/APTD1608LCGCK/754-2037-1-ND/7043091" TargetMode="External"/><Relationship Id="rId12" Type="http://schemas.openxmlformats.org/officeDocument/2006/relationships/hyperlink" Target="http://it.rs-online.com/web/c/?searchTerm=C0603C104K3RACTU%20" TargetMode="External"/><Relationship Id="rId119" Type="http://schemas.openxmlformats.org/officeDocument/2006/relationships/hyperlink" Target="http://www.mouser.com/Search/Refine.aspx?Keyword=C0603C103K5RECTU%20" TargetMode="External"/><Relationship Id="rId118" Type="http://schemas.openxmlformats.org/officeDocument/2006/relationships/hyperlink" Target="http://www.digikey.com/scripts/DkSearch/dksus.dll?WT.z_header=search_go&amp;lang=en&amp;keywords=C0603C103K5RECTU%20" TargetMode="External"/><Relationship Id="rId117" Type="http://schemas.openxmlformats.org/officeDocument/2006/relationships/hyperlink" Target="http://it.rs-online.com/web/p/regolatori-di-tensione-low-dropout/9101698/" TargetMode="External"/><Relationship Id="rId116" Type="http://schemas.openxmlformats.org/officeDocument/2006/relationships/hyperlink" Target="http://www.newark.com/microchip/mic5270ym5-tr/ldo-adj-1-24v-to-14v-0-1a-sot/dp/72Y5346" TargetMode="External"/><Relationship Id="rId115" Type="http://schemas.openxmlformats.org/officeDocument/2006/relationships/hyperlink" Target="http://www.mouser.com/ProductDetail/Microchip-Technology-Micrel/MIC5270YM5-TR/?qs=sGAEpiMZZMsGz1a6aV8DcNranXV84HMLO2TL4TMYDx4%3D" TargetMode="External"/><Relationship Id="rId114" Type="http://schemas.openxmlformats.org/officeDocument/2006/relationships/hyperlink" Target="http://www.digikey.com/product-detail/en/microchip-technology/MIC5270YM5-TR/576-1295-1-ND/771912" TargetMode="External"/><Relationship Id="rId113" Type="http://schemas.openxmlformats.org/officeDocument/2006/relationships/hyperlink" Target="http://www.newark.com/yageo/rc0603fr-074k7l/res-thick-film-4k7-1-0-1w-0603/dp/68R0092" TargetMode="External"/><Relationship Id="rId112" Type="http://schemas.openxmlformats.org/officeDocument/2006/relationships/hyperlink" Target="http://www.mouser.com/Search/Refine.aspx?Keyword=RC0603FR-074K7L%20" TargetMode="External"/><Relationship Id="rId111" Type="http://schemas.openxmlformats.org/officeDocument/2006/relationships/hyperlink" Target="http://www.digikey.com/product-detail/en/yageo/RC0603FR-074K7L/311-4.70KHRCT-ND/730159" TargetMode="External"/><Relationship Id="rId110" Type="http://schemas.openxmlformats.org/officeDocument/2006/relationships/hyperlink" Target="http://www.newark.com/yageo/rc0603fr-07100rl/res-thick-film-100r-1-0-1w-0603/dp/68R0052" TargetMode="External"/><Relationship Id="rId11" Type="http://schemas.openxmlformats.org/officeDocument/2006/relationships/hyperlink" Target="http://www.newark.com/kemet/c0603c104k3ractu/ceramic-capacitor-0-1uf-25v-x7r/dp/64K2837" TargetMode="External"/><Relationship Id="rId109" Type="http://schemas.openxmlformats.org/officeDocument/2006/relationships/hyperlink" Target="http://www.mouser.com/Search/Refine.aspx?Keyword=RC0603FR-07100RL%20" TargetMode="External"/><Relationship Id="rId108" Type="http://schemas.openxmlformats.org/officeDocument/2006/relationships/hyperlink" Target="http://www.digikey.com/product-detail/en/yageo/RC0603FR-07100RL/311-100HRCT-ND/729835" TargetMode="External"/><Relationship Id="rId107" Type="http://schemas.openxmlformats.org/officeDocument/2006/relationships/hyperlink" Target="http://www.newark.com/avx/taja475k016rnj/tantalum-capacitor-4-7uf-16v-4/dp/60R5857?rpsku=rel3%3ATAJA475K016UNJ" TargetMode="External"/><Relationship Id="rId106" Type="http://schemas.openxmlformats.org/officeDocument/2006/relationships/hyperlink" Target="http://www.mouser.com/Search/Refine.aspx?Keyword=TAJA475K016UNJ%20" TargetMode="External"/><Relationship Id="rId105" Type="http://schemas.openxmlformats.org/officeDocument/2006/relationships/hyperlink" Target="http://www.newark.com/yageo-phycomp/rc0603fr-0747kl/res-thick-film-47k-1-0-1w-0603/dp/26M6759" TargetMode="External"/><Relationship Id="rId104" Type="http://schemas.openxmlformats.org/officeDocument/2006/relationships/hyperlink" Target="http://www.mouser.com/Search/Refine.aspx?Keyword=RC0603FR-0747KL%20" TargetMode="External"/><Relationship Id="rId103" Type="http://schemas.openxmlformats.org/officeDocument/2006/relationships/hyperlink" Target="http://www.digikey.com/product-detail/en/yageo/RC0603FR-0747KL/311-47.0KHRCT-ND/730200" TargetMode="External"/><Relationship Id="rId102" Type="http://schemas.openxmlformats.org/officeDocument/2006/relationships/hyperlink" Target="http://www.mouser.com/Search/Refine.aspx?Keyword=RT0603DRE0789K8L%20" TargetMode="External"/><Relationship Id="rId101" Type="http://schemas.openxmlformats.org/officeDocument/2006/relationships/hyperlink" Target="http://it.rs-online.com/web/p/diodi-switching/7384803/" TargetMode="External"/><Relationship Id="rId100" Type="http://schemas.openxmlformats.org/officeDocument/2006/relationships/hyperlink" Target="http://www.newark.com/nexperia/bas21-215/switching-diode-250v-sot-23/dp/75R4934" TargetMode="External"/><Relationship Id="rId10" Type="http://schemas.openxmlformats.org/officeDocument/2006/relationships/hyperlink" Target="http://www.mouser.com/ProductDetail/KEMET/C0603C104K3RACTU/?qs=sGAEpiMZZMs0AnBnWHyRQFqPnX0Olvco4w4aWMbN5gs%3D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167"/>
  <sheetViews>
    <sheetView tabSelected="1" zoomScale="85" zoomScaleNormal="85" topLeftCell="B45" workbookViewId="0">
      <selection activeCell="F88" sqref="F88"/>
    </sheetView>
  </sheetViews>
  <sheetFormatPr defaultColWidth="9" defaultRowHeight="13.35"/>
  <cols>
    <col min="1" max="1" width="41.2436974789916" customWidth="1"/>
    <col min="2" max="2" width="31.7226890756303" customWidth="1"/>
    <col min="3" max="3" width="9.04201680672269"/>
    <col min="4" max="4" width="39.2941176470588" customWidth="1"/>
    <col min="5" max="5" width="9.04201680672269"/>
    <col min="6" max="6" width="23.7058823529412" customWidth="1"/>
    <col min="7" max="8" width="9.04201680672269"/>
    <col min="9" max="9" width="15.5294117647059"/>
    <col min="10" max="12" width="9.04201680672269"/>
    <col min="13" max="13" width="15.5294117647059"/>
    <col min="14" max="18" width="9.04201680672269"/>
    <col min="19" max="19" width="15.5294117647059"/>
    <col min="20" max="24" width="9.04201680672269"/>
    <col min="25" max="25" width="15.5294117647059"/>
    <col min="26" max="30" width="9.04201680672269"/>
    <col min="31" max="31" width="15.5294117647059"/>
    <col min="32" max="36" width="9.04201680672269"/>
    <col min="37" max="37" width="15.5294117647059"/>
    <col min="38" max="39" width="9.04201680672269"/>
    <col min="40" max="1025" width="8.50420168067227"/>
  </cols>
  <sheetData>
    <row r="1" ht="15.55" spans="8:9">
      <c r="H1" s="4" t="s">
        <v>0</v>
      </c>
      <c r="I1" s="4">
        <v>5</v>
      </c>
    </row>
    <row r="2" ht="15.55" spans="8:37">
      <c r="H2" s="5" t="s">
        <v>1</v>
      </c>
      <c r="I2" s="7">
        <f ca="1">SUM(I7:I86)</f>
        <v>254.977155</v>
      </c>
      <c r="M2" s="7">
        <f>SUM(M7:M86)</f>
        <v>275.37</v>
      </c>
      <c r="S2" s="7">
        <f>SUM(S7:S86)</f>
        <v>0</v>
      </c>
      <c r="Y2" s="7">
        <f>SUM(Y7:Y86)</f>
        <v>307.275</v>
      </c>
      <c r="AE2" s="7">
        <f>SUM(AE7:AE86)</f>
        <v>176.64</v>
      </c>
      <c r="AK2" s="7">
        <f>SUM(AK7:AK86)</f>
        <v>222.00755</v>
      </c>
    </row>
    <row r="3" ht="15.55" spans="8:9">
      <c r="H3" s="5" t="s">
        <v>2</v>
      </c>
      <c r="I3" s="8">
        <f ca="1">TotalCost/BoardQty</f>
        <v>50.995431</v>
      </c>
    </row>
    <row r="5" ht="16.3" spans="1:39">
      <c r="A5" s="2" t="s">
        <v>3</v>
      </c>
      <c r="B5" s="2"/>
      <c r="C5" s="2"/>
      <c r="D5" s="2"/>
      <c r="E5" s="2"/>
      <c r="F5" s="2"/>
      <c r="G5" s="2"/>
      <c r="H5" s="2"/>
      <c r="I5" s="2"/>
      <c r="J5" s="9" t="s">
        <v>4</v>
      </c>
      <c r="K5" s="9"/>
      <c r="L5" s="9"/>
      <c r="M5" s="9"/>
      <c r="N5" s="9"/>
      <c r="O5" s="9"/>
      <c r="P5" s="10" t="s">
        <v>5</v>
      </c>
      <c r="Q5" s="10"/>
      <c r="R5" s="10"/>
      <c r="S5" s="10"/>
      <c r="T5" s="10"/>
      <c r="U5" s="10"/>
      <c r="V5" s="12" t="s">
        <v>6</v>
      </c>
      <c r="W5" s="12"/>
      <c r="X5" s="12"/>
      <c r="Y5" s="12"/>
      <c r="Z5" s="12"/>
      <c r="AA5" s="12"/>
      <c r="AB5" s="13" t="s">
        <v>7</v>
      </c>
      <c r="AC5" s="13"/>
      <c r="AD5" s="13"/>
      <c r="AE5" s="13"/>
      <c r="AF5" s="13"/>
      <c r="AG5" s="13"/>
      <c r="AH5" s="14" t="s">
        <v>8</v>
      </c>
      <c r="AI5" s="14"/>
      <c r="AJ5" s="14"/>
      <c r="AK5" s="14"/>
      <c r="AL5" s="14"/>
      <c r="AM5" s="14"/>
    </row>
    <row r="6" spans="1:39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 t="s">
        <v>16</v>
      </c>
      <c r="M6" s="3" t="s">
        <v>17</v>
      </c>
      <c r="N6" s="3" t="s">
        <v>20</v>
      </c>
      <c r="O6" s="3" t="s">
        <v>21</v>
      </c>
      <c r="P6" s="3" t="s">
        <v>18</v>
      </c>
      <c r="Q6" s="3" t="s">
        <v>19</v>
      </c>
      <c r="R6" s="3" t="s">
        <v>16</v>
      </c>
      <c r="S6" s="3" t="s">
        <v>17</v>
      </c>
      <c r="T6" s="3" t="s">
        <v>20</v>
      </c>
      <c r="U6" s="3" t="s">
        <v>21</v>
      </c>
      <c r="V6" s="3" t="s">
        <v>18</v>
      </c>
      <c r="W6" s="3" t="s">
        <v>19</v>
      </c>
      <c r="X6" s="3" t="s">
        <v>16</v>
      </c>
      <c r="Y6" s="3" t="s">
        <v>17</v>
      </c>
      <c r="Z6" s="3" t="s">
        <v>20</v>
      </c>
      <c r="AA6" s="3" t="s">
        <v>21</v>
      </c>
      <c r="AB6" s="3" t="s">
        <v>18</v>
      </c>
      <c r="AC6" s="3" t="s">
        <v>19</v>
      </c>
      <c r="AD6" s="3" t="s">
        <v>16</v>
      </c>
      <c r="AE6" s="3" t="s">
        <v>17</v>
      </c>
      <c r="AF6" s="3" t="s">
        <v>20</v>
      </c>
      <c r="AG6" s="3" t="s">
        <v>21</v>
      </c>
      <c r="AH6" s="3" t="s">
        <v>18</v>
      </c>
      <c r="AI6" s="3" t="s">
        <v>19</v>
      </c>
      <c r="AJ6" s="3" t="s">
        <v>16</v>
      </c>
      <c r="AK6" s="3" t="s">
        <v>17</v>
      </c>
      <c r="AL6" s="3" t="s">
        <v>20</v>
      </c>
      <c r="AM6" s="3" t="s">
        <v>21</v>
      </c>
    </row>
    <row r="7" spans="1:33">
      <c r="A7" t="s">
        <v>22</v>
      </c>
      <c r="B7" t="s">
        <v>23</v>
      </c>
      <c r="D7" t="s">
        <v>24</v>
      </c>
      <c r="F7" t="s">
        <v>25</v>
      </c>
      <c r="G7">
        <f>BoardQty*19</f>
        <v>95</v>
      </c>
      <c r="H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0.0132</v>
      </c>
      <c r="I7" s="6">
        <f ca="1" t="shared" ref="I7:I70" si="0">IFERROR(G7*H7,"")</f>
        <v>1.254</v>
      </c>
      <c r="J7">
        <v>8530661</v>
      </c>
      <c r="L7" s="6">
        <f>IFERROR(LOOKUP(IF(K7="",G7,K7),{0,1,10,25,50,100,250,500,1000,5000,10000,25000,50000,125000},{0,0.1,0.024,0.0172,0.0132,0.0097,0.0074,0.0059,0.00435,0.00283,0.00246,0.00216,0.00198,0.00194}),"")</f>
        <v>0.0132</v>
      </c>
      <c r="M7" s="6">
        <f t="shared" ref="M7:M10" si="1">IFERROR(IF(K7="",G7,K7)*L7,"")</f>
        <v>1.254</v>
      </c>
      <c r="N7" t="s">
        <v>26</v>
      </c>
      <c r="O7" s="11" t="s">
        <v>27</v>
      </c>
      <c r="V7">
        <v>1146051</v>
      </c>
      <c r="X7" s="6">
        <f>IFERROR(LOOKUP(IF(W7="",G7,W7),{0,1,10,100,1000,5000},{0,0.1,0.018,0.006,0.004,0.004}),"")</f>
        <v>0.018</v>
      </c>
      <c r="Y7" s="6">
        <f t="shared" ref="Y7:Y21" si="2">IFERROR(IF(W7="",G7,W7)*X7,"")</f>
        <v>1.71</v>
      </c>
      <c r="Z7" t="s">
        <v>28</v>
      </c>
      <c r="AA7" s="11" t="s">
        <v>27</v>
      </c>
      <c r="AD7" s="6">
        <f>IFERROR(LOOKUP(IF(AC7="",G7,AC7),{0,1,10,25,100,250,500,1000},{0,0.094,0.023,0.016,0.009,0.007,0.006,0.004}),"")</f>
        <v>0.016</v>
      </c>
      <c r="AE7" s="6">
        <f t="shared" ref="AE7:AE12" si="3">IFERROR(IF(AC7="",G7,AC7)*AD7,"")</f>
        <v>1.52</v>
      </c>
      <c r="AF7" t="s">
        <v>29</v>
      </c>
      <c r="AG7" s="11" t="s">
        <v>27</v>
      </c>
    </row>
    <row r="8" spans="1:39">
      <c r="A8" t="s">
        <v>30</v>
      </c>
      <c r="B8" t="s">
        <v>31</v>
      </c>
      <c r="D8" t="s">
        <v>32</v>
      </c>
      <c r="F8" t="s">
        <v>31</v>
      </c>
      <c r="G8">
        <f>BoardQty*2</f>
        <v>10</v>
      </c>
      <c r="H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0.90355</v>
      </c>
      <c r="I8" s="6">
        <f ca="1" t="shared" si="0"/>
        <v>9.0355</v>
      </c>
      <c r="V8">
        <v>875</v>
      </c>
      <c r="X8" s="6">
        <f>IFERROR(LOOKUP(IF(W8="",G8,W8),{0,1,10,25,100,250,500,1000,2000,5000},{0,1.11,0.979,0.916,0.809,0.788,0.767,0.638,0.618,0.597}),"")</f>
        <v>0.979</v>
      </c>
      <c r="Y8" s="6">
        <f t="shared" si="2"/>
        <v>9.79</v>
      </c>
      <c r="Z8" t="s">
        <v>33</v>
      </c>
      <c r="AA8" s="11" t="s">
        <v>27</v>
      </c>
      <c r="AD8" s="6">
        <f>IFERROR(LOOKUP(IF(AC8="",G8,AC8),{0,1,100,250,500,1000},{0,1.4,1.13,1.02,0.936,0.867}),"")</f>
        <v>1.4</v>
      </c>
      <c r="AE8" s="6">
        <f t="shared" si="3"/>
        <v>14</v>
      </c>
      <c r="AF8" t="s">
        <v>34</v>
      </c>
      <c r="AG8" s="11" t="s">
        <v>27</v>
      </c>
      <c r="AH8">
        <v>2428</v>
      </c>
      <c r="AJ8" s="6">
        <f>IFERROR(LOOKUP(IF(AI8="",G8,AI8),{0,1,10},{0,0.92481,0.90355}),"")</f>
        <v>0.90355</v>
      </c>
      <c r="AK8" s="6">
        <f t="shared" ref="AK8:AK12" si="4">IFERROR(IF(AI8="",G8,AI8)*AJ8,"")</f>
        <v>9.0355</v>
      </c>
      <c r="AL8" t="s">
        <v>35</v>
      </c>
      <c r="AM8" s="11" t="s">
        <v>27</v>
      </c>
    </row>
    <row r="9" spans="1:39">
      <c r="A9" t="s">
        <v>36</v>
      </c>
      <c r="B9" t="s">
        <v>37</v>
      </c>
      <c r="D9" t="s">
        <v>38</v>
      </c>
      <c r="F9" t="s">
        <v>39</v>
      </c>
      <c r="G9">
        <f>BoardQty*28</f>
        <v>140</v>
      </c>
      <c r="H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9" s="6">
        <f ca="1" t="shared" si="0"/>
        <v>1.82</v>
      </c>
      <c r="J9">
        <v>4798670</v>
      </c>
      <c r="L9" s="6">
        <f>IFERROR(LOOKUP(IF(K9="",G9,K9),{0,1,10,100,500,1000,4000,8000,12000},{0,0.1,0.031,0.0136,0.00974,0.00765,0.00557,0.00508,0.00484}),"")</f>
        <v>0.0136</v>
      </c>
      <c r="M9" s="6">
        <f t="shared" si="1"/>
        <v>1.904</v>
      </c>
      <c r="N9" t="s">
        <v>40</v>
      </c>
      <c r="O9" s="11" t="s">
        <v>27</v>
      </c>
      <c r="V9">
        <v>492157</v>
      </c>
      <c r="X9" s="6">
        <f>IFERROR(LOOKUP(IF(W9="",G9,W9),{0,1,10,100,500,1000,4000,8000,48000},{0,0.1,0.03,0.013,0.007,0.006,0.006,0.005,0.004}),"")</f>
        <v>0.013</v>
      </c>
      <c r="Y9" s="6">
        <f t="shared" si="2"/>
        <v>1.82</v>
      </c>
      <c r="Z9" t="s">
        <v>41</v>
      </c>
      <c r="AA9" s="11" t="s">
        <v>27</v>
      </c>
      <c r="AD9" s="6">
        <f>IFERROR(LOOKUP(IF(AC9="",G9,AC9),{0,1,25,50,100,250,500,1000},{0,0.1,0.029,0.021,0.013,0.01,0.007,0.006}),"")</f>
        <v>0.013</v>
      </c>
      <c r="AE9" s="6">
        <f t="shared" si="3"/>
        <v>1.82</v>
      </c>
      <c r="AF9" t="s">
        <v>42</v>
      </c>
      <c r="AG9" s="11" t="s">
        <v>27</v>
      </c>
      <c r="AH9">
        <v>2500</v>
      </c>
      <c r="AJ9" s="6">
        <f>IFERROR(LOOKUP(IF(AI9="",G9,AI9),{0,1,50,500},{0,0.018071,0.018071,0.007441}),"")</f>
        <v>0.018071</v>
      </c>
      <c r="AK9" s="6">
        <f t="shared" si="4"/>
        <v>2.52994</v>
      </c>
      <c r="AL9" t="s">
        <v>43</v>
      </c>
      <c r="AM9" s="11" t="s">
        <v>27</v>
      </c>
    </row>
    <row r="10" spans="1:33">
      <c r="A10" t="s">
        <v>44</v>
      </c>
      <c r="B10" t="s">
        <v>45</v>
      </c>
      <c r="D10" t="s">
        <v>24</v>
      </c>
      <c r="F10" t="s">
        <v>46</v>
      </c>
      <c r="G10">
        <f>BoardQty*2</f>
        <v>10</v>
      </c>
      <c r="H1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10" s="6">
        <f ca="1" t="shared" si="0"/>
        <v>0.02</v>
      </c>
      <c r="J10">
        <v>1595304</v>
      </c>
      <c r="L10" s="6">
        <f>IFERROR(LOOKUP(IF(K10="",G10,K10),{0,1,10,100,1000,2500,5000,10000,25000,50000,125000},{0,0.1,0.015,0.006,0.00268,0.00233,0.00192,0.00167,0.00147,0.00135,0.00132}),"")</f>
        <v>0.015</v>
      </c>
      <c r="M10" s="6">
        <f t="shared" si="1"/>
        <v>0.15</v>
      </c>
      <c r="N10" t="s">
        <v>47</v>
      </c>
      <c r="O10" s="11" t="s">
        <v>27</v>
      </c>
      <c r="V10">
        <v>187304</v>
      </c>
      <c r="X10" s="6">
        <f>IFERROR(LOOKUP(IF(W10="",G10,W10),{0,1,10,100,1000,5000},{0,0.1,0.011,0.004,0.002,0.001}),"")</f>
        <v>0.011</v>
      </c>
      <c r="Y10" s="6">
        <f t="shared" si="2"/>
        <v>0.11</v>
      </c>
      <c r="Z10" t="s">
        <v>48</v>
      </c>
      <c r="AA10" s="11" t="s">
        <v>27</v>
      </c>
      <c r="AD10" s="6">
        <f>IFERROR(LOOKUP(IF(AC10="",G10,AC10),{0,1,5000,10000,25000},{0,0.002,0.002,0.001,0.001}),"")</f>
        <v>0.002</v>
      </c>
      <c r="AE10" s="6">
        <f t="shared" si="3"/>
        <v>0.02</v>
      </c>
      <c r="AF10" t="s">
        <v>49</v>
      </c>
      <c r="AG10" s="11" t="s">
        <v>27</v>
      </c>
    </row>
    <row r="11" spans="1:39">
      <c r="A11" t="s">
        <v>50</v>
      </c>
      <c r="B11" t="s">
        <v>51</v>
      </c>
      <c r="D11" t="s">
        <v>52</v>
      </c>
      <c r="F11" t="s">
        <v>51</v>
      </c>
      <c r="G11">
        <f>BoardQty*1</f>
        <v>5</v>
      </c>
      <c r="H1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6.23981</v>
      </c>
      <c r="I11" s="6">
        <f ca="1" t="shared" si="0"/>
        <v>31.19905</v>
      </c>
      <c r="V11">
        <v>1375</v>
      </c>
      <c r="X11" s="6">
        <f>IFERROR(LOOKUP(IF(W11="",G11,W11),{0,1,10,50,100,250},{0,6.73,6.22,5.78,5.42,4.84}),"")</f>
        <v>6.73</v>
      </c>
      <c r="Y11" s="6">
        <f t="shared" si="2"/>
        <v>33.65</v>
      </c>
      <c r="Z11" t="s">
        <v>53</v>
      </c>
      <c r="AA11" s="11" t="s">
        <v>27</v>
      </c>
      <c r="AD11" s="6">
        <f>IFERROR(LOOKUP(IF(AC11="",G11,AC11),{0,1,10,25,50,100,250,500,1000},{0,7.26,6.51,6.17,5.55,5.08,4.56,4.33,4.06}),"")</f>
        <v>7.26</v>
      </c>
      <c r="AE11" s="6">
        <f t="shared" si="3"/>
        <v>36.3</v>
      </c>
      <c r="AF11" t="s">
        <v>54</v>
      </c>
      <c r="AG11" s="11" t="s">
        <v>27</v>
      </c>
      <c r="AH11">
        <v>25</v>
      </c>
      <c r="AJ11" s="6">
        <f>IFERROR(LOOKUP(IF(AI11="",G11,AI11),{0,1,5},{0,6.54808,6.23981}),"")</f>
        <v>6.23981</v>
      </c>
      <c r="AK11" s="6">
        <f t="shared" si="4"/>
        <v>31.19905</v>
      </c>
      <c r="AL11" t="s">
        <v>55</v>
      </c>
      <c r="AM11" s="11" t="s">
        <v>27</v>
      </c>
    </row>
    <row r="12" spans="1:39">
      <c r="A12" t="s">
        <v>56</v>
      </c>
      <c r="B12" t="s">
        <v>57</v>
      </c>
      <c r="D12" t="s">
        <v>58</v>
      </c>
      <c r="F12" t="s">
        <v>57</v>
      </c>
      <c r="G12">
        <f>BoardQty*1</f>
        <v>5</v>
      </c>
      <c r="H1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0.578272</v>
      </c>
      <c r="I12" s="6">
        <f ca="1" t="shared" si="0"/>
        <v>2.89136</v>
      </c>
      <c r="L12" s="6">
        <f>IFERROR(LOOKUP(IF(K12="",G12,K12),{0,1,10,100,500,1000,2000,3000,5000,6000,15000},{0,0.76,0.666,0.5108,0.40376,0.32301,0.2842,0.2842,0.2646,0.2646,0.2548}),"")</f>
        <v>0.76</v>
      </c>
      <c r="M12" s="6">
        <f t="shared" ref="M12:M14" si="5">IFERROR(IF(K12="",G12,K12)*L12,"")</f>
        <v>3.8</v>
      </c>
      <c r="N12" t="s">
        <v>59</v>
      </c>
      <c r="O12" s="11" t="s">
        <v>27</v>
      </c>
      <c r="V12">
        <v>2511</v>
      </c>
      <c r="X12" s="6">
        <f>IFERROR(LOOKUP(IF(W12="",G12,W12),{0,1,10,100,1000,2000,5000,10000},{0,0.733,0.61,0.393,0.315,0.284,0.266,0.256}),"")</f>
        <v>0.733</v>
      </c>
      <c r="Y12" s="6">
        <f t="shared" si="2"/>
        <v>3.665</v>
      </c>
      <c r="Z12" t="s">
        <v>60</v>
      </c>
      <c r="AA12" s="11" t="s">
        <v>27</v>
      </c>
      <c r="AD12" s="6">
        <f>IFERROR(LOOKUP(IF(AC12="",G12,AC12),{0,1,10,100,1000},{0,0.728,0.608,0.392,0.314}),"")</f>
        <v>0.728</v>
      </c>
      <c r="AE12" s="6">
        <f t="shared" si="3"/>
        <v>3.64</v>
      </c>
      <c r="AF12" t="s">
        <v>61</v>
      </c>
      <c r="AG12" s="11" t="s">
        <v>27</v>
      </c>
      <c r="AH12">
        <v>25</v>
      </c>
      <c r="AJ12" s="6">
        <f>IFERROR(LOOKUP(IF(AI12="",G12,AI12),{0,1,25,50},{0,0.578272,0.578272,0.476224}),"")</f>
        <v>0.578272</v>
      </c>
      <c r="AK12" s="6">
        <f t="shared" si="4"/>
        <v>2.89136</v>
      </c>
      <c r="AL12" t="s">
        <v>62</v>
      </c>
      <c r="AM12" s="11" t="s">
        <v>27</v>
      </c>
    </row>
    <row r="13" spans="1:27">
      <c r="A13" t="s">
        <v>63</v>
      </c>
      <c r="B13" t="s">
        <v>64</v>
      </c>
      <c r="D13" t="s">
        <v>65</v>
      </c>
      <c r="F13" t="s">
        <v>64</v>
      </c>
      <c r="G13">
        <f>BoardQty*1</f>
        <v>5</v>
      </c>
      <c r="H1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0.381</v>
      </c>
      <c r="I13" s="6">
        <f ca="1" t="shared" si="0"/>
        <v>1.905</v>
      </c>
      <c r="J13">
        <v>8309</v>
      </c>
      <c r="L13" s="6">
        <f>IFERROR(LOOKUP(IF(K13="",G13,K13),{0,1,10,25,100,250,500,1000,3000,6000,15000,30000,75000,150000},{0,0.39,0.278,0.2164,0.1638,0.11588,0.0927,0.07107,0.0846,0.0799,0.07285,0.06815,0.0611,0.05875}),"")</f>
        <v>0.39</v>
      </c>
      <c r="M13" s="6">
        <f t="shared" si="5"/>
        <v>1.95</v>
      </c>
      <c r="N13" t="s">
        <v>66</v>
      </c>
      <c r="O13" s="11" t="s">
        <v>27</v>
      </c>
      <c r="X13" s="6">
        <f>IFERROR(LOOKUP(IF(W13="",G13,W13),{0,1,10,100,1000,3000,24000,45000},{0,0.381,0.217,0.093,0.071,0.054,0.045,0.04}),"")</f>
        <v>0.381</v>
      </c>
      <c r="Y13" s="6">
        <f t="shared" si="2"/>
        <v>1.905</v>
      </c>
      <c r="Z13" t="s">
        <v>67</v>
      </c>
      <c r="AA13" s="11" t="s">
        <v>27</v>
      </c>
    </row>
    <row r="14" spans="1:39">
      <c r="A14" t="s">
        <v>68</v>
      </c>
      <c r="B14" t="s">
        <v>69</v>
      </c>
      <c r="D14" t="s">
        <v>24</v>
      </c>
      <c r="F14" t="s">
        <v>70</v>
      </c>
      <c r="G14">
        <f>BoardQty*3</f>
        <v>15</v>
      </c>
      <c r="H1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0.026</v>
      </c>
      <c r="I14" s="6">
        <f ca="1" t="shared" si="0"/>
        <v>0.39</v>
      </c>
      <c r="L14" s="6">
        <f>IFERROR(LOOKUP(IF(K14="",G14,K14),{0,1,10,100,1000,2500,5000,10000,20000,25000,30000,40000,50000,60000,100000,125000},{0,0.1,0.026,0.0104,0.00469,0.00407,0.00306,0.00266,0.00266,0.00233,0.00233,0.00233,0.00214,0.00214,0.0021,0.0021}),"")</f>
        <v>0.026</v>
      </c>
      <c r="M14" s="6">
        <f t="shared" si="5"/>
        <v>0.39</v>
      </c>
      <c r="N14" t="s">
        <v>71</v>
      </c>
      <c r="O14" s="11" t="s">
        <v>27</v>
      </c>
      <c r="V14">
        <v>213515</v>
      </c>
      <c r="X14" s="6">
        <f>IFERROR(LOOKUP(IF(W14="",G14,W14),{0,1,10,100,500,1000,5000,10000},{0,0.1,0.04,0.024,0.019,0.017,0.005,0.004}),"")</f>
        <v>0.04</v>
      </c>
      <c r="Y14" s="6">
        <f t="shared" si="2"/>
        <v>0.6</v>
      </c>
      <c r="Z14" t="s">
        <v>72</v>
      </c>
      <c r="AA14" s="11" t="s">
        <v>27</v>
      </c>
      <c r="AD14" s="6">
        <f>IFERROR(LOOKUP(IF(AC14="",G14,AC14),{0,1,25,50,100,250,500,1000},{0,0.1,0.04,0.032,0.023,0.021,0.019,0.016}),"")</f>
        <v>0.1</v>
      </c>
      <c r="AE14" s="6">
        <f t="shared" ref="AE14:AE21" si="6">IFERROR(IF(AC14="",G14,AC14)*AD14,"")</f>
        <v>1.5</v>
      </c>
      <c r="AF14" t="s">
        <v>73</v>
      </c>
      <c r="AG14" s="11" t="s">
        <v>27</v>
      </c>
      <c r="AL14" t="s">
        <v>74</v>
      </c>
      <c r="AM14" s="11" t="s">
        <v>27</v>
      </c>
    </row>
    <row r="15" spans="1:39">
      <c r="A15" t="s">
        <v>75</v>
      </c>
      <c r="B15" t="s">
        <v>76</v>
      </c>
      <c r="D15" t="s">
        <v>77</v>
      </c>
      <c r="F15" t="s">
        <v>76</v>
      </c>
      <c r="G15">
        <f>BoardQty*1</f>
        <v>5</v>
      </c>
      <c r="H1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0.981149</v>
      </c>
      <c r="I15" s="6">
        <f ca="1" t="shared" si="0"/>
        <v>4.905745</v>
      </c>
      <c r="V15">
        <v>250</v>
      </c>
      <c r="X15" s="6">
        <f>IFERROR(LOOKUP(IF(W15="",G15,W15),{0,1,10,100,250,500,1000,2500,5000},{0,3.42,2.75,2.51,2.25,1.83,1.71,1.62,1.55}),"")</f>
        <v>3.42</v>
      </c>
      <c r="Y15" s="6">
        <f t="shared" si="2"/>
        <v>17.1</v>
      </c>
      <c r="Z15" t="s">
        <v>78</v>
      </c>
      <c r="AA15" s="11" t="s">
        <v>27</v>
      </c>
      <c r="AH15">
        <v>128</v>
      </c>
      <c r="AJ15" s="6">
        <f>IFERROR(LOOKUP(IF(AI15="",G15,AI15),{0,1,8,56},{0,0.981149,0.981149,0.757919}),"")</f>
        <v>0.981149</v>
      </c>
      <c r="AK15" s="6">
        <f t="shared" ref="AK15:AK19" si="7">IFERROR(IF(AI15="",G15,AI15)*AJ15,"")</f>
        <v>4.905745</v>
      </c>
      <c r="AL15" t="s">
        <v>79</v>
      </c>
      <c r="AM15" s="11" t="s">
        <v>27</v>
      </c>
    </row>
    <row r="16" spans="1:33">
      <c r="A16" t="s">
        <v>80</v>
      </c>
      <c r="B16" t="s">
        <v>81</v>
      </c>
      <c r="D16" t="s">
        <v>24</v>
      </c>
      <c r="F16" t="s">
        <v>82</v>
      </c>
      <c r="G16">
        <f>BoardQty*2</f>
        <v>10</v>
      </c>
      <c r="H1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16" s="6">
        <f ca="1" t="shared" si="0"/>
        <v>0.11</v>
      </c>
      <c r="J16">
        <v>1238178</v>
      </c>
      <c r="L16" s="6">
        <f>IFERROR(LOOKUP(IF(K16="",G16,K16),{0,1,10,100,1000,2500,5000,10000,25000,50000,125000},{0,0.1,0.015,0.006,0.00268,0.00233,0.00192,0.00167,0.00147,0.00135,0.00132}),"")</f>
        <v>0.015</v>
      </c>
      <c r="M16" s="6">
        <f t="shared" ref="M16:M21" si="8">IFERROR(IF(K16="",G16,K16)*L16,"")</f>
        <v>0.15</v>
      </c>
      <c r="N16" t="s">
        <v>83</v>
      </c>
      <c r="O16" s="11" t="s">
        <v>27</v>
      </c>
      <c r="V16">
        <v>208131</v>
      </c>
      <c r="X16" s="6">
        <f>IFERROR(LOOKUP(IF(W16="",G16,W16),{0,1,10,100,1000,5000},{0,0.1,0.011,0.004,0.002,0.001}),"")</f>
        <v>0.011</v>
      </c>
      <c r="Y16" s="6">
        <f t="shared" si="2"/>
        <v>0.11</v>
      </c>
      <c r="Z16" t="s">
        <v>84</v>
      </c>
      <c r="AA16" s="11" t="s">
        <v>27</v>
      </c>
      <c r="AD16" s="6">
        <f>IFERROR(LOOKUP(IF(AC16="",G16,AC16),{0,1,10,25,100,250,1000},{0,0.08,0.014,0.01,0.006,0.004,0.003}),"")</f>
        <v>0.014</v>
      </c>
      <c r="AE16" s="6">
        <f t="shared" si="6"/>
        <v>0.14</v>
      </c>
      <c r="AF16" t="s">
        <v>85</v>
      </c>
      <c r="AG16" s="11" t="s">
        <v>27</v>
      </c>
    </row>
    <row r="17" spans="1:39">
      <c r="A17" t="s">
        <v>86</v>
      </c>
      <c r="B17" t="s">
        <v>87</v>
      </c>
      <c r="D17" t="s">
        <v>38</v>
      </c>
      <c r="F17" t="s">
        <v>88</v>
      </c>
      <c r="G17">
        <f>BoardQty*2</f>
        <v>10</v>
      </c>
      <c r="H1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17" s="6">
        <f ca="1" t="shared" si="0"/>
        <v>0.09</v>
      </c>
      <c r="J17">
        <v>62</v>
      </c>
      <c r="L17" s="6">
        <f>IFERROR(LOOKUP(IF(K17="",G17,K17),{0,1,10,100,500,1000,4000,8000,12000},{0,0.12,0.084,0.0396,0.02778,0.023,0.01822,0.01663,0.01584}),"")</f>
        <v>0.084</v>
      </c>
      <c r="M17" s="6">
        <f t="shared" si="8"/>
        <v>0.84</v>
      </c>
      <c r="N17" t="s">
        <v>89</v>
      </c>
      <c r="O17" s="11" t="s">
        <v>27</v>
      </c>
      <c r="X17" s="6">
        <f>IFERROR(LOOKUP(IF(W17="",G17,W17),{0,1,10,100,500,1000,4000,8000},{0,0.111,0.044,0.02,0.015,0.011,0.009,0.008}),"")</f>
        <v>0.044</v>
      </c>
      <c r="Y17" s="6">
        <f t="shared" si="2"/>
        <v>0.44</v>
      </c>
      <c r="Z17" t="s">
        <v>90</v>
      </c>
      <c r="AA17" s="11" t="s">
        <v>27</v>
      </c>
      <c r="AD17" s="6">
        <f>IFERROR(LOOKUP(IF(AC17="",G17,AC17),{0,1,4000,8000},{0,0.009,0.009,0.008}),"")</f>
        <v>0.009</v>
      </c>
      <c r="AE17" s="6">
        <f t="shared" si="6"/>
        <v>0.09</v>
      </c>
      <c r="AF17" t="s">
        <v>91</v>
      </c>
      <c r="AG17" s="11" t="s">
        <v>27</v>
      </c>
      <c r="AJ17" s="6">
        <f>IFERROR(LOOKUP(IF(AI17="",G17,AI17),{0,1,200,1000},{0,0.02126,0.02126,0.018071}),"")</f>
        <v>0.02126</v>
      </c>
      <c r="AK17" s="6">
        <f t="shared" si="7"/>
        <v>0.2126</v>
      </c>
      <c r="AL17" t="s">
        <v>92</v>
      </c>
      <c r="AM17" s="11" t="s">
        <v>27</v>
      </c>
    </row>
    <row r="18" spans="1:33">
      <c r="A18" t="s">
        <v>93</v>
      </c>
      <c r="B18" t="s">
        <v>94</v>
      </c>
      <c r="D18" t="s">
        <v>38</v>
      </c>
      <c r="F18" t="s">
        <v>95</v>
      </c>
      <c r="G18">
        <f>BoardQty*2</f>
        <v>10</v>
      </c>
      <c r="H1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18" s="6">
        <f ca="1" t="shared" si="0"/>
        <v>0.05</v>
      </c>
      <c r="J18">
        <v>4225</v>
      </c>
      <c r="L18" s="6">
        <f>IFERROR(LOOKUP(IF(K18="",G18,K18),{0,1,10,100,500,1000,4000,8000,12000},{0,0.1,0.038,0.0168,0.01198,0.00941,0.00683,0.00624,0.00594}),"")</f>
        <v>0.038</v>
      </c>
      <c r="M18" s="6">
        <f t="shared" si="8"/>
        <v>0.38</v>
      </c>
      <c r="N18" t="s">
        <v>96</v>
      </c>
      <c r="O18" s="11" t="s">
        <v>27</v>
      </c>
      <c r="X18" s="6">
        <f>IFERROR(LOOKUP(IF(W18="",G18,W18),{0,1,50,100,500,1000,4000,8000,12000,20000},{0,0.06,0.051,0.04,0.031,0.025,0.02,0.011,0.007,0.006}),"")</f>
        <v>0.06</v>
      </c>
      <c r="Y18" s="6">
        <f t="shared" si="2"/>
        <v>0.6</v>
      </c>
      <c r="Z18" t="s">
        <v>97</v>
      </c>
      <c r="AA18" s="11" t="s">
        <v>27</v>
      </c>
      <c r="AD18" s="6">
        <f>IFERROR(LOOKUP(IF(AC18="",G18,AC18),{0,1,4000,8000,12000,20000},{0,0.005,0.005,0.005,0.004,0.004}),"")</f>
        <v>0.005</v>
      </c>
      <c r="AE18" s="6">
        <f t="shared" si="6"/>
        <v>0.05</v>
      </c>
      <c r="AF18" t="s">
        <v>98</v>
      </c>
      <c r="AG18" s="11" t="s">
        <v>27</v>
      </c>
    </row>
    <row r="19" spans="1:39">
      <c r="A19" t="s">
        <v>99</v>
      </c>
      <c r="B19" t="s">
        <v>100</v>
      </c>
      <c r="D19" t="s">
        <v>101</v>
      </c>
      <c r="F19" t="s">
        <v>102</v>
      </c>
      <c r="G19">
        <f>BoardQty*7</f>
        <v>35</v>
      </c>
      <c r="H1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</v>
      </c>
      <c r="I19" s="6">
        <f ca="1" t="shared" si="0"/>
        <v>1.89</v>
      </c>
      <c r="J19">
        <v>595947</v>
      </c>
      <c r="L19" s="6">
        <f>IFERROR(LOOKUP(IF(K19="",G19,K19),{0,1,10,25,50,100,250,500,1000,4000,8000,12000,28000,100000},{0,0.1,0.079,0.072,0.0648,0.0476,0.0346,0.0317,0.02738,0.02096,0.019,0.01834,0.01703,0.01683}),"")</f>
        <v>0.072</v>
      </c>
      <c r="M19" s="6">
        <f t="shared" si="8"/>
        <v>2.52</v>
      </c>
      <c r="N19" t="s">
        <v>103</v>
      </c>
      <c r="O19" s="11" t="s">
        <v>27</v>
      </c>
      <c r="V19">
        <v>111637</v>
      </c>
      <c r="X19" s="6">
        <f>IFERROR(LOOKUP(IF(W19="",G19,W19),{0,1,10,100,500,1000,4000,8000,24000},{0,0.1,0.064,0.034,0.031,0.027,0.02,0.018,0.017}),"")</f>
        <v>0.064</v>
      </c>
      <c r="Y19" s="6">
        <f t="shared" si="2"/>
        <v>2.24</v>
      </c>
      <c r="Z19" t="s">
        <v>104</v>
      </c>
      <c r="AA19" s="11" t="s">
        <v>27</v>
      </c>
      <c r="AD19" s="6">
        <f>IFERROR(LOOKUP(IF(AC19="",G19,AC19),{0,1,10,25,50,100,250,500,1000},{0,0.1,0.064,0.054,0.044,0.034,0.033,0.031,0.027}),"")</f>
        <v>0.054</v>
      </c>
      <c r="AE19" s="6">
        <f t="shared" si="6"/>
        <v>1.89</v>
      </c>
      <c r="AF19" t="s">
        <v>105</v>
      </c>
      <c r="AG19" s="11" t="s">
        <v>27</v>
      </c>
      <c r="AH19">
        <v>720</v>
      </c>
      <c r="AJ19" s="6">
        <f>IFERROR(LOOKUP(IF(AI19="",G19,AI19),{0,1,20,100},{0,0.076536,0.076536,0.039331}),"")</f>
        <v>0.076536</v>
      </c>
      <c r="AK19" s="6">
        <f t="shared" si="7"/>
        <v>2.67876</v>
      </c>
      <c r="AL19" t="s">
        <v>106</v>
      </c>
      <c r="AM19" s="11" t="s">
        <v>27</v>
      </c>
    </row>
    <row r="20" spans="1:33">
      <c r="A20" t="s">
        <v>107</v>
      </c>
      <c r="B20" t="s">
        <v>108</v>
      </c>
      <c r="D20" t="s">
        <v>109</v>
      </c>
      <c r="F20" t="s">
        <v>110</v>
      </c>
      <c r="G20">
        <f>BoardQty*1</f>
        <v>5</v>
      </c>
      <c r="H2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0.18</v>
      </c>
      <c r="I20" s="6">
        <f ca="1" t="shared" si="0"/>
        <v>0.9</v>
      </c>
      <c r="L20" s="6">
        <f>IFERROR(LOOKUP(IF(K20="",G20,K20),{0,1,10,100,500,1000,3000,6000,9000},{0,0.18,0.124,0.063,0.0431,0.03813,0.03386,0.03098,0.02882}),"")</f>
        <v>0.18</v>
      </c>
      <c r="M20" s="6">
        <f t="shared" si="8"/>
        <v>0.9</v>
      </c>
      <c r="N20" t="s">
        <v>111</v>
      </c>
      <c r="O20" s="11" t="s">
        <v>27</v>
      </c>
      <c r="X20" s="6">
        <f>IFERROR(LOOKUP(IF(W20="",G20,W20),{0,1,10,100,500,1000,3000,9000,24000,45000},{0,0.181,0.076,0.052,0.044,0.037,0.026,0.025,0.024,0.02}),"")</f>
        <v>0.181</v>
      </c>
      <c r="Y20" s="6">
        <f t="shared" si="2"/>
        <v>0.905</v>
      </c>
      <c r="Z20" t="s">
        <v>112</v>
      </c>
      <c r="AA20" s="11" t="s">
        <v>27</v>
      </c>
      <c r="AD20" s="6">
        <f>IFERROR(LOOKUP(IF(AC20="",G20,AC20),{0,1,5,10,25,50,100,250,500,1000},{0,0.18,0.18,0.075,0.067,0.06,0.052,0.048,0.044,0.036}),"")</f>
        <v>0.18</v>
      </c>
      <c r="AE20" s="6">
        <f t="shared" si="6"/>
        <v>0.9</v>
      </c>
      <c r="AF20" t="s">
        <v>113</v>
      </c>
      <c r="AG20" s="11" t="s">
        <v>27</v>
      </c>
    </row>
    <row r="21" spans="1:33">
      <c r="A21" t="s">
        <v>114</v>
      </c>
      <c r="B21" t="s">
        <v>115</v>
      </c>
      <c r="D21" t="s">
        <v>24</v>
      </c>
      <c r="F21" t="s">
        <v>116</v>
      </c>
      <c r="G21">
        <f>BoardQty*2</f>
        <v>10</v>
      </c>
      <c r="H2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21" s="6">
        <f ca="1" t="shared" si="0"/>
        <v>0.05</v>
      </c>
      <c r="J21">
        <v>179012</v>
      </c>
      <c r="L21" s="6">
        <f>IFERROR(LOOKUP(IF(K21="",G21,K21),{0,1,10,100,1000,2500,5000,10000,25000,50000,125000},{0,0.1,0.015,0.006,0.00268,0.00233,0.00192,0.00167,0.00147,0.00135,0.00132}),"")</f>
        <v>0.015</v>
      </c>
      <c r="M21" s="6">
        <f t="shared" si="8"/>
        <v>0.15</v>
      </c>
      <c r="N21" t="s">
        <v>117</v>
      </c>
      <c r="O21" s="11" t="s">
        <v>27</v>
      </c>
      <c r="V21">
        <v>45100</v>
      </c>
      <c r="X21" s="6">
        <f>IFERROR(LOOKUP(IF(W21="",G21,W21),{0,1,10,100,1000,5000,10000},{0,0.1,0.011,0.004,0.002,0.002,0.001}),"")</f>
        <v>0.011</v>
      </c>
      <c r="Y21" s="6">
        <f t="shared" si="2"/>
        <v>0.11</v>
      </c>
      <c r="Z21" t="s">
        <v>118</v>
      </c>
      <c r="AA21" s="11" t="s">
        <v>27</v>
      </c>
      <c r="AD21" s="6">
        <f>IFERROR(LOOKUP(IF(AC21="",G21,AC21),{0,1,5000,10000,15000},{0,0.005,0.005,0.003,0.002}),"")</f>
        <v>0.005</v>
      </c>
      <c r="AE21" s="6">
        <f t="shared" si="6"/>
        <v>0.05</v>
      </c>
      <c r="AF21" t="s">
        <v>119</v>
      </c>
      <c r="AG21" s="11" t="s">
        <v>27</v>
      </c>
    </row>
    <row r="22" spans="1:9">
      <c r="A22" t="s">
        <v>120</v>
      </c>
      <c r="B22" t="s">
        <v>121</v>
      </c>
      <c r="D22" t="s">
        <v>24</v>
      </c>
      <c r="G22">
        <f>BoardQty*4</f>
        <v>20</v>
      </c>
      <c r="H2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22" s="6">
        <f ca="1" t="shared" si="0"/>
        <v>0</v>
      </c>
    </row>
    <row r="23" spans="1:39">
      <c r="A23" t="s">
        <v>122</v>
      </c>
      <c r="B23" t="s">
        <v>123</v>
      </c>
      <c r="D23" t="s">
        <v>109</v>
      </c>
      <c r="F23" t="s">
        <v>124</v>
      </c>
      <c r="G23">
        <f>BoardQty*3</f>
        <v>15</v>
      </c>
      <c r="H2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0.111</v>
      </c>
      <c r="I23" s="6">
        <f ca="1" t="shared" si="0"/>
        <v>1.665</v>
      </c>
      <c r="J23">
        <v>5443</v>
      </c>
      <c r="L23" s="6">
        <f>IFERROR(LOOKUP(IF(K23="",G23,K23),{0,1,10,100,500,1000,2500,5000,10000,20000,30000},{0,0.18,0.129,0.0606,0.04248,0.03516,0.03273,0.02994,0.0242,0.02299,0.02178}),"")</f>
        <v>0.129</v>
      </c>
      <c r="M23" s="6">
        <f t="shared" ref="M23:M40" si="9">IFERROR(IF(K23="",G23,K23)*L23,"")</f>
        <v>1.935</v>
      </c>
      <c r="N23" t="s">
        <v>125</v>
      </c>
      <c r="O23" s="11" t="s">
        <v>27</v>
      </c>
      <c r="V23">
        <v>11044</v>
      </c>
      <c r="X23" s="6">
        <f>IFERROR(LOOKUP(IF(W23="",G23,W23),{0,1,10,100,500,1000,2500,10000},{0,0.16,0.111,0.052,0.037,0.031,0.025,0.024}),"")</f>
        <v>0.111</v>
      </c>
      <c r="Y23" s="6">
        <f t="shared" ref="Y23:Y40" si="10">IFERROR(IF(W23="",G23,W23)*X23,"")</f>
        <v>1.665</v>
      </c>
      <c r="Z23" t="s">
        <v>126</v>
      </c>
      <c r="AA23" s="11" t="s">
        <v>27</v>
      </c>
      <c r="AH23">
        <v>2</v>
      </c>
      <c r="AJ23" s="6">
        <f>IFERROR(LOOKUP(IF(AI23="",G23,AI23),{0,1,5,25,50,100},{0,3.31656,3.15711,2.98703,2.82758,2.6575}),"")</f>
        <v>3.15711</v>
      </c>
      <c r="AK23" s="6">
        <f>IFERROR(IF(AI23="",G23,AI23)*AJ23,"")</f>
        <v>47.35665</v>
      </c>
      <c r="AL23" t="s">
        <v>127</v>
      </c>
      <c r="AM23" s="11" t="s">
        <v>27</v>
      </c>
    </row>
    <row r="24" spans="1:39">
      <c r="A24" t="s">
        <v>128</v>
      </c>
      <c r="B24" t="s">
        <v>129</v>
      </c>
      <c r="D24" t="s">
        <v>130</v>
      </c>
      <c r="F24" t="s">
        <v>131</v>
      </c>
      <c r="G24">
        <f>BoardQty*2</f>
        <v>10</v>
      </c>
      <c r="H2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0.065906</v>
      </c>
      <c r="I24" s="6">
        <f ca="1" t="shared" si="0"/>
        <v>0.65906</v>
      </c>
      <c r="J24">
        <v>201477</v>
      </c>
      <c r="L24" s="6">
        <f>IFERROR(LOOKUP(IF(K24="",G24,K24),{0,1,10,100,500,1000,3000,6000,15000,30000,75000,150000},{0,0.16,0.149,0.081,0.04986,0.03399,0.02805,0.0253,0.022,0.0198,0.0176,0.01463}),"")</f>
        <v>0.149</v>
      </c>
      <c r="M24" s="6">
        <f t="shared" si="9"/>
        <v>1.49</v>
      </c>
      <c r="N24" t="s">
        <v>132</v>
      </c>
      <c r="O24" s="11" t="s">
        <v>27</v>
      </c>
      <c r="V24">
        <v>67684</v>
      </c>
      <c r="X24" s="6">
        <f>IFERROR(LOOKUP(IF(W24="",G24,W24),{0,1,10,100,1000,3000,9000,24000,45000,99000},{0,0.16,0.143,0.051,0.034,0.026,0.022,0.02,0.018,0.015}),"")</f>
        <v>0.143</v>
      </c>
      <c r="Y24" s="6">
        <f t="shared" si="10"/>
        <v>1.43</v>
      </c>
      <c r="Z24" t="s">
        <v>133</v>
      </c>
      <c r="AA24" s="11" t="s">
        <v>27</v>
      </c>
      <c r="AD24" s="6">
        <f>IFERROR(LOOKUP(IF(AC24="",G24,AC24),{0,1,10,100,1000},{0,0.145,0.119,0.043,0.029}),"")</f>
        <v>0.119</v>
      </c>
      <c r="AE24" s="6">
        <f t="shared" ref="AE24:AE29" si="11">IFERROR(IF(AC24="",G24,AC24)*AD24,"")</f>
        <v>1.19</v>
      </c>
      <c r="AF24" t="s">
        <v>134</v>
      </c>
      <c r="AG24" s="11" t="s">
        <v>27</v>
      </c>
      <c r="AH24">
        <v>2000</v>
      </c>
      <c r="AJ24" s="6">
        <f>IFERROR(LOOKUP(IF(AI24="",G24,AI24),{0,1,200,1000},{0,0.065906,0.065906,0.062717}),"")</f>
        <v>0.065906</v>
      </c>
      <c r="AK24" s="6">
        <f>IFERROR(IF(AI24="",G24,AI24)*AJ24,"")</f>
        <v>0.65906</v>
      </c>
      <c r="AL24" t="s">
        <v>135</v>
      </c>
      <c r="AM24" s="11" t="s">
        <v>27</v>
      </c>
    </row>
    <row r="25" spans="1:33">
      <c r="A25" t="s">
        <v>136</v>
      </c>
      <c r="B25" t="s">
        <v>137</v>
      </c>
      <c r="D25" t="s">
        <v>24</v>
      </c>
      <c r="F25" t="s">
        <v>138</v>
      </c>
      <c r="G25">
        <f>BoardQty*4</f>
        <v>20</v>
      </c>
      <c r="H2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25" s="6">
        <f ca="1" t="shared" si="0"/>
        <v>0.22</v>
      </c>
      <c r="J25">
        <v>8288599</v>
      </c>
      <c r="L25" s="6">
        <f>IFERROR(LOOKUP(IF(K25="",G25,K25),{0,1,10,100,1000,2500,5000,10000,25000,50000,125000},{0,0.1,0.015,0.006,0.00268,0.00233,0.00192,0.00167,0.00147,0.00135,0.00132}),"")</f>
        <v>0.015</v>
      </c>
      <c r="M25" s="6">
        <f t="shared" si="9"/>
        <v>0.3</v>
      </c>
      <c r="N25" t="s">
        <v>139</v>
      </c>
      <c r="O25" s="11" t="s">
        <v>27</v>
      </c>
      <c r="V25">
        <v>1882304</v>
      </c>
      <c r="X25" s="6">
        <f>IFERROR(LOOKUP(IF(W25="",G25,W25),{0,1,10,100,1000,5000},{0,0.1,0.011,0.004,0.002,0.001}),"")</f>
        <v>0.011</v>
      </c>
      <c r="Y25" s="6">
        <f t="shared" si="10"/>
        <v>0.22</v>
      </c>
      <c r="Z25" t="s">
        <v>140</v>
      </c>
      <c r="AA25" s="11" t="s">
        <v>27</v>
      </c>
      <c r="AD25" s="6">
        <f>IFERROR(LOOKUP(IF(AC25="",G25,AC25),{0,1,10,25,100,250,1000},{0,0.08,0.014,0.01,0.006,0.004,0.003}),"")</f>
        <v>0.014</v>
      </c>
      <c r="AE25" s="6">
        <f t="shared" si="11"/>
        <v>0.28</v>
      </c>
      <c r="AF25" t="s">
        <v>141</v>
      </c>
      <c r="AG25" s="11" t="s">
        <v>27</v>
      </c>
    </row>
    <row r="26" spans="1:33">
      <c r="A26" t="s">
        <v>142</v>
      </c>
      <c r="B26" t="s">
        <v>143</v>
      </c>
      <c r="D26" t="s">
        <v>24</v>
      </c>
      <c r="F26" t="s">
        <v>144</v>
      </c>
      <c r="G26">
        <f>BoardQty*8</f>
        <v>40</v>
      </c>
      <c r="H2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0.002</v>
      </c>
      <c r="I26" s="6">
        <f ca="1" t="shared" si="0"/>
        <v>0.08</v>
      </c>
      <c r="J26">
        <v>598874</v>
      </c>
      <c r="L26" s="6">
        <f>IFERROR(LOOKUP(IF(K26="",G26,K26),{0,1,10,100,1000,2500,5000,10000,25000,50000,125000},{0,0.1,0.015,0.006,0.00268,0.00233,0.00192,0.00167,0.00147,0.00135,0.00132}),"")</f>
        <v>0.015</v>
      </c>
      <c r="M26" s="6">
        <f t="shared" si="9"/>
        <v>0.6</v>
      </c>
      <c r="N26" t="s">
        <v>145</v>
      </c>
      <c r="O26" s="11" t="s">
        <v>27</v>
      </c>
      <c r="V26">
        <v>4744</v>
      </c>
      <c r="X26" s="6">
        <f>IFERROR(LOOKUP(IF(W26="",G26,W26),{0,1,10,100,1000,5000},{0,0.1,0.011,0.004,0.002,0.001}),"")</f>
        <v>0.011</v>
      </c>
      <c r="Y26" s="6">
        <f t="shared" si="10"/>
        <v>0.44</v>
      </c>
      <c r="Z26" t="s">
        <v>146</v>
      </c>
      <c r="AA26" s="11" t="s">
        <v>27</v>
      </c>
      <c r="AD26" s="6">
        <f>IFERROR(LOOKUP(IF(AC26="",G26,AC26),{0,1,5000},{0,0.002,0.002}),"")</f>
        <v>0.002</v>
      </c>
      <c r="AE26" s="6">
        <f t="shared" si="11"/>
        <v>0.08</v>
      </c>
      <c r="AF26" t="s">
        <v>147</v>
      </c>
      <c r="AG26" s="11" t="s">
        <v>27</v>
      </c>
    </row>
    <row r="27" spans="1:33">
      <c r="A27" t="s">
        <v>148</v>
      </c>
      <c r="B27" t="s">
        <v>149</v>
      </c>
      <c r="D27" t="s">
        <v>24</v>
      </c>
      <c r="F27" t="s">
        <v>150</v>
      </c>
      <c r="G27">
        <f>BoardQty*6</f>
        <v>30</v>
      </c>
      <c r="H2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27" s="6">
        <f ca="1" t="shared" si="0"/>
        <v>0.3</v>
      </c>
      <c r="J27">
        <v>1234138</v>
      </c>
      <c r="L27" s="6">
        <f>IFERROR(LOOKUP(IF(K27="",G27,K27),{0,1,10,100,1000,2500,5000,10000,25000,50000,125000},{0,0.1,0.015,0.006,0.00268,0.00233,0.00192,0.00167,0.00147,0.00135,0.00132}),"")</f>
        <v>0.015</v>
      </c>
      <c r="M27" s="6">
        <f t="shared" si="9"/>
        <v>0.45</v>
      </c>
      <c r="N27" t="s">
        <v>151</v>
      </c>
      <c r="O27" s="11" t="s">
        <v>27</v>
      </c>
      <c r="V27">
        <v>399341</v>
      </c>
      <c r="X27" s="6">
        <f>IFERROR(LOOKUP(IF(W27="",G27,W27),{0,1,10,100,1000,5000},{0,0.1,0.011,0.004,0.002,0.001}),"")</f>
        <v>0.011</v>
      </c>
      <c r="Y27" s="6">
        <f t="shared" si="10"/>
        <v>0.33</v>
      </c>
      <c r="Z27" t="s">
        <v>152</v>
      </c>
      <c r="AA27" s="11" t="s">
        <v>27</v>
      </c>
      <c r="AD27" s="6">
        <f>IFERROR(LOOKUP(IF(AC27="",G27,AC27),{0,1,10,25,100,250,1000},{0,0.08,0.014,0.01,0.006,0.004,0.003}),"")</f>
        <v>0.01</v>
      </c>
      <c r="AE27" s="6">
        <f t="shared" si="11"/>
        <v>0.3</v>
      </c>
      <c r="AF27" t="s">
        <v>153</v>
      </c>
      <c r="AG27" s="11" t="s">
        <v>27</v>
      </c>
    </row>
    <row r="28" spans="1:33">
      <c r="A28" t="s">
        <v>154</v>
      </c>
      <c r="B28" t="s">
        <v>155</v>
      </c>
      <c r="D28" t="s">
        <v>24</v>
      </c>
      <c r="F28" t="s">
        <v>156</v>
      </c>
      <c r="G28">
        <f>BoardQty*2</f>
        <v>10</v>
      </c>
      <c r="H2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0.005</v>
      </c>
      <c r="I28" s="6">
        <f ca="1" t="shared" si="0"/>
        <v>0.05</v>
      </c>
      <c r="J28">
        <v>100679</v>
      </c>
      <c r="L28" s="6">
        <f>IFERROR(LOOKUP(IF(K28="",G28,K28),{0,1,10,100,1000,2500,5000,10000,25000,50000,125000},{0,0.1,0.015,0.006,0.00268,0.00233,0.00192,0.00167,0.00147,0.00135,0.00132}),"")</f>
        <v>0.015</v>
      </c>
      <c r="M28" s="6">
        <f t="shared" si="9"/>
        <v>0.15</v>
      </c>
      <c r="N28" t="s">
        <v>157</v>
      </c>
      <c r="O28" s="11" t="s">
        <v>27</v>
      </c>
      <c r="V28">
        <v>8373</v>
      </c>
      <c r="X28" s="6">
        <f>IFERROR(LOOKUP(IF(W28="",G28,W28),{0,1,10,100,1000,5000},{0,0.1,0.011,0.004,0.002,0.001}),"")</f>
        <v>0.011</v>
      </c>
      <c r="Y28" s="6">
        <f t="shared" si="10"/>
        <v>0.11</v>
      </c>
      <c r="Z28" t="s">
        <v>158</v>
      </c>
      <c r="AA28" s="11" t="s">
        <v>27</v>
      </c>
      <c r="AD28" s="6">
        <f>IFERROR(LOOKUP(IF(AC28="",G28,AC28),{0,1,5000,10000,15000},{0,0.005,0.005,0.003,0.002}),"")</f>
        <v>0.005</v>
      </c>
      <c r="AE28" s="6">
        <f t="shared" si="11"/>
        <v>0.05</v>
      </c>
      <c r="AF28" t="s">
        <v>159</v>
      </c>
      <c r="AG28" s="11" t="s">
        <v>27</v>
      </c>
    </row>
    <row r="29" spans="1:39">
      <c r="A29" t="s">
        <v>160</v>
      </c>
      <c r="B29" t="s">
        <v>161</v>
      </c>
      <c r="D29" t="s">
        <v>162</v>
      </c>
      <c r="F29" t="s">
        <v>163</v>
      </c>
      <c r="G29">
        <f>BoardQty*1</f>
        <v>5</v>
      </c>
      <c r="H2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0.75473</v>
      </c>
      <c r="I29" s="6">
        <f ca="1" t="shared" si="0"/>
        <v>3.77365</v>
      </c>
      <c r="J29">
        <v>2956</v>
      </c>
      <c r="L29" s="6">
        <f>IFERROR(LOOKUP(IF(K29="",G29,K29),{0,1,25,100,3000},{0,0.86,0.7244,0.651,0.651}),"")</f>
        <v>0.86</v>
      </c>
      <c r="M29" s="6">
        <f t="shared" si="9"/>
        <v>4.3</v>
      </c>
      <c r="N29" t="s">
        <v>164</v>
      </c>
      <c r="O29" s="11" t="s">
        <v>27</v>
      </c>
      <c r="V29">
        <v>5425</v>
      </c>
      <c r="X29" s="6">
        <f>IFERROR(LOOKUP(IF(W29="",G29,W29),{0,1,10,25,100,3000},{0,0.903,0.822,0.693,0.622,0.622}),"")</f>
        <v>0.903</v>
      </c>
      <c r="Y29" s="6">
        <f t="shared" si="10"/>
        <v>4.515</v>
      </c>
      <c r="Z29" t="s">
        <v>165</v>
      </c>
      <c r="AA29" s="11" t="s">
        <v>27</v>
      </c>
      <c r="AD29" s="6">
        <f>IFERROR(LOOKUP(IF(AC29="",G29,AC29),{0,1,25,100},{0,0.858,0.709,0.65}),"")</f>
        <v>0.858</v>
      </c>
      <c r="AE29" s="6">
        <f t="shared" si="11"/>
        <v>4.29</v>
      </c>
      <c r="AF29" t="s">
        <v>166</v>
      </c>
      <c r="AG29" s="11" t="s">
        <v>27</v>
      </c>
      <c r="AH29">
        <v>45</v>
      </c>
      <c r="AJ29" s="6">
        <f>IFERROR(LOOKUP(IF(AI29="",G29,AI29),{0,1,5,25},{0,0.75473,0.75473,0.631422}),"")</f>
        <v>0.75473</v>
      </c>
      <c r="AK29" s="6">
        <f>IFERROR(IF(AI29="",G29,AI29)*AJ29,"")</f>
        <v>3.77365</v>
      </c>
      <c r="AL29" t="s">
        <v>167</v>
      </c>
      <c r="AM29" s="11" t="s">
        <v>27</v>
      </c>
    </row>
    <row r="30" spans="1:39">
      <c r="A30" t="s">
        <v>168</v>
      </c>
      <c r="B30" t="s">
        <v>161</v>
      </c>
      <c r="D30" t="s">
        <v>162</v>
      </c>
      <c r="F30" t="s">
        <v>169</v>
      </c>
      <c r="G30">
        <f>BoardQty*1</f>
        <v>5</v>
      </c>
      <c r="H3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0.749415</v>
      </c>
      <c r="I30" s="6">
        <f ca="1" t="shared" si="0"/>
        <v>3.747075</v>
      </c>
      <c r="J30">
        <v>2978</v>
      </c>
      <c r="L30" s="6">
        <f>IFERROR(LOOKUP(IF(K30="",G30,K30),{0,1,25,100,3000},{0,0.86,0.7244,0.651,0.651}),"")</f>
        <v>0.86</v>
      </c>
      <c r="M30" s="6">
        <f t="shared" si="9"/>
        <v>4.3</v>
      </c>
      <c r="N30" t="s">
        <v>170</v>
      </c>
      <c r="O30" s="11" t="s">
        <v>27</v>
      </c>
      <c r="V30">
        <v>3091</v>
      </c>
      <c r="X30" s="6">
        <f>IFERROR(LOOKUP(IF(W30="",G30,W30),{0,1,10,25,100,3000},{0,0.903,0.822,0.693,0.622,0.622}),"")</f>
        <v>0.903</v>
      </c>
      <c r="Y30" s="6">
        <f t="shared" si="10"/>
        <v>4.515</v>
      </c>
      <c r="Z30" t="s">
        <v>171</v>
      </c>
      <c r="AA30" s="11" t="s">
        <v>27</v>
      </c>
      <c r="AH30">
        <v>140</v>
      </c>
      <c r="AJ30" s="6">
        <f>IFERROR(LOOKUP(IF(AI30="",G30,AI30),{0,1,10,100},{0,0.749415,0.749415,0.571894}),"")</f>
        <v>0.749415</v>
      </c>
      <c r="AK30" s="6">
        <f>IFERROR(IF(AI30="",G30,AI30)*AJ30,"")</f>
        <v>3.747075</v>
      </c>
      <c r="AL30" t="s">
        <v>172</v>
      </c>
      <c r="AM30" s="11" t="s">
        <v>27</v>
      </c>
    </row>
    <row r="31" spans="1:27">
      <c r="A31" t="s">
        <v>173</v>
      </c>
      <c r="B31" t="s">
        <v>174</v>
      </c>
      <c r="D31" t="s">
        <v>175</v>
      </c>
      <c r="F31" t="s">
        <v>176</v>
      </c>
      <c r="G31">
        <f>BoardQty*2</f>
        <v>10</v>
      </c>
      <c r="H3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0.655</v>
      </c>
      <c r="I31" s="6">
        <f ca="1" t="shared" si="0"/>
        <v>6.55</v>
      </c>
      <c r="J31">
        <v>1423</v>
      </c>
      <c r="L31" s="6">
        <f>IFERROR(LOOKUP(IF(K31="",G31,K31),{0,1,10,100,500,1000,2500,5000},{0,0.89,0.655,0.4488,0.3553,0.2992,0.2805,0.2618}),"")</f>
        <v>0.655</v>
      </c>
      <c r="M31" s="6">
        <f t="shared" si="9"/>
        <v>6.55</v>
      </c>
      <c r="N31" t="s">
        <v>177</v>
      </c>
      <c r="O31" s="11" t="s">
        <v>27</v>
      </c>
      <c r="V31">
        <v>113</v>
      </c>
      <c r="X31" s="6">
        <f>IFERROR(LOOKUP(IF(W31="",G31,W31),{0,1,10,25,50,100,500,1000},{0,0.893,0.765,0.653,0.559,0.492,0.465,0.455}),"")</f>
        <v>0.765</v>
      </c>
      <c r="Y31" s="6">
        <f t="shared" si="10"/>
        <v>7.65</v>
      </c>
      <c r="Z31" t="s">
        <v>178</v>
      </c>
      <c r="AA31" s="11" t="s">
        <v>27</v>
      </c>
    </row>
    <row r="32" spans="1:27">
      <c r="A32" t="s">
        <v>179</v>
      </c>
      <c r="B32" t="s">
        <v>180</v>
      </c>
      <c r="D32" t="s">
        <v>181</v>
      </c>
      <c r="F32" t="s">
        <v>182</v>
      </c>
      <c r="G32">
        <f>BoardQty*2</f>
        <v>10</v>
      </c>
      <c r="H3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0.267</v>
      </c>
      <c r="I32" s="6">
        <f ca="1" t="shared" si="0"/>
        <v>2.67</v>
      </c>
      <c r="J32">
        <v>6290</v>
      </c>
      <c r="L32" s="6">
        <f>IFERROR(LOOKUP(IF(K32="",G32,K32),{0,1,10,25,100,250,500,1000,4000,8000,12000,28000},{0,0.42,0.331,0.2792,0.2271,0.1882,0.15574,0.1168,0.10395,0.09765,0.09135,0.084}),"")</f>
        <v>0.331</v>
      </c>
      <c r="M32" s="6">
        <f t="shared" si="9"/>
        <v>3.31</v>
      </c>
      <c r="N32" t="s">
        <v>183</v>
      </c>
      <c r="O32" s="11" t="s">
        <v>27</v>
      </c>
      <c r="V32">
        <v>2607</v>
      </c>
      <c r="X32" s="6">
        <f>IFERROR(LOOKUP(IF(W32="",G32,W32),{0,1,10,100,1000,4000,8000,24000,48000},{0,0.401,0.267,0.164,0.109,0.093,0.087,0.08,0.078}),"")</f>
        <v>0.267</v>
      </c>
      <c r="Y32" s="6">
        <f t="shared" si="10"/>
        <v>2.67</v>
      </c>
      <c r="Z32" t="s">
        <v>184</v>
      </c>
      <c r="AA32" s="11" t="s">
        <v>27</v>
      </c>
    </row>
    <row r="33" spans="1:33">
      <c r="A33" t="s">
        <v>185</v>
      </c>
      <c r="B33" t="s">
        <v>186</v>
      </c>
      <c r="D33" t="s">
        <v>187</v>
      </c>
      <c r="F33" t="s">
        <v>188</v>
      </c>
      <c r="G33">
        <f>BoardQty*4</f>
        <v>20</v>
      </c>
      <c r="H3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</v>
      </c>
      <c r="I33" s="6">
        <f ca="1" t="shared" si="0"/>
        <v>2.4</v>
      </c>
      <c r="L33" s="6">
        <f>IFERROR(LOOKUP(IF(K33="",G33,K33),{0,1,10,100,500,1000,2000,4000,10000,14000,50000,100000},{0,0.46,0.322,0.2119,0.15698,0.13343,0.12285,0.11603,0.1092,0.10579,0.09555,0.08873}),"")</f>
        <v>0.322</v>
      </c>
      <c r="M33" s="6">
        <f t="shared" si="9"/>
        <v>6.44</v>
      </c>
      <c r="N33" t="s">
        <v>189</v>
      </c>
      <c r="O33" s="11" t="s">
        <v>27</v>
      </c>
      <c r="V33">
        <v>756</v>
      </c>
      <c r="X33" s="6">
        <f>IFERROR(LOOKUP(IF(W33="",G33,W33),{0,1,25,50,100,500,1000,2000,4000},{0,0.12,0.107,0.103,0.093,0.084,0.067,0.061,0.059}),"")</f>
        <v>0.12</v>
      </c>
      <c r="Y33" s="6">
        <f t="shared" si="10"/>
        <v>2.4</v>
      </c>
      <c r="Z33" t="s">
        <v>190</v>
      </c>
      <c r="AA33" s="11" t="s">
        <v>27</v>
      </c>
      <c r="AD33" s="6">
        <f>IFERROR(LOOKUP(IF(AC33="",G33,AC33),{0,1,10,25,50,100,250,500,1000},{0,0.42,0.254,0.225,0.196,0.167,0.156,0.145,0.123}),"")</f>
        <v>0.254</v>
      </c>
      <c r="AE33" s="6">
        <f t="shared" ref="AE33:AE40" si="12">IFERROR(IF(AC33="",G33,AC33)*AD33,"")</f>
        <v>5.08</v>
      </c>
      <c r="AF33" t="s">
        <v>191</v>
      </c>
      <c r="AG33" s="11" t="s">
        <v>27</v>
      </c>
    </row>
    <row r="34" spans="1:27">
      <c r="A34" t="s">
        <v>192</v>
      </c>
      <c r="B34" t="s">
        <v>193</v>
      </c>
      <c r="D34" t="s">
        <v>194</v>
      </c>
      <c r="F34" t="s">
        <v>195</v>
      </c>
      <c r="G34">
        <f>BoardQty*1</f>
        <v>5</v>
      </c>
      <c r="H3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0.321</v>
      </c>
      <c r="I34" s="6">
        <f ca="1" t="shared" si="0"/>
        <v>1.605</v>
      </c>
      <c r="J34">
        <v>1780</v>
      </c>
      <c r="L34" s="6">
        <f>IFERROR(LOOKUP(IF(K34="",G34,K34),{0,1,10,25,100,250,500,1000,2000,6000,10000,50000,100000},{0,0.41,0.296,0.242,0.1936,0.16336,0.13916,0.1089,0.099,0.0935,0.08525,0.07315,0.07013}),"")</f>
        <v>0.41</v>
      </c>
      <c r="M34" s="6">
        <f t="shared" si="9"/>
        <v>2.05</v>
      </c>
      <c r="N34" t="s">
        <v>196</v>
      </c>
      <c r="O34" s="11" t="s">
        <v>27</v>
      </c>
      <c r="V34">
        <v>3770</v>
      </c>
      <c r="X34" s="6">
        <f>IFERROR(LOOKUP(IF(W34="",G34,W34),{0,1,10,100,1000,2000,10000,24000,50000,100000},{0,0.321,0.203,0.15,0.117,0.097,0.091,0.085,0.084,0.081}),"")</f>
        <v>0.321</v>
      </c>
      <c r="Y34" s="6">
        <f t="shared" si="10"/>
        <v>1.605</v>
      </c>
      <c r="Z34" t="s">
        <v>197</v>
      </c>
      <c r="AA34" s="11" t="s">
        <v>27</v>
      </c>
    </row>
    <row r="35" spans="1:33">
      <c r="A35" t="s">
        <v>198</v>
      </c>
      <c r="B35" t="s">
        <v>186</v>
      </c>
      <c r="D35" t="s">
        <v>187</v>
      </c>
      <c r="F35" t="s">
        <v>188</v>
      </c>
      <c r="G35">
        <f>BoardQty*1</f>
        <v>5</v>
      </c>
      <c r="H3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0.12</v>
      </c>
      <c r="I35" s="6">
        <f ca="1" t="shared" si="0"/>
        <v>0.6</v>
      </c>
      <c r="L35" s="6">
        <f>IFERROR(LOOKUP(IF(K35="",G35,K35),{0,1,10,100,500,1000,2000,4000,10000,14000,50000,100000},{0,0.46,0.322,0.2119,0.15698,0.13343,0.12285,0.11603,0.1092,0.10579,0.09555,0.08873}),"")</f>
        <v>0.46</v>
      </c>
      <c r="M35" s="6">
        <f t="shared" si="9"/>
        <v>2.3</v>
      </c>
      <c r="N35" t="s">
        <v>189</v>
      </c>
      <c r="O35" s="11" t="s">
        <v>27</v>
      </c>
      <c r="V35">
        <v>756</v>
      </c>
      <c r="X35" s="6">
        <f>IFERROR(LOOKUP(IF(W35="",G35,W35),{0,1,25,50,100,500,1000,2000,4000},{0,0.12,0.107,0.103,0.093,0.084,0.067,0.061,0.059}),"")</f>
        <v>0.12</v>
      </c>
      <c r="Y35" s="6">
        <f t="shared" si="10"/>
        <v>0.6</v>
      </c>
      <c r="Z35" t="s">
        <v>190</v>
      </c>
      <c r="AA35" s="11" t="s">
        <v>27</v>
      </c>
      <c r="AD35" s="6">
        <f>IFERROR(LOOKUP(IF(AC35="",G35,AC35),{0,1,10,25,50,100,250,500,1000},{0,0.42,0.254,0.225,0.196,0.167,0.156,0.145,0.123}),"")</f>
        <v>0.42</v>
      </c>
      <c r="AE35" s="6">
        <f t="shared" si="12"/>
        <v>2.1</v>
      </c>
      <c r="AF35" t="s">
        <v>191</v>
      </c>
      <c r="AG35" s="11" t="s">
        <v>27</v>
      </c>
    </row>
    <row r="36" spans="1:39">
      <c r="A36" t="s">
        <v>199</v>
      </c>
      <c r="B36" t="s">
        <v>37</v>
      </c>
      <c r="D36" t="s">
        <v>38</v>
      </c>
      <c r="F36" t="s">
        <v>39</v>
      </c>
      <c r="G36">
        <f>BoardQty*39</f>
        <v>195</v>
      </c>
      <c r="H3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36" s="6">
        <f ca="1" t="shared" si="0"/>
        <v>2.535</v>
      </c>
      <c r="J36">
        <v>4798670</v>
      </c>
      <c r="L36" s="6">
        <f>IFERROR(LOOKUP(IF(K36="",G36,K36),{0,1,10,100,500,1000,4000,8000,12000},{0,0.1,0.031,0.0136,0.00974,0.00765,0.00557,0.00508,0.00484}),"")</f>
        <v>0.0136</v>
      </c>
      <c r="M36" s="6">
        <f t="shared" si="9"/>
        <v>2.652</v>
      </c>
      <c r="N36" t="s">
        <v>40</v>
      </c>
      <c r="O36" s="11" t="s">
        <v>27</v>
      </c>
      <c r="V36">
        <v>492157</v>
      </c>
      <c r="X36" s="6">
        <f>IFERROR(LOOKUP(IF(W36="",G36,W36),{0,1,10,100,500,1000,4000,8000,48000},{0,0.1,0.03,0.013,0.007,0.006,0.006,0.005,0.004}),"")</f>
        <v>0.013</v>
      </c>
      <c r="Y36" s="6">
        <f t="shared" si="10"/>
        <v>2.535</v>
      </c>
      <c r="Z36" t="s">
        <v>41</v>
      </c>
      <c r="AA36" s="11" t="s">
        <v>27</v>
      </c>
      <c r="AD36" s="6">
        <f>IFERROR(LOOKUP(IF(AC36="",G36,AC36),{0,1,25,50,100,250,500,1000},{0,0.1,0.029,0.021,0.013,0.01,0.007,0.006}),"")</f>
        <v>0.013</v>
      </c>
      <c r="AE36" s="6">
        <f t="shared" si="12"/>
        <v>2.535</v>
      </c>
      <c r="AF36" t="s">
        <v>42</v>
      </c>
      <c r="AG36" s="11" t="s">
        <v>27</v>
      </c>
      <c r="AH36">
        <v>2500</v>
      </c>
      <c r="AJ36" s="6">
        <f>IFERROR(LOOKUP(IF(AI36="",G36,AI36),{0,1,50,500},{0,0.018071,0.018071,0.007441}),"")</f>
        <v>0.018071</v>
      </c>
      <c r="AK36" s="6">
        <f t="shared" ref="AK36:AK40" si="13">IFERROR(IF(AI36="",G36,AI36)*AJ36,"")</f>
        <v>3.523845</v>
      </c>
      <c r="AL36" t="s">
        <v>43</v>
      </c>
      <c r="AM36" s="11" t="s">
        <v>27</v>
      </c>
    </row>
    <row r="37" spans="1:39">
      <c r="A37" t="s">
        <v>200</v>
      </c>
      <c r="B37" t="s">
        <v>201</v>
      </c>
      <c r="D37" t="s">
        <v>202</v>
      </c>
      <c r="F37" t="s">
        <v>203</v>
      </c>
      <c r="G37">
        <f>BoardQty*1</f>
        <v>5</v>
      </c>
      <c r="H3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0.610162</v>
      </c>
      <c r="I37" s="6">
        <f ca="1" t="shared" si="0"/>
        <v>3.05081</v>
      </c>
      <c r="J37">
        <v>13836</v>
      </c>
      <c r="L37" s="6">
        <f>IFERROR(LOOKUP(IF(K37="",G37,K37),{0,1,10,25,50,100,250,500,1500,3000,7500,10500,15000},{0,0.81,0.712,0.6704,0.6426,0.6147,0.5588,0.50292,0.381,0.3683,0.3556,0.33782,0.3302}),"")</f>
        <v>0.81</v>
      </c>
      <c r="M37" s="6">
        <f t="shared" si="9"/>
        <v>4.05</v>
      </c>
      <c r="N37" t="s">
        <v>204</v>
      </c>
      <c r="O37" s="11" t="s">
        <v>27</v>
      </c>
      <c r="V37">
        <v>8131</v>
      </c>
      <c r="X37" s="6">
        <f>IFERROR(LOOKUP(IF(W37="",G37,W37),{0,1,10,100,250,500,1000,1500},{0,0.682,0.624,0.535,0.485,0.446,0.386,0.386}),"")</f>
        <v>0.682</v>
      </c>
      <c r="Y37" s="6">
        <f t="shared" si="10"/>
        <v>3.41</v>
      </c>
      <c r="Z37" t="s">
        <v>205</v>
      </c>
      <c r="AA37" s="11" t="s">
        <v>27</v>
      </c>
      <c r="AD37" s="6">
        <f>IFERROR(LOOKUP(IF(AC37="",G37,AC37),{0,1,10,100,250,500,1000},{0,0.68,0.622,0.533,0.483,0.445,0.381}),"")</f>
        <v>0.68</v>
      </c>
      <c r="AE37" s="6">
        <f t="shared" si="12"/>
        <v>3.4</v>
      </c>
      <c r="AF37" t="s">
        <v>206</v>
      </c>
      <c r="AG37" s="11" t="s">
        <v>27</v>
      </c>
      <c r="AH37">
        <v>90</v>
      </c>
      <c r="AJ37" s="6">
        <f>IFERROR(LOOKUP(IF(AI37="",G37,AI37),{0,1,5,50,150,250,500},{0,0.610162,0.610162,0.54213,0.48898,0.452838,0.416696}),"")</f>
        <v>0.610162</v>
      </c>
      <c r="AK37" s="6">
        <f t="shared" si="13"/>
        <v>3.05081</v>
      </c>
      <c r="AL37" t="s">
        <v>207</v>
      </c>
      <c r="AM37" s="11" t="s">
        <v>27</v>
      </c>
    </row>
    <row r="38" spans="1:39">
      <c r="A38" t="s">
        <v>208</v>
      </c>
      <c r="B38" t="s">
        <v>209</v>
      </c>
      <c r="D38" t="s">
        <v>210</v>
      </c>
      <c r="F38" t="s">
        <v>209</v>
      </c>
      <c r="G38">
        <f>BoardQty*1</f>
        <v>5</v>
      </c>
      <c r="H3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0.23</v>
      </c>
      <c r="I38" s="6">
        <f ca="1" t="shared" si="0"/>
        <v>1.15</v>
      </c>
      <c r="J38">
        <v>26645</v>
      </c>
      <c r="L38" s="6">
        <f>IFERROR(LOOKUP(IF(K38="",G38,K38),{0,1,25,100,3000},{0,0.28,0.2704,0.26,0.26}),"")</f>
        <v>0.28</v>
      </c>
      <c r="M38" s="6">
        <f t="shared" si="9"/>
        <v>1.4</v>
      </c>
      <c r="N38" t="s">
        <v>211</v>
      </c>
      <c r="O38" s="11" t="s">
        <v>27</v>
      </c>
      <c r="V38">
        <v>24275</v>
      </c>
      <c r="X38" s="6">
        <f>IFERROR(LOOKUP(IF(W38="",G38,W38),{0,1,10,25,100,3000},{0,0.271,0.221,0.211,0.201,0.201}),"")</f>
        <v>0.271</v>
      </c>
      <c r="Y38" s="6">
        <f t="shared" si="10"/>
        <v>1.355</v>
      </c>
      <c r="Z38" t="s">
        <v>212</v>
      </c>
      <c r="AA38" s="11" t="s">
        <v>27</v>
      </c>
      <c r="AD38" s="6">
        <f>IFERROR(LOOKUP(IF(AC38="",G38,AC38),{0,1,25,100},{0,0.23,0.216,0.212}),"")</f>
        <v>0.23</v>
      </c>
      <c r="AE38" s="6">
        <f t="shared" si="12"/>
        <v>1.15</v>
      </c>
      <c r="AF38" t="s">
        <v>213</v>
      </c>
      <c r="AG38" s="11" t="s">
        <v>27</v>
      </c>
      <c r="AL38" t="s">
        <v>214</v>
      </c>
      <c r="AM38" s="11" t="s">
        <v>27</v>
      </c>
    </row>
    <row r="39" spans="1:39">
      <c r="A39" t="s">
        <v>215</v>
      </c>
      <c r="B39" t="s">
        <v>216</v>
      </c>
      <c r="D39" t="s">
        <v>217</v>
      </c>
      <c r="F39" t="s">
        <v>218</v>
      </c>
      <c r="G39">
        <f>BoardQty*4</f>
        <v>20</v>
      </c>
      <c r="H3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0.281</v>
      </c>
      <c r="I39" s="6">
        <f ca="1" t="shared" si="0"/>
        <v>5.62</v>
      </c>
      <c r="J39">
        <v>4643</v>
      </c>
      <c r="L39" s="6">
        <f>IFERROR(LOOKUP(IF(K39="",G39,K39),{0,1,25,100,3000},{0,0.29,0.2416,0.2205,0.2205}),"")</f>
        <v>0.29</v>
      </c>
      <c r="M39" s="6">
        <f t="shared" si="9"/>
        <v>5.8</v>
      </c>
      <c r="N39" t="s">
        <v>219</v>
      </c>
      <c r="O39" s="11" t="s">
        <v>27</v>
      </c>
      <c r="V39">
        <v>27904</v>
      </c>
      <c r="X39" s="6">
        <f>IFERROR(LOOKUP(IF(W39="",G39,W39),{0,1,10,25,100,3000},{0,0.301,0.281,0.231,0.211,0.211}),"")</f>
        <v>0.281</v>
      </c>
      <c r="Y39" s="6">
        <f t="shared" si="10"/>
        <v>5.62</v>
      </c>
      <c r="Z39" t="s">
        <v>220</v>
      </c>
      <c r="AA39" s="11" t="s">
        <v>27</v>
      </c>
      <c r="AD39" s="6">
        <f>IFERROR(LOOKUP(IF(AC39="",G39,AC39),{0,1,25,100},{0,0.291,0.24,0.22}),"")</f>
        <v>0.291</v>
      </c>
      <c r="AE39" s="6">
        <f t="shared" si="12"/>
        <v>5.82</v>
      </c>
      <c r="AF39" t="s">
        <v>221</v>
      </c>
      <c r="AG39" s="11" t="s">
        <v>27</v>
      </c>
      <c r="AH39">
        <v>2500</v>
      </c>
      <c r="AJ39" s="6">
        <f>IFERROR(LOOKUP(IF(AI39="",G39,AI39),{0,1,25,50},{0,0.426263,0.426263,0.272128}),"")</f>
        <v>0.426263</v>
      </c>
      <c r="AK39" s="6">
        <f t="shared" si="13"/>
        <v>8.52526</v>
      </c>
      <c r="AL39" t="s">
        <v>222</v>
      </c>
      <c r="AM39" s="11" t="s">
        <v>27</v>
      </c>
    </row>
    <row r="40" spans="1:39">
      <c r="A40" t="s">
        <v>223</v>
      </c>
      <c r="B40" t="s">
        <v>224</v>
      </c>
      <c r="D40" t="s">
        <v>130</v>
      </c>
      <c r="F40" t="s">
        <v>225</v>
      </c>
      <c r="G40">
        <f>BoardQty*1</f>
        <v>5</v>
      </c>
      <c r="H4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0.058465</v>
      </c>
      <c r="I40" s="6">
        <f ca="1" t="shared" si="0"/>
        <v>0.292325</v>
      </c>
      <c r="J40">
        <v>17139</v>
      </c>
      <c r="L40" s="6">
        <f>IFERROR(LOOKUP(IF(K40="",G40,K40),{0,1,10,100,500,1000,3000,6000,10000,15000,30000,50000,75000,100000,150000,250000},{0,0.14,0.131,0.0712,0.0438,0.02986,0.02463,0.02222,0.01932,0.01932,0.01739,0.01546,0.01546,0.01449,0.01288,0.01288}),"")</f>
        <v>0.14</v>
      </c>
      <c r="M40" s="6">
        <f t="shared" si="9"/>
        <v>0.7</v>
      </c>
      <c r="N40" t="s">
        <v>226</v>
      </c>
      <c r="O40" s="11" t="s">
        <v>27</v>
      </c>
      <c r="V40">
        <v>72282</v>
      </c>
      <c r="X40" s="6">
        <f>IFERROR(LOOKUP(IF(W40="",G40,W40),{0,1,10,100,1000,3000,9000,24000,45000,99000},{0,0.14,0.119,0.042,0.028,0.022,0.019,0.017,0.015,0.013}),"")</f>
        <v>0.14</v>
      </c>
      <c r="Y40" s="6">
        <f t="shared" si="10"/>
        <v>0.7</v>
      </c>
      <c r="Z40" t="s">
        <v>227</v>
      </c>
      <c r="AA40" s="11" t="s">
        <v>27</v>
      </c>
      <c r="AD40" s="6">
        <f>IFERROR(LOOKUP(IF(AC40="",G40,AC40),{0,1,25,50,100,250,500,1000},{0,0.14,0.119,0.081,0.042,0.037,0.033,0.028}),"")</f>
        <v>0.14</v>
      </c>
      <c r="AE40" s="6">
        <f t="shared" si="12"/>
        <v>0.7</v>
      </c>
      <c r="AF40" t="s">
        <v>228</v>
      </c>
      <c r="AG40" s="11" t="s">
        <v>27</v>
      </c>
      <c r="AH40">
        <v>1400</v>
      </c>
      <c r="AJ40" s="6">
        <f>IFERROR(LOOKUP(IF(AI40="",G40,AI40),{0,1,200,1000},{0,0.058465,0.058465,0.055276}),"")</f>
        <v>0.058465</v>
      </c>
      <c r="AK40" s="6">
        <f t="shared" si="13"/>
        <v>0.292325</v>
      </c>
      <c r="AL40" t="s">
        <v>229</v>
      </c>
      <c r="AM40" s="11" t="s">
        <v>27</v>
      </c>
    </row>
    <row r="41" spans="1:9">
      <c r="A41" t="s">
        <v>230</v>
      </c>
      <c r="B41" t="s">
        <v>231</v>
      </c>
      <c r="D41" t="s">
        <v>232</v>
      </c>
      <c r="G41">
        <f>BoardQty*3</f>
        <v>15</v>
      </c>
      <c r="H4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1" s="6">
        <f ca="1" t="shared" si="0"/>
        <v>0</v>
      </c>
    </row>
    <row r="42" spans="1:27">
      <c r="A42" t="s">
        <v>233</v>
      </c>
      <c r="B42" t="s">
        <v>234</v>
      </c>
      <c r="D42" t="s">
        <v>24</v>
      </c>
      <c r="F42" t="s">
        <v>235</v>
      </c>
      <c r="G42">
        <f>BoardQty*2</f>
        <v>10</v>
      </c>
      <c r="H4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0.071</v>
      </c>
      <c r="I42" s="6">
        <f ca="1" t="shared" si="0"/>
        <v>0.71</v>
      </c>
      <c r="X42" s="6">
        <f>IFERROR(LOOKUP(IF(W42="",G42,W42),{0,1,10,100,1000,5000,10000,50000},{0,0.131,0.071,0.024,0.017,0.012,0.011,0.009}),"")</f>
        <v>0.071</v>
      </c>
      <c r="Y42" s="6">
        <f t="shared" ref="Y42:Y55" si="14">IFERROR(IF(W42="",G42,W42)*X42,"")</f>
        <v>0.71</v>
      </c>
      <c r="Z42" t="s">
        <v>236</v>
      </c>
      <c r="AA42" s="11" t="s">
        <v>27</v>
      </c>
    </row>
    <row r="43" spans="1:33">
      <c r="A43" t="s">
        <v>237</v>
      </c>
      <c r="B43" t="s">
        <v>238</v>
      </c>
      <c r="D43" t="s">
        <v>24</v>
      </c>
      <c r="F43" t="s">
        <v>239</v>
      </c>
      <c r="G43">
        <f>BoardQty*2</f>
        <v>10</v>
      </c>
      <c r="H4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43" s="6">
        <f ca="1" t="shared" si="0"/>
        <v>0.11</v>
      </c>
      <c r="J43">
        <v>3678856</v>
      </c>
      <c r="L43" s="6">
        <f>IFERROR(LOOKUP(IF(K43="",G43,K43),{0,1,10,100,1000,2500,5000,10000,25000,50000,125000},{0,0.1,0.015,0.006,0.00268,0.00233,0.00192,0.00167,0.00147,0.00135,0.00132}),"")</f>
        <v>0.015</v>
      </c>
      <c r="M43" s="6">
        <f t="shared" ref="M43:M55" si="15">IFERROR(IF(K43="",G43,K43)*L43,"")</f>
        <v>0.15</v>
      </c>
      <c r="N43" t="s">
        <v>240</v>
      </c>
      <c r="O43" s="11" t="s">
        <v>27</v>
      </c>
      <c r="V43">
        <v>404617</v>
      </c>
      <c r="X43" s="6">
        <f>IFERROR(LOOKUP(IF(W43="",G43,W43),{0,1,10,100,1000,5000},{0,0.1,0.011,0.004,0.002,0.001}),"")</f>
        <v>0.011</v>
      </c>
      <c r="Y43" s="6">
        <f t="shared" si="14"/>
        <v>0.11</v>
      </c>
      <c r="Z43" t="s">
        <v>241</v>
      </c>
      <c r="AA43" s="11" t="s">
        <v>27</v>
      </c>
      <c r="AD43" s="6">
        <f>IFERROR(LOOKUP(IF(AC43="",G43,AC43),{0,1,10,25,100,250,1000},{0,0.011,0.011,0.011,0.007,0.005,0.004}),"")</f>
        <v>0.011</v>
      </c>
      <c r="AE43" s="6">
        <f t="shared" ref="AE43:AE49" si="16">IFERROR(IF(AC43="",G43,AC43)*AD43,"")</f>
        <v>0.11</v>
      </c>
      <c r="AF43" t="s">
        <v>242</v>
      </c>
      <c r="AG43" s="11" t="s">
        <v>27</v>
      </c>
    </row>
    <row r="44" spans="1:9">
      <c r="A44" t="s">
        <v>243</v>
      </c>
      <c r="B44" t="s">
        <v>244</v>
      </c>
      <c r="D44" t="s">
        <v>245</v>
      </c>
      <c r="F44" t="s">
        <v>244</v>
      </c>
      <c r="G44">
        <f>BoardQty*1</f>
        <v>5</v>
      </c>
      <c r="H4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44" s="6">
        <f ca="1" t="shared" si="0"/>
        <v>0</v>
      </c>
    </row>
    <row r="45" spans="1:33">
      <c r="A45" t="s">
        <v>246</v>
      </c>
      <c r="B45" t="s">
        <v>108</v>
      </c>
      <c r="D45" t="s">
        <v>187</v>
      </c>
      <c r="F45" t="s">
        <v>247</v>
      </c>
      <c r="G45">
        <f>BoardQty*4</f>
        <v>20</v>
      </c>
      <c r="H4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0.111</v>
      </c>
      <c r="I45" s="6">
        <f ca="1" t="shared" si="0"/>
        <v>2.22</v>
      </c>
      <c r="X45" s="6">
        <f>IFERROR(LOOKUP(IF(W45="",G45,W45),{0,1,25,50,100,500,1000,2000,5000,8000},{0,0.111,0.103,0.098,0.089,0.079,0.064,0.058,0.057,0.057}),"")</f>
        <v>0.111</v>
      </c>
      <c r="Y45" s="6">
        <f t="shared" si="14"/>
        <v>2.22</v>
      </c>
      <c r="Z45" t="s">
        <v>248</v>
      </c>
      <c r="AA45" s="11" t="s">
        <v>27</v>
      </c>
      <c r="AD45" s="6">
        <f>IFERROR(LOOKUP(IF(AC45="",G45,AC45),{0,1,10,25,50,100,250,500,1000},{0,0.52,0.313,0.277,0.242,0.206,0.193,0.179,0.152}),"")</f>
        <v>0.313</v>
      </c>
      <c r="AE45" s="6">
        <f t="shared" si="16"/>
        <v>6.26</v>
      </c>
      <c r="AF45" t="s">
        <v>249</v>
      </c>
      <c r="AG45" s="11" t="s">
        <v>27</v>
      </c>
    </row>
    <row r="46" spans="1:33">
      <c r="A46" t="s">
        <v>250</v>
      </c>
      <c r="B46" t="s">
        <v>251</v>
      </c>
      <c r="D46" t="s">
        <v>24</v>
      </c>
      <c r="F46" t="s">
        <v>252</v>
      </c>
      <c r="G46">
        <f>BoardQty*2</f>
        <v>10</v>
      </c>
      <c r="H4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46" s="6">
        <f ca="1" t="shared" si="0"/>
        <v>0.11</v>
      </c>
      <c r="J46">
        <v>4996336</v>
      </c>
      <c r="L46" s="6">
        <f>IFERROR(LOOKUP(IF(K46="",G46,K46),{0,1,10,100,1000,2500,5000,10000,25000,50000,125000},{0,0.1,0.015,0.006,0.00268,0.00233,0.00192,0.00167,0.00147,0.00135,0.00132}),"")</f>
        <v>0.015</v>
      </c>
      <c r="M46" s="6">
        <f t="shared" si="15"/>
        <v>0.15</v>
      </c>
      <c r="N46" t="s">
        <v>253</v>
      </c>
      <c r="O46" s="11" t="s">
        <v>27</v>
      </c>
      <c r="V46">
        <v>656367</v>
      </c>
      <c r="X46" s="6">
        <f>IFERROR(LOOKUP(IF(W46="",G46,W46),{0,1,10,100,1000,5000},{0,0.1,0.011,0.004,0.002,0.002}),"")</f>
        <v>0.011</v>
      </c>
      <c r="Y46" s="6">
        <f t="shared" si="14"/>
        <v>0.11</v>
      </c>
      <c r="Z46" t="s">
        <v>254</v>
      </c>
      <c r="AA46" s="11" t="s">
        <v>27</v>
      </c>
      <c r="AD46" s="6">
        <f>IFERROR(LOOKUP(IF(AC46="",G46,AC46),{0,1,10,25,100,250,1000},{0,0.08,0.014,0.01,0.006,0.004,0.003}),"")</f>
        <v>0.014</v>
      </c>
      <c r="AE46" s="6">
        <f t="shared" si="16"/>
        <v>0.14</v>
      </c>
      <c r="AF46" t="s">
        <v>255</v>
      </c>
      <c r="AG46" s="11" t="s">
        <v>27</v>
      </c>
    </row>
    <row r="47" spans="1:33">
      <c r="A47" t="s">
        <v>256</v>
      </c>
      <c r="B47" t="s">
        <v>257</v>
      </c>
      <c r="D47" t="s">
        <v>24</v>
      </c>
      <c r="F47" t="s">
        <v>258</v>
      </c>
      <c r="G47">
        <f>BoardQty*6</f>
        <v>30</v>
      </c>
      <c r="H4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47" s="6">
        <f ca="1" t="shared" si="0"/>
        <v>0.3</v>
      </c>
      <c r="J47">
        <v>4410976</v>
      </c>
      <c r="L47" s="6">
        <f>IFERROR(LOOKUP(IF(K47="",G47,K47),{0,1,10,100,1000,2500,5000,10000,25000,50000,125000},{0,0.1,0.015,0.006,0.00268,0.00233,0.00192,0.00167,0.00147,0.00135,0.00132}),"")</f>
        <v>0.015</v>
      </c>
      <c r="M47" s="6">
        <f t="shared" si="15"/>
        <v>0.45</v>
      </c>
      <c r="N47" t="s">
        <v>259</v>
      </c>
      <c r="O47" s="11" t="s">
        <v>27</v>
      </c>
      <c r="V47">
        <v>1056137</v>
      </c>
      <c r="X47" s="6">
        <f>IFERROR(LOOKUP(IF(W47="",G47,W47),{0,1,10,100,1000,5000},{0,0.1,0.011,0.004,0.002,0.001}),"")</f>
        <v>0.011</v>
      </c>
      <c r="Y47" s="6">
        <f t="shared" si="14"/>
        <v>0.33</v>
      </c>
      <c r="Z47" t="s">
        <v>260</v>
      </c>
      <c r="AA47" s="11" t="s">
        <v>27</v>
      </c>
      <c r="AD47" s="6">
        <f>IFERROR(LOOKUP(IF(AC47="",G47,AC47),{0,1,10,25,100,250,1000},{0,0.08,0.014,0.01,0.006,0.004,0.003}),"")</f>
        <v>0.01</v>
      </c>
      <c r="AE47" s="6">
        <f t="shared" si="16"/>
        <v>0.3</v>
      </c>
      <c r="AF47" t="s">
        <v>261</v>
      </c>
      <c r="AG47" s="11" t="s">
        <v>27</v>
      </c>
    </row>
    <row r="48" spans="1:39">
      <c r="A48" t="s">
        <v>262</v>
      </c>
      <c r="B48" t="s">
        <v>263</v>
      </c>
      <c r="D48" t="s">
        <v>217</v>
      </c>
      <c r="F48" t="s">
        <v>263</v>
      </c>
      <c r="G48">
        <f>BoardQty*1</f>
        <v>5</v>
      </c>
      <c r="H4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1.61</v>
      </c>
      <c r="I48" s="6">
        <f ca="1" t="shared" si="0"/>
        <v>8.05</v>
      </c>
      <c r="J48">
        <v>12869</v>
      </c>
      <c r="L48" s="6">
        <f>IFERROR(LOOKUP(IF(K48="",G48,K48),{0,1,25,100,3000},{0,1.62,1.344,1.218,1.21801}),"")</f>
        <v>1.62</v>
      </c>
      <c r="M48" s="6">
        <f t="shared" si="15"/>
        <v>8.1</v>
      </c>
      <c r="N48" t="s">
        <v>264</v>
      </c>
      <c r="O48" s="11" t="s">
        <v>27</v>
      </c>
      <c r="V48">
        <v>9231</v>
      </c>
      <c r="X48" s="6">
        <f>IFERROR(LOOKUP(IF(W48="",G48,W48),{0,1,10,25,100,3000},{0,1.69,1.55,1.29,1.16,1.16}),"")</f>
        <v>1.69</v>
      </c>
      <c r="Y48" s="6">
        <f t="shared" si="14"/>
        <v>8.45</v>
      </c>
      <c r="Z48" t="s">
        <v>265</v>
      </c>
      <c r="AA48" s="11" t="s">
        <v>27</v>
      </c>
      <c r="AD48" s="6">
        <f>IFERROR(LOOKUP(IF(AC48="",G48,AC48),{0,1,25,100},{0,1.61,1.33,1.22}),"")</f>
        <v>1.61</v>
      </c>
      <c r="AE48" s="6">
        <f t="shared" si="16"/>
        <v>8.05</v>
      </c>
      <c r="AF48" t="s">
        <v>266</v>
      </c>
      <c r="AG48" s="11" t="s">
        <v>27</v>
      </c>
      <c r="AH48">
        <v>1585</v>
      </c>
      <c r="AJ48" s="6">
        <f>IFERROR(LOOKUP(IF(AI48="",G48,AI48),{0,1,5,10},{0,2.389624,2.389624,1.858124}),"")</f>
        <v>2.389624</v>
      </c>
      <c r="AK48" s="6">
        <f>IFERROR(IF(AI48="",G48,AI48)*AJ48,"")</f>
        <v>11.94812</v>
      </c>
      <c r="AL48" t="s">
        <v>267</v>
      </c>
      <c r="AM48" s="11" t="s">
        <v>27</v>
      </c>
    </row>
    <row r="49" spans="1:33">
      <c r="A49" t="s">
        <v>268</v>
      </c>
      <c r="B49" t="s">
        <v>137</v>
      </c>
      <c r="D49" t="s">
        <v>24</v>
      </c>
      <c r="F49" t="s">
        <v>138</v>
      </c>
      <c r="G49">
        <f>BoardQty*15</f>
        <v>75</v>
      </c>
      <c r="H4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49" s="6">
        <f ca="1" t="shared" si="0"/>
        <v>0.75</v>
      </c>
      <c r="J49">
        <v>8288599</v>
      </c>
      <c r="L49" s="6">
        <f>IFERROR(LOOKUP(IF(K49="",G49,K49),{0,1,10,100,1000,2500,5000,10000,25000,50000,125000},{0,0.1,0.015,0.006,0.00268,0.00233,0.00192,0.00167,0.00147,0.00135,0.00132}),"")</f>
        <v>0.015</v>
      </c>
      <c r="M49" s="6">
        <f t="shared" si="15"/>
        <v>1.125</v>
      </c>
      <c r="N49" t="s">
        <v>139</v>
      </c>
      <c r="O49" s="11" t="s">
        <v>27</v>
      </c>
      <c r="V49">
        <v>1882304</v>
      </c>
      <c r="X49" s="6">
        <f>IFERROR(LOOKUP(IF(W49="",G49,W49),{0,1,10,100,1000,5000},{0,0.1,0.011,0.004,0.002,0.001}),"")</f>
        <v>0.011</v>
      </c>
      <c r="Y49" s="6">
        <f t="shared" si="14"/>
        <v>0.825</v>
      </c>
      <c r="Z49" t="s">
        <v>140</v>
      </c>
      <c r="AA49" s="11" t="s">
        <v>27</v>
      </c>
      <c r="AD49" s="6">
        <f>IFERROR(LOOKUP(IF(AC49="",G49,AC49),{0,1,10,25,100,250,1000},{0,0.08,0.014,0.01,0.006,0.004,0.003}),"")</f>
        <v>0.01</v>
      </c>
      <c r="AE49" s="6">
        <f t="shared" si="16"/>
        <v>0.75</v>
      </c>
      <c r="AF49" t="s">
        <v>141</v>
      </c>
      <c r="AG49" s="11" t="s">
        <v>27</v>
      </c>
    </row>
    <row r="50" spans="1:27">
      <c r="A50" t="s">
        <v>269</v>
      </c>
      <c r="B50" t="s">
        <v>270</v>
      </c>
      <c r="D50" t="s">
        <v>38</v>
      </c>
      <c r="F50" t="s">
        <v>271</v>
      </c>
      <c r="G50">
        <f>BoardQty*4</f>
        <v>20</v>
      </c>
      <c r="H5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0.0246</v>
      </c>
      <c r="I50" s="6">
        <f ca="1" t="shared" si="0"/>
        <v>0.492</v>
      </c>
      <c r="J50">
        <v>8000</v>
      </c>
      <c r="L50" s="6">
        <f>IFERROR(LOOKUP(IF(K50="",G50,K50),{0,1,4000,8000,12000},{0,0.0246,0.0246,0.02288,0.02174}),"")</f>
        <v>0.0246</v>
      </c>
      <c r="M50" s="6">
        <f t="shared" si="15"/>
        <v>0.492</v>
      </c>
      <c r="N50" t="s">
        <v>272</v>
      </c>
      <c r="O50" s="11" t="s">
        <v>27</v>
      </c>
      <c r="V50">
        <v>9545</v>
      </c>
      <c r="X50" s="6">
        <f>IFERROR(LOOKUP(IF(W50="",G50,W50),{0,1,10,100,500,1000,4000,8000,24000,48000},{0,0.151,0.06,0.042,0.035,0.03,0.024,0.02,0.019,0.017}),"")</f>
        <v>0.06</v>
      </c>
      <c r="Y50" s="6">
        <f t="shared" si="14"/>
        <v>1.2</v>
      </c>
      <c r="Z50" t="s">
        <v>273</v>
      </c>
      <c r="AA50" s="11" t="s">
        <v>27</v>
      </c>
    </row>
    <row r="51" spans="1:27">
      <c r="A51" t="s">
        <v>274</v>
      </c>
      <c r="B51" t="s">
        <v>275</v>
      </c>
      <c r="D51" t="s">
        <v>194</v>
      </c>
      <c r="F51" t="s">
        <v>276</v>
      </c>
      <c r="G51">
        <f>BoardQty*10</f>
        <v>50</v>
      </c>
      <c r="H5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0.217</v>
      </c>
      <c r="I51" s="6">
        <f ca="1" t="shared" si="0"/>
        <v>10.85</v>
      </c>
      <c r="J51">
        <v>2005</v>
      </c>
      <c r="L51" s="6">
        <f>IFERROR(LOOKUP(IF(K51="",G51,K51),{0,1,10,25,100,250,500,1000,2000,6000,10000,50000,100000},{0,0.44,0.318,0.2596,0.2077,0.17524,0.14928,0.11682,0.1062,0.1003,0.09145,0.07847,0.07523}),"")</f>
        <v>0.2596</v>
      </c>
      <c r="M51" s="6">
        <f t="shared" si="15"/>
        <v>12.98</v>
      </c>
      <c r="N51" t="s">
        <v>277</v>
      </c>
      <c r="O51" s="11" t="s">
        <v>27</v>
      </c>
      <c r="V51">
        <v>3818</v>
      </c>
      <c r="X51" s="6">
        <f>IFERROR(LOOKUP(IF(W51="",G51,W51),{0,1,10,100,1000,2000,10000,24000,50000,100000},{0,0.341,0.217,0.16,0.125,0.104,0.098,0.092,0.091,0.087}),"")</f>
        <v>0.217</v>
      </c>
      <c r="Y51" s="6">
        <f t="shared" si="14"/>
        <v>10.85</v>
      </c>
      <c r="Z51" t="s">
        <v>278</v>
      </c>
      <c r="AA51" s="11" t="s">
        <v>27</v>
      </c>
    </row>
    <row r="52" spans="1:33">
      <c r="A52" t="s">
        <v>279</v>
      </c>
      <c r="B52" t="s">
        <v>280</v>
      </c>
      <c r="D52" t="s">
        <v>24</v>
      </c>
      <c r="F52" t="s">
        <v>281</v>
      </c>
      <c r="G52">
        <f>BoardQty*2</f>
        <v>10</v>
      </c>
      <c r="H5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52" s="6">
        <f ca="1" t="shared" si="0"/>
        <v>0.11</v>
      </c>
      <c r="J52">
        <v>355590</v>
      </c>
      <c r="L52" s="6">
        <f>IFERROR(LOOKUP(IF(K52="",G52,K52),{0,1,10,100,1000,2500,5000,10000,25000,50000,125000},{0,0.1,0.015,0.006,0.00268,0.00233,0.00192,0.00167,0.00147,0.00135,0.00132}),"")</f>
        <v>0.015</v>
      </c>
      <c r="M52" s="6">
        <f t="shared" si="15"/>
        <v>0.15</v>
      </c>
      <c r="N52" t="s">
        <v>282</v>
      </c>
      <c r="O52" s="11" t="s">
        <v>27</v>
      </c>
      <c r="V52">
        <v>65415</v>
      </c>
      <c r="X52" s="6">
        <f>IFERROR(LOOKUP(IF(W52="",G52,W52),{0,1,10,100,1000,5000},{0,0.1,0.011,0.004,0.002,0.001}),"")</f>
        <v>0.011</v>
      </c>
      <c r="Y52" s="6">
        <f t="shared" si="14"/>
        <v>0.11</v>
      </c>
      <c r="Z52" t="s">
        <v>283</v>
      </c>
      <c r="AA52" s="11" t="s">
        <v>27</v>
      </c>
      <c r="AD52" s="6">
        <f>IFERROR(LOOKUP(IF(AC52="",G52,AC52),{0,1,10,25,100,250,1000},{0,0.08,0.014,0.01,0.006,0.004,0.003}),"")</f>
        <v>0.014</v>
      </c>
      <c r="AE52" s="6">
        <f t="shared" ref="AE52:AE57" si="17">IFERROR(IF(AC52="",G52,AC52)*AD52,"")</f>
        <v>0.14</v>
      </c>
      <c r="AF52" t="s">
        <v>284</v>
      </c>
      <c r="AG52" s="11" t="s">
        <v>27</v>
      </c>
    </row>
    <row r="53" spans="1:27">
      <c r="A53" t="s">
        <v>285</v>
      </c>
      <c r="B53" t="s">
        <v>286</v>
      </c>
      <c r="D53" t="s">
        <v>175</v>
      </c>
      <c r="F53" t="s">
        <v>287</v>
      </c>
      <c r="G53">
        <f>BoardQty*2</f>
        <v>10</v>
      </c>
      <c r="H5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1.77</v>
      </c>
      <c r="I53" s="6">
        <f ca="1" t="shared" si="0"/>
        <v>17.7</v>
      </c>
      <c r="J53">
        <v>5885</v>
      </c>
      <c r="L53" s="6">
        <f>IFERROR(LOOKUP(IF(K53="",G53,K53),{0,1,10,100,500,1000,2500,5000},{0,2.9,2.345,1.7905,1.36418,1.19365,1.15102,1.1239}),"")</f>
        <v>2.345</v>
      </c>
      <c r="M53" s="6">
        <f t="shared" si="15"/>
        <v>23.45</v>
      </c>
      <c r="N53" t="s">
        <v>288</v>
      </c>
      <c r="O53" s="11" t="s">
        <v>27</v>
      </c>
      <c r="V53">
        <v>11026</v>
      </c>
      <c r="X53" s="6">
        <f>IFERROR(LOOKUP(IF(W53="",G53,W53),{0,1,10,25,50,100,500,1000,5000},{0,2.31,1.77,1.62,1.46,1.36,1.31,1.26,1.24}),"")</f>
        <v>1.77</v>
      </c>
      <c r="Y53" s="6">
        <f t="shared" si="14"/>
        <v>17.7</v>
      </c>
      <c r="Z53" t="s">
        <v>289</v>
      </c>
      <c r="AA53" s="11" t="s">
        <v>27</v>
      </c>
    </row>
    <row r="54" spans="1:39">
      <c r="A54" t="s">
        <v>290</v>
      </c>
      <c r="B54" t="s">
        <v>291</v>
      </c>
      <c r="D54" t="s">
        <v>292</v>
      </c>
      <c r="F54" t="s">
        <v>291</v>
      </c>
      <c r="G54">
        <f>BoardQty*1</f>
        <v>5</v>
      </c>
      <c r="H5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1.22245</v>
      </c>
      <c r="I54" s="6">
        <f ca="1" t="shared" si="0"/>
        <v>6.11225</v>
      </c>
      <c r="J54">
        <v>4324</v>
      </c>
      <c r="L54" s="6">
        <f>IFERROR(LOOKUP(IF(K54="",G54,K54),{0,1,1000},{0,1.87,1.485}),"")</f>
        <v>1.87</v>
      </c>
      <c r="M54" s="6">
        <f t="shared" si="15"/>
        <v>9.35</v>
      </c>
      <c r="N54" t="s">
        <v>293</v>
      </c>
      <c r="O54" s="11" t="s">
        <v>27</v>
      </c>
      <c r="V54">
        <v>416</v>
      </c>
      <c r="X54" s="6">
        <f>IFERROR(LOOKUP(IF(W54="",G54,W54),{0,1,10,25,100,500,1000,2000},{0,1.65,1.51,1.46,1.31,1.29,1.23,1.13}),"")</f>
        <v>1.65</v>
      </c>
      <c r="Y54" s="6">
        <f t="shared" si="14"/>
        <v>8.25</v>
      </c>
      <c r="Z54" t="s">
        <v>294</v>
      </c>
      <c r="AA54" s="11" t="s">
        <v>27</v>
      </c>
      <c r="AH54">
        <v>237</v>
      </c>
      <c r="AJ54" s="6">
        <f>IFERROR(LOOKUP(IF(AI54="",G54,AI54),{0,1,3,9},{0,1.22245,1.22245,1.155481}),"")</f>
        <v>1.22245</v>
      </c>
      <c r="AK54" s="6">
        <f>IFERROR(IF(AI54="",G54,AI54)*AJ54,"")</f>
        <v>6.11225</v>
      </c>
      <c r="AL54" t="s">
        <v>295</v>
      </c>
      <c r="AM54" s="11" t="s">
        <v>27</v>
      </c>
    </row>
    <row r="55" spans="1:33">
      <c r="A55" t="s">
        <v>296</v>
      </c>
      <c r="B55" t="s">
        <v>297</v>
      </c>
      <c r="D55" t="s">
        <v>24</v>
      </c>
      <c r="F55" t="s">
        <v>298</v>
      </c>
      <c r="G55">
        <f>BoardQty*2</f>
        <v>10</v>
      </c>
      <c r="H5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55" s="6">
        <f ca="1" t="shared" si="0"/>
        <v>0.11</v>
      </c>
      <c r="J55">
        <v>3017252</v>
      </c>
      <c r="L55" s="6">
        <f>IFERROR(LOOKUP(IF(K55="",G55,K55),{0,1,10,100,1000,2500,5000,10000,25000,50000,125000},{0,0.1,0.015,0.006,0.00268,0.00233,0.00192,0.00167,0.00147,0.00135,0.00132}),"")</f>
        <v>0.015</v>
      </c>
      <c r="M55" s="6">
        <f t="shared" si="15"/>
        <v>0.15</v>
      </c>
      <c r="N55" t="s">
        <v>299</v>
      </c>
      <c r="O55" s="11" t="s">
        <v>27</v>
      </c>
      <c r="V55">
        <v>743772</v>
      </c>
      <c r="X55" s="6">
        <f>IFERROR(LOOKUP(IF(W55="",G55,W55),{0,1,10,100,1000,5000},{0,0.1,0.011,0.004,0.002,0.001}),"")</f>
        <v>0.011</v>
      </c>
      <c r="Y55" s="6">
        <f t="shared" si="14"/>
        <v>0.11</v>
      </c>
      <c r="Z55" t="s">
        <v>300</v>
      </c>
      <c r="AA55" s="11" t="s">
        <v>27</v>
      </c>
      <c r="AD55" s="6">
        <f>IFERROR(LOOKUP(IF(AC55="",G55,AC55),{0,1,10,25,100,250,1000},{0,0.08,0.014,0.01,0.006,0.004,0.003}),"")</f>
        <v>0.014</v>
      </c>
      <c r="AE55" s="6">
        <f t="shared" si="17"/>
        <v>0.14</v>
      </c>
      <c r="AF55" t="s">
        <v>301</v>
      </c>
      <c r="AG55" s="11" t="s">
        <v>27</v>
      </c>
    </row>
    <row r="56" spans="1:9">
      <c r="A56" t="s">
        <v>302</v>
      </c>
      <c r="B56" t="s">
        <v>303</v>
      </c>
      <c r="D56" t="s">
        <v>304</v>
      </c>
      <c r="G56">
        <f>BoardQty*31</f>
        <v>155</v>
      </c>
      <c r="H5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56" s="6">
        <f ca="1" t="shared" si="0"/>
        <v>0</v>
      </c>
    </row>
    <row r="57" spans="1:39">
      <c r="A57" t="s">
        <v>305</v>
      </c>
      <c r="B57" t="s">
        <v>87</v>
      </c>
      <c r="D57" t="s">
        <v>38</v>
      </c>
      <c r="F57" t="s">
        <v>88</v>
      </c>
      <c r="G57">
        <f>BoardQty*19</f>
        <v>95</v>
      </c>
      <c r="H5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0.009</v>
      </c>
      <c r="I57" s="6">
        <f ca="1" t="shared" si="0"/>
        <v>0.855</v>
      </c>
      <c r="J57">
        <v>62</v>
      </c>
      <c r="L57" s="6">
        <f>IFERROR(LOOKUP(IF(K57="",G57,K57),{0,1,10,100,500,1000,4000,8000,12000},{0,0.12,0.084,0.0396,0.02778,0.023,0.01822,0.01663,0.01584}),"")</f>
        <v>0.084</v>
      </c>
      <c r="M57" s="6">
        <f t="shared" ref="M57:M71" si="18">IFERROR(IF(K57="",G57,K57)*L57,"")</f>
        <v>7.98</v>
      </c>
      <c r="N57" t="s">
        <v>89</v>
      </c>
      <c r="O57" s="11" t="s">
        <v>27</v>
      </c>
      <c r="X57" s="6">
        <f>IFERROR(LOOKUP(IF(W57="",G57,W57),{0,1,10,100,500,1000,4000,8000},{0,0.111,0.044,0.02,0.015,0.011,0.009,0.008}),"")</f>
        <v>0.044</v>
      </c>
      <c r="Y57" s="6">
        <f t="shared" ref="Y57:Y71" si="19">IFERROR(IF(W57="",G57,W57)*X57,"")</f>
        <v>4.18</v>
      </c>
      <c r="Z57" t="s">
        <v>90</v>
      </c>
      <c r="AA57" s="11" t="s">
        <v>27</v>
      </c>
      <c r="AD57" s="6">
        <f>IFERROR(LOOKUP(IF(AC57="",G57,AC57),{0,1,4000,8000},{0,0.009,0.009,0.008}),"")</f>
        <v>0.009</v>
      </c>
      <c r="AE57" s="6">
        <f t="shared" si="17"/>
        <v>0.855</v>
      </c>
      <c r="AF57" t="s">
        <v>91</v>
      </c>
      <c r="AG57" s="11" t="s">
        <v>27</v>
      </c>
      <c r="AH57">
        <v>5400</v>
      </c>
      <c r="AJ57" s="6">
        <f>IFERROR(LOOKUP(IF(AI57="",G57,AI57),{0,1,200,1000},{0,0.02126,0.02126,0.018071}),"")</f>
        <v>0.02126</v>
      </c>
      <c r="AK57" s="6">
        <f>IFERROR(IF(AI57="",G57,AI57)*AJ57,"")</f>
        <v>2.0197</v>
      </c>
      <c r="AL57" t="s">
        <v>92</v>
      </c>
      <c r="AM57" s="11" t="s">
        <v>27</v>
      </c>
    </row>
    <row r="58" spans="1:27">
      <c r="A58" t="s">
        <v>306</v>
      </c>
      <c r="B58" t="s">
        <v>307</v>
      </c>
      <c r="D58" t="s">
        <v>308</v>
      </c>
      <c r="F58" t="s">
        <v>309</v>
      </c>
      <c r="G58">
        <f>BoardQty*1</f>
        <v>5</v>
      </c>
      <c r="H5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</v>
      </c>
      <c r="I58" s="6">
        <f ca="1" t="shared" si="0"/>
        <v>6</v>
      </c>
      <c r="X58" s="6">
        <f>IFERROR(LOOKUP(IF(W58="",G58,W58),{0,1,10,100,500,1000,2000,5000,10000,25000},{0,1.2,0.871,0.781,0.721,0.656,0.604,0.556,0.512,0.471}),"")</f>
        <v>1.2</v>
      </c>
      <c r="Y58" s="6">
        <f t="shared" si="19"/>
        <v>6</v>
      </c>
      <c r="Z58" t="s">
        <v>310</v>
      </c>
      <c r="AA58" s="11" t="s">
        <v>27</v>
      </c>
    </row>
    <row r="59" spans="1:33">
      <c r="A59" t="s">
        <v>311</v>
      </c>
      <c r="B59" t="s">
        <v>186</v>
      </c>
      <c r="D59" t="s">
        <v>187</v>
      </c>
      <c r="F59" t="s">
        <v>188</v>
      </c>
      <c r="G59">
        <f>BoardQty*11</f>
        <v>55</v>
      </c>
      <c r="H5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0.103</v>
      </c>
      <c r="I59" s="6">
        <f ca="1" t="shared" si="0"/>
        <v>5.665</v>
      </c>
      <c r="L59" s="6">
        <f>IFERROR(LOOKUP(IF(K59="",G59,K59),{0,1,10,100,500,1000,2000,4000,10000,14000,50000,100000},{0,0.46,0.322,0.2119,0.15698,0.13343,0.12285,0.11603,0.1092,0.10579,0.09555,0.08873}),"")</f>
        <v>0.322</v>
      </c>
      <c r="M59" s="6">
        <f t="shared" si="18"/>
        <v>17.71</v>
      </c>
      <c r="N59" t="s">
        <v>189</v>
      </c>
      <c r="O59" s="11" t="s">
        <v>27</v>
      </c>
      <c r="V59">
        <v>756</v>
      </c>
      <c r="X59" s="6">
        <f>IFERROR(LOOKUP(IF(W59="",G59,W59),{0,1,25,50,100,500,1000,2000,4000},{0,0.12,0.107,0.103,0.093,0.084,0.067,0.061,0.059}),"")</f>
        <v>0.103</v>
      </c>
      <c r="Y59" s="6">
        <f t="shared" si="19"/>
        <v>5.665</v>
      </c>
      <c r="Z59" t="s">
        <v>190</v>
      </c>
      <c r="AA59" s="11" t="s">
        <v>27</v>
      </c>
      <c r="AD59" s="6">
        <f>IFERROR(LOOKUP(IF(AC59="",G59,AC59),{0,1,10,25,50,100,250,500,1000},{0,0.42,0.254,0.225,0.196,0.167,0.156,0.145,0.123}),"")</f>
        <v>0.196</v>
      </c>
      <c r="AE59" s="6">
        <f t="shared" ref="AE59:AE65" si="20">IFERROR(IF(AC59="",G59,AC59)*AD59,"")</f>
        <v>10.78</v>
      </c>
      <c r="AF59" t="s">
        <v>191</v>
      </c>
      <c r="AG59" s="11" t="s">
        <v>27</v>
      </c>
    </row>
    <row r="60" spans="1:33">
      <c r="A60" t="s">
        <v>312</v>
      </c>
      <c r="B60" t="s">
        <v>23</v>
      </c>
      <c r="D60" t="s">
        <v>24</v>
      </c>
      <c r="F60" t="s">
        <v>25</v>
      </c>
      <c r="G60">
        <f>BoardQty*8</f>
        <v>40</v>
      </c>
      <c r="H6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0.016</v>
      </c>
      <c r="I60" s="6">
        <f ca="1" t="shared" si="0"/>
        <v>0.64</v>
      </c>
      <c r="J60">
        <v>8530661</v>
      </c>
      <c r="L60" s="6">
        <f>IFERROR(LOOKUP(IF(K60="",G60,K60),{0,1,10,25,50,100,250,500,1000,5000,10000,25000,50000,125000},{0,0.1,0.024,0.0172,0.0132,0.0097,0.0074,0.0059,0.00435,0.00283,0.00246,0.00216,0.00198,0.00194}),"")</f>
        <v>0.0172</v>
      </c>
      <c r="M60" s="6">
        <f t="shared" si="18"/>
        <v>0.688</v>
      </c>
      <c r="N60" t="s">
        <v>26</v>
      </c>
      <c r="O60" s="11" t="s">
        <v>27</v>
      </c>
      <c r="V60">
        <v>1146051</v>
      </c>
      <c r="X60" s="6">
        <f>IFERROR(LOOKUP(IF(W60="",G60,W60),{0,1,10,100,1000,5000},{0,0.1,0.018,0.006,0.004,0.004}),"")</f>
        <v>0.018</v>
      </c>
      <c r="Y60" s="6">
        <f t="shared" si="19"/>
        <v>0.72</v>
      </c>
      <c r="Z60" t="s">
        <v>28</v>
      </c>
      <c r="AA60" s="11" t="s">
        <v>27</v>
      </c>
      <c r="AD60" s="6">
        <f>IFERROR(LOOKUP(IF(AC60="",G60,AC60),{0,1,10,25,100,250,500,1000},{0,0.094,0.023,0.016,0.009,0.007,0.006,0.004}),"")</f>
        <v>0.016</v>
      </c>
      <c r="AE60" s="6">
        <f t="shared" si="20"/>
        <v>0.64</v>
      </c>
      <c r="AF60" t="s">
        <v>29</v>
      </c>
      <c r="AG60" s="11" t="s">
        <v>27</v>
      </c>
    </row>
    <row r="61" spans="1:33">
      <c r="A61" t="s">
        <v>313</v>
      </c>
      <c r="B61" t="s">
        <v>297</v>
      </c>
      <c r="D61" t="s">
        <v>24</v>
      </c>
      <c r="F61" t="s">
        <v>298</v>
      </c>
      <c r="G61">
        <f>BoardQty*1</f>
        <v>5</v>
      </c>
      <c r="H6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61" s="6">
        <f ca="1" t="shared" si="0"/>
        <v>0.4</v>
      </c>
      <c r="J61">
        <v>3017252</v>
      </c>
      <c r="L61" s="6">
        <f>IFERROR(LOOKUP(IF(K61="",G61,K61),{0,1,10,100,1000,2500,5000,10000,25000,50000,125000},{0,0.1,0.015,0.006,0.00268,0.00233,0.00192,0.00167,0.00147,0.00135,0.00132}),"")</f>
        <v>0.1</v>
      </c>
      <c r="M61" s="6">
        <f t="shared" si="18"/>
        <v>0.5</v>
      </c>
      <c r="N61" t="s">
        <v>299</v>
      </c>
      <c r="O61" s="11" t="s">
        <v>27</v>
      </c>
      <c r="V61">
        <v>743772</v>
      </c>
      <c r="X61" s="6">
        <f>IFERROR(LOOKUP(IF(W61="",G61,W61),{0,1,10,100,1000,5000},{0,0.1,0.011,0.004,0.002,0.001}),"")</f>
        <v>0.1</v>
      </c>
      <c r="Y61" s="6">
        <f t="shared" si="19"/>
        <v>0.5</v>
      </c>
      <c r="Z61" t="s">
        <v>300</v>
      </c>
      <c r="AA61" s="11" t="s">
        <v>27</v>
      </c>
      <c r="AD61" s="6">
        <f>IFERROR(LOOKUP(IF(AC61="",G61,AC61),{0,1,10,25,100,250,1000},{0,0.08,0.014,0.01,0.006,0.004,0.003}),"")</f>
        <v>0.08</v>
      </c>
      <c r="AE61" s="6">
        <f t="shared" si="20"/>
        <v>0.4</v>
      </c>
      <c r="AF61" t="s">
        <v>301</v>
      </c>
      <c r="AG61" s="11" t="s">
        <v>27</v>
      </c>
    </row>
    <row r="62" spans="1:33">
      <c r="A62" t="s">
        <v>314</v>
      </c>
      <c r="B62" t="s">
        <v>251</v>
      </c>
      <c r="D62" t="s">
        <v>24</v>
      </c>
      <c r="F62" t="s">
        <v>252</v>
      </c>
      <c r="G62">
        <f>BoardQty*4</f>
        <v>20</v>
      </c>
      <c r="H6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62" s="6">
        <f ca="1" t="shared" si="0"/>
        <v>0.22</v>
      </c>
      <c r="J62">
        <v>4996336</v>
      </c>
      <c r="L62" s="6">
        <f>IFERROR(LOOKUP(IF(K62="",G62,K62),{0,1,10,100,1000,2500,5000,10000,25000,50000,125000},{0,0.1,0.015,0.006,0.00268,0.00233,0.00192,0.00167,0.00147,0.00135,0.00132}),"")</f>
        <v>0.015</v>
      </c>
      <c r="M62" s="6">
        <f t="shared" si="18"/>
        <v>0.3</v>
      </c>
      <c r="N62" t="s">
        <v>253</v>
      </c>
      <c r="O62" s="11" t="s">
        <v>27</v>
      </c>
      <c r="V62">
        <v>656367</v>
      </c>
      <c r="X62" s="6">
        <f>IFERROR(LOOKUP(IF(W62="",G62,W62),{0,1,10,100,1000,5000},{0,0.1,0.011,0.004,0.002,0.002}),"")</f>
        <v>0.011</v>
      </c>
      <c r="Y62" s="6">
        <f t="shared" si="19"/>
        <v>0.22</v>
      </c>
      <c r="Z62" t="s">
        <v>254</v>
      </c>
      <c r="AA62" s="11" t="s">
        <v>27</v>
      </c>
      <c r="AD62" s="6">
        <f>IFERROR(LOOKUP(IF(AC62="",G62,AC62),{0,1,10,25,100,250,1000},{0,0.08,0.014,0.01,0.006,0.004,0.003}),"")</f>
        <v>0.014</v>
      </c>
      <c r="AE62" s="6">
        <f t="shared" si="20"/>
        <v>0.28</v>
      </c>
      <c r="AF62" t="s">
        <v>255</v>
      </c>
      <c r="AG62" s="11" t="s">
        <v>27</v>
      </c>
    </row>
    <row r="63" spans="1:33">
      <c r="A63" t="s">
        <v>315</v>
      </c>
      <c r="B63" t="s">
        <v>316</v>
      </c>
      <c r="D63" t="s">
        <v>317</v>
      </c>
      <c r="F63" t="s">
        <v>318</v>
      </c>
      <c r="G63">
        <f>BoardQty*2</f>
        <v>10</v>
      </c>
      <c r="H6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1.41</v>
      </c>
      <c r="I63" s="6">
        <f ca="1" t="shared" si="0"/>
        <v>14.1</v>
      </c>
      <c r="J63">
        <v>3122</v>
      </c>
      <c r="L63" s="6">
        <f>IFERROR(LOOKUP(IF(K63="",G63,K63),{0,1,10,100,500,1000,2500,5000},{0,3,2.697,2.2094,1.88078,1.5862,1.463,1.408}),"")</f>
        <v>2.697</v>
      </c>
      <c r="M63" s="6">
        <f t="shared" si="18"/>
        <v>26.97</v>
      </c>
      <c r="N63" t="s">
        <v>319</v>
      </c>
      <c r="O63" s="11" t="s">
        <v>27</v>
      </c>
      <c r="V63">
        <v>1330</v>
      </c>
      <c r="X63" s="6">
        <f>IFERROR(LOOKUP(IF(W63="",G63,W63),{0,1,10,100,250,500,1000,2500,5000},{0,2.93,2.63,2.16,2.03,1.84,1.55,1.48,1.44}),"")</f>
        <v>2.63</v>
      </c>
      <c r="Y63" s="6">
        <f t="shared" si="19"/>
        <v>26.3</v>
      </c>
      <c r="Z63" t="s">
        <v>320</v>
      </c>
      <c r="AA63" s="11" t="s">
        <v>27</v>
      </c>
      <c r="AD63" s="6">
        <f>IFERROR(LOOKUP(IF(AC63="",G63,AC63),{0,1,2500},{0,1.41,1.41}),"")</f>
        <v>1.41</v>
      </c>
      <c r="AE63" s="6">
        <f t="shared" si="20"/>
        <v>14.1</v>
      </c>
      <c r="AF63" t="s">
        <v>321</v>
      </c>
      <c r="AG63" s="11" t="s">
        <v>27</v>
      </c>
    </row>
    <row r="64" spans="1:33">
      <c r="A64" t="s">
        <v>322</v>
      </c>
      <c r="B64" t="s">
        <v>323</v>
      </c>
      <c r="D64" t="s">
        <v>24</v>
      </c>
      <c r="F64" t="s">
        <v>324</v>
      </c>
      <c r="G64">
        <f>BoardQty*1</f>
        <v>5</v>
      </c>
      <c r="H6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0.08</v>
      </c>
      <c r="I64" s="6">
        <f ca="1" t="shared" si="0"/>
        <v>0.4</v>
      </c>
      <c r="J64">
        <v>1176841</v>
      </c>
      <c r="L64" s="6">
        <f>IFERROR(LOOKUP(IF(K64="",G64,K64),{0,1,10,100,1000,2500,5000,10000,25000,50000,125000},{0,0.1,0.015,0.006,0.00268,0.00233,0.00192,0.00167,0.00147,0.00135,0.00132}),"")</f>
        <v>0.1</v>
      </c>
      <c r="M64" s="6">
        <f t="shared" si="18"/>
        <v>0.5</v>
      </c>
      <c r="N64" t="s">
        <v>325</v>
      </c>
      <c r="O64" s="11" t="s">
        <v>27</v>
      </c>
      <c r="V64">
        <v>139013</v>
      </c>
      <c r="X64" s="6">
        <f>IFERROR(LOOKUP(IF(W64="",G64,W64),{0,1,10,100,1000,5000},{0,0.1,0.011,0.004,0.002,0.001}),"")</f>
        <v>0.1</v>
      </c>
      <c r="Y64" s="6">
        <f t="shared" si="19"/>
        <v>0.5</v>
      </c>
      <c r="Z64" t="s">
        <v>326</v>
      </c>
      <c r="AA64" s="11" t="s">
        <v>27</v>
      </c>
      <c r="AD64" s="6">
        <f>IFERROR(LOOKUP(IF(AC64="",G64,AC64),{0,1,10,25,100,250,1000},{0,0.08,0.014,0.01,0.006,0.004,0.003}),"")</f>
        <v>0.08</v>
      </c>
      <c r="AE64" s="6">
        <f t="shared" si="20"/>
        <v>0.4</v>
      </c>
      <c r="AF64" t="s">
        <v>327</v>
      </c>
      <c r="AG64" s="11" t="s">
        <v>27</v>
      </c>
    </row>
    <row r="65" spans="1:33">
      <c r="A65" t="s">
        <v>328</v>
      </c>
      <c r="B65" t="s">
        <v>329</v>
      </c>
      <c r="D65" t="s">
        <v>162</v>
      </c>
      <c r="F65" t="s">
        <v>329</v>
      </c>
      <c r="G65">
        <f>BoardQty*1</f>
        <v>5</v>
      </c>
      <c r="H6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0.428</v>
      </c>
      <c r="I65" s="6">
        <f ca="1" t="shared" si="0"/>
        <v>2.14</v>
      </c>
      <c r="J65">
        <v>6587</v>
      </c>
      <c r="L65" s="6">
        <f>IFERROR(LOOKUP(IF(K65="",G65,K65),{0,1,10,100,250,500,1000,1250,3000},{0,1.1,0.984,0.7676,0.80196,0.63406,0.50058,0.46625,0.405}),"")</f>
        <v>1.1</v>
      </c>
      <c r="M65" s="6">
        <f t="shared" si="18"/>
        <v>5.5</v>
      </c>
      <c r="N65" t="s">
        <v>330</v>
      </c>
      <c r="O65" s="11" t="s">
        <v>27</v>
      </c>
      <c r="V65">
        <v>9838</v>
      </c>
      <c r="X65" s="6">
        <f>IFERROR(LOOKUP(IF(W65="",G65,W65),{0,1,10,25,100,250,500,1000,3000},{0,1.06,0.959,0.926,0.747,0.699,0.618,0.441,0.441}),"")</f>
        <v>1.06</v>
      </c>
      <c r="Y65" s="6">
        <f t="shared" si="19"/>
        <v>5.3</v>
      </c>
      <c r="Z65" t="s">
        <v>331</v>
      </c>
      <c r="AA65" s="11" t="s">
        <v>27</v>
      </c>
      <c r="AD65" s="6">
        <f>IFERROR(LOOKUP(IF(AC65="",G65,AC65),{0,1,3000,9000,24000},{0,0.428,0.428,0.415,0.405}),"")</f>
        <v>0.428</v>
      </c>
      <c r="AE65" s="6">
        <f t="shared" si="20"/>
        <v>2.14</v>
      </c>
      <c r="AF65" t="s">
        <v>332</v>
      </c>
      <c r="AG65" s="11" t="s">
        <v>27</v>
      </c>
    </row>
    <row r="66" spans="1:33">
      <c r="A66" t="s">
        <v>333</v>
      </c>
      <c r="B66" t="s">
        <v>334</v>
      </c>
      <c r="D66" t="s">
        <v>24</v>
      </c>
      <c r="F66" t="s">
        <v>335</v>
      </c>
      <c r="G66">
        <f>BoardQty*19</f>
        <v>95</v>
      </c>
      <c r="H6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0.071</v>
      </c>
      <c r="I66" s="6">
        <f ca="1" t="shared" si="0"/>
        <v>6.745</v>
      </c>
      <c r="J66">
        <v>51306</v>
      </c>
      <c r="L66" s="6">
        <f>IFERROR(LOOKUP(IF(K66="",G66,K66),{0,1,10,100,1000,2500,5000,10000,25000,50000},{0,0.12,0.112,0.043,0.0189,0.01632,0.0133,0.01193,0.01095,0.01031}),"")</f>
        <v>0.112</v>
      </c>
      <c r="M66" s="6">
        <f t="shared" si="18"/>
        <v>10.64</v>
      </c>
      <c r="N66" t="s">
        <v>336</v>
      </c>
      <c r="O66" s="11" t="s">
        <v>27</v>
      </c>
      <c r="V66">
        <v>21869</v>
      </c>
      <c r="X66" s="6">
        <f>IFERROR(LOOKUP(IF(W66="",G66,W66),{0,1,10,100,1000,5000,10000,50000},{0,0.111,0.071,0.024,0.015,0.012,0.011,0.009}),"")</f>
        <v>0.071</v>
      </c>
      <c r="Y66" s="6">
        <f t="shared" si="19"/>
        <v>6.745</v>
      </c>
      <c r="Z66" t="s">
        <v>337</v>
      </c>
      <c r="AA66" s="11" t="s">
        <v>27</v>
      </c>
      <c r="AF66" t="s">
        <v>338</v>
      </c>
      <c r="AG66" s="11" t="s">
        <v>27</v>
      </c>
    </row>
    <row r="67" spans="1:39">
      <c r="A67" t="s">
        <v>339</v>
      </c>
      <c r="B67" t="s">
        <v>340</v>
      </c>
      <c r="D67" t="s">
        <v>24</v>
      </c>
      <c r="F67" t="s">
        <v>341</v>
      </c>
      <c r="G67">
        <f>BoardQty*2</f>
        <v>10</v>
      </c>
      <c r="H6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0.013</v>
      </c>
      <c r="I67" s="6">
        <f ca="1" t="shared" si="0"/>
        <v>0.13</v>
      </c>
      <c r="L67" s="6">
        <f>IFERROR(LOOKUP(IF(K67="",G67,K67),{0,1,10,100,1000,2500,5000,10000,25000,50000,125000},{0,0.1,0.037,0.0149,0.0067,0.00582,0.00437,0.0038,0.00334,0.00306,0.003}),"")</f>
        <v>0.037</v>
      </c>
      <c r="M67" s="6">
        <f t="shared" si="18"/>
        <v>0.37</v>
      </c>
      <c r="N67" t="s">
        <v>342</v>
      </c>
      <c r="O67" s="11" t="s">
        <v>27</v>
      </c>
      <c r="X67" s="6">
        <f>IFERROR(LOOKUP(IF(W67="",G67,W67),{0,1,10,100,1000,5000,25000},{0,0.1,0.013,0.011,0.008,0.005,0.004}),"")</f>
        <v>0.013</v>
      </c>
      <c r="Y67" s="6">
        <f t="shared" si="19"/>
        <v>0.13</v>
      </c>
      <c r="Z67" t="s">
        <v>343</v>
      </c>
      <c r="AA67" s="11" t="s">
        <v>27</v>
      </c>
      <c r="AD67" s="6">
        <f>IFERROR(LOOKUP(IF(AC67="",G67,AC67),{0,1,25,50,100,250,500,1000},{0,0.1,0.013,0.012,0.01,0.009,0.009,0.008}),"")</f>
        <v>0.1</v>
      </c>
      <c r="AE67" s="6">
        <f t="shared" ref="AE67:AE70" si="21">IFERROR(IF(AC67="",G67,AC67)*AD67,"")</f>
        <v>1</v>
      </c>
      <c r="AF67" t="s">
        <v>344</v>
      </c>
      <c r="AG67" s="11" t="s">
        <v>27</v>
      </c>
      <c r="AH67">
        <v>19</v>
      </c>
      <c r="AJ67" s="6">
        <f>IFERROR(LOOKUP(IF(AI67="",G67,AI67),{0,1,5,10,100},{0,1.46694,1.41379,1.37127,1.33938}),"")</f>
        <v>1.37127</v>
      </c>
      <c r="AK67" s="6">
        <f>IFERROR(IF(AI67="",G67,AI67)*AJ67,"")</f>
        <v>13.7127</v>
      </c>
      <c r="AL67" t="s">
        <v>345</v>
      </c>
      <c r="AM67" s="11" t="s">
        <v>27</v>
      </c>
    </row>
    <row r="68" spans="1:39">
      <c r="A68" t="s">
        <v>346</v>
      </c>
      <c r="B68" t="s">
        <v>347</v>
      </c>
      <c r="D68" t="s">
        <v>58</v>
      </c>
      <c r="F68" t="s">
        <v>348</v>
      </c>
      <c r="G68">
        <f>BoardQty*4</f>
        <v>20</v>
      </c>
      <c r="H6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0.096</v>
      </c>
      <c r="I68" s="6">
        <f ca="1" t="shared" si="0"/>
        <v>1.92</v>
      </c>
      <c r="L68" s="6">
        <f>IFERROR(LOOKUP(IF(K68="",G68,K68),{0,1,10,100,500,1000,3000,6000,15000,30000,75000,150000},{0,0.21,0.193,0.1053,0.0648,0.04419,0.03647,0.03289,0.0286,0.02574,0.02288,0.01902}),"")</f>
        <v>0.193</v>
      </c>
      <c r="M68" s="6">
        <f t="shared" si="18"/>
        <v>3.86</v>
      </c>
      <c r="N68" t="s">
        <v>349</v>
      </c>
      <c r="O68" s="11" t="s">
        <v>27</v>
      </c>
      <c r="X68" s="6">
        <f>IFERROR(LOOKUP(IF(W68="",G68,W68),{0,1,10,100,1000,3000,9000,24000,45000,99000},{0,0.201,0.177,0.064,0.042,0.032,0.028,0.025,0.022,0.019}),"")</f>
        <v>0.177</v>
      </c>
      <c r="Y68" s="6">
        <f t="shared" si="19"/>
        <v>3.54</v>
      </c>
      <c r="Z68" t="s">
        <v>350</v>
      </c>
      <c r="AA68" s="11" t="s">
        <v>27</v>
      </c>
      <c r="AD68" s="6">
        <f>IFERROR(LOOKUP(IF(AC68="",G68,AC68),{0,1,10,50,100,500,1000},{0,0.114,0.096,0.04,0.028,0.02,0.017}),"")</f>
        <v>0.096</v>
      </c>
      <c r="AE68" s="6">
        <f t="shared" si="21"/>
        <v>1.92</v>
      </c>
      <c r="AF68" t="s">
        <v>351</v>
      </c>
      <c r="AG68" s="11" t="s">
        <v>27</v>
      </c>
      <c r="AH68">
        <v>400</v>
      </c>
      <c r="AJ68" s="6">
        <f>IFERROR(LOOKUP(IF(AI68="",G68,AI68),{0,1,200,1000},{0,0.126497,0.126497,0.03189}),"")</f>
        <v>0.126497</v>
      </c>
      <c r="AK68" s="6">
        <f>IFERROR(IF(AI68="",G68,AI68)*AJ68,"")</f>
        <v>2.52994</v>
      </c>
      <c r="AL68" t="s">
        <v>352</v>
      </c>
      <c r="AM68" s="11" t="s">
        <v>27</v>
      </c>
    </row>
    <row r="69" spans="1:33">
      <c r="A69" t="s">
        <v>353</v>
      </c>
      <c r="B69" t="s">
        <v>354</v>
      </c>
      <c r="D69" t="s">
        <v>355</v>
      </c>
      <c r="F69" t="s">
        <v>356</v>
      </c>
      <c r="G69">
        <f>BoardQty*2</f>
        <v>10</v>
      </c>
      <c r="H6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1.22</v>
      </c>
      <c r="I69" s="6">
        <f ca="1" t="shared" si="0"/>
        <v>12.2</v>
      </c>
      <c r="J69">
        <v>4473</v>
      </c>
      <c r="L69" s="6">
        <f>IFERROR(LOOKUP(IF(K69="",G69,K69),{0,1,10,25,50,100,250,500,1000,2500},{0,1.48,1.342,1.2596,1.2048,1.15,1.04044,0.9583,0.8214,0.76664}),"")</f>
        <v>1.342</v>
      </c>
      <c r="M69" s="6">
        <f t="shared" si="18"/>
        <v>13.42</v>
      </c>
      <c r="N69" t="s">
        <v>357</v>
      </c>
      <c r="O69" s="11" t="s">
        <v>27</v>
      </c>
      <c r="V69">
        <v>3769</v>
      </c>
      <c r="X69" s="6">
        <f>IFERROR(LOOKUP(IF(W69="",G69,W69),{0,1,10,100,250,500,1000,2000,5000,10000},{0,1.48,1.22,1.15,1.04,0.961,0.797,0.769,0.73,0.714}),"")</f>
        <v>1.22</v>
      </c>
      <c r="Y69" s="6">
        <f t="shared" si="19"/>
        <v>12.2</v>
      </c>
      <c r="Z69" t="s">
        <v>358</v>
      </c>
      <c r="AA69" s="11" t="s">
        <v>27</v>
      </c>
      <c r="AD69" s="6">
        <f>IFERROR(LOOKUP(IF(AC69="",G69,AC69),{0,1,10,100,500,1000,5000,10000},{0,1.47,1.38,1.15,0.958,0.794,0.728,0.712}),"")</f>
        <v>1.38</v>
      </c>
      <c r="AE69" s="6">
        <f t="shared" si="21"/>
        <v>13.8</v>
      </c>
      <c r="AF69" t="s">
        <v>359</v>
      </c>
      <c r="AG69" s="11" t="s">
        <v>27</v>
      </c>
    </row>
    <row r="70" spans="1:33">
      <c r="A70" t="s">
        <v>360</v>
      </c>
      <c r="B70" t="s">
        <v>361</v>
      </c>
      <c r="D70" t="s">
        <v>24</v>
      </c>
      <c r="F70" t="s">
        <v>362</v>
      </c>
      <c r="G70">
        <f>BoardQty*9</f>
        <v>45</v>
      </c>
      <c r="H7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0.007</v>
      </c>
      <c r="I70" s="6">
        <f ca="1" t="shared" si="0"/>
        <v>0.315</v>
      </c>
      <c r="J70">
        <v>1293835</v>
      </c>
      <c r="L70" s="6">
        <f>IFERROR(LOOKUP(IF(K70="",G70,K70),{0,1,10,100,1000,2500,5000,10000,25000,50000,125000},{0,0.1,0.011,0.0046,0.00207,0.0018,0.00149,0.00129,0.00113,0.00104,0.00102}),"")</f>
        <v>0.011</v>
      </c>
      <c r="M70" s="6">
        <f t="shared" si="18"/>
        <v>0.495</v>
      </c>
      <c r="N70" t="s">
        <v>363</v>
      </c>
      <c r="O70" s="11" t="s">
        <v>27</v>
      </c>
      <c r="V70">
        <v>240004</v>
      </c>
      <c r="X70" s="6">
        <f>IFERROR(LOOKUP(IF(W70="",G70,W70),{0,1,10,100,1000,5000},{0,0.1,0.008,0.002,0.001,0.001}),"")</f>
        <v>0.008</v>
      </c>
      <c r="Y70" s="6">
        <f t="shared" si="19"/>
        <v>0.36</v>
      </c>
      <c r="Z70" t="s">
        <v>364</v>
      </c>
      <c r="AA70" s="11" t="s">
        <v>27</v>
      </c>
      <c r="AD70" s="6">
        <f>IFERROR(LOOKUP(IF(AC70="",G70,AC70),{0,1,10,25,100,250,1000},{0,0.06,0.01,0.007,0.004,0.003,0.002}),"")</f>
        <v>0.007</v>
      </c>
      <c r="AE70" s="6">
        <f t="shared" si="21"/>
        <v>0.315</v>
      </c>
      <c r="AF70" t="s">
        <v>365</v>
      </c>
      <c r="AG70" s="11" t="s">
        <v>27</v>
      </c>
    </row>
    <row r="71" spans="1:27">
      <c r="A71" t="s">
        <v>366</v>
      </c>
      <c r="B71" t="s">
        <v>367</v>
      </c>
      <c r="D71" t="s">
        <v>245</v>
      </c>
      <c r="F71" t="s">
        <v>368</v>
      </c>
      <c r="G71">
        <f>BoardQty*1</f>
        <v>5</v>
      </c>
      <c r="H7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0.53</v>
      </c>
      <c r="I71" s="6">
        <f ca="1" t="shared" ref="I71:I86" si="22">IFERROR(G71*H71,"")</f>
        <v>2.65</v>
      </c>
      <c r="J71">
        <v>795</v>
      </c>
      <c r="L71" s="6">
        <f>IFERROR(LOOKUP(IF(K71="",G71,K71),{0,1,25,100},{0,0.53,0.4304,0.399}),"")</f>
        <v>0.53</v>
      </c>
      <c r="M71" s="6">
        <f t="shared" si="18"/>
        <v>2.65</v>
      </c>
      <c r="N71" t="s">
        <v>369</v>
      </c>
      <c r="O71" s="11" t="s">
        <v>27</v>
      </c>
      <c r="V71">
        <v>868</v>
      </c>
      <c r="X71" s="6">
        <f>IFERROR(LOOKUP(IF(W71="",G71,W71),{0,1,10,25,100},{0,0.542,0.502,0.412,0.381}),"")</f>
        <v>0.542</v>
      </c>
      <c r="Y71" s="6">
        <f t="shared" si="19"/>
        <v>2.71</v>
      </c>
      <c r="Z71" t="s">
        <v>370</v>
      </c>
      <c r="AA71" s="11" t="s">
        <v>27</v>
      </c>
    </row>
    <row r="72" spans="1:9">
      <c r="A72" t="s">
        <v>371</v>
      </c>
      <c r="B72" t="s">
        <v>372</v>
      </c>
      <c r="D72" t="s">
        <v>373</v>
      </c>
      <c r="G72">
        <f>BoardQty*1</f>
        <v>5</v>
      </c>
      <c r="H7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72" s="6">
        <f ca="1" t="shared" si="22"/>
        <v>0</v>
      </c>
    </row>
    <row r="73" spans="1:33">
      <c r="A73" t="s">
        <v>374</v>
      </c>
      <c r="B73" t="s">
        <v>375</v>
      </c>
      <c r="D73" t="s">
        <v>24</v>
      </c>
      <c r="F73" t="s">
        <v>376</v>
      </c>
      <c r="G73">
        <f>BoardQty*2</f>
        <v>10</v>
      </c>
      <c r="H7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0.011</v>
      </c>
      <c r="I73" s="6">
        <f ca="1" t="shared" si="22"/>
        <v>0.11</v>
      </c>
      <c r="J73">
        <v>538739</v>
      </c>
      <c r="L73" s="6">
        <f>IFERROR(LOOKUP(IF(K73="",G73,K73),{0,1,10,100,1000,2500,5000,10000,25000,50000,125000},{0,0.1,0.015,0.006,0.00268,0.00233,0.00192,0.00167,0.00147,0.00135,0.00132}),"")</f>
        <v>0.015</v>
      </c>
      <c r="M73" s="6">
        <f t="shared" ref="M73:M75" si="23">IFERROR(IF(K73="",G73,K73)*L73,"")</f>
        <v>0.15</v>
      </c>
      <c r="N73" t="s">
        <v>377</v>
      </c>
      <c r="O73" s="11" t="s">
        <v>27</v>
      </c>
      <c r="V73">
        <v>152592</v>
      </c>
      <c r="X73" s="6">
        <f>IFERROR(LOOKUP(IF(W73="",G73,W73),{0,1,10,100,1000,5000},{0,0.1,0.011,0.004,0.002,0.001}),"")</f>
        <v>0.011</v>
      </c>
      <c r="Y73" s="6">
        <f t="shared" ref="Y73:Y85" si="24">IFERROR(IF(W73="",G73,W73)*X73,"")</f>
        <v>0.11</v>
      </c>
      <c r="Z73" t="s">
        <v>378</v>
      </c>
      <c r="AA73" s="11" t="s">
        <v>27</v>
      </c>
      <c r="AD73" s="6">
        <f>IFERROR(LOOKUP(IF(AC73="",G73,AC73),{0,1,10,25,100,250,1000},{0,0.08,0.014,0.01,0.006,0.004,0.003}),"")</f>
        <v>0.014</v>
      </c>
      <c r="AE73" s="6">
        <f t="shared" ref="AE73:AE75" si="25">IFERROR(IF(AC73="",G73,AC73)*AD73,"")</f>
        <v>0.14</v>
      </c>
      <c r="AF73" t="s">
        <v>379</v>
      </c>
      <c r="AG73" s="11" t="s">
        <v>27</v>
      </c>
    </row>
    <row r="74" spans="1:39">
      <c r="A74" t="s">
        <v>380</v>
      </c>
      <c r="B74" t="s">
        <v>381</v>
      </c>
      <c r="D74" t="s">
        <v>382</v>
      </c>
      <c r="F74" t="s">
        <v>381</v>
      </c>
      <c r="G74">
        <f>BoardQty*4</f>
        <v>20</v>
      </c>
      <c r="H7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0.319963</v>
      </c>
      <c r="I74" s="6">
        <f ca="1" t="shared" si="22"/>
        <v>6.39926</v>
      </c>
      <c r="J74">
        <v>4564</v>
      </c>
      <c r="L74" s="6">
        <f>IFERROR(LOOKUP(IF(K74="",G74,K74),{0,1,10,100,500,1000,1250,2200,2500,5000,12500},{0,0.43,0.371,0.2769,0.21754,0.1681,0.3888,0.17825,0.1488,0.1392,0.1296}),"")</f>
        <v>0.371</v>
      </c>
      <c r="M74" s="6">
        <f t="shared" si="23"/>
        <v>7.42</v>
      </c>
      <c r="N74" t="s">
        <v>383</v>
      </c>
      <c r="O74" s="11" t="s">
        <v>27</v>
      </c>
      <c r="V74">
        <v>2657</v>
      </c>
      <c r="X74" s="6">
        <f>IFERROR(LOOKUP(IF(W74="",G74,W74),{0,1,10,100,1000,2500,10000,22500},{0,0.421,0.348,0.212,0.164,0.14,0.131,0.126}),"")</f>
        <v>0.348</v>
      </c>
      <c r="Y74" s="6">
        <f t="shared" si="24"/>
        <v>6.96</v>
      </c>
      <c r="Z74" t="s">
        <v>384</v>
      </c>
      <c r="AA74" s="11" t="s">
        <v>27</v>
      </c>
      <c r="AD74" s="6">
        <f>IFERROR(LOOKUP(IF(AC74="",G74,AC74),{0,1,10,100,1000},{0,0.416,0.347,0.212,0.164}),"")</f>
        <v>0.347</v>
      </c>
      <c r="AE74" s="6">
        <f t="shared" si="25"/>
        <v>6.94</v>
      </c>
      <c r="AF74" t="s">
        <v>385</v>
      </c>
      <c r="AG74" s="11" t="s">
        <v>27</v>
      </c>
      <c r="AH74">
        <v>375</v>
      </c>
      <c r="AJ74" s="6">
        <f>IFERROR(LOOKUP(IF(AI74="",G74,AI74),{0,1,25,50,125,250,500},{0,0.319963,0.319963,0.288073,0.272128,0.256183,0.240238}),"")</f>
        <v>0.319963</v>
      </c>
      <c r="AK74" s="6">
        <f t="shared" ref="AK74:AK78" si="26">IFERROR(IF(AI74="",G74,AI74)*AJ74,"")</f>
        <v>6.39926</v>
      </c>
      <c r="AL74" t="s">
        <v>386</v>
      </c>
      <c r="AM74" s="11" t="s">
        <v>27</v>
      </c>
    </row>
    <row r="75" spans="1:39">
      <c r="A75" t="s">
        <v>387</v>
      </c>
      <c r="B75" t="s">
        <v>186</v>
      </c>
      <c r="D75" t="s">
        <v>38</v>
      </c>
      <c r="F75" t="s">
        <v>388</v>
      </c>
      <c r="G75">
        <f>BoardQty*4</f>
        <v>20</v>
      </c>
      <c r="H7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0.054213</v>
      </c>
      <c r="I75" s="6">
        <f ca="1" t="shared" si="22"/>
        <v>1.08426</v>
      </c>
      <c r="L75" s="6">
        <f>IFERROR(LOOKUP(IF(K75="",G75,K75),{0,1,10,100,500,1000,2500,5000,10000,20000,30000},{0,0.17,0.123,0.0578,0.04052,0.03355,0.03123,0.02857,0.0231,0.02195,0.02079}),"")</f>
        <v>0.123</v>
      </c>
      <c r="M75" s="6">
        <f t="shared" si="23"/>
        <v>2.46</v>
      </c>
      <c r="N75" t="s">
        <v>389</v>
      </c>
      <c r="O75" s="11" t="s">
        <v>27</v>
      </c>
      <c r="V75">
        <v>36345</v>
      </c>
      <c r="X75" s="6">
        <f>IFERROR(LOOKUP(IF(W75="",G75,W75),{0,1,10,100,500,1000,2500,10000},{0,0.151,0.105,0.05,0.035,0.028,0.024,0.024}),"")</f>
        <v>0.105</v>
      </c>
      <c r="Y75" s="6">
        <f t="shared" si="24"/>
        <v>2.1</v>
      </c>
      <c r="Z75" t="s">
        <v>390</v>
      </c>
      <c r="AA75" s="11" t="s">
        <v>27</v>
      </c>
      <c r="AD75" s="6">
        <f>IFERROR(LOOKUP(IF(AC75="",G75,AC75),{0,1,10,25,50,100,250,500,1000},{0,0.105,0.105,0.086,0.068,0.049,0.042,0.035,0.028}),"")</f>
        <v>0.105</v>
      </c>
      <c r="AE75" s="6">
        <f t="shared" si="25"/>
        <v>2.1</v>
      </c>
      <c r="AF75" t="s">
        <v>391</v>
      </c>
      <c r="AG75" s="11" t="s">
        <v>27</v>
      </c>
      <c r="AH75">
        <v>1000</v>
      </c>
      <c r="AJ75" s="6">
        <f>IFERROR(LOOKUP(IF(AI75="",G75,AI75),{0,1,100,1000},{0,0.054213,0.054213,0.030827}),"")</f>
        <v>0.054213</v>
      </c>
      <c r="AK75" s="6">
        <f t="shared" si="26"/>
        <v>1.08426</v>
      </c>
      <c r="AL75" t="s">
        <v>392</v>
      </c>
      <c r="AM75" s="11" t="s">
        <v>27</v>
      </c>
    </row>
    <row r="76" spans="1:27">
      <c r="A76" t="s">
        <v>393</v>
      </c>
      <c r="B76" t="s">
        <v>394</v>
      </c>
      <c r="D76" t="s">
        <v>38</v>
      </c>
      <c r="F76" t="s">
        <v>395</v>
      </c>
      <c r="G76">
        <f>BoardQty*2</f>
        <v>10</v>
      </c>
      <c r="H7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0.096</v>
      </c>
      <c r="I76" s="6">
        <f ca="1" t="shared" si="22"/>
        <v>0.96</v>
      </c>
      <c r="X76" s="6">
        <f>IFERROR(LOOKUP(IF(W76="",G76,W76),{0,1,10,100,500,1000,4000,8000,24000,48000},{0,0.181,0.096,0.054,0.047,0.04,0.031,0.028,0.027,0.024}),"")</f>
        <v>0.096</v>
      </c>
      <c r="Y76" s="6">
        <f t="shared" si="24"/>
        <v>0.96</v>
      </c>
      <c r="Z76" t="s">
        <v>396</v>
      </c>
      <c r="AA76" s="11" t="s">
        <v>27</v>
      </c>
    </row>
    <row r="77" spans="1:39">
      <c r="A77" t="s">
        <v>397</v>
      </c>
      <c r="B77" t="s">
        <v>398</v>
      </c>
      <c r="D77" t="s">
        <v>101</v>
      </c>
      <c r="F77" t="s">
        <v>102</v>
      </c>
      <c r="G77">
        <f>BoardQty*4</f>
        <v>20</v>
      </c>
      <c r="H77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0.064</v>
      </c>
      <c r="I77" s="6">
        <f ca="1" t="shared" si="22"/>
        <v>1.28</v>
      </c>
      <c r="J77">
        <v>595947</v>
      </c>
      <c r="L77" s="6">
        <f>IFERROR(LOOKUP(IF(K77="",G77,K77),{0,1,10,25,50,100,250,500,1000,4000,8000,12000,28000,100000},{0,0.1,0.079,0.072,0.0648,0.0476,0.0346,0.0317,0.02738,0.02096,0.019,0.01834,0.01703,0.01683}),"")</f>
        <v>0.079</v>
      </c>
      <c r="M77" s="6">
        <f t="shared" ref="M77:M85" si="27">IFERROR(IF(K77="",G77,K77)*L77,"")</f>
        <v>1.58</v>
      </c>
      <c r="N77" t="s">
        <v>103</v>
      </c>
      <c r="O77" s="11" t="s">
        <v>27</v>
      </c>
      <c r="V77">
        <v>111637</v>
      </c>
      <c r="X77" s="6">
        <f>IFERROR(LOOKUP(IF(W77="",G77,W77),{0,1,10,100,500,1000,4000,8000,24000},{0,0.1,0.064,0.034,0.031,0.027,0.02,0.018,0.017}),"")</f>
        <v>0.064</v>
      </c>
      <c r="Y77" s="6">
        <f t="shared" si="24"/>
        <v>1.28</v>
      </c>
      <c r="Z77" t="s">
        <v>104</v>
      </c>
      <c r="AA77" s="11" t="s">
        <v>27</v>
      </c>
      <c r="AD77" s="6">
        <f>IFERROR(LOOKUP(IF(AC77="",G77,AC77),{0,1,10,25,50,100,250,500,1000},{0,0.1,0.064,0.054,0.044,0.034,0.033,0.031,0.027}),"")</f>
        <v>0.064</v>
      </c>
      <c r="AE77" s="6">
        <f t="shared" ref="AE77:AE81" si="28">IFERROR(IF(AC77="",G77,AC77)*AD77,"")</f>
        <v>1.28</v>
      </c>
      <c r="AF77" t="s">
        <v>105</v>
      </c>
      <c r="AG77" s="11" t="s">
        <v>27</v>
      </c>
      <c r="AH77">
        <v>720</v>
      </c>
      <c r="AJ77" s="6">
        <f>IFERROR(LOOKUP(IF(AI77="",G77,AI77),{0,1,20,100},{0,0.076536,0.076536,0.039331}),"")</f>
        <v>0.076536</v>
      </c>
      <c r="AK77" s="6">
        <f t="shared" si="26"/>
        <v>1.53072</v>
      </c>
      <c r="AL77" t="s">
        <v>106</v>
      </c>
      <c r="AM77" s="11" t="s">
        <v>27</v>
      </c>
    </row>
    <row r="78" spans="1:39">
      <c r="A78" t="s">
        <v>399</v>
      </c>
      <c r="B78" t="s">
        <v>400</v>
      </c>
      <c r="D78" t="s">
        <v>401</v>
      </c>
      <c r="F78" t="s">
        <v>400</v>
      </c>
      <c r="G78">
        <f>BoardQty*2</f>
        <v>10</v>
      </c>
      <c r="H78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0.5985</v>
      </c>
      <c r="I78" s="6">
        <f ca="1" t="shared" si="22"/>
        <v>5.985</v>
      </c>
      <c r="L78" s="6">
        <f>IFERROR(LOOKUP(IF(K78="",G78,K78),{0,1,500},{0,0.5985,0.5985}),"")</f>
        <v>0.5985</v>
      </c>
      <c r="M78" s="6">
        <f t="shared" si="27"/>
        <v>5.985</v>
      </c>
      <c r="N78" t="s">
        <v>402</v>
      </c>
      <c r="O78" s="11" t="s">
        <v>27</v>
      </c>
      <c r="V78">
        <v>26883</v>
      </c>
      <c r="X78" s="6">
        <f>IFERROR(LOOKUP(IF(W78="",G78,W78),{0,1,10,100,500,1000,2500,10000},{0,1.05,0.853,0.647,0.572,0.452,0.4,0.392}),"")</f>
        <v>0.853</v>
      </c>
      <c r="Y78" s="6">
        <f t="shared" si="24"/>
        <v>8.53</v>
      </c>
      <c r="Z78" t="s">
        <v>403</v>
      </c>
      <c r="AA78" s="11" t="s">
        <v>27</v>
      </c>
      <c r="AD78" s="6">
        <f>IFERROR(LOOKUP(IF(AC78="",G78,AC78),{0,1,500,1000},{0,0.612,0.612,0.564}),"")</f>
        <v>0.612</v>
      </c>
      <c r="AE78" s="6">
        <f t="shared" si="28"/>
        <v>6.12</v>
      </c>
      <c r="AF78" t="s">
        <v>404</v>
      </c>
      <c r="AG78" s="11" t="s">
        <v>27</v>
      </c>
      <c r="AH78">
        <v>5</v>
      </c>
      <c r="AJ78" s="6">
        <f>IFERROR(LOOKUP(IF(AI78="",G78,AI78),{0,1,5,250,500,1000,2500},{0,1.267096,1.267096,1.097016,0.980086,0.846148,0.788746}),"")</f>
        <v>1.267096</v>
      </c>
      <c r="AK78" s="6">
        <f t="shared" si="26"/>
        <v>12.67096</v>
      </c>
      <c r="AL78" t="s">
        <v>405</v>
      </c>
      <c r="AM78" s="11" t="s">
        <v>27</v>
      </c>
    </row>
    <row r="79" spans="1:27">
      <c r="A79" t="s">
        <v>406</v>
      </c>
      <c r="B79" t="s">
        <v>407</v>
      </c>
      <c r="D79" t="s">
        <v>38</v>
      </c>
      <c r="F79" t="s">
        <v>408</v>
      </c>
      <c r="G79">
        <f>BoardQty*2</f>
        <v>10</v>
      </c>
      <c r="H79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0.14</v>
      </c>
      <c r="I79" s="6">
        <f ca="1" t="shared" si="22"/>
        <v>1.4</v>
      </c>
      <c r="V79">
        <v>6370</v>
      </c>
      <c r="X79" s="6">
        <f>IFERROR(LOOKUP(IF(W79="",G79,W79),{0,1,50,100,500,1000,15000,30000,75000,150000},{0,0.14,0.12,0.08,0.057,0.031,0.021,0.02,0.017,0.015}),"")</f>
        <v>0.14</v>
      </c>
      <c r="Y79" s="6">
        <f t="shared" si="24"/>
        <v>1.4</v>
      </c>
      <c r="Z79" t="s">
        <v>409</v>
      </c>
      <c r="AA79" s="11" t="s">
        <v>27</v>
      </c>
    </row>
    <row r="80" spans="1:39">
      <c r="A80" t="s">
        <v>410</v>
      </c>
      <c r="B80" t="s">
        <v>411</v>
      </c>
      <c r="D80" t="s">
        <v>412</v>
      </c>
      <c r="F80" t="s">
        <v>411</v>
      </c>
      <c r="G80">
        <f>BoardQty*1</f>
        <v>5</v>
      </c>
      <c r="H80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0.217</v>
      </c>
      <c r="I80" s="6">
        <f ca="1" t="shared" si="22"/>
        <v>1.085</v>
      </c>
      <c r="J80">
        <v>4176</v>
      </c>
      <c r="L80" s="6">
        <f>IFERROR(LOOKUP(IF(K80="",G80,K80),{0,1,25,100,3000},{0,0.29,0.2416,0.2205,0.2205}),"")</f>
        <v>0.29</v>
      </c>
      <c r="M80" s="6">
        <f t="shared" si="27"/>
        <v>1.45</v>
      </c>
      <c r="N80" t="s">
        <v>413</v>
      </c>
      <c r="O80" s="11" t="s">
        <v>27</v>
      </c>
      <c r="V80">
        <v>3448</v>
      </c>
      <c r="X80" s="6">
        <f>IFERROR(LOOKUP(IF(W80="",G80,W80),{0,1,10,25,100,3000},{0,0.301,0.281,0.231,0.211,0.211}),"")</f>
        <v>0.301</v>
      </c>
      <c r="Y80" s="6">
        <f t="shared" si="24"/>
        <v>1.505</v>
      </c>
      <c r="Z80" t="s">
        <v>414</v>
      </c>
      <c r="AA80" s="11" t="s">
        <v>27</v>
      </c>
      <c r="AD80" s="6">
        <f>IFERROR(LOOKUP(IF(AC80="",G80,AC80),{0,1,3000},{0,0.217,0.217}),"")</f>
        <v>0.217</v>
      </c>
      <c r="AE80" s="6">
        <f t="shared" si="28"/>
        <v>1.085</v>
      </c>
      <c r="AF80" t="s">
        <v>415</v>
      </c>
      <c r="AG80" s="11" t="s">
        <v>27</v>
      </c>
      <c r="AH80">
        <v>640</v>
      </c>
      <c r="AJ80" s="6">
        <f>IFERROR(LOOKUP(IF(AI80="",G80,AI80),{0,1,5,25},{0,0.29764,0.29764,0.291262}),"")</f>
        <v>0.29764</v>
      </c>
      <c r="AK80" s="6">
        <f t="shared" ref="AK80:AK84" si="29">IFERROR(IF(AI80="",G80,AI80)*AJ80,"")</f>
        <v>1.4882</v>
      </c>
      <c r="AL80" t="s">
        <v>416</v>
      </c>
      <c r="AM80" s="11" t="s">
        <v>27</v>
      </c>
    </row>
    <row r="81" spans="1:33">
      <c r="A81" t="s">
        <v>417</v>
      </c>
      <c r="B81" t="s">
        <v>418</v>
      </c>
      <c r="D81" t="s">
        <v>24</v>
      </c>
      <c r="F81" t="s">
        <v>419</v>
      </c>
      <c r="G81">
        <f>BoardQty*8</f>
        <v>40</v>
      </c>
      <c r="H81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0.01</v>
      </c>
      <c r="I81" s="6">
        <f ca="1" t="shared" si="22"/>
        <v>0.4</v>
      </c>
      <c r="J81">
        <v>1483541</v>
      </c>
      <c r="L81" s="6">
        <f>IFERROR(LOOKUP(IF(K81="",G81,K81),{0,1,10,100,1000,2500,5000,10000,25000,50000,125000},{0,0.1,0.015,0.006,0.00268,0.00233,0.00192,0.00167,0.00147,0.00135,0.00132}),"")</f>
        <v>0.015</v>
      </c>
      <c r="M81" s="6">
        <f t="shared" si="27"/>
        <v>0.6</v>
      </c>
      <c r="N81" t="s">
        <v>420</v>
      </c>
      <c r="O81" s="11" t="s">
        <v>27</v>
      </c>
      <c r="V81">
        <v>379716</v>
      </c>
      <c r="X81" s="6">
        <f>IFERROR(LOOKUP(IF(W81="",G81,W81),{0,1,10,100,1000,5000},{0,0.1,0.011,0.004,0.002,0.001}),"")</f>
        <v>0.011</v>
      </c>
      <c r="Y81" s="6">
        <f t="shared" si="24"/>
        <v>0.44</v>
      </c>
      <c r="Z81" t="s">
        <v>421</v>
      </c>
      <c r="AA81" s="11" t="s">
        <v>27</v>
      </c>
      <c r="AD81" s="6">
        <f>IFERROR(LOOKUP(IF(AC81="",G81,AC81),{0,1,10,25,100,250,1000},{0,0.08,0.014,0.01,0.006,0.004,0.003}),"")</f>
        <v>0.01</v>
      </c>
      <c r="AE81" s="6">
        <f t="shared" si="28"/>
        <v>0.4</v>
      </c>
      <c r="AF81" t="s">
        <v>422</v>
      </c>
      <c r="AG81" s="11" t="s">
        <v>27</v>
      </c>
    </row>
    <row r="82" spans="1:39">
      <c r="A82" t="s">
        <v>423</v>
      </c>
      <c r="B82" t="s">
        <v>424</v>
      </c>
      <c r="D82" t="s">
        <v>425</v>
      </c>
      <c r="F82" t="s">
        <v>424</v>
      </c>
      <c r="G82">
        <f>BoardQty*1</f>
        <v>5</v>
      </c>
      <c r="H82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6.82</v>
      </c>
      <c r="I82" s="6">
        <f ca="1" t="shared" si="22"/>
        <v>34.1</v>
      </c>
      <c r="J82">
        <v>436</v>
      </c>
      <c r="L82" s="6">
        <f>IFERROR(LOOKUP(IF(K82="",G82,K82),{0,1,25,100},{0,6.97,6.06,5.7772}),"")</f>
        <v>6.97</v>
      </c>
      <c r="M82" s="6">
        <f t="shared" si="27"/>
        <v>34.85</v>
      </c>
      <c r="N82" t="s">
        <v>426</v>
      </c>
      <c r="O82" s="11" t="s">
        <v>27</v>
      </c>
      <c r="V82">
        <v>706</v>
      </c>
      <c r="X82" s="6">
        <f>IFERROR(LOOKUP(IF(W82="",G82,W82),{0,1,25,100},{0,6.82,5.92,5.73}),"")</f>
        <v>6.82</v>
      </c>
      <c r="Y82" s="6">
        <f t="shared" si="24"/>
        <v>34.1</v>
      </c>
      <c r="Z82" t="s">
        <v>427</v>
      </c>
      <c r="AA82" s="11" t="s">
        <v>27</v>
      </c>
      <c r="AH82">
        <v>60</v>
      </c>
      <c r="AJ82" s="6">
        <f>IFERROR(LOOKUP(IF(AI82="",G82,AI82),{0,1,10},{0,7.0158,6.93076}),"")</f>
        <v>7.0158</v>
      </c>
      <c r="AK82" s="6">
        <f t="shared" si="29"/>
        <v>35.079</v>
      </c>
      <c r="AL82" t="s">
        <v>428</v>
      </c>
      <c r="AM82" s="11" t="s">
        <v>27</v>
      </c>
    </row>
    <row r="83" spans="1:33">
      <c r="A83" t="s">
        <v>429</v>
      </c>
      <c r="B83" t="s">
        <v>430</v>
      </c>
      <c r="D83" t="s">
        <v>58</v>
      </c>
      <c r="F83" t="s">
        <v>430</v>
      </c>
      <c r="G83">
        <f>BoardQty*2</f>
        <v>10</v>
      </c>
      <c r="H83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0.291</v>
      </c>
      <c r="I83" s="6">
        <f ca="1" t="shared" si="22"/>
        <v>2.91</v>
      </c>
      <c r="J83">
        <v>14824</v>
      </c>
      <c r="L83" s="6">
        <f>IFERROR(LOOKUP(IF(K83="",G83,K83),{0,1,25,100,3000},{0,0.3,0.252,0.231,0.231}),"")</f>
        <v>0.3</v>
      </c>
      <c r="M83" s="6">
        <f t="shared" si="27"/>
        <v>3</v>
      </c>
      <c r="N83" t="s">
        <v>431</v>
      </c>
      <c r="O83" s="11" t="s">
        <v>27</v>
      </c>
      <c r="V83">
        <v>8288</v>
      </c>
      <c r="X83" s="6">
        <f>IFERROR(LOOKUP(IF(W83="",G83,W83),{0,1,10,25,100,3000},{0,0.352,0.291,0.241,0.221,0.221}),"")</f>
        <v>0.291</v>
      </c>
      <c r="Y83" s="6">
        <f t="shared" si="24"/>
        <v>2.91</v>
      </c>
      <c r="Z83" t="s">
        <v>432</v>
      </c>
      <c r="AA83" s="11" t="s">
        <v>27</v>
      </c>
      <c r="AD83" s="6">
        <f>IFERROR(LOOKUP(IF(AC83="",G83,AC83),{0,1,25,100},{0,0.303,0.25,0.23}),"")</f>
        <v>0.303</v>
      </c>
      <c r="AE83" s="6">
        <f t="shared" ref="AE83:AE85" si="30">IFERROR(IF(AC83="",G83,AC83)*AD83,"")</f>
        <v>3.03</v>
      </c>
      <c r="AF83" t="s">
        <v>433</v>
      </c>
      <c r="AG83" s="11" t="s">
        <v>27</v>
      </c>
    </row>
    <row r="84" spans="1:39">
      <c r="A84" t="s">
        <v>434</v>
      </c>
      <c r="B84" t="s">
        <v>435</v>
      </c>
      <c r="D84" t="s">
        <v>202</v>
      </c>
      <c r="F84" t="s">
        <v>203</v>
      </c>
      <c r="G84">
        <f>BoardQty*1</f>
        <v>5</v>
      </c>
      <c r="H84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0.610162</v>
      </c>
      <c r="I84" s="6">
        <f ca="1" t="shared" si="22"/>
        <v>3.05081</v>
      </c>
      <c r="J84">
        <v>13836</v>
      </c>
      <c r="L84" s="6">
        <f>IFERROR(LOOKUP(IF(K84="",G84,K84),{0,1,10,25,50,100,250,500,1500,3000,7500,10500,15000},{0,0.81,0.712,0.6704,0.6426,0.6147,0.5588,0.50292,0.381,0.3683,0.3556,0.33782,0.3302}),"")</f>
        <v>0.81</v>
      </c>
      <c r="M84" s="6">
        <f t="shared" si="27"/>
        <v>4.05</v>
      </c>
      <c r="N84" t="s">
        <v>204</v>
      </c>
      <c r="O84" s="11" t="s">
        <v>27</v>
      </c>
      <c r="V84">
        <v>8131</v>
      </c>
      <c r="X84" s="6">
        <f>IFERROR(LOOKUP(IF(W84="",G84,W84),{0,1,10,100,250,500,1000,1500},{0,0.682,0.624,0.535,0.485,0.446,0.386,0.386}),"")</f>
        <v>0.682</v>
      </c>
      <c r="Y84" s="6">
        <f t="shared" si="24"/>
        <v>3.41</v>
      </c>
      <c r="Z84" t="s">
        <v>205</v>
      </c>
      <c r="AA84" s="11" t="s">
        <v>27</v>
      </c>
      <c r="AD84" s="6">
        <f>IFERROR(LOOKUP(IF(AC84="",G84,AC84),{0,1,10,100,250,500,1000},{0,0.68,0.622,0.533,0.483,0.445,0.381}),"")</f>
        <v>0.68</v>
      </c>
      <c r="AE84" s="6">
        <f t="shared" si="30"/>
        <v>3.4</v>
      </c>
      <c r="AF84" t="s">
        <v>206</v>
      </c>
      <c r="AG84" s="11" t="s">
        <v>27</v>
      </c>
      <c r="AH84">
        <v>90</v>
      </c>
      <c r="AJ84" s="6">
        <f>IFERROR(LOOKUP(IF(AI84="",G84,AI84),{0,1,5,50,150,250,500},{0,0.610162,0.610162,0.54213,0.48898,0.452838,0.416696}),"")</f>
        <v>0.610162</v>
      </c>
      <c r="AK84" s="6">
        <f t="shared" si="29"/>
        <v>3.05081</v>
      </c>
      <c r="AL84" t="s">
        <v>207</v>
      </c>
      <c r="AM84" s="11" t="s">
        <v>27</v>
      </c>
    </row>
    <row r="85" spans="1:33">
      <c r="A85" t="s">
        <v>436</v>
      </c>
      <c r="B85" t="s">
        <v>437</v>
      </c>
      <c r="D85" t="s">
        <v>38</v>
      </c>
      <c r="F85" t="s">
        <v>438</v>
      </c>
      <c r="G85">
        <f>BoardQty*2</f>
        <v>10</v>
      </c>
      <c r="H85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0.073</v>
      </c>
      <c r="I85" s="6">
        <f ca="1" t="shared" si="22"/>
        <v>0.73</v>
      </c>
      <c r="J85">
        <v>15750</v>
      </c>
      <c r="L85" s="6">
        <f>IFERROR(LOOKUP(IF(K85="",G85,K85),{0,1,10,100,500,1000,4000,8000,12000},{0,0.36,0.253,0.1518,0.11386,0.09614,0.0748,0.0704,0.0682}),"")</f>
        <v>0.253</v>
      </c>
      <c r="M85" s="6">
        <f t="shared" si="27"/>
        <v>2.53</v>
      </c>
      <c r="N85" t="s">
        <v>439</v>
      </c>
      <c r="O85" s="11" t="s">
        <v>27</v>
      </c>
      <c r="V85">
        <v>8271</v>
      </c>
      <c r="X85" s="6">
        <f>IFERROR(LOOKUP(IF(W85="",G85,W85),{0,1,50,100,500,1000,4000,8000},{0,0.1,0.09,0.079,0.077,0.076,0.073,0.072}),"")</f>
        <v>0.1</v>
      </c>
      <c r="Y85" s="6">
        <f t="shared" si="24"/>
        <v>1</v>
      </c>
      <c r="Z85" t="s">
        <v>440</v>
      </c>
      <c r="AA85" s="11" t="s">
        <v>27</v>
      </c>
      <c r="AD85" s="6">
        <f>IFERROR(LOOKUP(IF(AC85="",G85,AC85),{0,1,4000,8000},{0,0.073,0.073,0.072}),"")</f>
        <v>0.073</v>
      </c>
      <c r="AE85" s="6">
        <f t="shared" si="30"/>
        <v>0.73</v>
      </c>
      <c r="AF85" t="s">
        <v>441</v>
      </c>
      <c r="AG85" s="11" t="s">
        <v>27</v>
      </c>
    </row>
    <row r="86" spans="1:9">
      <c r="A86" t="s">
        <v>442</v>
      </c>
      <c r="B86" t="s">
        <v>443</v>
      </c>
      <c r="D86" t="s">
        <v>444</v>
      </c>
      <c r="G86">
        <f>BoardQty*1</f>
        <v>5</v>
      </c>
      <c r="H86" s="6">
        <f ca="1">MINA(INDIRECT(ADDRESS(ROW(),COLUMN(newark_part_data)+2)),INDIRECT(ADDRESS(ROW(),COLUMN(digikey_part_data)+2)),INDIRECT(ADDRESS(ROW(),COLUMN(rs_part_data)+2)),INDIRECT(ADDRESS(ROW(),COLUMN(farnell_part_data)+2)),INDIRECT(ADDRESS(ROW(),COLUMN(mouser_part_data)+2)))</f>
        <v>0</v>
      </c>
      <c r="I86" s="6">
        <f ca="1" t="shared" si="22"/>
        <v>0</v>
      </c>
    </row>
    <row r="88" spans="11:37">
      <c r="K88" t="str">
        <f t="array" ref="K88">IFERROR(CONCATENATE(TEXT(INDEX($K$7:$K$86,SMALL(IF($N$7:$N$86&lt;&gt;"",IF($K$7:$K$86&lt;&gt;"",ROW($K$7:$K$86)-MIN(ROW($K$7:$K$86))+1,""),""),ROW()-ROW(A$88)+1)),"##0"),","),"")</f>
        <v/>
      </c>
      <c r="L88" t="str">
        <f t="array" ref="L88">IFERROR(CONCATENATE((INDEX($N$7:$N$86,SMALL(IF($N$7:$N$86&lt;&gt;"",IF($K$7:$K$86&lt;&gt;"",ROW($K$7:$K$86)-MIN(ROW($K$7:$K$86))+1,""),""),ROW()-ROW(A$88)+1))),","),"")</f>
        <v/>
      </c>
      <c r="M88" t="str">
        <f t="array" ref="M88">IFERROR(CONCATENATE((INDEX($A$7:$A$86,SMALL(IF($N$7:$N$86&lt;&gt;"",IF($K$7:$K$86&lt;&gt;"",ROW($K$7:$K$86)-MIN(ROW($K$7:$K$86))+1,""),""),ROW()-ROW(A$88)+1))),),"")</f>
        <v/>
      </c>
      <c r="Q88" t="str">
        <f t="array" ref="Q88">IFERROR(CONCATENATE((INDEX($T$7:$T$86,SMALL(IF($T$7:$T$86&lt;&gt;"",IF($Q$7:$Q$86&lt;&gt;"",ROW($Q$7:$Q$86)-MIN(ROW($Q$7:$Q$86))+1,""),""),ROW()-ROW(A$88)+1)))," "),"")</f>
        <v/>
      </c>
      <c r="R88" t="str">
        <f t="array" ref="R88">IFERROR(CONCATENATE(TEXT(INDEX($Q$7:$Q$86,SMALL(IF($T$7:$T$86&lt;&gt;"",IF($Q$7:$Q$86&lt;&gt;"",ROW($Q$7:$Q$86)-MIN(ROW($Q$7:$Q$86))+1,""),""),ROW()-ROW(A$88)+1)),"##0")," "),"")</f>
        <v/>
      </c>
      <c r="S88" t="str">
        <f t="array" ref="S88">IFERROR(CONCATENATE((INDEX($A$7:$A$86,SMALL(IF($T$7:$T$86&lt;&gt;"",IF($Q$7:$Q$86&lt;&gt;"",ROW($Q$7:$Q$86)-MIN(ROW($Q$7:$Q$86))+1,""),""),ROW()-ROW(A$88)+1))),),"")</f>
        <v/>
      </c>
      <c r="W88" t="str">
        <f t="array" ref="W88">IFERROR(CONCATENATE((INDEX($Z$7:$Z$86,SMALL(IF($Z$7:$Z$86&lt;&gt;"",IF($W$7:$W$86&lt;&gt;"",ROW($W$7:$W$86)-MIN(ROW($W$7:$W$86))+1,""),""),ROW()-ROW(A$88)+1)))," "),"")</f>
        <v/>
      </c>
      <c r="X88" t="str">
        <f t="array" ref="X88">IFERROR(CONCATENATE(TEXT(INDEX($W$7:$W$86,SMALL(IF($Z$7:$Z$86&lt;&gt;"",IF($W$7:$W$86&lt;&gt;"",ROW($W$7:$W$86)-MIN(ROW($W$7:$W$86))+1,""),""),ROW()-ROW(A$88)+1)),"##0")," "),"")</f>
        <v/>
      </c>
      <c r="Y88" t="str">
        <f t="array" ref="Y88">IFERROR(CONCATENATE((INDEX($A$7:$A$86,SMALL(IF($Z$7:$Z$86&lt;&gt;"",IF($W$7:$W$86&lt;&gt;"",ROW($W$7:$W$86)-MIN(ROW($W$7:$W$86))+1,""),""),ROW()-ROW(A$88)+1))),),"")</f>
        <v/>
      </c>
      <c r="AC88" t="str">
        <f t="array" ref="AC88">IFERROR(CONCATENATE((INDEX($AF$7:$AF$86,SMALL(IF($AF$7:$AF$86&lt;&gt;"",IF($AC$7:$AC$86&lt;&gt;"",ROW($AC$7:$AC$86)-MIN(ROW($AC$7:$AC$86))+1,""),""),ROW()-ROW(A$88)+1))),","),"")</f>
        <v/>
      </c>
      <c r="AD88" t="str">
        <f t="array" ref="AD88">IFERROR(CONCATENATE(TEXT(INDEX($AC$7:$AC$86,SMALL(IF($AF$7:$AF$86&lt;&gt;"",IF($AC$7:$AC$86&lt;&gt;"",ROW($AC$7:$AC$86)-MIN(ROW($AC$7:$AC$86))+1,""),""),ROW()-ROW(A$88)+1)),"##0"),","),"")</f>
        <v/>
      </c>
      <c r="AE88" t="str">
        <f t="array" ref="AE88">IFERROR(CONCATENATE((INDEX($A$7:$A$86,SMALL(IF($AF$7:$AF$86&lt;&gt;"",IF($AC$7:$AC$86&lt;&gt;"",ROW($AC$7:$AC$86)-MIN(ROW($AC$7:$AC$86))+1,""),""),ROW()-ROW(A$88)+1))),),"")</f>
        <v/>
      </c>
      <c r="AI88" t="str">
        <f t="array" ref="AI88">IFERROR(CONCATENATE((INDEX($AL$7:$AL$86,SMALL(IF($AL$7:$AL$86&lt;&gt;"",IF($AI$7:$AI$86&lt;&gt;"",ROW($AI$7:$AI$86)-MIN(ROW($AI$7:$AI$86))+1,""),""),ROW()-ROW(A$88)+1)))," "),"")</f>
        <v/>
      </c>
      <c r="AJ88" t="str">
        <f t="array" ref="AJ88">IFERROR(CONCATENATE(TEXT(INDEX($AI$7:$AI$86,SMALL(IF($AL$7:$AL$86&lt;&gt;"",IF($AI$7:$AI$86&lt;&gt;"",ROW($AI$7:$AI$86)-MIN(ROW($AI$7:$AI$86))+1,""),""),ROW()-ROW(A$88)+1)),"##0")," "),"")</f>
        <v/>
      </c>
      <c r="AK88" t="str">
        <f t="array" ref="AK88">IFERROR(CONCATENATE((INDEX($A$7:$A$86,SMALL(IF($AL$7:$AL$86&lt;&gt;"",IF($AI$7:$AI$86&lt;&gt;"",ROW($AI$7:$AI$86)-MIN(ROW($AI$7:$AI$86))+1,""),""),ROW()-ROW(A$88)+1))),),"")</f>
        <v/>
      </c>
    </row>
    <row r="89" spans="11:37">
      <c r="K89" t="str">
        <f t="array" ref="K89">IFERROR(CONCATENATE(TEXT(INDEX($K$7:$K$86,SMALL(IF($N$7:$N$86&lt;&gt;"",IF($K$7:$K$86&lt;&gt;"",ROW($K$7:$K$86)-MIN(ROW($K$7:$K$86))+1,""),""),ROW()-ROW(A$88)+1)),"##0"),","),"")</f>
        <v/>
      </c>
      <c r="L89" t="str">
        <f t="array" ref="L89">IFERROR(CONCATENATE((INDEX($N$7:$N$86,SMALL(IF($N$7:$N$86&lt;&gt;"",IF($K$7:$K$86&lt;&gt;"",ROW($K$7:$K$86)-MIN(ROW($K$7:$K$86))+1,""),""),ROW()-ROW(A$88)+1))),","),"")</f>
        <v/>
      </c>
      <c r="M89" t="str">
        <f t="array" ref="M89">IFERROR(CONCATENATE((INDEX($A$7:$A$86,SMALL(IF($N$7:$N$86&lt;&gt;"",IF($K$7:$K$86&lt;&gt;"",ROW($K$7:$K$86)-MIN(ROW($K$7:$K$86))+1,""),""),ROW()-ROW(A$88)+1))),),"")</f>
        <v/>
      </c>
      <c r="Q89" t="str">
        <f t="array" ref="Q89">IFERROR(CONCATENATE((INDEX($T$7:$T$86,SMALL(IF($T$7:$T$86&lt;&gt;"",IF($Q$7:$Q$86&lt;&gt;"",ROW($Q$7:$Q$86)-MIN(ROW($Q$7:$Q$86))+1,""),""),ROW()-ROW(A$88)+1)))," "),"")</f>
        <v/>
      </c>
      <c r="R89" t="str">
        <f t="array" ref="R89">IFERROR(CONCATENATE(TEXT(INDEX($Q$7:$Q$86,SMALL(IF($T$7:$T$86&lt;&gt;"",IF($Q$7:$Q$86&lt;&gt;"",ROW($Q$7:$Q$86)-MIN(ROW($Q$7:$Q$86))+1,""),""),ROW()-ROW(A$88)+1)),"##0")," "),"")</f>
        <v/>
      </c>
      <c r="S89" t="str">
        <f t="array" ref="S89">IFERROR(CONCATENATE((INDEX($A$7:$A$86,SMALL(IF($T$7:$T$86&lt;&gt;"",IF($Q$7:$Q$86&lt;&gt;"",ROW($Q$7:$Q$86)-MIN(ROW($Q$7:$Q$86))+1,""),""),ROW()-ROW(A$88)+1))),),"")</f>
        <v/>
      </c>
      <c r="W89" t="str">
        <f t="array" ref="W89">IFERROR(CONCATENATE((INDEX($Z$7:$Z$86,SMALL(IF($Z$7:$Z$86&lt;&gt;"",IF($W$7:$W$86&lt;&gt;"",ROW($W$7:$W$86)-MIN(ROW($W$7:$W$86))+1,""),""),ROW()-ROW(A$88)+1)))," "),"")</f>
        <v/>
      </c>
      <c r="X89" t="str">
        <f t="array" ref="X89">IFERROR(CONCATENATE(TEXT(INDEX($W$7:$W$86,SMALL(IF($Z$7:$Z$86&lt;&gt;"",IF($W$7:$W$86&lt;&gt;"",ROW($W$7:$W$86)-MIN(ROW($W$7:$W$86))+1,""),""),ROW()-ROW(A$88)+1)),"##0")," "),"")</f>
        <v/>
      </c>
      <c r="Y89" t="str">
        <f t="array" ref="Y89">IFERROR(CONCATENATE((INDEX($A$7:$A$86,SMALL(IF($Z$7:$Z$86&lt;&gt;"",IF($W$7:$W$86&lt;&gt;"",ROW($W$7:$W$86)-MIN(ROW($W$7:$W$86))+1,""),""),ROW()-ROW(A$88)+1))),),"")</f>
        <v/>
      </c>
      <c r="AC89" t="str">
        <f t="array" ref="AC89">IFERROR(CONCATENATE((INDEX($AF$7:$AF$86,SMALL(IF($AF$7:$AF$86&lt;&gt;"",IF($AC$7:$AC$86&lt;&gt;"",ROW($AC$7:$AC$86)-MIN(ROW($AC$7:$AC$86))+1,""),""),ROW()-ROW(A$88)+1))),","),"")</f>
        <v/>
      </c>
      <c r="AD89" t="str">
        <f t="array" ref="AD89">IFERROR(CONCATENATE(TEXT(INDEX($AC$7:$AC$86,SMALL(IF($AF$7:$AF$86&lt;&gt;"",IF($AC$7:$AC$86&lt;&gt;"",ROW($AC$7:$AC$86)-MIN(ROW($AC$7:$AC$86))+1,""),""),ROW()-ROW(A$88)+1)),"##0"),","),"")</f>
        <v/>
      </c>
      <c r="AE89" t="str">
        <f t="array" ref="AE89">IFERROR(CONCATENATE((INDEX($A$7:$A$86,SMALL(IF($AF$7:$AF$86&lt;&gt;"",IF($AC$7:$AC$86&lt;&gt;"",ROW($AC$7:$AC$86)-MIN(ROW($AC$7:$AC$86))+1,""),""),ROW()-ROW(A$88)+1))),),"")</f>
        <v/>
      </c>
      <c r="AI89" t="str">
        <f t="array" ref="AI89">IFERROR(CONCATENATE((INDEX($AL$7:$AL$86,SMALL(IF($AL$7:$AL$86&lt;&gt;"",IF($AI$7:$AI$86&lt;&gt;"",ROW($AI$7:$AI$86)-MIN(ROW($AI$7:$AI$86))+1,""),""),ROW()-ROW(A$88)+1)))," "),"")</f>
        <v/>
      </c>
      <c r="AJ89" t="str">
        <f t="array" ref="AJ89">IFERROR(CONCATENATE(TEXT(INDEX($AI$7:$AI$86,SMALL(IF($AL$7:$AL$86&lt;&gt;"",IF($AI$7:$AI$86&lt;&gt;"",ROW($AI$7:$AI$86)-MIN(ROW($AI$7:$AI$86))+1,""),""),ROW()-ROW(A$88)+1)),"##0")," "),"")</f>
        <v/>
      </c>
      <c r="AK89" t="str">
        <f t="array" ref="AK89">IFERROR(CONCATENATE((INDEX($A$7:$A$86,SMALL(IF($AL$7:$AL$86&lt;&gt;"",IF($AI$7:$AI$86&lt;&gt;"",ROW($AI$7:$AI$86)-MIN(ROW($AI$7:$AI$86))+1,""),""),ROW()-ROW(A$88)+1))),),"")</f>
        <v/>
      </c>
    </row>
    <row r="90" spans="11:37">
      <c r="K90" t="str">
        <f t="array" ref="K90">IFERROR(CONCATENATE(TEXT(INDEX($K$7:$K$86,SMALL(IF($N$7:$N$86&lt;&gt;"",IF($K$7:$K$86&lt;&gt;"",ROW($K$7:$K$86)-MIN(ROW($K$7:$K$86))+1,""),""),ROW()-ROW(A$88)+1)),"##0"),","),"")</f>
        <v/>
      </c>
      <c r="L90" t="str">
        <f t="array" ref="L90">IFERROR(CONCATENATE((INDEX($N$7:$N$86,SMALL(IF($N$7:$N$86&lt;&gt;"",IF($K$7:$K$86&lt;&gt;"",ROW($K$7:$K$86)-MIN(ROW($K$7:$K$86))+1,""),""),ROW()-ROW(A$88)+1))),","),"")</f>
        <v/>
      </c>
      <c r="M90" t="str">
        <f t="array" ref="M90">IFERROR(CONCATENATE((INDEX($A$7:$A$86,SMALL(IF($N$7:$N$86&lt;&gt;"",IF($K$7:$K$86&lt;&gt;"",ROW($K$7:$K$86)-MIN(ROW($K$7:$K$86))+1,""),""),ROW()-ROW(A$88)+1))),),"")</f>
        <v/>
      </c>
      <c r="Q90" t="str">
        <f t="array" ref="Q90">IFERROR(CONCATENATE((INDEX($T$7:$T$86,SMALL(IF($T$7:$T$86&lt;&gt;"",IF($Q$7:$Q$86&lt;&gt;"",ROW($Q$7:$Q$86)-MIN(ROW($Q$7:$Q$86))+1,""),""),ROW()-ROW(A$88)+1)))," "),"")</f>
        <v/>
      </c>
      <c r="R90" t="str">
        <f t="array" ref="R90">IFERROR(CONCATENATE(TEXT(INDEX($Q$7:$Q$86,SMALL(IF($T$7:$T$86&lt;&gt;"",IF($Q$7:$Q$86&lt;&gt;"",ROW($Q$7:$Q$86)-MIN(ROW($Q$7:$Q$86))+1,""),""),ROW()-ROW(A$88)+1)),"##0")," "),"")</f>
        <v/>
      </c>
      <c r="S90" t="str">
        <f t="array" ref="S90">IFERROR(CONCATENATE((INDEX($A$7:$A$86,SMALL(IF($T$7:$T$86&lt;&gt;"",IF($Q$7:$Q$86&lt;&gt;"",ROW($Q$7:$Q$86)-MIN(ROW($Q$7:$Q$86))+1,""),""),ROW()-ROW(A$88)+1))),),"")</f>
        <v/>
      </c>
      <c r="W90" t="str">
        <f t="array" ref="W90">IFERROR(CONCATENATE((INDEX($Z$7:$Z$86,SMALL(IF($Z$7:$Z$86&lt;&gt;"",IF($W$7:$W$86&lt;&gt;"",ROW($W$7:$W$86)-MIN(ROW($W$7:$W$86))+1,""),""),ROW()-ROW(A$88)+1)))," "),"")</f>
        <v/>
      </c>
      <c r="X90" t="str">
        <f t="array" ref="X90">IFERROR(CONCATENATE(TEXT(INDEX($W$7:$W$86,SMALL(IF($Z$7:$Z$86&lt;&gt;"",IF($W$7:$W$86&lt;&gt;"",ROW($W$7:$W$86)-MIN(ROW($W$7:$W$86))+1,""),""),ROW()-ROW(A$88)+1)),"##0")," "),"")</f>
        <v/>
      </c>
      <c r="Y90" t="str">
        <f t="array" ref="Y90">IFERROR(CONCATENATE((INDEX($A$7:$A$86,SMALL(IF($Z$7:$Z$86&lt;&gt;"",IF($W$7:$W$86&lt;&gt;"",ROW($W$7:$W$86)-MIN(ROW($W$7:$W$86))+1,""),""),ROW()-ROW(A$88)+1))),),"")</f>
        <v/>
      </c>
      <c r="AC90" t="str">
        <f t="array" ref="AC90">IFERROR(CONCATENATE((INDEX($AF$7:$AF$86,SMALL(IF($AF$7:$AF$86&lt;&gt;"",IF($AC$7:$AC$86&lt;&gt;"",ROW($AC$7:$AC$86)-MIN(ROW($AC$7:$AC$86))+1,""),""),ROW()-ROW(A$88)+1))),","),"")</f>
        <v/>
      </c>
      <c r="AD90" t="str">
        <f t="array" ref="AD90">IFERROR(CONCATENATE(TEXT(INDEX($AC$7:$AC$86,SMALL(IF($AF$7:$AF$86&lt;&gt;"",IF($AC$7:$AC$86&lt;&gt;"",ROW($AC$7:$AC$86)-MIN(ROW($AC$7:$AC$86))+1,""),""),ROW()-ROW(A$88)+1)),"##0"),","),"")</f>
        <v/>
      </c>
      <c r="AE90" t="str">
        <f t="array" ref="AE90">IFERROR(CONCATENATE((INDEX($A$7:$A$86,SMALL(IF($AF$7:$AF$86&lt;&gt;"",IF($AC$7:$AC$86&lt;&gt;"",ROW($AC$7:$AC$86)-MIN(ROW($AC$7:$AC$86))+1,""),""),ROW()-ROW(A$88)+1))),),"")</f>
        <v/>
      </c>
      <c r="AI90" t="str">
        <f t="array" ref="AI90">IFERROR(CONCATENATE((INDEX($AL$7:$AL$86,SMALL(IF($AL$7:$AL$86&lt;&gt;"",IF($AI$7:$AI$86&lt;&gt;"",ROW($AI$7:$AI$86)-MIN(ROW($AI$7:$AI$86))+1,""),""),ROW()-ROW(A$88)+1)))," "),"")</f>
        <v/>
      </c>
      <c r="AJ90" t="str">
        <f t="array" ref="AJ90">IFERROR(CONCATENATE(TEXT(INDEX($AI$7:$AI$86,SMALL(IF($AL$7:$AL$86&lt;&gt;"",IF($AI$7:$AI$86&lt;&gt;"",ROW($AI$7:$AI$86)-MIN(ROW($AI$7:$AI$86))+1,""),""),ROW()-ROW(A$88)+1)),"##0")," "),"")</f>
        <v/>
      </c>
      <c r="AK90" t="str">
        <f t="array" ref="AK90">IFERROR(CONCATENATE((INDEX($A$7:$A$86,SMALL(IF($AL$7:$AL$86&lt;&gt;"",IF($AI$7:$AI$86&lt;&gt;"",ROW($AI$7:$AI$86)-MIN(ROW($AI$7:$AI$86))+1,""),""),ROW()-ROW(A$88)+1))),),"")</f>
        <v/>
      </c>
    </row>
    <row r="91" spans="11:37">
      <c r="K91" t="str">
        <f t="array" ref="K91">IFERROR(CONCATENATE(TEXT(INDEX($K$7:$K$86,SMALL(IF($N$7:$N$86&lt;&gt;"",IF($K$7:$K$86&lt;&gt;"",ROW($K$7:$K$86)-MIN(ROW($K$7:$K$86))+1,""),""),ROW()-ROW(A$88)+1)),"##0"),","),"")</f>
        <v/>
      </c>
      <c r="L91" t="str">
        <f t="array" ref="L91">IFERROR(CONCATENATE((INDEX($N$7:$N$86,SMALL(IF($N$7:$N$86&lt;&gt;"",IF($K$7:$K$86&lt;&gt;"",ROW($K$7:$K$86)-MIN(ROW($K$7:$K$86))+1,""),""),ROW()-ROW(A$88)+1))),","),"")</f>
        <v/>
      </c>
      <c r="M91" t="str">
        <f t="array" ref="M91">IFERROR(CONCATENATE((INDEX($A$7:$A$86,SMALL(IF($N$7:$N$86&lt;&gt;"",IF($K$7:$K$86&lt;&gt;"",ROW($K$7:$K$86)-MIN(ROW($K$7:$K$86))+1,""),""),ROW()-ROW(A$88)+1))),),"")</f>
        <v/>
      </c>
      <c r="Q91" t="str">
        <f t="array" ref="Q91">IFERROR(CONCATENATE((INDEX($T$7:$T$86,SMALL(IF($T$7:$T$86&lt;&gt;"",IF($Q$7:$Q$86&lt;&gt;"",ROW($Q$7:$Q$86)-MIN(ROW($Q$7:$Q$86))+1,""),""),ROW()-ROW(A$88)+1)))," "),"")</f>
        <v/>
      </c>
      <c r="R91" t="str">
        <f t="array" ref="R91">IFERROR(CONCATENATE(TEXT(INDEX($Q$7:$Q$86,SMALL(IF($T$7:$T$86&lt;&gt;"",IF($Q$7:$Q$86&lt;&gt;"",ROW($Q$7:$Q$86)-MIN(ROW($Q$7:$Q$86))+1,""),""),ROW()-ROW(A$88)+1)),"##0")," "),"")</f>
        <v/>
      </c>
      <c r="S91" t="str">
        <f t="array" ref="S91">IFERROR(CONCATENATE((INDEX($A$7:$A$86,SMALL(IF($T$7:$T$86&lt;&gt;"",IF($Q$7:$Q$86&lt;&gt;"",ROW($Q$7:$Q$86)-MIN(ROW($Q$7:$Q$86))+1,""),""),ROW()-ROW(A$88)+1))),),"")</f>
        <v/>
      </c>
      <c r="W91" t="str">
        <f t="array" ref="W91">IFERROR(CONCATENATE((INDEX($Z$7:$Z$86,SMALL(IF($Z$7:$Z$86&lt;&gt;"",IF($W$7:$W$86&lt;&gt;"",ROW($W$7:$W$86)-MIN(ROW($W$7:$W$86))+1,""),""),ROW()-ROW(A$88)+1)))," "),"")</f>
        <v/>
      </c>
      <c r="X91" t="str">
        <f t="array" ref="X91">IFERROR(CONCATENATE(TEXT(INDEX($W$7:$W$86,SMALL(IF($Z$7:$Z$86&lt;&gt;"",IF($W$7:$W$86&lt;&gt;"",ROW($W$7:$W$86)-MIN(ROW($W$7:$W$86))+1,""),""),ROW()-ROW(A$88)+1)),"##0")," "),"")</f>
        <v/>
      </c>
      <c r="Y91" t="str">
        <f t="array" ref="Y91">IFERROR(CONCATENATE((INDEX($A$7:$A$86,SMALL(IF($Z$7:$Z$86&lt;&gt;"",IF($W$7:$W$86&lt;&gt;"",ROW($W$7:$W$86)-MIN(ROW($W$7:$W$86))+1,""),""),ROW()-ROW(A$88)+1))),),"")</f>
        <v/>
      </c>
      <c r="AC91" t="str">
        <f t="array" ref="AC91">IFERROR(CONCATENATE((INDEX($AF$7:$AF$86,SMALL(IF($AF$7:$AF$86&lt;&gt;"",IF($AC$7:$AC$86&lt;&gt;"",ROW($AC$7:$AC$86)-MIN(ROW($AC$7:$AC$86))+1,""),""),ROW()-ROW(A$88)+1))),","),"")</f>
        <v/>
      </c>
      <c r="AD91" t="str">
        <f t="array" ref="AD91">IFERROR(CONCATENATE(TEXT(INDEX($AC$7:$AC$86,SMALL(IF($AF$7:$AF$86&lt;&gt;"",IF($AC$7:$AC$86&lt;&gt;"",ROW($AC$7:$AC$86)-MIN(ROW($AC$7:$AC$86))+1,""),""),ROW()-ROW(A$88)+1)),"##0"),","),"")</f>
        <v/>
      </c>
      <c r="AE91" t="str">
        <f t="array" ref="AE91">IFERROR(CONCATENATE((INDEX($A$7:$A$86,SMALL(IF($AF$7:$AF$86&lt;&gt;"",IF($AC$7:$AC$86&lt;&gt;"",ROW($AC$7:$AC$86)-MIN(ROW($AC$7:$AC$86))+1,""),""),ROW()-ROW(A$88)+1))),),"")</f>
        <v/>
      </c>
      <c r="AI91" t="str">
        <f t="array" ref="AI91">IFERROR(CONCATENATE((INDEX($AL$7:$AL$86,SMALL(IF($AL$7:$AL$86&lt;&gt;"",IF($AI$7:$AI$86&lt;&gt;"",ROW($AI$7:$AI$86)-MIN(ROW($AI$7:$AI$86))+1,""),""),ROW()-ROW(A$88)+1)))," "),"")</f>
        <v/>
      </c>
      <c r="AJ91" t="str">
        <f t="array" ref="AJ91">IFERROR(CONCATENATE(TEXT(INDEX($AI$7:$AI$86,SMALL(IF($AL$7:$AL$86&lt;&gt;"",IF($AI$7:$AI$86&lt;&gt;"",ROW($AI$7:$AI$86)-MIN(ROW($AI$7:$AI$86))+1,""),""),ROW()-ROW(A$88)+1)),"##0")," "),"")</f>
        <v/>
      </c>
      <c r="AK91" t="str">
        <f t="array" ref="AK91">IFERROR(CONCATENATE((INDEX($A$7:$A$86,SMALL(IF($AL$7:$AL$86&lt;&gt;"",IF($AI$7:$AI$86&lt;&gt;"",ROW($AI$7:$AI$86)-MIN(ROW($AI$7:$AI$86))+1,""),""),ROW()-ROW(A$88)+1))),),"")</f>
        <v/>
      </c>
    </row>
    <row r="92" spans="11:37">
      <c r="K92" t="str">
        <f t="array" ref="K92">IFERROR(CONCATENATE(TEXT(INDEX($K$7:$K$86,SMALL(IF($N$7:$N$86&lt;&gt;"",IF($K$7:$K$86&lt;&gt;"",ROW($K$7:$K$86)-MIN(ROW($K$7:$K$86))+1,""),""),ROW()-ROW(A$88)+1)),"##0"),","),"")</f>
        <v/>
      </c>
      <c r="L92" t="str">
        <f t="array" ref="L92">IFERROR(CONCATENATE((INDEX($N$7:$N$86,SMALL(IF($N$7:$N$86&lt;&gt;"",IF($K$7:$K$86&lt;&gt;"",ROW($K$7:$K$86)-MIN(ROW($K$7:$K$86))+1,""),""),ROW()-ROW(A$88)+1))),","),"")</f>
        <v/>
      </c>
      <c r="M92" t="str">
        <f t="array" ref="M92">IFERROR(CONCATENATE((INDEX($A$7:$A$86,SMALL(IF($N$7:$N$86&lt;&gt;"",IF($K$7:$K$86&lt;&gt;"",ROW($K$7:$K$86)-MIN(ROW($K$7:$K$86))+1,""),""),ROW()-ROW(A$88)+1))),),"")</f>
        <v/>
      </c>
      <c r="Q92" t="str">
        <f t="array" ref="Q92">IFERROR(CONCATENATE((INDEX($T$7:$T$86,SMALL(IF($T$7:$T$86&lt;&gt;"",IF($Q$7:$Q$86&lt;&gt;"",ROW($Q$7:$Q$86)-MIN(ROW($Q$7:$Q$86))+1,""),""),ROW()-ROW(A$88)+1)))," "),"")</f>
        <v/>
      </c>
      <c r="R92" t="str">
        <f t="array" ref="R92">IFERROR(CONCATENATE(TEXT(INDEX($Q$7:$Q$86,SMALL(IF($T$7:$T$86&lt;&gt;"",IF($Q$7:$Q$86&lt;&gt;"",ROW($Q$7:$Q$86)-MIN(ROW($Q$7:$Q$86))+1,""),""),ROW()-ROW(A$88)+1)),"##0")," "),"")</f>
        <v/>
      </c>
      <c r="S92" t="str">
        <f t="array" ref="S92">IFERROR(CONCATENATE((INDEX($A$7:$A$86,SMALL(IF($T$7:$T$86&lt;&gt;"",IF($Q$7:$Q$86&lt;&gt;"",ROW($Q$7:$Q$86)-MIN(ROW($Q$7:$Q$86))+1,""),""),ROW()-ROW(A$88)+1))),),"")</f>
        <v/>
      </c>
      <c r="W92" t="str">
        <f t="array" ref="W92">IFERROR(CONCATENATE((INDEX($Z$7:$Z$86,SMALL(IF($Z$7:$Z$86&lt;&gt;"",IF($W$7:$W$86&lt;&gt;"",ROW($W$7:$W$86)-MIN(ROW($W$7:$W$86))+1,""),""),ROW()-ROW(A$88)+1)))," "),"")</f>
        <v/>
      </c>
      <c r="X92" t="str">
        <f t="array" ref="X92">IFERROR(CONCATENATE(TEXT(INDEX($W$7:$W$86,SMALL(IF($Z$7:$Z$86&lt;&gt;"",IF($W$7:$W$86&lt;&gt;"",ROW($W$7:$W$86)-MIN(ROW($W$7:$W$86))+1,""),""),ROW()-ROW(A$88)+1)),"##0")," "),"")</f>
        <v/>
      </c>
      <c r="Y92" t="str">
        <f t="array" ref="Y92">IFERROR(CONCATENATE((INDEX($A$7:$A$86,SMALL(IF($Z$7:$Z$86&lt;&gt;"",IF($W$7:$W$86&lt;&gt;"",ROW($W$7:$W$86)-MIN(ROW($W$7:$W$86))+1,""),""),ROW()-ROW(A$88)+1))),),"")</f>
        <v/>
      </c>
      <c r="AC92" t="str">
        <f t="array" ref="AC92">IFERROR(CONCATENATE((INDEX($AF$7:$AF$86,SMALL(IF($AF$7:$AF$86&lt;&gt;"",IF($AC$7:$AC$86&lt;&gt;"",ROW($AC$7:$AC$86)-MIN(ROW($AC$7:$AC$86))+1,""),""),ROW()-ROW(A$88)+1))),","),"")</f>
        <v/>
      </c>
      <c r="AD92" t="str">
        <f t="array" ref="AD92">IFERROR(CONCATENATE(TEXT(INDEX($AC$7:$AC$86,SMALL(IF($AF$7:$AF$86&lt;&gt;"",IF($AC$7:$AC$86&lt;&gt;"",ROW($AC$7:$AC$86)-MIN(ROW($AC$7:$AC$86))+1,""),""),ROW()-ROW(A$88)+1)),"##0"),","),"")</f>
        <v/>
      </c>
      <c r="AE92" t="str">
        <f t="array" ref="AE92">IFERROR(CONCATENATE((INDEX($A$7:$A$86,SMALL(IF($AF$7:$AF$86&lt;&gt;"",IF($AC$7:$AC$86&lt;&gt;"",ROW($AC$7:$AC$86)-MIN(ROW($AC$7:$AC$86))+1,""),""),ROW()-ROW(A$88)+1))),),"")</f>
        <v/>
      </c>
      <c r="AI92" t="str">
        <f t="array" ref="AI92">IFERROR(CONCATENATE((INDEX($AL$7:$AL$86,SMALL(IF($AL$7:$AL$86&lt;&gt;"",IF($AI$7:$AI$86&lt;&gt;"",ROW($AI$7:$AI$86)-MIN(ROW($AI$7:$AI$86))+1,""),""),ROW()-ROW(A$88)+1)))," "),"")</f>
        <v/>
      </c>
      <c r="AJ92" t="str">
        <f t="array" ref="AJ92">IFERROR(CONCATENATE(TEXT(INDEX($AI$7:$AI$86,SMALL(IF($AL$7:$AL$86&lt;&gt;"",IF($AI$7:$AI$86&lt;&gt;"",ROW($AI$7:$AI$86)-MIN(ROW($AI$7:$AI$86))+1,""),""),ROW()-ROW(A$88)+1)),"##0")," "),"")</f>
        <v/>
      </c>
      <c r="AK92" t="str">
        <f t="array" ref="AK92">IFERROR(CONCATENATE((INDEX($A$7:$A$86,SMALL(IF($AL$7:$AL$86&lt;&gt;"",IF($AI$7:$AI$86&lt;&gt;"",ROW($AI$7:$AI$86)-MIN(ROW($AI$7:$AI$86))+1,""),""),ROW()-ROW(A$88)+1))),),"")</f>
        <v/>
      </c>
    </row>
    <row r="93" spans="11:37">
      <c r="K93" t="str">
        <f t="array" ref="K93">IFERROR(CONCATENATE(TEXT(INDEX($K$7:$K$86,SMALL(IF($N$7:$N$86&lt;&gt;"",IF($K$7:$K$86&lt;&gt;"",ROW($K$7:$K$86)-MIN(ROW($K$7:$K$86))+1,""),""),ROW()-ROW(A$88)+1)),"##0"),","),"")</f>
        <v/>
      </c>
      <c r="L93" t="str">
        <f t="array" ref="L93">IFERROR(CONCATENATE((INDEX($N$7:$N$86,SMALL(IF($N$7:$N$86&lt;&gt;"",IF($K$7:$K$86&lt;&gt;"",ROW($K$7:$K$86)-MIN(ROW($K$7:$K$86))+1,""),""),ROW()-ROW(A$88)+1))),","),"")</f>
        <v/>
      </c>
      <c r="M93" t="str">
        <f t="array" ref="M93">IFERROR(CONCATENATE((INDEX($A$7:$A$86,SMALL(IF($N$7:$N$86&lt;&gt;"",IF($K$7:$K$86&lt;&gt;"",ROW($K$7:$K$86)-MIN(ROW($K$7:$K$86))+1,""),""),ROW()-ROW(A$88)+1))),),"")</f>
        <v/>
      </c>
      <c r="Q93" t="str">
        <f t="array" ref="Q93">IFERROR(CONCATENATE((INDEX($T$7:$T$86,SMALL(IF($T$7:$T$86&lt;&gt;"",IF($Q$7:$Q$86&lt;&gt;"",ROW($Q$7:$Q$86)-MIN(ROW($Q$7:$Q$86))+1,""),""),ROW()-ROW(A$88)+1)))," "),"")</f>
        <v/>
      </c>
      <c r="R93" t="str">
        <f t="array" ref="R93">IFERROR(CONCATENATE(TEXT(INDEX($Q$7:$Q$86,SMALL(IF($T$7:$T$86&lt;&gt;"",IF($Q$7:$Q$86&lt;&gt;"",ROW($Q$7:$Q$86)-MIN(ROW($Q$7:$Q$86))+1,""),""),ROW()-ROW(A$88)+1)),"##0")," "),"")</f>
        <v/>
      </c>
      <c r="S93" t="str">
        <f t="array" ref="S93">IFERROR(CONCATENATE((INDEX($A$7:$A$86,SMALL(IF($T$7:$T$86&lt;&gt;"",IF($Q$7:$Q$86&lt;&gt;"",ROW($Q$7:$Q$86)-MIN(ROW($Q$7:$Q$86))+1,""),""),ROW()-ROW(A$88)+1))),),"")</f>
        <v/>
      </c>
      <c r="W93" t="str">
        <f t="array" ref="W93">IFERROR(CONCATENATE((INDEX($Z$7:$Z$86,SMALL(IF($Z$7:$Z$86&lt;&gt;"",IF($W$7:$W$86&lt;&gt;"",ROW($W$7:$W$86)-MIN(ROW($W$7:$W$86))+1,""),""),ROW()-ROW(A$88)+1)))," "),"")</f>
        <v/>
      </c>
      <c r="X93" t="str">
        <f t="array" ref="X93">IFERROR(CONCATENATE(TEXT(INDEX($W$7:$W$86,SMALL(IF($Z$7:$Z$86&lt;&gt;"",IF($W$7:$W$86&lt;&gt;"",ROW($W$7:$W$86)-MIN(ROW($W$7:$W$86))+1,""),""),ROW()-ROW(A$88)+1)),"##0")," "),"")</f>
        <v/>
      </c>
      <c r="Y93" t="str">
        <f t="array" ref="Y93">IFERROR(CONCATENATE((INDEX($A$7:$A$86,SMALL(IF($Z$7:$Z$86&lt;&gt;"",IF($W$7:$W$86&lt;&gt;"",ROW($W$7:$W$86)-MIN(ROW($W$7:$W$86))+1,""),""),ROW()-ROW(A$88)+1))),),"")</f>
        <v/>
      </c>
      <c r="AC93" t="str">
        <f t="array" ref="AC93">IFERROR(CONCATENATE((INDEX($AF$7:$AF$86,SMALL(IF($AF$7:$AF$86&lt;&gt;"",IF($AC$7:$AC$86&lt;&gt;"",ROW($AC$7:$AC$86)-MIN(ROW($AC$7:$AC$86))+1,""),""),ROW()-ROW(A$88)+1))),","),"")</f>
        <v/>
      </c>
      <c r="AD93" t="str">
        <f t="array" ref="AD93">IFERROR(CONCATENATE(TEXT(INDEX($AC$7:$AC$86,SMALL(IF($AF$7:$AF$86&lt;&gt;"",IF($AC$7:$AC$86&lt;&gt;"",ROW($AC$7:$AC$86)-MIN(ROW($AC$7:$AC$86))+1,""),""),ROW()-ROW(A$88)+1)),"##0"),","),"")</f>
        <v/>
      </c>
      <c r="AE93" t="str">
        <f t="array" ref="AE93">IFERROR(CONCATENATE((INDEX($A$7:$A$86,SMALL(IF($AF$7:$AF$86&lt;&gt;"",IF($AC$7:$AC$86&lt;&gt;"",ROW($AC$7:$AC$86)-MIN(ROW($AC$7:$AC$86))+1,""),""),ROW()-ROW(A$88)+1))),),"")</f>
        <v/>
      </c>
      <c r="AI93" t="str">
        <f t="array" ref="AI93">IFERROR(CONCATENATE((INDEX($AL$7:$AL$86,SMALL(IF($AL$7:$AL$86&lt;&gt;"",IF($AI$7:$AI$86&lt;&gt;"",ROW($AI$7:$AI$86)-MIN(ROW($AI$7:$AI$86))+1,""),""),ROW()-ROW(A$88)+1)))," "),"")</f>
        <v/>
      </c>
      <c r="AJ93" t="str">
        <f t="array" ref="AJ93">IFERROR(CONCATENATE(TEXT(INDEX($AI$7:$AI$86,SMALL(IF($AL$7:$AL$86&lt;&gt;"",IF($AI$7:$AI$86&lt;&gt;"",ROW($AI$7:$AI$86)-MIN(ROW($AI$7:$AI$86))+1,""),""),ROW()-ROW(A$88)+1)),"##0")," "),"")</f>
        <v/>
      </c>
      <c r="AK93" t="str">
        <f t="array" ref="AK93">IFERROR(CONCATENATE((INDEX($A$7:$A$86,SMALL(IF($AL$7:$AL$86&lt;&gt;"",IF($AI$7:$AI$86&lt;&gt;"",ROW($AI$7:$AI$86)-MIN(ROW($AI$7:$AI$86))+1,""),""),ROW()-ROW(A$88)+1))),),"")</f>
        <v/>
      </c>
    </row>
    <row r="94" spans="11:37">
      <c r="K94" t="str">
        <f t="array" ref="K94">IFERROR(CONCATENATE(TEXT(INDEX($K$7:$K$86,SMALL(IF($N$7:$N$86&lt;&gt;"",IF($K$7:$K$86&lt;&gt;"",ROW($K$7:$K$86)-MIN(ROW($K$7:$K$86))+1,""),""),ROW()-ROW(A$88)+1)),"##0"),","),"")</f>
        <v/>
      </c>
      <c r="L94" t="str">
        <f t="array" ref="L94">IFERROR(CONCATENATE((INDEX($N$7:$N$86,SMALL(IF($N$7:$N$86&lt;&gt;"",IF($K$7:$K$86&lt;&gt;"",ROW($K$7:$K$86)-MIN(ROW($K$7:$K$86))+1,""),""),ROW()-ROW(A$88)+1))),","),"")</f>
        <v/>
      </c>
      <c r="M94" t="str">
        <f t="array" ref="M94">IFERROR(CONCATENATE((INDEX($A$7:$A$86,SMALL(IF($N$7:$N$86&lt;&gt;"",IF($K$7:$K$86&lt;&gt;"",ROW($K$7:$K$86)-MIN(ROW($K$7:$K$86))+1,""),""),ROW()-ROW(A$88)+1))),),"")</f>
        <v/>
      </c>
      <c r="Q94" t="str">
        <f t="array" ref="Q94">IFERROR(CONCATENATE((INDEX($T$7:$T$86,SMALL(IF($T$7:$T$86&lt;&gt;"",IF($Q$7:$Q$86&lt;&gt;"",ROW($Q$7:$Q$86)-MIN(ROW($Q$7:$Q$86))+1,""),""),ROW()-ROW(A$88)+1)))," "),"")</f>
        <v/>
      </c>
      <c r="R94" t="str">
        <f t="array" ref="R94">IFERROR(CONCATENATE(TEXT(INDEX($Q$7:$Q$86,SMALL(IF($T$7:$T$86&lt;&gt;"",IF($Q$7:$Q$86&lt;&gt;"",ROW($Q$7:$Q$86)-MIN(ROW($Q$7:$Q$86))+1,""),""),ROW()-ROW(A$88)+1)),"##0")," "),"")</f>
        <v/>
      </c>
      <c r="S94" t="str">
        <f t="array" ref="S94">IFERROR(CONCATENATE((INDEX($A$7:$A$86,SMALL(IF($T$7:$T$86&lt;&gt;"",IF($Q$7:$Q$86&lt;&gt;"",ROW($Q$7:$Q$86)-MIN(ROW($Q$7:$Q$86))+1,""),""),ROW()-ROW(A$88)+1))),),"")</f>
        <v/>
      </c>
      <c r="W94" t="str">
        <f t="array" ref="W94">IFERROR(CONCATENATE((INDEX($Z$7:$Z$86,SMALL(IF($Z$7:$Z$86&lt;&gt;"",IF($W$7:$W$86&lt;&gt;"",ROW($W$7:$W$86)-MIN(ROW($W$7:$W$86))+1,""),""),ROW()-ROW(A$88)+1)))," "),"")</f>
        <v/>
      </c>
      <c r="X94" t="str">
        <f t="array" ref="X94">IFERROR(CONCATENATE(TEXT(INDEX($W$7:$W$86,SMALL(IF($Z$7:$Z$86&lt;&gt;"",IF($W$7:$W$86&lt;&gt;"",ROW($W$7:$W$86)-MIN(ROW($W$7:$W$86))+1,""),""),ROW()-ROW(A$88)+1)),"##0")," "),"")</f>
        <v/>
      </c>
      <c r="Y94" t="str">
        <f t="array" ref="Y94">IFERROR(CONCATENATE((INDEX($A$7:$A$86,SMALL(IF($Z$7:$Z$86&lt;&gt;"",IF($W$7:$W$86&lt;&gt;"",ROW($W$7:$W$86)-MIN(ROW($W$7:$W$86))+1,""),""),ROW()-ROW(A$88)+1))),),"")</f>
        <v/>
      </c>
      <c r="AC94" t="str">
        <f t="array" ref="AC94">IFERROR(CONCATENATE((INDEX($AF$7:$AF$86,SMALL(IF($AF$7:$AF$86&lt;&gt;"",IF($AC$7:$AC$86&lt;&gt;"",ROW($AC$7:$AC$86)-MIN(ROW($AC$7:$AC$86))+1,""),""),ROW()-ROW(A$88)+1))),","),"")</f>
        <v/>
      </c>
      <c r="AD94" t="str">
        <f t="array" ref="AD94">IFERROR(CONCATENATE(TEXT(INDEX($AC$7:$AC$86,SMALL(IF($AF$7:$AF$86&lt;&gt;"",IF($AC$7:$AC$86&lt;&gt;"",ROW($AC$7:$AC$86)-MIN(ROW($AC$7:$AC$86))+1,""),""),ROW()-ROW(A$88)+1)),"##0"),","),"")</f>
        <v/>
      </c>
      <c r="AE94" t="str">
        <f t="array" ref="AE94">IFERROR(CONCATENATE((INDEX($A$7:$A$86,SMALL(IF($AF$7:$AF$86&lt;&gt;"",IF($AC$7:$AC$86&lt;&gt;"",ROW($AC$7:$AC$86)-MIN(ROW($AC$7:$AC$86))+1,""),""),ROW()-ROW(A$88)+1))),),"")</f>
        <v/>
      </c>
      <c r="AI94" t="str">
        <f t="array" ref="AI94">IFERROR(CONCATENATE((INDEX($AL$7:$AL$86,SMALL(IF($AL$7:$AL$86&lt;&gt;"",IF($AI$7:$AI$86&lt;&gt;"",ROW($AI$7:$AI$86)-MIN(ROW($AI$7:$AI$86))+1,""),""),ROW()-ROW(A$88)+1)))," "),"")</f>
        <v/>
      </c>
      <c r="AJ94" t="str">
        <f t="array" ref="AJ94">IFERROR(CONCATENATE(TEXT(INDEX($AI$7:$AI$86,SMALL(IF($AL$7:$AL$86&lt;&gt;"",IF($AI$7:$AI$86&lt;&gt;"",ROW($AI$7:$AI$86)-MIN(ROW($AI$7:$AI$86))+1,""),""),ROW()-ROW(A$88)+1)),"##0")," "),"")</f>
        <v/>
      </c>
      <c r="AK94" t="str">
        <f t="array" ref="AK94">IFERROR(CONCATENATE((INDEX($A$7:$A$86,SMALL(IF($AL$7:$AL$86&lt;&gt;"",IF($AI$7:$AI$86&lt;&gt;"",ROW($AI$7:$AI$86)-MIN(ROW($AI$7:$AI$86))+1,""),""),ROW()-ROW(A$88)+1))),),"")</f>
        <v/>
      </c>
    </row>
    <row r="95" spans="11:37">
      <c r="K95" t="str">
        <f t="array" ref="K95">IFERROR(CONCATENATE(TEXT(INDEX($K$7:$K$86,SMALL(IF($N$7:$N$86&lt;&gt;"",IF($K$7:$K$86&lt;&gt;"",ROW($K$7:$K$86)-MIN(ROW($K$7:$K$86))+1,""),""),ROW()-ROW(A$88)+1)),"##0"),","),"")</f>
        <v/>
      </c>
      <c r="L95" t="str">
        <f t="array" ref="L95">IFERROR(CONCATENATE((INDEX($N$7:$N$86,SMALL(IF($N$7:$N$86&lt;&gt;"",IF($K$7:$K$86&lt;&gt;"",ROW($K$7:$K$86)-MIN(ROW($K$7:$K$86))+1,""),""),ROW()-ROW(A$88)+1))),","),"")</f>
        <v/>
      </c>
      <c r="M95" t="str">
        <f t="array" ref="M95">IFERROR(CONCATENATE((INDEX($A$7:$A$86,SMALL(IF($N$7:$N$86&lt;&gt;"",IF($K$7:$K$86&lt;&gt;"",ROW($K$7:$K$86)-MIN(ROW($K$7:$K$86))+1,""),""),ROW()-ROW(A$88)+1))),),"")</f>
        <v/>
      </c>
      <c r="Q95" t="str">
        <f t="array" ref="Q95">IFERROR(CONCATENATE((INDEX($T$7:$T$86,SMALL(IF($T$7:$T$86&lt;&gt;"",IF($Q$7:$Q$86&lt;&gt;"",ROW($Q$7:$Q$86)-MIN(ROW($Q$7:$Q$86))+1,""),""),ROW()-ROW(A$88)+1)))," "),"")</f>
        <v/>
      </c>
      <c r="R95" t="str">
        <f t="array" ref="R95">IFERROR(CONCATENATE(TEXT(INDEX($Q$7:$Q$86,SMALL(IF($T$7:$T$86&lt;&gt;"",IF($Q$7:$Q$86&lt;&gt;"",ROW($Q$7:$Q$86)-MIN(ROW($Q$7:$Q$86))+1,""),""),ROW()-ROW(A$88)+1)),"##0")," "),"")</f>
        <v/>
      </c>
      <c r="S95" t="str">
        <f t="array" ref="S95">IFERROR(CONCATENATE((INDEX($A$7:$A$86,SMALL(IF($T$7:$T$86&lt;&gt;"",IF($Q$7:$Q$86&lt;&gt;"",ROW($Q$7:$Q$86)-MIN(ROW($Q$7:$Q$86))+1,""),""),ROW()-ROW(A$88)+1))),),"")</f>
        <v/>
      </c>
      <c r="W95" t="str">
        <f t="array" ref="W95">IFERROR(CONCATENATE((INDEX($Z$7:$Z$86,SMALL(IF($Z$7:$Z$86&lt;&gt;"",IF($W$7:$W$86&lt;&gt;"",ROW($W$7:$W$86)-MIN(ROW($W$7:$W$86))+1,""),""),ROW()-ROW(A$88)+1)))," "),"")</f>
        <v/>
      </c>
      <c r="X95" t="str">
        <f t="array" ref="X95">IFERROR(CONCATENATE(TEXT(INDEX($W$7:$W$86,SMALL(IF($Z$7:$Z$86&lt;&gt;"",IF($W$7:$W$86&lt;&gt;"",ROW($W$7:$W$86)-MIN(ROW($W$7:$W$86))+1,""),""),ROW()-ROW(A$88)+1)),"##0")," "),"")</f>
        <v/>
      </c>
      <c r="Y95" t="str">
        <f t="array" ref="Y95">IFERROR(CONCATENATE((INDEX($A$7:$A$86,SMALL(IF($Z$7:$Z$86&lt;&gt;"",IF($W$7:$W$86&lt;&gt;"",ROW($W$7:$W$86)-MIN(ROW($W$7:$W$86))+1,""),""),ROW()-ROW(A$88)+1))),),"")</f>
        <v/>
      </c>
      <c r="AC95" t="str">
        <f t="array" ref="AC95">IFERROR(CONCATENATE((INDEX($AF$7:$AF$86,SMALL(IF($AF$7:$AF$86&lt;&gt;"",IF($AC$7:$AC$86&lt;&gt;"",ROW($AC$7:$AC$86)-MIN(ROW($AC$7:$AC$86))+1,""),""),ROW()-ROW(A$88)+1))),","),"")</f>
        <v/>
      </c>
      <c r="AD95" t="str">
        <f t="array" ref="AD95">IFERROR(CONCATENATE(TEXT(INDEX($AC$7:$AC$86,SMALL(IF($AF$7:$AF$86&lt;&gt;"",IF($AC$7:$AC$86&lt;&gt;"",ROW($AC$7:$AC$86)-MIN(ROW($AC$7:$AC$86))+1,""),""),ROW()-ROW(A$88)+1)),"##0"),","),"")</f>
        <v/>
      </c>
      <c r="AE95" t="str">
        <f t="array" ref="AE95">IFERROR(CONCATENATE((INDEX($A$7:$A$86,SMALL(IF($AF$7:$AF$86&lt;&gt;"",IF($AC$7:$AC$86&lt;&gt;"",ROW($AC$7:$AC$86)-MIN(ROW($AC$7:$AC$86))+1,""),""),ROW()-ROW(A$88)+1))),),"")</f>
        <v/>
      </c>
      <c r="AI95" t="str">
        <f t="array" ref="AI95">IFERROR(CONCATENATE((INDEX($AL$7:$AL$86,SMALL(IF($AL$7:$AL$86&lt;&gt;"",IF($AI$7:$AI$86&lt;&gt;"",ROW($AI$7:$AI$86)-MIN(ROW($AI$7:$AI$86))+1,""),""),ROW()-ROW(A$88)+1)))," "),"")</f>
        <v/>
      </c>
      <c r="AJ95" t="str">
        <f t="array" ref="AJ95">IFERROR(CONCATENATE(TEXT(INDEX($AI$7:$AI$86,SMALL(IF($AL$7:$AL$86&lt;&gt;"",IF($AI$7:$AI$86&lt;&gt;"",ROW($AI$7:$AI$86)-MIN(ROW($AI$7:$AI$86))+1,""),""),ROW()-ROW(A$88)+1)),"##0")," "),"")</f>
        <v/>
      </c>
      <c r="AK95" t="str">
        <f t="array" ref="AK95">IFERROR(CONCATENATE((INDEX($A$7:$A$86,SMALL(IF($AL$7:$AL$86&lt;&gt;"",IF($AI$7:$AI$86&lt;&gt;"",ROW($AI$7:$AI$86)-MIN(ROW($AI$7:$AI$86))+1,""),""),ROW()-ROW(A$88)+1))),),"")</f>
        <v/>
      </c>
    </row>
    <row r="96" spans="11:37">
      <c r="K96" t="str">
        <f t="array" ref="K96">IFERROR(CONCATENATE(TEXT(INDEX($K$7:$K$86,SMALL(IF($N$7:$N$86&lt;&gt;"",IF($K$7:$K$86&lt;&gt;"",ROW($K$7:$K$86)-MIN(ROW($K$7:$K$86))+1,""),""),ROW()-ROW(A$88)+1)),"##0"),","),"")</f>
        <v/>
      </c>
      <c r="L96" t="str">
        <f t="array" ref="L96">IFERROR(CONCATENATE((INDEX($N$7:$N$86,SMALL(IF($N$7:$N$86&lt;&gt;"",IF($K$7:$K$86&lt;&gt;"",ROW($K$7:$K$86)-MIN(ROW($K$7:$K$86))+1,""),""),ROW()-ROW(A$88)+1))),","),"")</f>
        <v/>
      </c>
      <c r="M96" t="str">
        <f t="array" ref="M96">IFERROR(CONCATENATE((INDEX($A$7:$A$86,SMALL(IF($N$7:$N$86&lt;&gt;"",IF($K$7:$K$86&lt;&gt;"",ROW($K$7:$K$86)-MIN(ROW($K$7:$K$86))+1,""),""),ROW()-ROW(A$88)+1))),),"")</f>
        <v/>
      </c>
      <c r="Q96" t="str">
        <f t="array" ref="Q96">IFERROR(CONCATENATE((INDEX($T$7:$T$86,SMALL(IF($T$7:$T$86&lt;&gt;"",IF($Q$7:$Q$86&lt;&gt;"",ROW($Q$7:$Q$86)-MIN(ROW($Q$7:$Q$86))+1,""),""),ROW()-ROW(A$88)+1)))," "),"")</f>
        <v/>
      </c>
      <c r="R96" t="str">
        <f t="array" ref="R96">IFERROR(CONCATENATE(TEXT(INDEX($Q$7:$Q$86,SMALL(IF($T$7:$T$86&lt;&gt;"",IF($Q$7:$Q$86&lt;&gt;"",ROW($Q$7:$Q$86)-MIN(ROW($Q$7:$Q$86))+1,""),""),ROW()-ROW(A$88)+1)),"##0")," "),"")</f>
        <v/>
      </c>
      <c r="S96" t="str">
        <f t="array" ref="S96">IFERROR(CONCATENATE((INDEX($A$7:$A$86,SMALL(IF($T$7:$T$86&lt;&gt;"",IF($Q$7:$Q$86&lt;&gt;"",ROW($Q$7:$Q$86)-MIN(ROW($Q$7:$Q$86))+1,""),""),ROW()-ROW(A$88)+1))),),"")</f>
        <v/>
      </c>
      <c r="W96" t="str">
        <f t="array" ref="W96">IFERROR(CONCATENATE((INDEX($Z$7:$Z$86,SMALL(IF($Z$7:$Z$86&lt;&gt;"",IF($W$7:$W$86&lt;&gt;"",ROW($W$7:$W$86)-MIN(ROW($W$7:$W$86))+1,""),""),ROW()-ROW(A$88)+1)))," "),"")</f>
        <v/>
      </c>
      <c r="X96" t="str">
        <f t="array" ref="X96">IFERROR(CONCATENATE(TEXT(INDEX($W$7:$W$86,SMALL(IF($Z$7:$Z$86&lt;&gt;"",IF($W$7:$W$86&lt;&gt;"",ROW($W$7:$W$86)-MIN(ROW($W$7:$W$86))+1,""),""),ROW()-ROW(A$88)+1)),"##0")," "),"")</f>
        <v/>
      </c>
      <c r="Y96" t="str">
        <f t="array" ref="Y96">IFERROR(CONCATENATE((INDEX($A$7:$A$86,SMALL(IF($Z$7:$Z$86&lt;&gt;"",IF($W$7:$W$86&lt;&gt;"",ROW($W$7:$W$86)-MIN(ROW($W$7:$W$86))+1,""),""),ROW()-ROW(A$88)+1))),),"")</f>
        <v/>
      </c>
      <c r="AC96" t="str">
        <f t="array" ref="AC96">IFERROR(CONCATENATE((INDEX($AF$7:$AF$86,SMALL(IF($AF$7:$AF$86&lt;&gt;"",IF($AC$7:$AC$86&lt;&gt;"",ROW($AC$7:$AC$86)-MIN(ROW($AC$7:$AC$86))+1,""),""),ROW()-ROW(A$88)+1))),","),"")</f>
        <v/>
      </c>
      <c r="AD96" t="str">
        <f t="array" ref="AD96">IFERROR(CONCATENATE(TEXT(INDEX($AC$7:$AC$86,SMALL(IF($AF$7:$AF$86&lt;&gt;"",IF($AC$7:$AC$86&lt;&gt;"",ROW($AC$7:$AC$86)-MIN(ROW($AC$7:$AC$86))+1,""),""),ROW()-ROW(A$88)+1)),"##0"),","),"")</f>
        <v/>
      </c>
      <c r="AE96" t="str">
        <f t="array" ref="AE96">IFERROR(CONCATENATE((INDEX($A$7:$A$86,SMALL(IF($AF$7:$AF$86&lt;&gt;"",IF($AC$7:$AC$86&lt;&gt;"",ROW($AC$7:$AC$86)-MIN(ROW($AC$7:$AC$86))+1,""),""),ROW()-ROW(A$88)+1))),),"")</f>
        <v/>
      </c>
      <c r="AI96" t="str">
        <f t="array" ref="AI96">IFERROR(CONCATENATE((INDEX($AL$7:$AL$86,SMALL(IF($AL$7:$AL$86&lt;&gt;"",IF($AI$7:$AI$86&lt;&gt;"",ROW($AI$7:$AI$86)-MIN(ROW($AI$7:$AI$86))+1,""),""),ROW()-ROW(A$88)+1)))," "),"")</f>
        <v/>
      </c>
      <c r="AJ96" t="str">
        <f t="array" ref="AJ96">IFERROR(CONCATENATE(TEXT(INDEX($AI$7:$AI$86,SMALL(IF($AL$7:$AL$86&lt;&gt;"",IF($AI$7:$AI$86&lt;&gt;"",ROW($AI$7:$AI$86)-MIN(ROW($AI$7:$AI$86))+1,""),""),ROW()-ROW(A$88)+1)),"##0")," "),"")</f>
        <v/>
      </c>
      <c r="AK96" t="str">
        <f t="array" ref="AK96">IFERROR(CONCATENATE((INDEX($A$7:$A$86,SMALL(IF($AL$7:$AL$86&lt;&gt;"",IF($AI$7:$AI$86&lt;&gt;"",ROW($AI$7:$AI$86)-MIN(ROW($AI$7:$AI$86))+1,""),""),ROW()-ROW(A$88)+1))),),"")</f>
        <v/>
      </c>
    </row>
    <row r="97" spans="11:37">
      <c r="K97" t="str">
        <f t="array" ref="K97">IFERROR(CONCATENATE(TEXT(INDEX($K$7:$K$86,SMALL(IF($N$7:$N$86&lt;&gt;"",IF($K$7:$K$86&lt;&gt;"",ROW($K$7:$K$86)-MIN(ROW($K$7:$K$86))+1,""),""),ROW()-ROW(A$88)+1)),"##0"),","),"")</f>
        <v/>
      </c>
      <c r="L97" t="str">
        <f t="array" ref="L97">IFERROR(CONCATENATE((INDEX($N$7:$N$86,SMALL(IF($N$7:$N$86&lt;&gt;"",IF($K$7:$K$86&lt;&gt;"",ROW($K$7:$K$86)-MIN(ROW($K$7:$K$86))+1,""),""),ROW()-ROW(A$88)+1))),","),"")</f>
        <v/>
      </c>
      <c r="M97" t="str">
        <f t="array" ref="M97">IFERROR(CONCATENATE((INDEX($A$7:$A$86,SMALL(IF($N$7:$N$86&lt;&gt;"",IF($K$7:$K$86&lt;&gt;"",ROW($K$7:$K$86)-MIN(ROW($K$7:$K$86))+1,""),""),ROW()-ROW(A$88)+1))),),"")</f>
        <v/>
      </c>
      <c r="Q97" t="str">
        <f t="array" ref="Q97">IFERROR(CONCATENATE((INDEX($T$7:$T$86,SMALL(IF($T$7:$T$86&lt;&gt;"",IF($Q$7:$Q$86&lt;&gt;"",ROW($Q$7:$Q$86)-MIN(ROW($Q$7:$Q$86))+1,""),""),ROW()-ROW(A$88)+1)))," "),"")</f>
        <v/>
      </c>
      <c r="R97" t="str">
        <f t="array" ref="R97">IFERROR(CONCATENATE(TEXT(INDEX($Q$7:$Q$86,SMALL(IF($T$7:$T$86&lt;&gt;"",IF($Q$7:$Q$86&lt;&gt;"",ROW($Q$7:$Q$86)-MIN(ROW($Q$7:$Q$86))+1,""),""),ROW()-ROW(A$88)+1)),"##0")," "),"")</f>
        <v/>
      </c>
      <c r="S97" t="str">
        <f t="array" ref="S97">IFERROR(CONCATENATE((INDEX($A$7:$A$86,SMALL(IF($T$7:$T$86&lt;&gt;"",IF($Q$7:$Q$86&lt;&gt;"",ROW($Q$7:$Q$86)-MIN(ROW($Q$7:$Q$86))+1,""),""),ROW()-ROW(A$88)+1))),),"")</f>
        <v/>
      </c>
      <c r="W97" t="str">
        <f t="array" ref="W97">IFERROR(CONCATENATE((INDEX($Z$7:$Z$86,SMALL(IF($Z$7:$Z$86&lt;&gt;"",IF($W$7:$W$86&lt;&gt;"",ROW($W$7:$W$86)-MIN(ROW($W$7:$W$86))+1,""),""),ROW()-ROW(A$88)+1)))," "),"")</f>
        <v/>
      </c>
      <c r="X97" t="str">
        <f t="array" ref="X97">IFERROR(CONCATENATE(TEXT(INDEX($W$7:$W$86,SMALL(IF($Z$7:$Z$86&lt;&gt;"",IF($W$7:$W$86&lt;&gt;"",ROW($W$7:$W$86)-MIN(ROW($W$7:$W$86))+1,""),""),ROW()-ROW(A$88)+1)),"##0")," "),"")</f>
        <v/>
      </c>
      <c r="Y97" t="str">
        <f t="array" ref="Y97">IFERROR(CONCATENATE((INDEX($A$7:$A$86,SMALL(IF($Z$7:$Z$86&lt;&gt;"",IF($W$7:$W$86&lt;&gt;"",ROW($W$7:$W$86)-MIN(ROW($W$7:$W$86))+1,""),""),ROW()-ROW(A$88)+1))),),"")</f>
        <v/>
      </c>
      <c r="AC97" t="str">
        <f t="array" ref="AC97">IFERROR(CONCATENATE((INDEX($AF$7:$AF$86,SMALL(IF($AF$7:$AF$86&lt;&gt;"",IF($AC$7:$AC$86&lt;&gt;"",ROW($AC$7:$AC$86)-MIN(ROW($AC$7:$AC$86))+1,""),""),ROW()-ROW(A$88)+1))),","),"")</f>
        <v/>
      </c>
      <c r="AD97" t="str">
        <f t="array" ref="AD97">IFERROR(CONCATENATE(TEXT(INDEX($AC$7:$AC$86,SMALL(IF($AF$7:$AF$86&lt;&gt;"",IF($AC$7:$AC$86&lt;&gt;"",ROW($AC$7:$AC$86)-MIN(ROW($AC$7:$AC$86))+1,""),""),ROW()-ROW(A$88)+1)),"##0"),","),"")</f>
        <v/>
      </c>
      <c r="AE97" t="str">
        <f t="array" ref="AE97">IFERROR(CONCATENATE((INDEX($A$7:$A$86,SMALL(IF($AF$7:$AF$86&lt;&gt;"",IF($AC$7:$AC$86&lt;&gt;"",ROW($AC$7:$AC$86)-MIN(ROW($AC$7:$AC$86))+1,""),""),ROW()-ROW(A$88)+1))),),"")</f>
        <v/>
      </c>
      <c r="AI97" t="str">
        <f t="array" ref="AI97">IFERROR(CONCATENATE((INDEX($AL$7:$AL$86,SMALL(IF($AL$7:$AL$86&lt;&gt;"",IF($AI$7:$AI$86&lt;&gt;"",ROW($AI$7:$AI$86)-MIN(ROW($AI$7:$AI$86))+1,""),""),ROW()-ROW(A$88)+1)))," "),"")</f>
        <v/>
      </c>
      <c r="AJ97" t="str">
        <f t="array" ref="AJ97">IFERROR(CONCATENATE(TEXT(INDEX($AI$7:$AI$86,SMALL(IF($AL$7:$AL$86&lt;&gt;"",IF($AI$7:$AI$86&lt;&gt;"",ROW($AI$7:$AI$86)-MIN(ROW($AI$7:$AI$86))+1,""),""),ROW()-ROW(A$88)+1)),"##0")," "),"")</f>
        <v/>
      </c>
      <c r="AK97" t="str">
        <f t="array" ref="AK97">IFERROR(CONCATENATE((INDEX($A$7:$A$86,SMALL(IF($AL$7:$AL$86&lt;&gt;"",IF($AI$7:$AI$86&lt;&gt;"",ROW($AI$7:$AI$86)-MIN(ROW($AI$7:$AI$86))+1,""),""),ROW()-ROW(A$88)+1))),),"")</f>
        <v/>
      </c>
    </row>
    <row r="98" spans="11:37">
      <c r="K98" t="str">
        <f t="array" ref="K98">IFERROR(CONCATENATE(TEXT(INDEX($K$7:$K$86,SMALL(IF($N$7:$N$86&lt;&gt;"",IF($K$7:$K$86&lt;&gt;"",ROW($K$7:$K$86)-MIN(ROW($K$7:$K$86))+1,""),""),ROW()-ROW(A$88)+1)),"##0"),","),"")</f>
        <v/>
      </c>
      <c r="L98" t="str">
        <f t="array" ref="L98">IFERROR(CONCATENATE((INDEX($N$7:$N$86,SMALL(IF($N$7:$N$86&lt;&gt;"",IF($K$7:$K$86&lt;&gt;"",ROW($K$7:$K$86)-MIN(ROW($K$7:$K$86))+1,""),""),ROW()-ROW(A$88)+1))),","),"")</f>
        <v/>
      </c>
      <c r="M98" t="str">
        <f t="array" ref="M98">IFERROR(CONCATENATE((INDEX($A$7:$A$86,SMALL(IF($N$7:$N$86&lt;&gt;"",IF($K$7:$K$86&lt;&gt;"",ROW($K$7:$K$86)-MIN(ROW($K$7:$K$86))+1,""),""),ROW()-ROW(A$88)+1))),),"")</f>
        <v/>
      </c>
      <c r="Q98" t="str">
        <f t="array" ref="Q98">IFERROR(CONCATENATE((INDEX($T$7:$T$86,SMALL(IF($T$7:$T$86&lt;&gt;"",IF($Q$7:$Q$86&lt;&gt;"",ROW($Q$7:$Q$86)-MIN(ROW($Q$7:$Q$86))+1,""),""),ROW()-ROW(A$88)+1)))," "),"")</f>
        <v/>
      </c>
      <c r="R98" t="str">
        <f t="array" ref="R98">IFERROR(CONCATENATE(TEXT(INDEX($Q$7:$Q$86,SMALL(IF($T$7:$T$86&lt;&gt;"",IF($Q$7:$Q$86&lt;&gt;"",ROW($Q$7:$Q$86)-MIN(ROW($Q$7:$Q$86))+1,""),""),ROW()-ROW(A$88)+1)),"##0")," "),"")</f>
        <v/>
      </c>
      <c r="S98" t="str">
        <f t="array" ref="S98">IFERROR(CONCATENATE((INDEX($A$7:$A$86,SMALL(IF($T$7:$T$86&lt;&gt;"",IF($Q$7:$Q$86&lt;&gt;"",ROW($Q$7:$Q$86)-MIN(ROW($Q$7:$Q$86))+1,""),""),ROW()-ROW(A$88)+1))),),"")</f>
        <v/>
      </c>
      <c r="W98" t="str">
        <f t="array" ref="W98">IFERROR(CONCATENATE((INDEX($Z$7:$Z$86,SMALL(IF($Z$7:$Z$86&lt;&gt;"",IF($W$7:$W$86&lt;&gt;"",ROW($W$7:$W$86)-MIN(ROW($W$7:$W$86))+1,""),""),ROW()-ROW(A$88)+1)))," "),"")</f>
        <v/>
      </c>
      <c r="X98" t="str">
        <f t="array" ref="X98">IFERROR(CONCATENATE(TEXT(INDEX($W$7:$W$86,SMALL(IF($Z$7:$Z$86&lt;&gt;"",IF($W$7:$W$86&lt;&gt;"",ROW($W$7:$W$86)-MIN(ROW($W$7:$W$86))+1,""),""),ROW()-ROW(A$88)+1)),"##0")," "),"")</f>
        <v/>
      </c>
      <c r="Y98" t="str">
        <f t="array" ref="Y98">IFERROR(CONCATENATE((INDEX($A$7:$A$86,SMALL(IF($Z$7:$Z$86&lt;&gt;"",IF($W$7:$W$86&lt;&gt;"",ROW($W$7:$W$86)-MIN(ROW($W$7:$W$86))+1,""),""),ROW()-ROW(A$88)+1))),),"")</f>
        <v/>
      </c>
      <c r="AC98" t="str">
        <f t="array" ref="AC98">IFERROR(CONCATENATE((INDEX($AF$7:$AF$86,SMALL(IF($AF$7:$AF$86&lt;&gt;"",IF($AC$7:$AC$86&lt;&gt;"",ROW($AC$7:$AC$86)-MIN(ROW($AC$7:$AC$86))+1,""),""),ROW()-ROW(A$88)+1))),","),"")</f>
        <v/>
      </c>
      <c r="AD98" t="str">
        <f t="array" ref="AD98">IFERROR(CONCATENATE(TEXT(INDEX($AC$7:$AC$86,SMALL(IF($AF$7:$AF$86&lt;&gt;"",IF($AC$7:$AC$86&lt;&gt;"",ROW($AC$7:$AC$86)-MIN(ROW($AC$7:$AC$86))+1,""),""),ROW()-ROW(A$88)+1)),"##0"),","),"")</f>
        <v/>
      </c>
      <c r="AE98" t="str">
        <f t="array" ref="AE98">IFERROR(CONCATENATE((INDEX($A$7:$A$86,SMALL(IF($AF$7:$AF$86&lt;&gt;"",IF($AC$7:$AC$86&lt;&gt;"",ROW($AC$7:$AC$86)-MIN(ROW($AC$7:$AC$86))+1,""),""),ROW()-ROW(A$88)+1))),),"")</f>
        <v/>
      </c>
      <c r="AI98" t="str">
        <f t="array" ref="AI98">IFERROR(CONCATENATE((INDEX($AL$7:$AL$86,SMALL(IF($AL$7:$AL$86&lt;&gt;"",IF($AI$7:$AI$86&lt;&gt;"",ROW($AI$7:$AI$86)-MIN(ROW($AI$7:$AI$86))+1,""),""),ROW()-ROW(A$88)+1)))," "),"")</f>
        <v/>
      </c>
      <c r="AJ98" t="str">
        <f t="array" ref="AJ98">IFERROR(CONCATENATE(TEXT(INDEX($AI$7:$AI$86,SMALL(IF($AL$7:$AL$86&lt;&gt;"",IF($AI$7:$AI$86&lt;&gt;"",ROW($AI$7:$AI$86)-MIN(ROW($AI$7:$AI$86))+1,""),""),ROW()-ROW(A$88)+1)),"##0")," "),"")</f>
        <v/>
      </c>
      <c r="AK98" t="str">
        <f t="array" ref="AK98">IFERROR(CONCATENATE((INDEX($A$7:$A$86,SMALL(IF($AL$7:$AL$86&lt;&gt;"",IF($AI$7:$AI$86&lt;&gt;"",ROW($AI$7:$AI$86)-MIN(ROW($AI$7:$AI$86))+1,""),""),ROW()-ROW(A$88)+1))),),"")</f>
        <v/>
      </c>
    </row>
    <row r="99" spans="11:37">
      <c r="K99" t="str">
        <f t="array" ref="K99">IFERROR(CONCATENATE(TEXT(INDEX($K$7:$K$86,SMALL(IF($N$7:$N$86&lt;&gt;"",IF($K$7:$K$86&lt;&gt;"",ROW($K$7:$K$86)-MIN(ROW($K$7:$K$86))+1,""),""),ROW()-ROW(A$88)+1)),"##0"),","),"")</f>
        <v/>
      </c>
      <c r="L99" t="str">
        <f t="array" ref="L99">IFERROR(CONCATENATE((INDEX($N$7:$N$86,SMALL(IF($N$7:$N$86&lt;&gt;"",IF($K$7:$K$86&lt;&gt;"",ROW($K$7:$K$86)-MIN(ROW($K$7:$K$86))+1,""),""),ROW()-ROW(A$88)+1))),","),"")</f>
        <v/>
      </c>
      <c r="M99" t="str">
        <f t="array" ref="M99">IFERROR(CONCATENATE((INDEX($A$7:$A$86,SMALL(IF($N$7:$N$86&lt;&gt;"",IF($K$7:$K$86&lt;&gt;"",ROW($K$7:$K$86)-MIN(ROW($K$7:$K$86))+1,""),""),ROW()-ROW(A$88)+1))),),"")</f>
        <v/>
      </c>
      <c r="Q99" t="str">
        <f t="array" ref="Q99">IFERROR(CONCATENATE((INDEX($T$7:$T$86,SMALL(IF($T$7:$T$86&lt;&gt;"",IF($Q$7:$Q$86&lt;&gt;"",ROW($Q$7:$Q$86)-MIN(ROW($Q$7:$Q$86))+1,""),""),ROW()-ROW(A$88)+1)))," "),"")</f>
        <v/>
      </c>
      <c r="R99" t="str">
        <f t="array" ref="R99">IFERROR(CONCATENATE(TEXT(INDEX($Q$7:$Q$86,SMALL(IF($T$7:$T$86&lt;&gt;"",IF($Q$7:$Q$86&lt;&gt;"",ROW($Q$7:$Q$86)-MIN(ROW($Q$7:$Q$86))+1,""),""),ROW()-ROW(A$88)+1)),"##0")," "),"")</f>
        <v/>
      </c>
      <c r="S99" t="str">
        <f t="array" ref="S99">IFERROR(CONCATENATE((INDEX($A$7:$A$86,SMALL(IF($T$7:$T$86&lt;&gt;"",IF($Q$7:$Q$86&lt;&gt;"",ROW($Q$7:$Q$86)-MIN(ROW($Q$7:$Q$86))+1,""),""),ROW()-ROW(A$88)+1))),),"")</f>
        <v/>
      </c>
      <c r="W99" t="str">
        <f t="array" ref="W99">IFERROR(CONCATENATE((INDEX($Z$7:$Z$86,SMALL(IF($Z$7:$Z$86&lt;&gt;"",IF($W$7:$W$86&lt;&gt;"",ROW($W$7:$W$86)-MIN(ROW($W$7:$W$86))+1,""),""),ROW()-ROW(A$88)+1)))," "),"")</f>
        <v/>
      </c>
      <c r="X99" t="str">
        <f t="array" ref="X99">IFERROR(CONCATENATE(TEXT(INDEX($W$7:$W$86,SMALL(IF($Z$7:$Z$86&lt;&gt;"",IF($W$7:$W$86&lt;&gt;"",ROW($W$7:$W$86)-MIN(ROW($W$7:$W$86))+1,""),""),ROW()-ROW(A$88)+1)),"##0")," "),"")</f>
        <v/>
      </c>
      <c r="Y99" t="str">
        <f t="array" ref="Y99">IFERROR(CONCATENATE((INDEX($A$7:$A$86,SMALL(IF($Z$7:$Z$86&lt;&gt;"",IF($W$7:$W$86&lt;&gt;"",ROW($W$7:$W$86)-MIN(ROW($W$7:$W$86))+1,""),""),ROW()-ROW(A$88)+1))),),"")</f>
        <v/>
      </c>
      <c r="AC99" t="str">
        <f t="array" ref="AC99">IFERROR(CONCATENATE((INDEX($AF$7:$AF$86,SMALL(IF($AF$7:$AF$86&lt;&gt;"",IF($AC$7:$AC$86&lt;&gt;"",ROW($AC$7:$AC$86)-MIN(ROW($AC$7:$AC$86))+1,""),""),ROW()-ROW(A$88)+1))),","),"")</f>
        <v/>
      </c>
      <c r="AD99" t="str">
        <f t="array" ref="AD99">IFERROR(CONCATENATE(TEXT(INDEX($AC$7:$AC$86,SMALL(IF($AF$7:$AF$86&lt;&gt;"",IF($AC$7:$AC$86&lt;&gt;"",ROW($AC$7:$AC$86)-MIN(ROW($AC$7:$AC$86))+1,""),""),ROW()-ROW(A$88)+1)),"##0"),","),"")</f>
        <v/>
      </c>
      <c r="AE99" t="str">
        <f t="array" ref="AE99">IFERROR(CONCATENATE((INDEX($A$7:$A$86,SMALL(IF($AF$7:$AF$86&lt;&gt;"",IF($AC$7:$AC$86&lt;&gt;"",ROW($AC$7:$AC$86)-MIN(ROW($AC$7:$AC$86))+1,""),""),ROW()-ROW(A$88)+1))),),"")</f>
        <v/>
      </c>
      <c r="AI99" t="str">
        <f t="array" ref="AI99">IFERROR(CONCATENATE((INDEX($AL$7:$AL$86,SMALL(IF($AL$7:$AL$86&lt;&gt;"",IF($AI$7:$AI$86&lt;&gt;"",ROW($AI$7:$AI$86)-MIN(ROW($AI$7:$AI$86))+1,""),""),ROW()-ROW(A$88)+1)))," "),"")</f>
        <v/>
      </c>
      <c r="AJ99" t="str">
        <f t="array" ref="AJ99">IFERROR(CONCATENATE(TEXT(INDEX($AI$7:$AI$86,SMALL(IF($AL$7:$AL$86&lt;&gt;"",IF($AI$7:$AI$86&lt;&gt;"",ROW($AI$7:$AI$86)-MIN(ROW($AI$7:$AI$86))+1,""),""),ROW()-ROW(A$88)+1)),"##0")," "),"")</f>
        <v/>
      </c>
      <c r="AK99" t="str">
        <f t="array" ref="AK99">IFERROR(CONCATENATE((INDEX($A$7:$A$86,SMALL(IF($AL$7:$AL$86&lt;&gt;"",IF($AI$7:$AI$86&lt;&gt;"",ROW($AI$7:$AI$86)-MIN(ROW($AI$7:$AI$86))+1,""),""),ROW()-ROW(A$88)+1))),),"")</f>
        <v/>
      </c>
    </row>
    <row r="100" spans="11:37">
      <c r="K100" t="str">
        <f t="array" ref="K100">IFERROR(CONCATENATE(TEXT(INDEX($K$7:$K$86,SMALL(IF($N$7:$N$86&lt;&gt;"",IF($K$7:$K$86&lt;&gt;"",ROW($K$7:$K$86)-MIN(ROW($K$7:$K$86))+1,""),""),ROW()-ROW(A$88)+1)),"##0"),","),"")</f>
        <v/>
      </c>
      <c r="L100" t="str">
        <f t="array" ref="L100">IFERROR(CONCATENATE((INDEX($N$7:$N$86,SMALL(IF($N$7:$N$86&lt;&gt;"",IF($K$7:$K$86&lt;&gt;"",ROW($K$7:$K$86)-MIN(ROW($K$7:$K$86))+1,""),""),ROW()-ROW(A$88)+1))),","),"")</f>
        <v/>
      </c>
      <c r="M100" t="str">
        <f t="array" ref="M100">IFERROR(CONCATENATE((INDEX($A$7:$A$86,SMALL(IF($N$7:$N$86&lt;&gt;"",IF($K$7:$K$86&lt;&gt;"",ROW($K$7:$K$86)-MIN(ROW($K$7:$K$86))+1,""),""),ROW()-ROW(A$88)+1))),),"")</f>
        <v/>
      </c>
      <c r="Q100" t="str">
        <f t="array" ref="Q100">IFERROR(CONCATENATE((INDEX($T$7:$T$86,SMALL(IF($T$7:$T$86&lt;&gt;"",IF($Q$7:$Q$86&lt;&gt;"",ROW($Q$7:$Q$86)-MIN(ROW($Q$7:$Q$86))+1,""),""),ROW()-ROW(A$88)+1)))," "),"")</f>
        <v/>
      </c>
      <c r="R100" t="str">
        <f t="array" ref="R100">IFERROR(CONCATENATE(TEXT(INDEX($Q$7:$Q$86,SMALL(IF($T$7:$T$86&lt;&gt;"",IF($Q$7:$Q$86&lt;&gt;"",ROW($Q$7:$Q$86)-MIN(ROW($Q$7:$Q$86))+1,""),""),ROW()-ROW(A$88)+1)),"##0")," "),"")</f>
        <v/>
      </c>
      <c r="S100" t="str">
        <f t="array" ref="S100">IFERROR(CONCATENATE((INDEX($A$7:$A$86,SMALL(IF($T$7:$T$86&lt;&gt;"",IF($Q$7:$Q$86&lt;&gt;"",ROW($Q$7:$Q$86)-MIN(ROW($Q$7:$Q$86))+1,""),""),ROW()-ROW(A$88)+1))),),"")</f>
        <v/>
      </c>
      <c r="W100" t="str">
        <f t="array" ref="W100">IFERROR(CONCATENATE((INDEX($Z$7:$Z$86,SMALL(IF($Z$7:$Z$86&lt;&gt;"",IF($W$7:$W$86&lt;&gt;"",ROW($W$7:$W$86)-MIN(ROW($W$7:$W$86))+1,""),""),ROW()-ROW(A$88)+1)))," "),"")</f>
        <v/>
      </c>
      <c r="X100" t="str">
        <f t="array" ref="X100">IFERROR(CONCATENATE(TEXT(INDEX($W$7:$W$86,SMALL(IF($Z$7:$Z$86&lt;&gt;"",IF($W$7:$W$86&lt;&gt;"",ROW($W$7:$W$86)-MIN(ROW($W$7:$W$86))+1,""),""),ROW()-ROW(A$88)+1)),"##0")," "),"")</f>
        <v/>
      </c>
      <c r="Y100" t="str">
        <f t="array" ref="Y100">IFERROR(CONCATENATE((INDEX($A$7:$A$86,SMALL(IF($Z$7:$Z$86&lt;&gt;"",IF($W$7:$W$86&lt;&gt;"",ROW($W$7:$W$86)-MIN(ROW($W$7:$W$86))+1,""),""),ROW()-ROW(A$88)+1))),),"")</f>
        <v/>
      </c>
      <c r="AC100" t="str">
        <f t="array" ref="AC100">IFERROR(CONCATENATE((INDEX($AF$7:$AF$86,SMALL(IF($AF$7:$AF$86&lt;&gt;"",IF($AC$7:$AC$86&lt;&gt;"",ROW($AC$7:$AC$86)-MIN(ROW($AC$7:$AC$86))+1,""),""),ROW()-ROW(A$88)+1))),","),"")</f>
        <v/>
      </c>
      <c r="AD100" t="str">
        <f t="array" ref="AD100">IFERROR(CONCATENATE(TEXT(INDEX($AC$7:$AC$86,SMALL(IF($AF$7:$AF$86&lt;&gt;"",IF($AC$7:$AC$86&lt;&gt;"",ROW($AC$7:$AC$86)-MIN(ROW($AC$7:$AC$86))+1,""),""),ROW()-ROW(A$88)+1)),"##0"),","),"")</f>
        <v/>
      </c>
      <c r="AE100" t="str">
        <f t="array" ref="AE100">IFERROR(CONCATENATE((INDEX($A$7:$A$86,SMALL(IF($AF$7:$AF$86&lt;&gt;"",IF($AC$7:$AC$86&lt;&gt;"",ROW($AC$7:$AC$86)-MIN(ROW($AC$7:$AC$86))+1,""),""),ROW()-ROW(A$88)+1))),),"")</f>
        <v/>
      </c>
      <c r="AI100" t="str">
        <f t="array" ref="AI100">IFERROR(CONCATENATE((INDEX($AL$7:$AL$86,SMALL(IF($AL$7:$AL$86&lt;&gt;"",IF($AI$7:$AI$86&lt;&gt;"",ROW($AI$7:$AI$86)-MIN(ROW($AI$7:$AI$86))+1,""),""),ROW()-ROW(A$88)+1)))," "),"")</f>
        <v/>
      </c>
      <c r="AJ100" t="str">
        <f t="array" ref="AJ100">IFERROR(CONCATENATE(TEXT(INDEX($AI$7:$AI$86,SMALL(IF($AL$7:$AL$86&lt;&gt;"",IF($AI$7:$AI$86&lt;&gt;"",ROW($AI$7:$AI$86)-MIN(ROW($AI$7:$AI$86))+1,""),""),ROW()-ROW(A$88)+1)),"##0")," "),"")</f>
        <v/>
      </c>
      <c r="AK100" t="str">
        <f t="array" ref="AK100">IFERROR(CONCATENATE((INDEX($A$7:$A$86,SMALL(IF($AL$7:$AL$86&lt;&gt;"",IF($AI$7:$AI$86&lt;&gt;"",ROW($AI$7:$AI$86)-MIN(ROW($AI$7:$AI$86))+1,""),""),ROW()-ROW(A$88)+1))),),"")</f>
        <v/>
      </c>
    </row>
    <row r="101" spans="11:37">
      <c r="K101" t="str">
        <f t="array" ref="K101">IFERROR(CONCATENATE(TEXT(INDEX($K$7:$K$86,SMALL(IF($N$7:$N$86&lt;&gt;"",IF($K$7:$K$86&lt;&gt;"",ROW($K$7:$K$86)-MIN(ROW($K$7:$K$86))+1,""),""),ROW()-ROW(A$88)+1)),"##0"),","),"")</f>
        <v/>
      </c>
      <c r="L101" t="str">
        <f t="array" ref="L101">IFERROR(CONCATENATE((INDEX($N$7:$N$86,SMALL(IF($N$7:$N$86&lt;&gt;"",IF($K$7:$K$86&lt;&gt;"",ROW($K$7:$K$86)-MIN(ROW($K$7:$K$86))+1,""),""),ROW()-ROW(A$88)+1))),","),"")</f>
        <v/>
      </c>
      <c r="M101" t="str">
        <f t="array" ref="M101">IFERROR(CONCATENATE((INDEX($A$7:$A$86,SMALL(IF($N$7:$N$86&lt;&gt;"",IF($K$7:$K$86&lt;&gt;"",ROW($K$7:$K$86)-MIN(ROW($K$7:$K$86))+1,""),""),ROW()-ROW(A$88)+1))),),"")</f>
        <v/>
      </c>
      <c r="Q101" t="str">
        <f t="array" ref="Q101">IFERROR(CONCATENATE((INDEX($T$7:$T$86,SMALL(IF($T$7:$T$86&lt;&gt;"",IF($Q$7:$Q$86&lt;&gt;"",ROW($Q$7:$Q$86)-MIN(ROW($Q$7:$Q$86))+1,""),""),ROW()-ROW(A$88)+1)))," "),"")</f>
        <v/>
      </c>
      <c r="R101" t="str">
        <f t="array" ref="R101">IFERROR(CONCATENATE(TEXT(INDEX($Q$7:$Q$86,SMALL(IF($T$7:$T$86&lt;&gt;"",IF($Q$7:$Q$86&lt;&gt;"",ROW($Q$7:$Q$86)-MIN(ROW($Q$7:$Q$86))+1,""),""),ROW()-ROW(A$88)+1)),"##0")," "),"")</f>
        <v/>
      </c>
      <c r="S101" t="str">
        <f t="array" ref="S101">IFERROR(CONCATENATE((INDEX($A$7:$A$86,SMALL(IF($T$7:$T$86&lt;&gt;"",IF($Q$7:$Q$86&lt;&gt;"",ROW($Q$7:$Q$86)-MIN(ROW($Q$7:$Q$86))+1,""),""),ROW()-ROW(A$88)+1))),),"")</f>
        <v/>
      </c>
      <c r="W101" t="str">
        <f t="array" ref="W101">IFERROR(CONCATENATE((INDEX($Z$7:$Z$86,SMALL(IF($Z$7:$Z$86&lt;&gt;"",IF($W$7:$W$86&lt;&gt;"",ROW($W$7:$W$86)-MIN(ROW($W$7:$W$86))+1,""),""),ROW()-ROW(A$88)+1)))," "),"")</f>
        <v/>
      </c>
      <c r="X101" t="str">
        <f t="array" ref="X101">IFERROR(CONCATENATE(TEXT(INDEX($W$7:$W$86,SMALL(IF($Z$7:$Z$86&lt;&gt;"",IF($W$7:$W$86&lt;&gt;"",ROW($W$7:$W$86)-MIN(ROW($W$7:$W$86))+1,""),""),ROW()-ROW(A$88)+1)),"##0")," "),"")</f>
        <v/>
      </c>
      <c r="Y101" t="str">
        <f t="array" ref="Y101">IFERROR(CONCATENATE((INDEX($A$7:$A$86,SMALL(IF($Z$7:$Z$86&lt;&gt;"",IF($W$7:$W$86&lt;&gt;"",ROW($W$7:$W$86)-MIN(ROW($W$7:$W$86))+1,""),""),ROW()-ROW(A$88)+1))),),"")</f>
        <v/>
      </c>
      <c r="AC101" t="str">
        <f t="array" ref="AC101">IFERROR(CONCATENATE((INDEX($AF$7:$AF$86,SMALL(IF($AF$7:$AF$86&lt;&gt;"",IF($AC$7:$AC$86&lt;&gt;"",ROW($AC$7:$AC$86)-MIN(ROW($AC$7:$AC$86))+1,""),""),ROW()-ROW(A$88)+1))),","),"")</f>
        <v/>
      </c>
      <c r="AD101" t="str">
        <f t="array" ref="AD101">IFERROR(CONCATENATE(TEXT(INDEX($AC$7:$AC$86,SMALL(IF($AF$7:$AF$86&lt;&gt;"",IF($AC$7:$AC$86&lt;&gt;"",ROW($AC$7:$AC$86)-MIN(ROW($AC$7:$AC$86))+1,""),""),ROW()-ROW(A$88)+1)),"##0"),","),"")</f>
        <v/>
      </c>
      <c r="AE101" t="str">
        <f t="array" ref="AE101">IFERROR(CONCATENATE((INDEX($A$7:$A$86,SMALL(IF($AF$7:$AF$86&lt;&gt;"",IF($AC$7:$AC$86&lt;&gt;"",ROW($AC$7:$AC$86)-MIN(ROW($AC$7:$AC$86))+1,""),""),ROW()-ROW(A$88)+1))),),"")</f>
        <v/>
      </c>
      <c r="AI101" t="str">
        <f t="array" ref="AI101">IFERROR(CONCATENATE((INDEX($AL$7:$AL$86,SMALL(IF($AL$7:$AL$86&lt;&gt;"",IF($AI$7:$AI$86&lt;&gt;"",ROW($AI$7:$AI$86)-MIN(ROW($AI$7:$AI$86))+1,""),""),ROW()-ROW(A$88)+1)))," "),"")</f>
        <v/>
      </c>
      <c r="AJ101" t="str">
        <f t="array" ref="AJ101">IFERROR(CONCATENATE(TEXT(INDEX($AI$7:$AI$86,SMALL(IF($AL$7:$AL$86&lt;&gt;"",IF($AI$7:$AI$86&lt;&gt;"",ROW($AI$7:$AI$86)-MIN(ROW($AI$7:$AI$86))+1,""),""),ROW()-ROW(A$88)+1)),"##0")," "),"")</f>
        <v/>
      </c>
      <c r="AK101" t="str">
        <f t="array" ref="AK101">IFERROR(CONCATENATE((INDEX($A$7:$A$86,SMALL(IF($AL$7:$AL$86&lt;&gt;"",IF($AI$7:$AI$86&lt;&gt;"",ROW($AI$7:$AI$86)-MIN(ROW($AI$7:$AI$86))+1,""),""),ROW()-ROW(A$88)+1))),),"")</f>
        <v/>
      </c>
    </row>
    <row r="102" spans="11:37">
      <c r="K102" t="str">
        <f t="array" ref="K102">IFERROR(CONCATENATE(TEXT(INDEX($K$7:$K$86,SMALL(IF($N$7:$N$86&lt;&gt;"",IF($K$7:$K$86&lt;&gt;"",ROW($K$7:$K$86)-MIN(ROW($K$7:$K$86))+1,""),""),ROW()-ROW(A$88)+1)),"##0"),","),"")</f>
        <v/>
      </c>
      <c r="L102" t="str">
        <f t="array" ref="L102">IFERROR(CONCATENATE((INDEX($N$7:$N$86,SMALL(IF($N$7:$N$86&lt;&gt;"",IF($K$7:$K$86&lt;&gt;"",ROW($K$7:$K$86)-MIN(ROW($K$7:$K$86))+1,""),""),ROW()-ROW(A$88)+1))),","),"")</f>
        <v/>
      </c>
      <c r="M102" t="str">
        <f t="array" ref="M102">IFERROR(CONCATENATE((INDEX($A$7:$A$86,SMALL(IF($N$7:$N$86&lt;&gt;"",IF($K$7:$K$86&lt;&gt;"",ROW($K$7:$K$86)-MIN(ROW($K$7:$K$86))+1,""),""),ROW()-ROW(A$88)+1))),),"")</f>
        <v/>
      </c>
      <c r="Q102" t="str">
        <f t="array" ref="Q102">IFERROR(CONCATENATE((INDEX($T$7:$T$86,SMALL(IF($T$7:$T$86&lt;&gt;"",IF($Q$7:$Q$86&lt;&gt;"",ROW($Q$7:$Q$86)-MIN(ROW($Q$7:$Q$86))+1,""),""),ROW()-ROW(A$88)+1)))," "),"")</f>
        <v/>
      </c>
      <c r="R102" t="str">
        <f t="array" ref="R102">IFERROR(CONCATENATE(TEXT(INDEX($Q$7:$Q$86,SMALL(IF($T$7:$T$86&lt;&gt;"",IF($Q$7:$Q$86&lt;&gt;"",ROW($Q$7:$Q$86)-MIN(ROW($Q$7:$Q$86))+1,""),""),ROW()-ROW(A$88)+1)),"##0")," "),"")</f>
        <v/>
      </c>
      <c r="S102" t="str">
        <f t="array" ref="S102">IFERROR(CONCATENATE((INDEX($A$7:$A$86,SMALL(IF($T$7:$T$86&lt;&gt;"",IF($Q$7:$Q$86&lt;&gt;"",ROW($Q$7:$Q$86)-MIN(ROW($Q$7:$Q$86))+1,""),""),ROW()-ROW(A$88)+1))),),"")</f>
        <v/>
      </c>
      <c r="W102" t="str">
        <f t="array" ref="W102">IFERROR(CONCATENATE((INDEX($Z$7:$Z$86,SMALL(IF($Z$7:$Z$86&lt;&gt;"",IF($W$7:$W$86&lt;&gt;"",ROW($W$7:$W$86)-MIN(ROW($W$7:$W$86))+1,""),""),ROW()-ROW(A$88)+1)))," "),"")</f>
        <v/>
      </c>
      <c r="X102" t="str">
        <f t="array" ref="X102">IFERROR(CONCATENATE(TEXT(INDEX($W$7:$W$86,SMALL(IF($Z$7:$Z$86&lt;&gt;"",IF($W$7:$W$86&lt;&gt;"",ROW($W$7:$W$86)-MIN(ROW($W$7:$W$86))+1,""),""),ROW()-ROW(A$88)+1)),"##0")," "),"")</f>
        <v/>
      </c>
      <c r="Y102" t="str">
        <f t="array" ref="Y102">IFERROR(CONCATENATE((INDEX($A$7:$A$86,SMALL(IF($Z$7:$Z$86&lt;&gt;"",IF($W$7:$W$86&lt;&gt;"",ROW($W$7:$W$86)-MIN(ROW($W$7:$W$86))+1,""),""),ROW()-ROW(A$88)+1))),),"")</f>
        <v/>
      </c>
      <c r="AC102" t="str">
        <f t="array" ref="AC102">IFERROR(CONCATENATE((INDEX($AF$7:$AF$86,SMALL(IF($AF$7:$AF$86&lt;&gt;"",IF($AC$7:$AC$86&lt;&gt;"",ROW($AC$7:$AC$86)-MIN(ROW($AC$7:$AC$86))+1,""),""),ROW()-ROW(A$88)+1))),","),"")</f>
        <v/>
      </c>
      <c r="AD102" t="str">
        <f t="array" ref="AD102">IFERROR(CONCATENATE(TEXT(INDEX($AC$7:$AC$86,SMALL(IF($AF$7:$AF$86&lt;&gt;"",IF($AC$7:$AC$86&lt;&gt;"",ROW($AC$7:$AC$86)-MIN(ROW($AC$7:$AC$86))+1,""),""),ROW()-ROW(A$88)+1)),"##0"),","),"")</f>
        <v/>
      </c>
      <c r="AE102" t="str">
        <f t="array" ref="AE102">IFERROR(CONCATENATE((INDEX($A$7:$A$86,SMALL(IF($AF$7:$AF$86&lt;&gt;"",IF($AC$7:$AC$86&lt;&gt;"",ROW($AC$7:$AC$86)-MIN(ROW($AC$7:$AC$86))+1,""),""),ROW()-ROW(A$88)+1))),),"")</f>
        <v/>
      </c>
      <c r="AI102" t="str">
        <f t="array" ref="AI102">IFERROR(CONCATENATE((INDEX($AL$7:$AL$86,SMALL(IF($AL$7:$AL$86&lt;&gt;"",IF($AI$7:$AI$86&lt;&gt;"",ROW($AI$7:$AI$86)-MIN(ROW($AI$7:$AI$86))+1,""),""),ROW()-ROW(A$88)+1)))," "),"")</f>
        <v/>
      </c>
      <c r="AJ102" t="str">
        <f t="array" ref="AJ102">IFERROR(CONCATENATE(TEXT(INDEX($AI$7:$AI$86,SMALL(IF($AL$7:$AL$86&lt;&gt;"",IF($AI$7:$AI$86&lt;&gt;"",ROW($AI$7:$AI$86)-MIN(ROW($AI$7:$AI$86))+1,""),""),ROW()-ROW(A$88)+1)),"##0")," "),"")</f>
        <v/>
      </c>
      <c r="AK102" t="str">
        <f t="array" ref="AK102">IFERROR(CONCATENATE((INDEX($A$7:$A$86,SMALL(IF($AL$7:$AL$86&lt;&gt;"",IF($AI$7:$AI$86&lt;&gt;"",ROW($AI$7:$AI$86)-MIN(ROW($AI$7:$AI$86))+1,""),""),ROW()-ROW(A$88)+1))),),"")</f>
        <v/>
      </c>
    </row>
    <row r="103" spans="11:37">
      <c r="K103" t="str">
        <f t="array" ref="K103">IFERROR(CONCATENATE(TEXT(INDEX($K$7:$K$86,SMALL(IF($N$7:$N$86&lt;&gt;"",IF($K$7:$K$86&lt;&gt;"",ROW($K$7:$K$86)-MIN(ROW($K$7:$K$86))+1,""),""),ROW()-ROW(A$88)+1)),"##0"),","),"")</f>
        <v/>
      </c>
      <c r="L103" t="str">
        <f t="array" ref="L103">IFERROR(CONCATENATE((INDEX($N$7:$N$86,SMALL(IF($N$7:$N$86&lt;&gt;"",IF($K$7:$K$86&lt;&gt;"",ROW($K$7:$K$86)-MIN(ROW($K$7:$K$86))+1,""),""),ROW()-ROW(A$88)+1))),","),"")</f>
        <v/>
      </c>
      <c r="M103" t="str">
        <f t="array" ref="M103">IFERROR(CONCATENATE((INDEX($A$7:$A$86,SMALL(IF($N$7:$N$86&lt;&gt;"",IF($K$7:$K$86&lt;&gt;"",ROW($K$7:$K$86)-MIN(ROW($K$7:$K$86))+1,""),""),ROW()-ROW(A$88)+1))),),"")</f>
        <v/>
      </c>
      <c r="Q103" t="str">
        <f t="array" ref="Q103">IFERROR(CONCATENATE((INDEX($T$7:$T$86,SMALL(IF($T$7:$T$86&lt;&gt;"",IF($Q$7:$Q$86&lt;&gt;"",ROW($Q$7:$Q$86)-MIN(ROW($Q$7:$Q$86))+1,""),""),ROW()-ROW(A$88)+1)))," "),"")</f>
        <v/>
      </c>
      <c r="R103" t="str">
        <f t="array" ref="R103">IFERROR(CONCATENATE(TEXT(INDEX($Q$7:$Q$86,SMALL(IF($T$7:$T$86&lt;&gt;"",IF($Q$7:$Q$86&lt;&gt;"",ROW($Q$7:$Q$86)-MIN(ROW($Q$7:$Q$86))+1,""),""),ROW()-ROW(A$88)+1)),"##0")," "),"")</f>
        <v/>
      </c>
      <c r="S103" t="str">
        <f t="array" ref="S103">IFERROR(CONCATENATE((INDEX($A$7:$A$86,SMALL(IF($T$7:$T$86&lt;&gt;"",IF($Q$7:$Q$86&lt;&gt;"",ROW($Q$7:$Q$86)-MIN(ROW($Q$7:$Q$86))+1,""),""),ROW()-ROW(A$88)+1))),),"")</f>
        <v/>
      </c>
      <c r="W103" t="str">
        <f t="array" ref="W103">IFERROR(CONCATENATE((INDEX($Z$7:$Z$86,SMALL(IF($Z$7:$Z$86&lt;&gt;"",IF($W$7:$W$86&lt;&gt;"",ROW($W$7:$W$86)-MIN(ROW($W$7:$W$86))+1,""),""),ROW()-ROW(A$88)+1)))," "),"")</f>
        <v/>
      </c>
      <c r="X103" t="str">
        <f t="array" ref="X103">IFERROR(CONCATENATE(TEXT(INDEX($W$7:$W$86,SMALL(IF($Z$7:$Z$86&lt;&gt;"",IF($W$7:$W$86&lt;&gt;"",ROW($W$7:$W$86)-MIN(ROW($W$7:$W$86))+1,""),""),ROW()-ROW(A$88)+1)),"##0")," "),"")</f>
        <v/>
      </c>
      <c r="Y103" t="str">
        <f t="array" ref="Y103">IFERROR(CONCATENATE((INDEX($A$7:$A$86,SMALL(IF($Z$7:$Z$86&lt;&gt;"",IF($W$7:$W$86&lt;&gt;"",ROW($W$7:$W$86)-MIN(ROW($W$7:$W$86))+1,""),""),ROW()-ROW(A$88)+1))),),"")</f>
        <v/>
      </c>
      <c r="AC103" t="str">
        <f t="array" ref="AC103">IFERROR(CONCATENATE((INDEX($AF$7:$AF$86,SMALL(IF($AF$7:$AF$86&lt;&gt;"",IF($AC$7:$AC$86&lt;&gt;"",ROW($AC$7:$AC$86)-MIN(ROW($AC$7:$AC$86))+1,""),""),ROW()-ROW(A$88)+1))),","),"")</f>
        <v/>
      </c>
      <c r="AD103" t="str">
        <f t="array" ref="AD103">IFERROR(CONCATENATE(TEXT(INDEX($AC$7:$AC$86,SMALL(IF($AF$7:$AF$86&lt;&gt;"",IF($AC$7:$AC$86&lt;&gt;"",ROW($AC$7:$AC$86)-MIN(ROW($AC$7:$AC$86))+1,""),""),ROW()-ROW(A$88)+1)),"##0"),","),"")</f>
        <v/>
      </c>
      <c r="AE103" t="str">
        <f t="array" ref="AE103">IFERROR(CONCATENATE((INDEX($A$7:$A$86,SMALL(IF($AF$7:$AF$86&lt;&gt;"",IF($AC$7:$AC$86&lt;&gt;"",ROW($AC$7:$AC$86)-MIN(ROW($AC$7:$AC$86))+1,""),""),ROW()-ROW(A$88)+1))),),"")</f>
        <v/>
      </c>
      <c r="AI103" t="str">
        <f t="array" ref="AI103">IFERROR(CONCATENATE((INDEX($AL$7:$AL$86,SMALL(IF($AL$7:$AL$86&lt;&gt;"",IF($AI$7:$AI$86&lt;&gt;"",ROW($AI$7:$AI$86)-MIN(ROW($AI$7:$AI$86))+1,""),""),ROW()-ROW(A$88)+1)))," "),"")</f>
        <v/>
      </c>
      <c r="AJ103" t="str">
        <f t="array" ref="AJ103">IFERROR(CONCATENATE(TEXT(INDEX($AI$7:$AI$86,SMALL(IF($AL$7:$AL$86&lt;&gt;"",IF($AI$7:$AI$86&lt;&gt;"",ROW($AI$7:$AI$86)-MIN(ROW($AI$7:$AI$86))+1,""),""),ROW()-ROW(A$88)+1)),"##0")," "),"")</f>
        <v/>
      </c>
      <c r="AK103" t="str">
        <f t="array" ref="AK103">IFERROR(CONCATENATE((INDEX($A$7:$A$86,SMALL(IF($AL$7:$AL$86&lt;&gt;"",IF($AI$7:$AI$86&lt;&gt;"",ROW($AI$7:$AI$86)-MIN(ROW($AI$7:$AI$86))+1,""),""),ROW()-ROW(A$88)+1))),),"")</f>
        <v/>
      </c>
    </row>
    <row r="104" spans="11:37">
      <c r="K104" t="str">
        <f t="array" ref="K104">IFERROR(CONCATENATE(TEXT(INDEX($K$7:$K$86,SMALL(IF($N$7:$N$86&lt;&gt;"",IF($K$7:$K$86&lt;&gt;"",ROW($K$7:$K$86)-MIN(ROW($K$7:$K$86))+1,""),""),ROW()-ROW(A$88)+1)),"##0"),","),"")</f>
        <v/>
      </c>
      <c r="L104" t="str">
        <f t="array" ref="L104">IFERROR(CONCATENATE((INDEX($N$7:$N$86,SMALL(IF($N$7:$N$86&lt;&gt;"",IF($K$7:$K$86&lt;&gt;"",ROW($K$7:$K$86)-MIN(ROW($K$7:$K$86))+1,""),""),ROW()-ROW(A$88)+1))),","),"")</f>
        <v/>
      </c>
      <c r="M104" t="str">
        <f t="array" ref="M104">IFERROR(CONCATENATE((INDEX($A$7:$A$86,SMALL(IF($N$7:$N$86&lt;&gt;"",IF($K$7:$K$86&lt;&gt;"",ROW($K$7:$K$86)-MIN(ROW($K$7:$K$86))+1,""),""),ROW()-ROW(A$88)+1))),),"")</f>
        <v/>
      </c>
      <c r="Q104" t="str">
        <f t="array" ref="Q104">IFERROR(CONCATENATE((INDEX($T$7:$T$86,SMALL(IF($T$7:$T$86&lt;&gt;"",IF($Q$7:$Q$86&lt;&gt;"",ROW($Q$7:$Q$86)-MIN(ROW($Q$7:$Q$86))+1,""),""),ROW()-ROW(A$88)+1)))," "),"")</f>
        <v/>
      </c>
      <c r="R104" t="str">
        <f t="array" ref="R104">IFERROR(CONCATENATE(TEXT(INDEX($Q$7:$Q$86,SMALL(IF($T$7:$T$86&lt;&gt;"",IF($Q$7:$Q$86&lt;&gt;"",ROW($Q$7:$Q$86)-MIN(ROW($Q$7:$Q$86))+1,""),""),ROW()-ROW(A$88)+1)),"##0")," "),"")</f>
        <v/>
      </c>
      <c r="S104" t="str">
        <f t="array" ref="S104">IFERROR(CONCATENATE((INDEX($A$7:$A$86,SMALL(IF($T$7:$T$86&lt;&gt;"",IF($Q$7:$Q$86&lt;&gt;"",ROW($Q$7:$Q$86)-MIN(ROW($Q$7:$Q$86))+1,""),""),ROW()-ROW(A$88)+1))),),"")</f>
        <v/>
      </c>
      <c r="W104" t="str">
        <f t="array" ref="W104">IFERROR(CONCATENATE((INDEX($Z$7:$Z$86,SMALL(IF($Z$7:$Z$86&lt;&gt;"",IF($W$7:$W$86&lt;&gt;"",ROW($W$7:$W$86)-MIN(ROW($W$7:$W$86))+1,""),""),ROW()-ROW(A$88)+1)))," "),"")</f>
        <v/>
      </c>
      <c r="X104" t="str">
        <f t="array" ref="X104">IFERROR(CONCATENATE(TEXT(INDEX($W$7:$W$86,SMALL(IF($Z$7:$Z$86&lt;&gt;"",IF($W$7:$W$86&lt;&gt;"",ROW($W$7:$W$86)-MIN(ROW($W$7:$W$86))+1,""),""),ROW()-ROW(A$88)+1)),"##0")," "),"")</f>
        <v/>
      </c>
      <c r="Y104" t="str">
        <f t="array" ref="Y104">IFERROR(CONCATENATE((INDEX($A$7:$A$86,SMALL(IF($Z$7:$Z$86&lt;&gt;"",IF($W$7:$W$86&lt;&gt;"",ROW($W$7:$W$86)-MIN(ROW($W$7:$W$86))+1,""),""),ROW()-ROW(A$88)+1))),),"")</f>
        <v/>
      </c>
      <c r="AC104" t="str">
        <f t="array" ref="AC104">IFERROR(CONCATENATE((INDEX($AF$7:$AF$86,SMALL(IF($AF$7:$AF$86&lt;&gt;"",IF($AC$7:$AC$86&lt;&gt;"",ROW($AC$7:$AC$86)-MIN(ROW($AC$7:$AC$86))+1,""),""),ROW()-ROW(A$88)+1))),","),"")</f>
        <v/>
      </c>
      <c r="AD104" t="str">
        <f t="array" ref="AD104">IFERROR(CONCATENATE(TEXT(INDEX($AC$7:$AC$86,SMALL(IF($AF$7:$AF$86&lt;&gt;"",IF($AC$7:$AC$86&lt;&gt;"",ROW($AC$7:$AC$86)-MIN(ROW($AC$7:$AC$86))+1,""),""),ROW()-ROW(A$88)+1)),"##0"),","),"")</f>
        <v/>
      </c>
      <c r="AE104" t="str">
        <f t="array" ref="AE104">IFERROR(CONCATENATE((INDEX($A$7:$A$86,SMALL(IF($AF$7:$AF$86&lt;&gt;"",IF($AC$7:$AC$86&lt;&gt;"",ROW($AC$7:$AC$86)-MIN(ROW($AC$7:$AC$86))+1,""),""),ROW()-ROW(A$88)+1))),),"")</f>
        <v/>
      </c>
      <c r="AI104" t="str">
        <f t="array" ref="AI104">IFERROR(CONCATENATE((INDEX($AL$7:$AL$86,SMALL(IF($AL$7:$AL$86&lt;&gt;"",IF($AI$7:$AI$86&lt;&gt;"",ROW($AI$7:$AI$86)-MIN(ROW($AI$7:$AI$86))+1,""),""),ROW()-ROW(A$88)+1)))," "),"")</f>
        <v/>
      </c>
      <c r="AJ104" t="str">
        <f t="array" ref="AJ104">IFERROR(CONCATENATE(TEXT(INDEX($AI$7:$AI$86,SMALL(IF($AL$7:$AL$86&lt;&gt;"",IF($AI$7:$AI$86&lt;&gt;"",ROW($AI$7:$AI$86)-MIN(ROW($AI$7:$AI$86))+1,""),""),ROW()-ROW(A$88)+1)),"##0")," "),"")</f>
        <v/>
      </c>
      <c r="AK104" t="str">
        <f t="array" ref="AK104">IFERROR(CONCATENATE((INDEX($A$7:$A$86,SMALL(IF($AL$7:$AL$86&lt;&gt;"",IF($AI$7:$AI$86&lt;&gt;"",ROW($AI$7:$AI$86)-MIN(ROW($AI$7:$AI$86))+1,""),""),ROW()-ROW(A$88)+1))),),"")</f>
        <v/>
      </c>
    </row>
    <row r="105" spans="11:37">
      <c r="K105" t="str">
        <f t="array" ref="K105">IFERROR(CONCATENATE(TEXT(INDEX($K$7:$K$86,SMALL(IF($N$7:$N$86&lt;&gt;"",IF($K$7:$K$86&lt;&gt;"",ROW($K$7:$K$86)-MIN(ROW($K$7:$K$86))+1,""),""),ROW()-ROW(A$88)+1)),"##0"),","),"")</f>
        <v/>
      </c>
      <c r="L105" t="str">
        <f t="array" ref="L105">IFERROR(CONCATENATE((INDEX($N$7:$N$86,SMALL(IF($N$7:$N$86&lt;&gt;"",IF($K$7:$K$86&lt;&gt;"",ROW($K$7:$K$86)-MIN(ROW($K$7:$K$86))+1,""),""),ROW()-ROW(A$88)+1))),","),"")</f>
        <v/>
      </c>
      <c r="M105" t="str">
        <f t="array" ref="M105">IFERROR(CONCATENATE((INDEX($A$7:$A$86,SMALL(IF($N$7:$N$86&lt;&gt;"",IF($K$7:$K$86&lt;&gt;"",ROW($K$7:$K$86)-MIN(ROW($K$7:$K$86))+1,""),""),ROW()-ROW(A$88)+1))),),"")</f>
        <v/>
      </c>
      <c r="Q105" t="str">
        <f t="array" ref="Q105">IFERROR(CONCATENATE((INDEX($T$7:$T$86,SMALL(IF($T$7:$T$86&lt;&gt;"",IF($Q$7:$Q$86&lt;&gt;"",ROW($Q$7:$Q$86)-MIN(ROW($Q$7:$Q$86))+1,""),""),ROW()-ROW(A$88)+1)))," "),"")</f>
        <v/>
      </c>
      <c r="R105" t="str">
        <f t="array" ref="R105">IFERROR(CONCATENATE(TEXT(INDEX($Q$7:$Q$86,SMALL(IF($T$7:$T$86&lt;&gt;"",IF($Q$7:$Q$86&lt;&gt;"",ROW($Q$7:$Q$86)-MIN(ROW($Q$7:$Q$86))+1,""),""),ROW()-ROW(A$88)+1)),"##0")," "),"")</f>
        <v/>
      </c>
      <c r="S105" t="str">
        <f t="array" ref="S105">IFERROR(CONCATENATE((INDEX($A$7:$A$86,SMALL(IF($T$7:$T$86&lt;&gt;"",IF($Q$7:$Q$86&lt;&gt;"",ROW($Q$7:$Q$86)-MIN(ROW($Q$7:$Q$86))+1,""),""),ROW()-ROW(A$88)+1))),),"")</f>
        <v/>
      </c>
      <c r="W105" t="str">
        <f t="array" ref="W105">IFERROR(CONCATENATE((INDEX($Z$7:$Z$86,SMALL(IF($Z$7:$Z$86&lt;&gt;"",IF($W$7:$W$86&lt;&gt;"",ROW($W$7:$W$86)-MIN(ROW($W$7:$W$86))+1,""),""),ROW()-ROW(A$88)+1)))," "),"")</f>
        <v/>
      </c>
      <c r="X105" t="str">
        <f t="array" ref="X105">IFERROR(CONCATENATE(TEXT(INDEX($W$7:$W$86,SMALL(IF($Z$7:$Z$86&lt;&gt;"",IF($W$7:$W$86&lt;&gt;"",ROW($W$7:$W$86)-MIN(ROW($W$7:$W$86))+1,""),""),ROW()-ROW(A$88)+1)),"##0")," "),"")</f>
        <v/>
      </c>
      <c r="Y105" t="str">
        <f t="array" ref="Y105">IFERROR(CONCATENATE((INDEX($A$7:$A$86,SMALL(IF($Z$7:$Z$86&lt;&gt;"",IF($W$7:$W$86&lt;&gt;"",ROW($W$7:$W$86)-MIN(ROW($W$7:$W$86))+1,""),""),ROW()-ROW(A$88)+1))),),"")</f>
        <v/>
      </c>
      <c r="AC105" t="str">
        <f t="array" ref="AC105">IFERROR(CONCATENATE((INDEX($AF$7:$AF$86,SMALL(IF($AF$7:$AF$86&lt;&gt;"",IF($AC$7:$AC$86&lt;&gt;"",ROW($AC$7:$AC$86)-MIN(ROW($AC$7:$AC$86))+1,""),""),ROW()-ROW(A$88)+1))),","),"")</f>
        <v/>
      </c>
      <c r="AD105" t="str">
        <f t="array" ref="AD105">IFERROR(CONCATENATE(TEXT(INDEX($AC$7:$AC$86,SMALL(IF($AF$7:$AF$86&lt;&gt;"",IF($AC$7:$AC$86&lt;&gt;"",ROW($AC$7:$AC$86)-MIN(ROW($AC$7:$AC$86))+1,""),""),ROW()-ROW(A$88)+1)),"##0"),","),"")</f>
        <v/>
      </c>
      <c r="AE105" t="str">
        <f t="array" ref="AE105">IFERROR(CONCATENATE((INDEX($A$7:$A$86,SMALL(IF($AF$7:$AF$86&lt;&gt;"",IF($AC$7:$AC$86&lt;&gt;"",ROW($AC$7:$AC$86)-MIN(ROW($AC$7:$AC$86))+1,""),""),ROW()-ROW(A$88)+1))),),"")</f>
        <v/>
      </c>
      <c r="AI105" t="str">
        <f t="array" ref="AI105">IFERROR(CONCATENATE((INDEX($AL$7:$AL$86,SMALL(IF($AL$7:$AL$86&lt;&gt;"",IF($AI$7:$AI$86&lt;&gt;"",ROW($AI$7:$AI$86)-MIN(ROW($AI$7:$AI$86))+1,""),""),ROW()-ROW(A$88)+1)))," "),"")</f>
        <v/>
      </c>
      <c r="AJ105" t="str">
        <f t="array" ref="AJ105">IFERROR(CONCATENATE(TEXT(INDEX($AI$7:$AI$86,SMALL(IF($AL$7:$AL$86&lt;&gt;"",IF($AI$7:$AI$86&lt;&gt;"",ROW($AI$7:$AI$86)-MIN(ROW($AI$7:$AI$86))+1,""),""),ROW()-ROW(A$88)+1)),"##0")," "),"")</f>
        <v/>
      </c>
      <c r="AK105" t="str">
        <f t="array" ref="AK105">IFERROR(CONCATENATE((INDEX($A$7:$A$86,SMALL(IF($AL$7:$AL$86&lt;&gt;"",IF($AI$7:$AI$86&lt;&gt;"",ROW($AI$7:$AI$86)-MIN(ROW($AI$7:$AI$86))+1,""),""),ROW()-ROW(A$88)+1))),),"")</f>
        <v/>
      </c>
    </row>
    <row r="106" spans="11:37">
      <c r="K106" t="str">
        <f t="array" ref="K106">IFERROR(CONCATENATE(TEXT(INDEX($K$7:$K$86,SMALL(IF($N$7:$N$86&lt;&gt;"",IF($K$7:$K$86&lt;&gt;"",ROW($K$7:$K$86)-MIN(ROW($K$7:$K$86))+1,""),""),ROW()-ROW(A$88)+1)),"##0"),","),"")</f>
        <v/>
      </c>
      <c r="L106" t="str">
        <f t="array" ref="L106">IFERROR(CONCATENATE((INDEX($N$7:$N$86,SMALL(IF($N$7:$N$86&lt;&gt;"",IF($K$7:$K$86&lt;&gt;"",ROW($K$7:$K$86)-MIN(ROW($K$7:$K$86))+1,""),""),ROW()-ROW(A$88)+1))),","),"")</f>
        <v/>
      </c>
      <c r="M106" t="str">
        <f t="array" ref="M106">IFERROR(CONCATENATE((INDEX($A$7:$A$86,SMALL(IF($N$7:$N$86&lt;&gt;"",IF($K$7:$K$86&lt;&gt;"",ROW($K$7:$K$86)-MIN(ROW($K$7:$K$86))+1,""),""),ROW()-ROW(A$88)+1))),),"")</f>
        <v/>
      </c>
      <c r="Q106" t="str">
        <f t="array" ref="Q106">IFERROR(CONCATENATE((INDEX($T$7:$T$86,SMALL(IF($T$7:$T$86&lt;&gt;"",IF($Q$7:$Q$86&lt;&gt;"",ROW($Q$7:$Q$86)-MIN(ROW($Q$7:$Q$86))+1,""),""),ROW()-ROW(A$88)+1)))," "),"")</f>
        <v/>
      </c>
      <c r="R106" t="str">
        <f t="array" ref="R106">IFERROR(CONCATENATE(TEXT(INDEX($Q$7:$Q$86,SMALL(IF($T$7:$T$86&lt;&gt;"",IF($Q$7:$Q$86&lt;&gt;"",ROW($Q$7:$Q$86)-MIN(ROW($Q$7:$Q$86))+1,""),""),ROW()-ROW(A$88)+1)),"##0")," "),"")</f>
        <v/>
      </c>
      <c r="S106" t="str">
        <f t="array" ref="S106">IFERROR(CONCATENATE((INDEX($A$7:$A$86,SMALL(IF($T$7:$T$86&lt;&gt;"",IF($Q$7:$Q$86&lt;&gt;"",ROW($Q$7:$Q$86)-MIN(ROW($Q$7:$Q$86))+1,""),""),ROW()-ROW(A$88)+1))),),"")</f>
        <v/>
      </c>
      <c r="W106" t="str">
        <f t="array" ref="W106">IFERROR(CONCATENATE((INDEX($Z$7:$Z$86,SMALL(IF($Z$7:$Z$86&lt;&gt;"",IF($W$7:$W$86&lt;&gt;"",ROW($W$7:$W$86)-MIN(ROW($W$7:$W$86))+1,""),""),ROW()-ROW(A$88)+1)))," "),"")</f>
        <v/>
      </c>
      <c r="X106" t="str">
        <f t="array" ref="X106">IFERROR(CONCATENATE(TEXT(INDEX($W$7:$W$86,SMALL(IF($Z$7:$Z$86&lt;&gt;"",IF($W$7:$W$86&lt;&gt;"",ROW($W$7:$W$86)-MIN(ROW($W$7:$W$86))+1,""),""),ROW()-ROW(A$88)+1)),"##0")," "),"")</f>
        <v/>
      </c>
      <c r="Y106" t="str">
        <f t="array" ref="Y106">IFERROR(CONCATENATE((INDEX($A$7:$A$86,SMALL(IF($Z$7:$Z$86&lt;&gt;"",IF($W$7:$W$86&lt;&gt;"",ROW($W$7:$W$86)-MIN(ROW($W$7:$W$86))+1,""),""),ROW()-ROW(A$88)+1))),),"")</f>
        <v/>
      </c>
      <c r="AC106" t="str">
        <f t="array" ref="AC106">IFERROR(CONCATENATE((INDEX($AF$7:$AF$86,SMALL(IF($AF$7:$AF$86&lt;&gt;"",IF($AC$7:$AC$86&lt;&gt;"",ROW($AC$7:$AC$86)-MIN(ROW($AC$7:$AC$86))+1,""),""),ROW()-ROW(A$88)+1))),","),"")</f>
        <v/>
      </c>
      <c r="AD106" t="str">
        <f t="array" ref="AD106">IFERROR(CONCATENATE(TEXT(INDEX($AC$7:$AC$86,SMALL(IF($AF$7:$AF$86&lt;&gt;"",IF($AC$7:$AC$86&lt;&gt;"",ROW($AC$7:$AC$86)-MIN(ROW($AC$7:$AC$86))+1,""),""),ROW()-ROW(A$88)+1)),"##0"),","),"")</f>
        <v/>
      </c>
      <c r="AE106" t="str">
        <f t="array" ref="AE106">IFERROR(CONCATENATE((INDEX($A$7:$A$86,SMALL(IF($AF$7:$AF$86&lt;&gt;"",IF($AC$7:$AC$86&lt;&gt;"",ROW($AC$7:$AC$86)-MIN(ROW($AC$7:$AC$86))+1,""),""),ROW()-ROW(A$88)+1))),),"")</f>
        <v/>
      </c>
      <c r="AI106" t="str">
        <f t="array" ref="AI106">IFERROR(CONCATENATE((INDEX($AL$7:$AL$86,SMALL(IF($AL$7:$AL$86&lt;&gt;"",IF($AI$7:$AI$86&lt;&gt;"",ROW($AI$7:$AI$86)-MIN(ROW($AI$7:$AI$86))+1,""),""),ROW()-ROW(A$88)+1)))," "),"")</f>
        <v/>
      </c>
      <c r="AJ106" t="str">
        <f t="array" ref="AJ106">IFERROR(CONCATENATE(TEXT(INDEX($AI$7:$AI$86,SMALL(IF($AL$7:$AL$86&lt;&gt;"",IF($AI$7:$AI$86&lt;&gt;"",ROW($AI$7:$AI$86)-MIN(ROW($AI$7:$AI$86))+1,""),""),ROW()-ROW(A$88)+1)),"##0")," "),"")</f>
        <v/>
      </c>
      <c r="AK106" t="str">
        <f t="array" ref="AK106">IFERROR(CONCATENATE((INDEX($A$7:$A$86,SMALL(IF($AL$7:$AL$86&lt;&gt;"",IF($AI$7:$AI$86&lt;&gt;"",ROW($AI$7:$AI$86)-MIN(ROW($AI$7:$AI$86))+1,""),""),ROW()-ROW(A$88)+1))),),"")</f>
        <v/>
      </c>
    </row>
    <row r="107" spans="11:37">
      <c r="K107" t="str">
        <f t="array" ref="K107">IFERROR(CONCATENATE(TEXT(INDEX($K$7:$K$86,SMALL(IF($N$7:$N$86&lt;&gt;"",IF($K$7:$K$86&lt;&gt;"",ROW($K$7:$K$86)-MIN(ROW($K$7:$K$86))+1,""),""),ROW()-ROW(A$88)+1)),"##0"),","),"")</f>
        <v/>
      </c>
      <c r="L107" t="str">
        <f t="array" ref="L107">IFERROR(CONCATENATE((INDEX($N$7:$N$86,SMALL(IF($N$7:$N$86&lt;&gt;"",IF($K$7:$K$86&lt;&gt;"",ROW($K$7:$K$86)-MIN(ROW($K$7:$K$86))+1,""),""),ROW()-ROW(A$88)+1))),","),"")</f>
        <v/>
      </c>
      <c r="M107" t="str">
        <f t="array" ref="M107">IFERROR(CONCATENATE((INDEX($A$7:$A$86,SMALL(IF($N$7:$N$86&lt;&gt;"",IF($K$7:$K$86&lt;&gt;"",ROW($K$7:$K$86)-MIN(ROW($K$7:$K$86))+1,""),""),ROW()-ROW(A$88)+1))),),"")</f>
        <v/>
      </c>
      <c r="Q107" t="str">
        <f t="array" ref="Q107">IFERROR(CONCATENATE((INDEX($T$7:$T$86,SMALL(IF($T$7:$T$86&lt;&gt;"",IF($Q$7:$Q$86&lt;&gt;"",ROW($Q$7:$Q$86)-MIN(ROW($Q$7:$Q$86))+1,""),""),ROW()-ROW(A$88)+1)))," "),"")</f>
        <v/>
      </c>
      <c r="R107" t="str">
        <f t="array" ref="R107">IFERROR(CONCATENATE(TEXT(INDEX($Q$7:$Q$86,SMALL(IF($T$7:$T$86&lt;&gt;"",IF($Q$7:$Q$86&lt;&gt;"",ROW($Q$7:$Q$86)-MIN(ROW($Q$7:$Q$86))+1,""),""),ROW()-ROW(A$88)+1)),"##0")," "),"")</f>
        <v/>
      </c>
      <c r="S107" t="str">
        <f t="array" ref="S107">IFERROR(CONCATENATE((INDEX($A$7:$A$86,SMALL(IF($T$7:$T$86&lt;&gt;"",IF($Q$7:$Q$86&lt;&gt;"",ROW($Q$7:$Q$86)-MIN(ROW($Q$7:$Q$86))+1,""),""),ROW()-ROW(A$88)+1))),),"")</f>
        <v/>
      </c>
      <c r="W107" t="str">
        <f t="array" ref="W107">IFERROR(CONCATENATE((INDEX($Z$7:$Z$86,SMALL(IF($Z$7:$Z$86&lt;&gt;"",IF($W$7:$W$86&lt;&gt;"",ROW($W$7:$W$86)-MIN(ROW($W$7:$W$86))+1,""),""),ROW()-ROW(A$88)+1)))," "),"")</f>
        <v/>
      </c>
      <c r="X107" t="str">
        <f t="array" ref="X107">IFERROR(CONCATENATE(TEXT(INDEX($W$7:$W$86,SMALL(IF($Z$7:$Z$86&lt;&gt;"",IF($W$7:$W$86&lt;&gt;"",ROW($W$7:$W$86)-MIN(ROW($W$7:$W$86))+1,""),""),ROW()-ROW(A$88)+1)),"##0")," "),"")</f>
        <v/>
      </c>
      <c r="Y107" t="str">
        <f t="array" ref="Y107">IFERROR(CONCATENATE((INDEX($A$7:$A$86,SMALL(IF($Z$7:$Z$86&lt;&gt;"",IF($W$7:$W$86&lt;&gt;"",ROW($W$7:$W$86)-MIN(ROW($W$7:$W$86))+1,""),""),ROW()-ROW(A$88)+1))),),"")</f>
        <v/>
      </c>
      <c r="AC107" t="str">
        <f t="array" ref="AC107">IFERROR(CONCATENATE((INDEX($AF$7:$AF$86,SMALL(IF($AF$7:$AF$86&lt;&gt;"",IF($AC$7:$AC$86&lt;&gt;"",ROW($AC$7:$AC$86)-MIN(ROW($AC$7:$AC$86))+1,""),""),ROW()-ROW(A$88)+1))),","),"")</f>
        <v/>
      </c>
      <c r="AD107" t="str">
        <f t="array" ref="AD107">IFERROR(CONCATENATE(TEXT(INDEX($AC$7:$AC$86,SMALL(IF($AF$7:$AF$86&lt;&gt;"",IF($AC$7:$AC$86&lt;&gt;"",ROW($AC$7:$AC$86)-MIN(ROW($AC$7:$AC$86))+1,""),""),ROW()-ROW(A$88)+1)),"##0"),","),"")</f>
        <v/>
      </c>
      <c r="AE107" t="str">
        <f t="array" ref="AE107">IFERROR(CONCATENATE((INDEX($A$7:$A$86,SMALL(IF($AF$7:$AF$86&lt;&gt;"",IF($AC$7:$AC$86&lt;&gt;"",ROW($AC$7:$AC$86)-MIN(ROW($AC$7:$AC$86))+1,""),""),ROW()-ROW(A$88)+1))),),"")</f>
        <v/>
      </c>
      <c r="AI107" t="str">
        <f t="array" ref="AI107">IFERROR(CONCATENATE((INDEX($AL$7:$AL$86,SMALL(IF($AL$7:$AL$86&lt;&gt;"",IF($AI$7:$AI$86&lt;&gt;"",ROW($AI$7:$AI$86)-MIN(ROW($AI$7:$AI$86))+1,""),""),ROW()-ROW(A$88)+1)))," "),"")</f>
        <v/>
      </c>
      <c r="AJ107" t="str">
        <f t="array" ref="AJ107">IFERROR(CONCATENATE(TEXT(INDEX($AI$7:$AI$86,SMALL(IF($AL$7:$AL$86&lt;&gt;"",IF($AI$7:$AI$86&lt;&gt;"",ROW($AI$7:$AI$86)-MIN(ROW($AI$7:$AI$86))+1,""),""),ROW()-ROW(A$88)+1)),"##0")," "),"")</f>
        <v/>
      </c>
      <c r="AK107" t="str">
        <f t="array" ref="AK107">IFERROR(CONCATENATE((INDEX($A$7:$A$86,SMALL(IF($AL$7:$AL$86&lt;&gt;"",IF($AI$7:$AI$86&lt;&gt;"",ROW($AI$7:$AI$86)-MIN(ROW($AI$7:$AI$86))+1,""),""),ROW()-ROW(A$88)+1))),),"")</f>
        <v/>
      </c>
    </row>
    <row r="108" spans="11:37">
      <c r="K108" t="str">
        <f t="array" ref="K108">IFERROR(CONCATENATE(TEXT(INDEX($K$7:$K$86,SMALL(IF($N$7:$N$86&lt;&gt;"",IF($K$7:$K$86&lt;&gt;"",ROW($K$7:$K$86)-MIN(ROW($K$7:$K$86))+1,""),""),ROW()-ROW(A$88)+1)),"##0"),","),"")</f>
        <v/>
      </c>
      <c r="L108" t="str">
        <f t="array" ref="L108">IFERROR(CONCATENATE((INDEX($N$7:$N$86,SMALL(IF($N$7:$N$86&lt;&gt;"",IF($K$7:$K$86&lt;&gt;"",ROW($K$7:$K$86)-MIN(ROW($K$7:$K$86))+1,""),""),ROW()-ROW(A$88)+1))),","),"")</f>
        <v/>
      </c>
      <c r="M108" t="str">
        <f t="array" ref="M108">IFERROR(CONCATENATE((INDEX($A$7:$A$86,SMALL(IF($N$7:$N$86&lt;&gt;"",IF($K$7:$K$86&lt;&gt;"",ROW($K$7:$K$86)-MIN(ROW($K$7:$K$86))+1,""),""),ROW()-ROW(A$88)+1))),),"")</f>
        <v/>
      </c>
      <c r="Q108" t="str">
        <f t="array" ref="Q108">IFERROR(CONCATENATE((INDEX($T$7:$T$86,SMALL(IF($T$7:$T$86&lt;&gt;"",IF($Q$7:$Q$86&lt;&gt;"",ROW($Q$7:$Q$86)-MIN(ROW($Q$7:$Q$86))+1,""),""),ROW()-ROW(A$88)+1)))," "),"")</f>
        <v/>
      </c>
      <c r="R108" t="str">
        <f t="array" ref="R108">IFERROR(CONCATENATE(TEXT(INDEX($Q$7:$Q$86,SMALL(IF($T$7:$T$86&lt;&gt;"",IF($Q$7:$Q$86&lt;&gt;"",ROW($Q$7:$Q$86)-MIN(ROW($Q$7:$Q$86))+1,""),""),ROW()-ROW(A$88)+1)),"##0")," "),"")</f>
        <v/>
      </c>
      <c r="S108" t="str">
        <f t="array" ref="S108">IFERROR(CONCATENATE((INDEX($A$7:$A$86,SMALL(IF($T$7:$T$86&lt;&gt;"",IF($Q$7:$Q$86&lt;&gt;"",ROW($Q$7:$Q$86)-MIN(ROW($Q$7:$Q$86))+1,""),""),ROW()-ROW(A$88)+1))),),"")</f>
        <v/>
      </c>
      <c r="W108" t="str">
        <f t="array" ref="W108">IFERROR(CONCATENATE((INDEX($Z$7:$Z$86,SMALL(IF($Z$7:$Z$86&lt;&gt;"",IF($W$7:$W$86&lt;&gt;"",ROW($W$7:$W$86)-MIN(ROW($W$7:$W$86))+1,""),""),ROW()-ROW(A$88)+1)))," "),"")</f>
        <v/>
      </c>
      <c r="X108" t="str">
        <f t="array" ref="X108">IFERROR(CONCATENATE(TEXT(INDEX($W$7:$W$86,SMALL(IF($Z$7:$Z$86&lt;&gt;"",IF($W$7:$W$86&lt;&gt;"",ROW($W$7:$W$86)-MIN(ROW($W$7:$W$86))+1,""),""),ROW()-ROW(A$88)+1)),"##0")," "),"")</f>
        <v/>
      </c>
      <c r="Y108" t="str">
        <f t="array" ref="Y108">IFERROR(CONCATENATE((INDEX($A$7:$A$86,SMALL(IF($Z$7:$Z$86&lt;&gt;"",IF($W$7:$W$86&lt;&gt;"",ROW($W$7:$W$86)-MIN(ROW($W$7:$W$86))+1,""),""),ROW()-ROW(A$88)+1))),),"")</f>
        <v/>
      </c>
      <c r="AC108" t="str">
        <f t="array" ref="AC108">IFERROR(CONCATENATE((INDEX($AF$7:$AF$86,SMALL(IF($AF$7:$AF$86&lt;&gt;"",IF($AC$7:$AC$86&lt;&gt;"",ROW($AC$7:$AC$86)-MIN(ROW($AC$7:$AC$86))+1,""),""),ROW()-ROW(A$88)+1))),","),"")</f>
        <v/>
      </c>
      <c r="AD108" t="str">
        <f t="array" ref="AD108">IFERROR(CONCATENATE(TEXT(INDEX($AC$7:$AC$86,SMALL(IF($AF$7:$AF$86&lt;&gt;"",IF($AC$7:$AC$86&lt;&gt;"",ROW($AC$7:$AC$86)-MIN(ROW($AC$7:$AC$86))+1,""),""),ROW()-ROW(A$88)+1)),"##0"),","),"")</f>
        <v/>
      </c>
      <c r="AE108" t="str">
        <f t="array" ref="AE108">IFERROR(CONCATENATE((INDEX($A$7:$A$86,SMALL(IF($AF$7:$AF$86&lt;&gt;"",IF($AC$7:$AC$86&lt;&gt;"",ROW($AC$7:$AC$86)-MIN(ROW($AC$7:$AC$86))+1,""),""),ROW()-ROW(A$88)+1))),),"")</f>
        <v/>
      </c>
      <c r="AI108" t="str">
        <f t="array" ref="AI108">IFERROR(CONCATENATE((INDEX($AL$7:$AL$86,SMALL(IF($AL$7:$AL$86&lt;&gt;"",IF($AI$7:$AI$86&lt;&gt;"",ROW($AI$7:$AI$86)-MIN(ROW($AI$7:$AI$86))+1,""),""),ROW()-ROW(A$88)+1)))," "),"")</f>
        <v/>
      </c>
      <c r="AJ108" t="str">
        <f t="array" ref="AJ108">IFERROR(CONCATENATE(TEXT(INDEX($AI$7:$AI$86,SMALL(IF($AL$7:$AL$86&lt;&gt;"",IF($AI$7:$AI$86&lt;&gt;"",ROW($AI$7:$AI$86)-MIN(ROW($AI$7:$AI$86))+1,""),""),ROW()-ROW(A$88)+1)),"##0")," "),"")</f>
        <v/>
      </c>
      <c r="AK108" t="str">
        <f t="array" ref="AK108">IFERROR(CONCATENATE((INDEX($A$7:$A$86,SMALL(IF($AL$7:$AL$86&lt;&gt;"",IF($AI$7:$AI$86&lt;&gt;"",ROW($AI$7:$AI$86)-MIN(ROW($AI$7:$AI$86))+1,""),""),ROW()-ROW(A$88)+1))),),"")</f>
        <v/>
      </c>
    </row>
    <row r="109" spans="11:37">
      <c r="K109" t="str">
        <f t="array" ref="K109">IFERROR(CONCATENATE(TEXT(INDEX($K$7:$K$86,SMALL(IF($N$7:$N$86&lt;&gt;"",IF($K$7:$K$86&lt;&gt;"",ROW($K$7:$K$86)-MIN(ROW($K$7:$K$86))+1,""),""),ROW()-ROW(A$88)+1)),"##0"),","),"")</f>
        <v/>
      </c>
      <c r="L109" t="str">
        <f t="array" ref="L109">IFERROR(CONCATENATE((INDEX($N$7:$N$86,SMALL(IF($N$7:$N$86&lt;&gt;"",IF($K$7:$K$86&lt;&gt;"",ROW($K$7:$K$86)-MIN(ROW($K$7:$K$86))+1,""),""),ROW()-ROW(A$88)+1))),","),"")</f>
        <v/>
      </c>
      <c r="M109" t="str">
        <f t="array" ref="M109">IFERROR(CONCATENATE((INDEX($A$7:$A$86,SMALL(IF($N$7:$N$86&lt;&gt;"",IF($K$7:$K$86&lt;&gt;"",ROW($K$7:$K$86)-MIN(ROW($K$7:$K$86))+1,""),""),ROW()-ROW(A$88)+1))),),"")</f>
        <v/>
      </c>
      <c r="Q109" t="str">
        <f t="array" ref="Q109">IFERROR(CONCATENATE((INDEX($T$7:$T$86,SMALL(IF($T$7:$T$86&lt;&gt;"",IF($Q$7:$Q$86&lt;&gt;"",ROW($Q$7:$Q$86)-MIN(ROW($Q$7:$Q$86))+1,""),""),ROW()-ROW(A$88)+1)))," "),"")</f>
        <v/>
      </c>
      <c r="R109" t="str">
        <f t="array" ref="R109">IFERROR(CONCATENATE(TEXT(INDEX($Q$7:$Q$86,SMALL(IF($T$7:$T$86&lt;&gt;"",IF($Q$7:$Q$86&lt;&gt;"",ROW($Q$7:$Q$86)-MIN(ROW($Q$7:$Q$86))+1,""),""),ROW()-ROW(A$88)+1)),"##0")," "),"")</f>
        <v/>
      </c>
      <c r="S109" t="str">
        <f t="array" ref="S109">IFERROR(CONCATENATE((INDEX($A$7:$A$86,SMALL(IF($T$7:$T$86&lt;&gt;"",IF($Q$7:$Q$86&lt;&gt;"",ROW($Q$7:$Q$86)-MIN(ROW($Q$7:$Q$86))+1,""),""),ROW()-ROW(A$88)+1))),),"")</f>
        <v/>
      </c>
      <c r="W109" t="str">
        <f t="array" ref="W109">IFERROR(CONCATENATE((INDEX($Z$7:$Z$86,SMALL(IF($Z$7:$Z$86&lt;&gt;"",IF($W$7:$W$86&lt;&gt;"",ROW($W$7:$W$86)-MIN(ROW($W$7:$W$86))+1,""),""),ROW()-ROW(A$88)+1)))," "),"")</f>
        <v/>
      </c>
      <c r="X109" t="str">
        <f t="array" ref="X109">IFERROR(CONCATENATE(TEXT(INDEX($W$7:$W$86,SMALL(IF($Z$7:$Z$86&lt;&gt;"",IF($W$7:$W$86&lt;&gt;"",ROW($W$7:$W$86)-MIN(ROW($W$7:$W$86))+1,""),""),ROW()-ROW(A$88)+1)),"##0")," "),"")</f>
        <v/>
      </c>
      <c r="Y109" t="str">
        <f t="array" ref="Y109">IFERROR(CONCATENATE((INDEX($A$7:$A$86,SMALL(IF($Z$7:$Z$86&lt;&gt;"",IF($W$7:$W$86&lt;&gt;"",ROW($W$7:$W$86)-MIN(ROW($W$7:$W$86))+1,""),""),ROW()-ROW(A$88)+1))),),"")</f>
        <v/>
      </c>
      <c r="AC109" t="str">
        <f t="array" ref="AC109">IFERROR(CONCATENATE((INDEX($AF$7:$AF$86,SMALL(IF($AF$7:$AF$86&lt;&gt;"",IF($AC$7:$AC$86&lt;&gt;"",ROW($AC$7:$AC$86)-MIN(ROW($AC$7:$AC$86))+1,""),""),ROW()-ROW(A$88)+1))),","),"")</f>
        <v/>
      </c>
      <c r="AD109" t="str">
        <f t="array" ref="AD109">IFERROR(CONCATENATE(TEXT(INDEX($AC$7:$AC$86,SMALL(IF($AF$7:$AF$86&lt;&gt;"",IF($AC$7:$AC$86&lt;&gt;"",ROW($AC$7:$AC$86)-MIN(ROW($AC$7:$AC$86))+1,""),""),ROW()-ROW(A$88)+1)),"##0"),","),"")</f>
        <v/>
      </c>
      <c r="AE109" t="str">
        <f t="array" ref="AE109">IFERROR(CONCATENATE((INDEX($A$7:$A$86,SMALL(IF($AF$7:$AF$86&lt;&gt;"",IF($AC$7:$AC$86&lt;&gt;"",ROW($AC$7:$AC$86)-MIN(ROW($AC$7:$AC$86))+1,""),""),ROW()-ROW(A$88)+1))),),"")</f>
        <v/>
      </c>
      <c r="AI109" t="str">
        <f t="array" ref="AI109">IFERROR(CONCATENATE((INDEX($AL$7:$AL$86,SMALL(IF($AL$7:$AL$86&lt;&gt;"",IF($AI$7:$AI$86&lt;&gt;"",ROW($AI$7:$AI$86)-MIN(ROW($AI$7:$AI$86))+1,""),""),ROW()-ROW(A$88)+1)))," "),"")</f>
        <v/>
      </c>
      <c r="AJ109" t="str">
        <f t="array" ref="AJ109">IFERROR(CONCATENATE(TEXT(INDEX($AI$7:$AI$86,SMALL(IF($AL$7:$AL$86&lt;&gt;"",IF($AI$7:$AI$86&lt;&gt;"",ROW($AI$7:$AI$86)-MIN(ROW($AI$7:$AI$86))+1,""),""),ROW()-ROW(A$88)+1)),"##0")," "),"")</f>
        <v/>
      </c>
      <c r="AK109" t="str">
        <f t="array" ref="AK109">IFERROR(CONCATENATE((INDEX($A$7:$A$86,SMALL(IF($AL$7:$AL$86&lt;&gt;"",IF($AI$7:$AI$86&lt;&gt;"",ROW($AI$7:$AI$86)-MIN(ROW($AI$7:$AI$86))+1,""),""),ROW()-ROW(A$88)+1))),),"")</f>
        <v/>
      </c>
    </row>
    <row r="110" spans="11:37">
      <c r="K110" t="str">
        <f t="array" ref="K110">IFERROR(CONCATENATE(TEXT(INDEX($K$7:$K$86,SMALL(IF($N$7:$N$86&lt;&gt;"",IF($K$7:$K$86&lt;&gt;"",ROW($K$7:$K$86)-MIN(ROW($K$7:$K$86))+1,""),""),ROW()-ROW(A$88)+1)),"##0"),","),"")</f>
        <v/>
      </c>
      <c r="L110" t="str">
        <f t="array" ref="L110">IFERROR(CONCATENATE((INDEX($N$7:$N$86,SMALL(IF($N$7:$N$86&lt;&gt;"",IF($K$7:$K$86&lt;&gt;"",ROW($K$7:$K$86)-MIN(ROW($K$7:$K$86))+1,""),""),ROW()-ROW(A$88)+1))),","),"")</f>
        <v/>
      </c>
      <c r="M110" t="str">
        <f t="array" ref="M110">IFERROR(CONCATENATE((INDEX($A$7:$A$86,SMALL(IF($N$7:$N$86&lt;&gt;"",IF($K$7:$K$86&lt;&gt;"",ROW($K$7:$K$86)-MIN(ROW($K$7:$K$86))+1,""),""),ROW()-ROW(A$88)+1))),),"")</f>
        <v/>
      </c>
      <c r="Q110" t="str">
        <f t="array" ref="Q110">IFERROR(CONCATENATE((INDEX($T$7:$T$86,SMALL(IF($T$7:$T$86&lt;&gt;"",IF($Q$7:$Q$86&lt;&gt;"",ROW($Q$7:$Q$86)-MIN(ROW($Q$7:$Q$86))+1,""),""),ROW()-ROW(A$88)+1)))," "),"")</f>
        <v/>
      </c>
      <c r="R110" t="str">
        <f t="array" ref="R110">IFERROR(CONCATENATE(TEXT(INDEX($Q$7:$Q$86,SMALL(IF($T$7:$T$86&lt;&gt;"",IF($Q$7:$Q$86&lt;&gt;"",ROW($Q$7:$Q$86)-MIN(ROW($Q$7:$Q$86))+1,""),""),ROW()-ROW(A$88)+1)),"##0")," "),"")</f>
        <v/>
      </c>
      <c r="S110" t="str">
        <f t="array" ref="S110">IFERROR(CONCATENATE((INDEX($A$7:$A$86,SMALL(IF($T$7:$T$86&lt;&gt;"",IF($Q$7:$Q$86&lt;&gt;"",ROW($Q$7:$Q$86)-MIN(ROW($Q$7:$Q$86))+1,""),""),ROW()-ROW(A$88)+1))),),"")</f>
        <v/>
      </c>
      <c r="W110" t="str">
        <f t="array" ref="W110">IFERROR(CONCATENATE((INDEX($Z$7:$Z$86,SMALL(IF($Z$7:$Z$86&lt;&gt;"",IF($W$7:$W$86&lt;&gt;"",ROW($W$7:$W$86)-MIN(ROW($W$7:$W$86))+1,""),""),ROW()-ROW(A$88)+1)))," "),"")</f>
        <v/>
      </c>
      <c r="X110" t="str">
        <f t="array" ref="X110">IFERROR(CONCATENATE(TEXT(INDEX($W$7:$W$86,SMALL(IF($Z$7:$Z$86&lt;&gt;"",IF($W$7:$W$86&lt;&gt;"",ROW($W$7:$W$86)-MIN(ROW($W$7:$W$86))+1,""),""),ROW()-ROW(A$88)+1)),"##0")," "),"")</f>
        <v/>
      </c>
      <c r="Y110" t="str">
        <f t="array" ref="Y110">IFERROR(CONCATENATE((INDEX($A$7:$A$86,SMALL(IF($Z$7:$Z$86&lt;&gt;"",IF($W$7:$W$86&lt;&gt;"",ROW($W$7:$W$86)-MIN(ROW($W$7:$W$86))+1,""),""),ROW()-ROW(A$88)+1))),),"")</f>
        <v/>
      </c>
      <c r="AC110" t="str">
        <f t="array" ref="AC110">IFERROR(CONCATENATE((INDEX($AF$7:$AF$86,SMALL(IF($AF$7:$AF$86&lt;&gt;"",IF($AC$7:$AC$86&lt;&gt;"",ROW($AC$7:$AC$86)-MIN(ROW($AC$7:$AC$86))+1,""),""),ROW()-ROW(A$88)+1))),","),"")</f>
        <v/>
      </c>
      <c r="AD110" t="str">
        <f t="array" ref="AD110">IFERROR(CONCATENATE(TEXT(INDEX($AC$7:$AC$86,SMALL(IF($AF$7:$AF$86&lt;&gt;"",IF($AC$7:$AC$86&lt;&gt;"",ROW($AC$7:$AC$86)-MIN(ROW($AC$7:$AC$86))+1,""),""),ROW()-ROW(A$88)+1)),"##0"),","),"")</f>
        <v/>
      </c>
      <c r="AE110" t="str">
        <f t="array" ref="AE110">IFERROR(CONCATENATE((INDEX($A$7:$A$86,SMALL(IF($AF$7:$AF$86&lt;&gt;"",IF($AC$7:$AC$86&lt;&gt;"",ROW($AC$7:$AC$86)-MIN(ROW($AC$7:$AC$86))+1,""),""),ROW()-ROW(A$88)+1))),),"")</f>
        <v/>
      </c>
      <c r="AI110" t="str">
        <f t="array" ref="AI110">IFERROR(CONCATENATE((INDEX($AL$7:$AL$86,SMALL(IF($AL$7:$AL$86&lt;&gt;"",IF($AI$7:$AI$86&lt;&gt;"",ROW($AI$7:$AI$86)-MIN(ROW($AI$7:$AI$86))+1,""),""),ROW()-ROW(A$88)+1)))," "),"")</f>
        <v/>
      </c>
      <c r="AJ110" t="str">
        <f t="array" ref="AJ110">IFERROR(CONCATENATE(TEXT(INDEX($AI$7:$AI$86,SMALL(IF($AL$7:$AL$86&lt;&gt;"",IF($AI$7:$AI$86&lt;&gt;"",ROW($AI$7:$AI$86)-MIN(ROW($AI$7:$AI$86))+1,""),""),ROW()-ROW(A$88)+1)),"##0")," "),"")</f>
        <v/>
      </c>
      <c r="AK110" t="str">
        <f t="array" ref="AK110">IFERROR(CONCATENATE((INDEX($A$7:$A$86,SMALL(IF($AL$7:$AL$86&lt;&gt;"",IF($AI$7:$AI$86&lt;&gt;"",ROW($AI$7:$AI$86)-MIN(ROW($AI$7:$AI$86))+1,""),""),ROW()-ROW(A$88)+1))),),"")</f>
        <v/>
      </c>
    </row>
    <row r="111" spans="11:37">
      <c r="K111" t="str">
        <f t="array" ref="K111">IFERROR(CONCATENATE(TEXT(INDEX($K$7:$K$86,SMALL(IF($N$7:$N$86&lt;&gt;"",IF($K$7:$K$86&lt;&gt;"",ROW($K$7:$K$86)-MIN(ROW($K$7:$K$86))+1,""),""),ROW()-ROW(A$88)+1)),"##0"),","),"")</f>
        <v/>
      </c>
      <c r="L111" t="str">
        <f t="array" ref="L111">IFERROR(CONCATENATE((INDEX($N$7:$N$86,SMALL(IF($N$7:$N$86&lt;&gt;"",IF($K$7:$K$86&lt;&gt;"",ROW($K$7:$K$86)-MIN(ROW($K$7:$K$86))+1,""),""),ROW()-ROW(A$88)+1))),","),"")</f>
        <v/>
      </c>
      <c r="M111" t="str">
        <f t="array" ref="M111">IFERROR(CONCATENATE((INDEX($A$7:$A$86,SMALL(IF($N$7:$N$86&lt;&gt;"",IF($K$7:$K$86&lt;&gt;"",ROW($K$7:$K$86)-MIN(ROW($K$7:$K$86))+1,""),""),ROW()-ROW(A$88)+1))),),"")</f>
        <v/>
      </c>
      <c r="Q111" t="str">
        <f t="array" ref="Q111">IFERROR(CONCATENATE((INDEX($T$7:$T$86,SMALL(IF($T$7:$T$86&lt;&gt;"",IF($Q$7:$Q$86&lt;&gt;"",ROW($Q$7:$Q$86)-MIN(ROW($Q$7:$Q$86))+1,""),""),ROW()-ROW(A$88)+1)))," "),"")</f>
        <v/>
      </c>
      <c r="R111" t="str">
        <f t="array" ref="R111">IFERROR(CONCATENATE(TEXT(INDEX($Q$7:$Q$86,SMALL(IF($T$7:$T$86&lt;&gt;"",IF($Q$7:$Q$86&lt;&gt;"",ROW($Q$7:$Q$86)-MIN(ROW($Q$7:$Q$86))+1,""),""),ROW()-ROW(A$88)+1)),"##0")," "),"")</f>
        <v/>
      </c>
      <c r="S111" t="str">
        <f t="array" ref="S111">IFERROR(CONCATENATE((INDEX($A$7:$A$86,SMALL(IF($T$7:$T$86&lt;&gt;"",IF($Q$7:$Q$86&lt;&gt;"",ROW($Q$7:$Q$86)-MIN(ROW($Q$7:$Q$86))+1,""),""),ROW()-ROW(A$88)+1))),),"")</f>
        <v/>
      </c>
      <c r="W111" t="str">
        <f t="array" ref="W111">IFERROR(CONCATENATE((INDEX($Z$7:$Z$86,SMALL(IF($Z$7:$Z$86&lt;&gt;"",IF($W$7:$W$86&lt;&gt;"",ROW($W$7:$W$86)-MIN(ROW($W$7:$W$86))+1,""),""),ROW()-ROW(A$88)+1)))," "),"")</f>
        <v/>
      </c>
      <c r="X111" t="str">
        <f t="array" ref="X111">IFERROR(CONCATENATE(TEXT(INDEX($W$7:$W$86,SMALL(IF($Z$7:$Z$86&lt;&gt;"",IF($W$7:$W$86&lt;&gt;"",ROW($W$7:$W$86)-MIN(ROW($W$7:$W$86))+1,""),""),ROW()-ROW(A$88)+1)),"##0")," "),"")</f>
        <v/>
      </c>
      <c r="Y111" t="str">
        <f t="array" ref="Y111">IFERROR(CONCATENATE((INDEX($A$7:$A$86,SMALL(IF($Z$7:$Z$86&lt;&gt;"",IF($W$7:$W$86&lt;&gt;"",ROW($W$7:$W$86)-MIN(ROW($W$7:$W$86))+1,""),""),ROW()-ROW(A$88)+1))),),"")</f>
        <v/>
      </c>
      <c r="AC111" t="str">
        <f t="array" ref="AC111">IFERROR(CONCATENATE((INDEX($AF$7:$AF$86,SMALL(IF($AF$7:$AF$86&lt;&gt;"",IF($AC$7:$AC$86&lt;&gt;"",ROW($AC$7:$AC$86)-MIN(ROW($AC$7:$AC$86))+1,""),""),ROW()-ROW(A$88)+1))),","),"")</f>
        <v/>
      </c>
      <c r="AD111" t="str">
        <f t="array" ref="AD111">IFERROR(CONCATENATE(TEXT(INDEX($AC$7:$AC$86,SMALL(IF($AF$7:$AF$86&lt;&gt;"",IF($AC$7:$AC$86&lt;&gt;"",ROW($AC$7:$AC$86)-MIN(ROW($AC$7:$AC$86))+1,""),""),ROW()-ROW(A$88)+1)),"##0"),","),"")</f>
        <v/>
      </c>
      <c r="AE111" t="str">
        <f t="array" ref="AE111">IFERROR(CONCATENATE((INDEX($A$7:$A$86,SMALL(IF($AF$7:$AF$86&lt;&gt;"",IF($AC$7:$AC$86&lt;&gt;"",ROW($AC$7:$AC$86)-MIN(ROW($AC$7:$AC$86))+1,""),""),ROW()-ROW(A$88)+1))),),"")</f>
        <v/>
      </c>
      <c r="AI111" t="str">
        <f t="array" ref="AI111">IFERROR(CONCATENATE((INDEX($AL$7:$AL$86,SMALL(IF($AL$7:$AL$86&lt;&gt;"",IF($AI$7:$AI$86&lt;&gt;"",ROW($AI$7:$AI$86)-MIN(ROW($AI$7:$AI$86))+1,""),""),ROW()-ROW(A$88)+1)))," "),"")</f>
        <v/>
      </c>
      <c r="AJ111" t="str">
        <f t="array" ref="AJ111">IFERROR(CONCATENATE(TEXT(INDEX($AI$7:$AI$86,SMALL(IF($AL$7:$AL$86&lt;&gt;"",IF($AI$7:$AI$86&lt;&gt;"",ROW($AI$7:$AI$86)-MIN(ROW($AI$7:$AI$86))+1,""),""),ROW()-ROW(A$88)+1)),"##0")," "),"")</f>
        <v/>
      </c>
      <c r="AK111" t="str">
        <f t="array" ref="AK111">IFERROR(CONCATENATE((INDEX($A$7:$A$86,SMALL(IF($AL$7:$AL$86&lt;&gt;"",IF($AI$7:$AI$86&lt;&gt;"",ROW($AI$7:$AI$86)-MIN(ROW($AI$7:$AI$86))+1,""),""),ROW()-ROW(A$88)+1))),),"")</f>
        <v/>
      </c>
    </row>
    <row r="112" spans="11:37">
      <c r="K112" t="str">
        <f t="array" ref="K112">IFERROR(CONCATENATE(TEXT(INDEX($K$7:$K$86,SMALL(IF($N$7:$N$86&lt;&gt;"",IF($K$7:$K$86&lt;&gt;"",ROW($K$7:$K$86)-MIN(ROW($K$7:$K$86))+1,""),""),ROW()-ROW(A$88)+1)),"##0"),","),"")</f>
        <v/>
      </c>
      <c r="L112" t="str">
        <f t="array" ref="L112">IFERROR(CONCATENATE((INDEX($N$7:$N$86,SMALL(IF($N$7:$N$86&lt;&gt;"",IF($K$7:$K$86&lt;&gt;"",ROW($K$7:$K$86)-MIN(ROW($K$7:$K$86))+1,""),""),ROW()-ROW(A$88)+1))),","),"")</f>
        <v/>
      </c>
      <c r="M112" t="str">
        <f t="array" ref="M112">IFERROR(CONCATENATE((INDEX($A$7:$A$86,SMALL(IF($N$7:$N$86&lt;&gt;"",IF($K$7:$K$86&lt;&gt;"",ROW($K$7:$K$86)-MIN(ROW($K$7:$K$86))+1,""),""),ROW()-ROW(A$88)+1))),),"")</f>
        <v/>
      </c>
      <c r="Q112" t="str">
        <f t="array" ref="Q112">IFERROR(CONCATENATE((INDEX($T$7:$T$86,SMALL(IF($T$7:$T$86&lt;&gt;"",IF($Q$7:$Q$86&lt;&gt;"",ROW($Q$7:$Q$86)-MIN(ROW($Q$7:$Q$86))+1,""),""),ROW()-ROW(A$88)+1)))," "),"")</f>
        <v/>
      </c>
      <c r="R112" t="str">
        <f t="array" ref="R112">IFERROR(CONCATENATE(TEXT(INDEX($Q$7:$Q$86,SMALL(IF($T$7:$T$86&lt;&gt;"",IF($Q$7:$Q$86&lt;&gt;"",ROW($Q$7:$Q$86)-MIN(ROW($Q$7:$Q$86))+1,""),""),ROW()-ROW(A$88)+1)),"##0")," "),"")</f>
        <v/>
      </c>
      <c r="S112" t="str">
        <f t="array" ref="S112">IFERROR(CONCATENATE((INDEX($A$7:$A$86,SMALL(IF($T$7:$T$86&lt;&gt;"",IF($Q$7:$Q$86&lt;&gt;"",ROW($Q$7:$Q$86)-MIN(ROW($Q$7:$Q$86))+1,""),""),ROW()-ROW(A$88)+1))),),"")</f>
        <v/>
      </c>
      <c r="W112" t="str">
        <f t="array" ref="W112">IFERROR(CONCATENATE((INDEX($Z$7:$Z$86,SMALL(IF($Z$7:$Z$86&lt;&gt;"",IF($W$7:$W$86&lt;&gt;"",ROW($W$7:$W$86)-MIN(ROW($W$7:$W$86))+1,""),""),ROW()-ROW(A$88)+1)))," "),"")</f>
        <v/>
      </c>
      <c r="X112" t="str">
        <f t="array" ref="X112">IFERROR(CONCATENATE(TEXT(INDEX($W$7:$W$86,SMALL(IF($Z$7:$Z$86&lt;&gt;"",IF($W$7:$W$86&lt;&gt;"",ROW($W$7:$W$86)-MIN(ROW($W$7:$W$86))+1,""),""),ROW()-ROW(A$88)+1)),"##0")," "),"")</f>
        <v/>
      </c>
      <c r="Y112" t="str">
        <f t="array" ref="Y112">IFERROR(CONCATENATE((INDEX($A$7:$A$86,SMALL(IF($Z$7:$Z$86&lt;&gt;"",IF($W$7:$W$86&lt;&gt;"",ROW($W$7:$W$86)-MIN(ROW($W$7:$W$86))+1,""),""),ROW()-ROW(A$88)+1))),),"")</f>
        <v/>
      </c>
      <c r="AC112" t="str">
        <f t="array" ref="AC112">IFERROR(CONCATENATE((INDEX($AF$7:$AF$86,SMALL(IF($AF$7:$AF$86&lt;&gt;"",IF($AC$7:$AC$86&lt;&gt;"",ROW($AC$7:$AC$86)-MIN(ROW($AC$7:$AC$86))+1,""),""),ROW()-ROW(A$88)+1))),","),"")</f>
        <v/>
      </c>
      <c r="AD112" t="str">
        <f t="array" ref="AD112">IFERROR(CONCATENATE(TEXT(INDEX($AC$7:$AC$86,SMALL(IF($AF$7:$AF$86&lt;&gt;"",IF($AC$7:$AC$86&lt;&gt;"",ROW($AC$7:$AC$86)-MIN(ROW($AC$7:$AC$86))+1,""),""),ROW()-ROW(A$88)+1)),"##0"),","),"")</f>
        <v/>
      </c>
      <c r="AE112" t="str">
        <f t="array" ref="AE112">IFERROR(CONCATENATE((INDEX($A$7:$A$86,SMALL(IF($AF$7:$AF$86&lt;&gt;"",IF($AC$7:$AC$86&lt;&gt;"",ROW($AC$7:$AC$86)-MIN(ROW($AC$7:$AC$86))+1,""),""),ROW()-ROW(A$88)+1))),),"")</f>
        <v/>
      </c>
      <c r="AI112" t="str">
        <f t="array" ref="AI112">IFERROR(CONCATENATE((INDEX($AL$7:$AL$86,SMALL(IF($AL$7:$AL$86&lt;&gt;"",IF($AI$7:$AI$86&lt;&gt;"",ROW($AI$7:$AI$86)-MIN(ROW($AI$7:$AI$86))+1,""),""),ROW()-ROW(A$88)+1)))," "),"")</f>
        <v/>
      </c>
      <c r="AJ112" t="str">
        <f t="array" ref="AJ112">IFERROR(CONCATENATE(TEXT(INDEX($AI$7:$AI$86,SMALL(IF($AL$7:$AL$86&lt;&gt;"",IF($AI$7:$AI$86&lt;&gt;"",ROW($AI$7:$AI$86)-MIN(ROW($AI$7:$AI$86))+1,""),""),ROW()-ROW(A$88)+1)),"##0")," "),"")</f>
        <v/>
      </c>
      <c r="AK112" t="str">
        <f t="array" ref="AK112">IFERROR(CONCATENATE((INDEX($A$7:$A$86,SMALL(IF($AL$7:$AL$86&lt;&gt;"",IF($AI$7:$AI$86&lt;&gt;"",ROW($AI$7:$AI$86)-MIN(ROW($AI$7:$AI$86))+1,""),""),ROW()-ROW(A$88)+1))),),"")</f>
        <v/>
      </c>
    </row>
    <row r="113" spans="11:37">
      <c r="K113" t="str">
        <f t="array" ref="K113">IFERROR(CONCATENATE(TEXT(INDEX($K$7:$K$86,SMALL(IF($N$7:$N$86&lt;&gt;"",IF($K$7:$K$86&lt;&gt;"",ROW($K$7:$K$86)-MIN(ROW($K$7:$K$86))+1,""),""),ROW()-ROW(A$88)+1)),"##0"),","),"")</f>
        <v/>
      </c>
      <c r="L113" t="str">
        <f t="array" ref="L113">IFERROR(CONCATENATE((INDEX($N$7:$N$86,SMALL(IF($N$7:$N$86&lt;&gt;"",IF($K$7:$K$86&lt;&gt;"",ROW($K$7:$K$86)-MIN(ROW($K$7:$K$86))+1,""),""),ROW()-ROW(A$88)+1))),","),"")</f>
        <v/>
      </c>
      <c r="M113" t="str">
        <f t="array" ref="M113">IFERROR(CONCATENATE((INDEX($A$7:$A$86,SMALL(IF($N$7:$N$86&lt;&gt;"",IF($K$7:$K$86&lt;&gt;"",ROW($K$7:$K$86)-MIN(ROW($K$7:$K$86))+1,""),""),ROW()-ROW(A$88)+1))),),"")</f>
        <v/>
      </c>
      <c r="Q113" t="str">
        <f t="array" ref="Q113">IFERROR(CONCATENATE((INDEX($T$7:$T$86,SMALL(IF($T$7:$T$86&lt;&gt;"",IF($Q$7:$Q$86&lt;&gt;"",ROW($Q$7:$Q$86)-MIN(ROW($Q$7:$Q$86))+1,""),""),ROW()-ROW(A$88)+1)))," "),"")</f>
        <v/>
      </c>
      <c r="R113" t="str">
        <f t="array" ref="R113">IFERROR(CONCATENATE(TEXT(INDEX($Q$7:$Q$86,SMALL(IF($T$7:$T$86&lt;&gt;"",IF($Q$7:$Q$86&lt;&gt;"",ROW($Q$7:$Q$86)-MIN(ROW($Q$7:$Q$86))+1,""),""),ROW()-ROW(A$88)+1)),"##0")," "),"")</f>
        <v/>
      </c>
      <c r="S113" t="str">
        <f t="array" ref="S113">IFERROR(CONCATENATE((INDEX($A$7:$A$86,SMALL(IF($T$7:$T$86&lt;&gt;"",IF($Q$7:$Q$86&lt;&gt;"",ROW($Q$7:$Q$86)-MIN(ROW($Q$7:$Q$86))+1,""),""),ROW()-ROW(A$88)+1))),),"")</f>
        <v/>
      </c>
      <c r="W113" t="str">
        <f t="array" ref="W113">IFERROR(CONCATENATE((INDEX($Z$7:$Z$86,SMALL(IF($Z$7:$Z$86&lt;&gt;"",IF($W$7:$W$86&lt;&gt;"",ROW($W$7:$W$86)-MIN(ROW($W$7:$W$86))+1,""),""),ROW()-ROW(A$88)+1)))," "),"")</f>
        <v/>
      </c>
      <c r="X113" t="str">
        <f t="array" ref="X113">IFERROR(CONCATENATE(TEXT(INDEX($W$7:$W$86,SMALL(IF($Z$7:$Z$86&lt;&gt;"",IF($W$7:$W$86&lt;&gt;"",ROW($W$7:$W$86)-MIN(ROW($W$7:$W$86))+1,""),""),ROW()-ROW(A$88)+1)),"##0")," "),"")</f>
        <v/>
      </c>
      <c r="Y113" t="str">
        <f t="array" ref="Y113">IFERROR(CONCATENATE((INDEX($A$7:$A$86,SMALL(IF($Z$7:$Z$86&lt;&gt;"",IF($W$7:$W$86&lt;&gt;"",ROW($W$7:$W$86)-MIN(ROW($W$7:$W$86))+1,""),""),ROW()-ROW(A$88)+1))),),"")</f>
        <v/>
      </c>
      <c r="AC113" t="str">
        <f t="array" ref="AC113">IFERROR(CONCATENATE((INDEX($AF$7:$AF$86,SMALL(IF($AF$7:$AF$86&lt;&gt;"",IF($AC$7:$AC$86&lt;&gt;"",ROW($AC$7:$AC$86)-MIN(ROW($AC$7:$AC$86))+1,""),""),ROW()-ROW(A$88)+1))),","),"")</f>
        <v/>
      </c>
      <c r="AD113" t="str">
        <f t="array" ref="AD113">IFERROR(CONCATENATE(TEXT(INDEX($AC$7:$AC$86,SMALL(IF($AF$7:$AF$86&lt;&gt;"",IF($AC$7:$AC$86&lt;&gt;"",ROW($AC$7:$AC$86)-MIN(ROW($AC$7:$AC$86))+1,""),""),ROW()-ROW(A$88)+1)),"##0"),","),"")</f>
        <v/>
      </c>
      <c r="AE113" t="str">
        <f t="array" ref="AE113">IFERROR(CONCATENATE((INDEX($A$7:$A$86,SMALL(IF($AF$7:$AF$86&lt;&gt;"",IF($AC$7:$AC$86&lt;&gt;"",ROW($AC$7:$AC$86)-MIN(ROW($AC$7:$AC$86))+1,""),""),ROW()-ROW(A$88)+1))),),"")</f>
        <v/>
      </c>
      <c r="AI113" t="str">
        <f t="array" ref="AI113">IFERROR(CONCATENATE((INDEX($AL$7:$AL$86,SMALL(IF($AL$7:$AL$86&lt;&gt;"",IF($AI$7:$AI$86&lt;&gt;"",ROW($AI$7:$AI$86)-MIN(ROW($AI$7:$AI$86))+1,""),""),ROW()-ROW(A$88)+1)))," "),"")</f>
        <v/>
      </c>
      <c r="AJ113" t="str">
        <f t="array" ref="AJ113">IFERROR(CONCATENATE(TEXT(INDEX($AI$7:$AI$86,SMALL(IF($AL$7:$AL$86&lt;&gt;"",IF($AI$7:$AI$86&lt;&gt;"",ROW($AI$7:$AI$86)-MIN(ROW($AI$7:$AI$86))+1,""),""),ROW()-ROW(A$88)+1)),"##0")," "),"")</f>
        <v/>
      </c>
      <c r="AK113" t="str">
        <f t="array" ref="AK113">IFERROR(CONCATENATE((INDEX($A$7:$A$86,SMALL(IF($AL$7:$AL$86&lt;&gt;"",IF($AI$7:$AI$86&lt;&gt;"",ROW($AI$7:$AI$86)-MIN(ROW($AI$7:$AI$86))+1,""),""),ROW()-ROW(A$88)+1))),),"")</f>
        <v/>
      </c>
    </row>
    <row r="114" spans="11:37">
      <c r="K114" t="str">
        <f t="array" ref="K114">IFERROR(CONCATENATE(TEXT(INDEX($K$7:$K$86,SMALL(IF($N$7:$N$86&lt;&gt;"",IF($K$7:$K$86&lt;&gt;"",ROW($K$7:$K$86)-MIN(ROW($K$7:$K$86))+1,""),""),ROW()-ROW(A$88)+1)),"##0"),","),"")</f>
        <v/>
      </c>
      <c r="L114" t="str">
        <f t="array" ref="L114">IFERROR(CONCATENATE((INDEX($N$7:$N$86,SMALL(IF($N$7:$N$86&lt;&gt;"",IF($K$7:$K$86&lt;&gt;"",ROW($K$7:$K$86)-MIN(ROW($K$7:$K$86))+1,""),""),ROW()-ROW(A$88)+1))),","),"")</f>
        <v/>
      </c>
      <c r="M114" t="str">
        <f t="array" ref="M114">IFERROR(CONCATENATE((INDEX($A$7:$A$86,SMALL(IF($N$7:$N$86&lt;&gt;"",IF($K$7:$K$86&lt;&gt;"",ROW($K$7:$K$86)-MIN(ROW($K$7:$K$86))+1,""),""),ROW()-ROW(A$88)+1))),),"")</f>
        <v/>
      </c>
      <c r="Q114" t="str">
        <f t="array" ref="Q114">IFERROR(CONCATENATE((INDEX($T$7:$T$86,SMALL(IF($T$7:$T$86&lt;&gt;"",IF($Q$7:$Q$86&lt;&gt;"",ROW($Q$7:$Q$86)-MIN(ROW($Q$7:$Q$86))+1,""),""),ROW()-ROW(A$88)+1)))," "),"")</f>
        <v/>
      </c>
      <c r="R114" t="str">
        <f t="array" ref="R114">IFERROR(CONCATENATE(TEXT(INDEX($Q$7:$Q$86,SMALL(IF($T$7:$T$86&lt;&gt;"",IF($Q$7:$Q$86&lt;&gt;"",ROW($Q$7:$Q$86)-MIN(ROW($Q$7:$Q$86))+1,""),""),ROW()-ROW(A$88)+1)),"##0")," "),"")</f>
        <v/>
      </c>
      <c r="S114" t="str">
        <f t="array" ref="S114">IFERROR(CONCATENATE((INDEX($A$7:$A$86,SMALL(IF($T$7:$T$86&lt;&gt;"",IF($Q$7:$Q$86&lt;&gt;"",ROW($Q$7:$Q$86)-MIN(ROW($Q$7:$Q$86))+1,""),""),ROW()-ROW(A$88)+1))),),"")</f>
        <v/>
      </c>
      <c r="W114" t="str">
        <f t="array" ref="W114">IFERROR(CONCATENATE((INDEX($Z$7:$Z$86,SMALL(IF($Z$7:$Z$86&lt;&gt;"",IF($W$7:$W$86&lt;&gt;"",ROW($W$7:$W$86)-MIN(ROW($W$7:$W$86))+1,""),""),ROW()-ROW(A$88)+1)))," "),"")</f>
        <v/>
      </c>
      <c r="X114" t="str">
        <f t="array" ref="X114">IFERROR(CONCATENATE(TEXT(INDEX($W$7:$W$86,SMALL(IF($Z$7:$Z$86&lt;&gt;"",IF($W$7:$W$86&lt;&gt;"",ROW($W$7:$W$86)-MIN(ROW($W$7:$W$86))+1,""),""),ROW()-ROW(A$88)+1)),"##0")," "),"")</f>
        <v/>
      </c>
      <c r="Y114" t="str">
        <f t="array" ref="Y114">IFERROR(CONCATENATE((INDEX($A$7:$A$86,SMALL(IF($Z$7:$Z$86&lt;&gt;"",IF($W$7:$W$86&lt;&gt;"",ROW($W$7:$W$86)-MIN(ROW($W$7:$W$86))+1,""),""),ROW()-ROW(A$88)+1))),),"")</f>
        <v/>
      </c>
      <c r="AC114" t="str">
        <f t="array" ref="AC114">IFERROR(CONCATENATE((INDEX($AF$7:$AF$86,SMALL(IF($AF$7:$AF$86&lt;&gt;"",IF($AC$7:$AC$86&lt;&gt;"",ROW($AC$7:$AC$86)-MIN(ROW($AC$7:$AC$86))+1,""),""),ROW()-ROW(A$88)+1))),","),"")</f>
        <v/>
      </c>
      <c r="AD114" t="str">
        <f t="array" ref="AD114">IFERROR(CONCATENATE(TEXT(INDEX($AC$7:$AC$86,SMALL(IF($AF$7:$AF$86&lt;&gt;"",IF($AC$7:$AC$86&lt;&gt;"",ROW($AC$7:$AC$86)-MIN(ROW($AC$7:$AC$86))+1,""),""),ROW()-ROW(A$88)+1)),"##0"),","),"")</f>
        <v/>
      </c>
      <c r="AE114" t="str">
        <f t="array" ref="AE114">IFERROR(CONCATENATE((INDEX($A$7:$A$86,SMALL(IF($AF$7:$AF$86&lt;&gt;"",IF($AC$7:$AC$86&lt;&gt;"",ROW($AC$7:$AC$86)-MIN(ROW($AC$7:$AC$86))+1,""),""),ROW()-ROW(A$88)+1))),),"")</f>
        <v/>
      </c>
      <c r="AI114" t="str">
        <f t="array" ref="AI114">IFERROR(CONCATENATE((INDEX($AL$7:$AL$86,SMALL(IF($AL$7:$AL$86&lt;&gt;"",IF($AI$7:$AI$86&lt;&gt;"",ROW($AI$7:$AI$86)-MIN(ROW($AI$7:$AI$86))+1,""),""),ROW()-ROW(A$88)+1)))," "),"")</f>
        <v/>
      </c>
      <c r="AJ114" t="str">
        <f t="array" ref="AJ114">IFERROR(CONCATENATE(TEXT(INDEX($AI$7:$AI$86,SMALL(IF($AL$7:$AL$86&lt;&gt;"",IF($AI$7:$AI$86&lt;&gt;"",ROW($AI$7:$AI$86)-MIN(ROW($AI$7:$AI$86))+1,""),""),ROW()-ROW(A$88)+1)),"##0")," "),"")</f>
        <v/>
      </c>
      <c r="AK114" t="str">
        <f t="array" ref="AK114">IFERROR(CONCATENATE((INDEX($A$7:$A$86,SMALL(IF($AL$7:$AL$86&lt;&gt;"",IF($AI$7:$AI$86&lt;&gt;"",ROW($AI$7:$AI$86)-MIN(ROW($AI$7:$AI$86))+1,""),""),ROW()-ROW(A$88)+1))),),"")</f>
        <v/>
      </c>
    </row>
    <row r="115" spans="11:37">
      <c r="K115" t="str">
        <f t="array" ref="K115">IFERROR(CONCATENATE(TEXT(INDEX($K$7:$K$86,SMALL(IF($N$7:$N$86&lt;&gt;"",IF($K$7:$K$86&lt;&gt;"",ROW($K$7:$K$86)-MIN(ROW($K$7:$K$86))+1,""),""),ROW()-ROW(A$88)+1)),"##0"),","),"")</f>
        <v/>
      </c>
      <c r="L115" t="str">
        <f t="array" ref="L115">IFERROR(CONCATENATE((INDEX($N$7:$N$86,SMALL(IF($N$7:$N$86&lt;&gt;"",IF($K$7:$K$86&lt;&gt;"",ROW($K$7:$K$86)-MIN(ROW($K$7:$K$86))+1,""),""),ROW()-ROW(A$88)+1))),","),"")</f>
        <v/>
      </c>
      <c r="M115" t="str">
        <f t="array" ref="M115">IFERROR(CONCATENATE((INDEX($A$7:$A$86,SMALL(IF($N$7:$N$86&lt;&gt;"",IF($K$7:$K$86&lt;&gt;"",ROW($K$7:$K$86)-MIN(ROW($K$7:$K$86))+1,""),""),ROW()-ROW(A$88)+1))),),"")</f>
        <v/>
      </c>
      <c r="Q115" t="str">
        <f t="array" ref="Q115">IFERROR(CONCATENATE((INDEX($T$7:$T$86,SMALL(IF($T$7:$T$86&lt;&gt;"",IF($Q$7:$Q$86&lt;&gt;"",ROW($Q$7:$Q$86)-MIN(ROW($Q$7:$Q$86))+1,""),""),ROW()-ROW(A$88)+1)))," "),"")</f>
        <v/>
      </c>
      <c r="R115" t="str">
        <f t="array" ref="R115">IFERROR(CONCATENATE(TEXT(INDEX($Q$7:$Q$86,SMALL(IF($T$7:$T$86&lt;&gt;"",IF($Q$7:$Q$86&lt;&gt;"",ROW($Q$7:$Q$86)-MIN(ROW($Q$7:$Q$86))+1,""),""),ROW()-ROW(A$88)+1)),"##0")," "),"")</f>
        <v/>
      </c>
      <c r="S115" t="str">
        <f t="array" ref="S115">IFERROR(CONCATENATE((INDEX($A$7:$A$86,SMALL(IF($T$7:$T$86&lt;&gt;"",IF($Q$7:$Q$86&lt;&gt;"",ROW($Q$7:$Q$86)-MIN(ROW($Q$7:$Q$86))+1,""),""),ROW()-ROW(A$88)+1))),),"")</f>
        <v/>
      </c>
      <c r="W115" t="str">
        <f t="array" ref="W115">IFERROR(CONCATENATE((INDEX($Z$7:$Z$86,SMALL(IF($Z$7:$Z$86&lt;&gt;"",IF($W$7:$W$86&lt;&gt;"",ROW($W$7:$W$86)-MIN(ROW($W$7:$W$86))+1,""),""),ROW()-ROW(A$88)+1)))," "),"")</f>
        <v/>
      </c>
      <c r="X115" t="str">
        <f t="array" ref="X115">IFERROR(CONCATENATE(TEXT(INDEX($W$7:$W$86,SMALL(IF($Z$7:$Z$86&lt;&gt;"",IF($W$7:$W$86&lt;&gt;"",ROW($W$7:$W$86)-MIN(ROW($W$7:$W$86))+1,""),""),ROW()-ROW(A$88)+1)),"##0")," "),"")</f>
        <v/>
      </c>
      <c r="Y115" t="str">
        <f t="array" ref="Y115">IFERROR(CONCATENATE((INDEX($A$7:$A$86,SMALL(IF($Z$7:$Z$86&lt;&gt;"",IF($W$7:$W$86&lt;&gt;"",ROW($W$7:$W$86)-MIN(ROW($W$7:$W$86))+1,""),""),ROW()-ROW(A$88)+1))),),"")</f>
        <v/>
      </c>
      <c r="AC115" t="str">
        <f t="array" ref="AC115">IFERROR(CONCATENATE((INDEX($AF$7:$AF$86,SMALL(IF($AF$7:$AF$86&lt;&gt;"",IF($AC$7:$AC$86&lt;&gt;"",ROW($AC$7:$AC$86)-MIN(ROW($AC$7:$AC$86))+1,""),""),ROW()-ROW(A$88)+1))),","),"")</f>
        <v/>
      </c>
      <c r="AD115" t="str">
        <f t="array" ref="AD115">IFERROR(CONCATENATE(TEXT(INDEX($AC$7:$AC$86,SMALL(IF($AF$7:$AF$86&lt;&gt;"",IF($AC$7:$AC$86&lt;&gt;"",ROW($AC$7:$AC$86)-MIN(ROW($AC$7:$AC$86))+1,""),""),ROW()-ROW(A$88)+1)),"##0"),","),"")</f>
        <v/>
      </c>
      <c r="AE115" t="str">
        <f t="array" ref="AE115">IFERROR(CONCATENATE((INDEX($A$7:$A$86,SMALL(IF($AF$7:$AF$86&lt;&gt;"",IF($AC$7:$AC$86&lt;&gt;"",ROW($AC$7:$AC$86)-MIN(ROW($AC$7:$AC$86))+1,""),""),ROW()-ROW(A$88)+1))),),"")</f>
        <v/>
      </c>
      <c r="AI115" t="str">
        <f t="array" ref="AI115">IFERROR(CONCATENATE((INDEX($AL$7:$AL$86,SMALL(IF($AL$7:$AL$86&lt;&gt;"",IF($AI$7:$AI$86&lt;&gt;"",ROW($AI$7:$AI$86)-MIN(ROW($AI$7:$AI$86))+1,""),""),ROW()-ROW(A$88)+1)))," "),"")</f>
        <v/>
      </c>
      <c r="AJ115" t="str">
        <f t="array" ref="AJ115">IFERROR(CONCATENATE(TEXT(INDEX($AI$7:$AI$86,SMALL(IF($AL$7:$AL$86&lt;&gt;"",IF($AI$7:$AI$86&lt;&gt;"",ROW($AI$7:$AI$86)-MIN(ROW($AI$7:$AI$86))+1,""),""),ROW()-ROW(A$88)+1)),"##0")," "),"")</f>
        <v/>
      </c>
      <c r="AK115" t="str">
        <f t="array" ref="AK115">IFERROR(CONCATENATE((INDEX($A$7:$A$86,SMALL(IF($AL$7:$AL$86&lt;&gt;"",IF($AI$7:$AI$86&lt;&gt;"",ROW($AI$7:$AI$86)-MIN(ROW($AI$7:$AI$86))+1,""),""),ROW()-ROW(A$88)+1))),),"")</f>
        <v/>
      </c>
    </row>
    <row r="116" spans="11:37">
      <c r="K116" t="str">
        <f t="array" ref="K116">IFERROR(CONCATENATE(TEXT(INDEX($K$7:$K$86,SMALL(IF($N$7:$N$86&lt;&gt;"",IF($K$7:$K$86&lt;&gt;"",ROW($K$7:$K$86)-MIN(ROW($K$7:$K$86))+1,""),""),ROW()-ROW(A$88)+1)),"##0"),","),"")</f>
        <v/>
      </c>
      <c r="L116" t="str">
        <f t="array" ref="L116">IFERROR(CONCATENATE((INDEX($N$7:$N$86,SMALL(IF($N$7:$N$86&lt;&gt;"",IF($K$7:$K$86&lt;&gt;"",ROW($K$7:$K$86)-MIN(ROW($K$7:$K$86))+1,""),""),ROW()-ROW(A$88)+1))),","),"")</f>
        <v/>
      </c>
      <c r="M116" t="str">
        <f t="array" ref="M116">IFERROR(CONCATENATE((INDEX($A$7:$A$86,SMALL(IF($N$7:$N$86&lt;&gt;"",IF($K$7:$K$86&lt;&gt;"",ROW($K$7:$K$86)-MIN(ROW($K$7:$K$86))+1,""),""),ROW()-ROW(A$88)+1))),),"")</f>
        <v/>
      </c>
      <c r="Q116" t="str">
        <f t="array" ref="Q116">IFERROR(CONCATENATE((INDEX($T$7:$T$86,SMALL(IF($T$7:$T$86&lt;&gt;"",IF($Q$7:$Q$86&lt;&gt;"",ROW($Q$7:$Q$86)-MIN(ROW($Q$7:$Q$86))+1,""),""),ROW()-ROW(A$88)+1)))," "),"")</f>
        <v/>
      </c>
      <c r="R116" t="str">
        <f t="array" ref="R116">IFERROR(CONCATENATE(TEXT(INDEX($Q$7:$Q$86,SMALL(IF($T$7:$T$86&lt;&gt;"",IF($Q$7:$Q$86&lt;&gt;"",ROW($Q$7:$Q$86)-MIN(ROW($Q$7:$Q$86))+1,""),""),ROW()-ROW(A$88)+1)),"##0")," "),"")</f>
        <v/>
      </c>
      <c r="S116" t="str">
        <f t="array" ref="S116">IFERROR(CONCATENATE((INDEX($A$7:$A$86,SMALL(IF($T$7:$T$86&lt;&gt;"",IF($Q$7:$Q$86&lt;&gt;"",ROW($Q$7:$Q$86)-MIN(ROW($Q$7:$Q$86))+1,""),""),ROW()-ROW(A$88)+1))),),"")</f>
        <v/>
      </c>
      <c r="W116" t="str">
        <f t="array" ref="W116">IFERROR(CONCATENATE((INDEX($Z$7:$Z$86,SMALL(IF($Z$7:$Z$86&lt;&gt;"",IF($W$7:$W$86&lt;&gt;"",ROW($W$7:$W$86)-MIN(ROW($W$7:$W$86))+1,""),""),ROW()-ROW(A$88)+1)))," "),"")</f>
        <v/>
      </c>
      <c r="X116" t="str">
        <f t="array" ref="X116">IFERROR(CONCATENATE(TEXT(INDEX($W$7:$W$86,SMALL(IF($Z$7:$Z$86&lt;&gt;"",IF($W$7:$W$86&lt;&gt;"",ROW($W$7:$W$86)-MIN(ROW($W$7:$W$86))+1,""),""),ROW()-ROW(A$88)+1)),"##0")," "),"")</f>
        <v/>
      </c>
      <c r="Y116" t="str">
        <f t="array" ref="Y116">IFERROR(CONCATENATE((INDEX($A$7:$A$86,SMALL(IF($Z$7:$Z$86&lt;&gt;"",IF($W$7:$W$86&lt;&gt;"",ROW($W$7:$W$86)-MIN(ROW($W$7:$W$86))+1,""),""),ROW()-ROW(A$88)+1))),),"")</f>
        <v/>
      </c>
      <c r="AC116" t="str">
        <f t="array" ref="AC116">IFERROR(CONCATENATE((INDEX($AF$7:$AF$86,SMALL(IF($AF$7:$AF$86&lt;&gt;"",IF($AC$7:$AC$86&lt;&gt;"",ROW($AC$7:$AC$86)-MIN(ROW($AC$7:$AC$86))+1,""),""),ROW()-ROW(A$88)+1))),","),"")</f>
        <v/>
      </c>
      <c r="AD116" t="str">
        <f t="array" ref="AD116">IFERROR(CONCATENATE(TEXT(INDEX($AC$7:$AC$86,SMALL(IF($AF$7:$AF$86&lt;&gt;"",IF($AC$7:$AC$86&lt;&gt;"",ROW($AC$7:$AC$86)-MIN(ROW($AC$7:$AC$86))+1,""),""),ROW()-ROW(A$88)+1)),"##0"),","),"")</f>
        <v/>
      </c>
      <c r="AE116" t="str">
        <f t="array" ref="AE116">IFERROR(CONCATENATE((INDEX($A$7:$A$86,SMALL(IF($AF$7:$AF$86&lt;&gt;"",IF($AC$7:$AC$86&lt;&gt;"",ROW($AC$7:$AC$86)-MIN(ROW($AC$7:$AC$86))+1,""),""),ROW()-ROW(A$88)+1))),),"")</f>
        <v/>
      </c>
      <c r="AI116" t="str">
        <f t="array" ref="AI116">IFERROR(CONCATENATE((INDEX($AL$7:$AL$86,SMALL(IF($AL$7:$AL$86&lt;&gt;"",IF($AI$7:$AI$86&lt;&gt;"",ROW($AI$7:$AI$86)-MIN(ROW($AI$7:$AI$86))+1,""),""),ROW()-ROW(A$88)+1)))," "),"")</f>
        <v/>
      </c>
      <c r="AJ116" t="str">
        <f t="array" ref="AJ116">IFERROR(CONCATENATE(TEXT(INDEX($AI$7:$AI$86,SMALL(IF($AL$7:$AL$86&lt;&gt;"",IF($AI$7:$AI$86&lt;&gt;"",ROW($AI$7:$AI$86)-MIN(ROW($AI$7:$AI$86))+1,""),""),ROW()-ROW(A$88)+1)),"##0")," "),"")</f>
        <v/>
      </c>
      <c r="AK116" t="str">
        <f t="array" ref="AK116">IFERROR(CONCATENATE((INDEX($A$7:$A$86,SMALL(IF($AL$7:$AL$86&lt;&gt;"",IF($AI$7:$AI$86&lt;&gt;"",ROW($AI$7:$AI$86)-MIN(ROW($AI$7:$AI$86))+1,""),""),ROW()-ROW(A$88)+1))),),"")</f>
        <v/>
      </c>
    </row>
    <row r="117" spans="11:37">
      <c r="K117" t="str">
        <f t="array" ref="K117">IFERROR(CONCATENATE(TEXT(INDEX($K$7:$K$86,SMALL(IF($N$7:$N$86&lt;&gt;"",IF($K$7:$K$86&lt;&gt;"",ROW($K$7:$K$86)-MIN(ROW($K$7:$K$86))+1,""),""),ROW()-ROW(A$88)+1)),"##0"),","),"")</f>
        <v/>
      </c>
      <c r="L117" t="str">
        <f t="array" ref="L117">IFERROR(CONCATENATE((INDEX($N$7:$N$86,SMALL(IF($N$7:$N$86&lt;&gt;"",IF($K$7:$K$86&lt;&gt;"",ROW($K$7:$K$86)-MIN(ROW($K$7:$K$86))+1,""),""),ROW()-ROW(A$88)+1))),","),"")</f>
        <v/>
      </c>
      <c r="M117" t="str">
        <f t="array" ref="M117">IFERROR(CONCATENATE((INDEX($A$7:$A$86,SMALL(IF($N$7:$N$86&lt;&gt;"",IF($K$7:$K$86&lt;&gt;"",ROW($K$7:$K$86)-MIN(ROW($K$7:$K$86))+1,""),""),ROW()-ROW(A$88)+1))),),"")</f>
        <v/>
      </c>
      <c r="Q117" t="str">
        <f t="array" ref="Q117">IFERROR(CONCATENATE((INDEX($T$7:$T$86,SMALL(IF($T$7:$T$86&lt;&gt;"",IF($Q$7:$Q$86&lt;&gt;"",ROW($Q$7:$Q$86)-MIN(ROW($Q$7:$Q$86))+1,""),""),ROW()-ROW(A$88)+1)))," "),"")</f>
        <v/>
      </c>
      <c r="R117" t="str">
        <f t="array" ref="R117">IFERROR(CONCATENATE(TEXT(INDEX($Q$7:$Q$86,SMALL(IF($T$7:$T$86&lt;&gt;"",IF($Q$7:$Q$86&lt;&gt;"",ROW($Q$7:$Q$86)-MIN(ROW($Q$7:$Q$86))+1,""),""),ROW()-ROW(A$88)+1)),"##0")," "),"")</f>
        <v/>
      </c>
      <c r="S117" t="str">
        <f t="array" ref="S117">IFERROR(CONCATENATE((INDEX($A$7:$A$86,SMALL(IF($T$7:$T$86&lt;&gt;"",IF($Q$7:$Q$86&lt;&gt;"",ROW($Q$7:$Q$86)-MIN(ROW($Q$7:$Q$86))+1,""),""),ROW()-ROW(A$88)+1))),),"")</f>
        <v/>
      </c>
      <c r="W117" t="str">
        <f t="array" ref="W117">IFERROR(CONCATENATE((INDEX($Z$7:$Z$86,SMALL(IF($Z$7:$Z$86&lt;&gt;"",IF($W$7:$W$86&lt;&gt;"",ROW($W$7:$W$86)-MIN(ROW($W$7:$W$86))+1,""),""),ROW()-ROW(A$88)+1)))," "),"")</f>
        <v/>
      </c>
      <c r="X117" t="str">
        <f t="array" ref="X117">IFERROR(CONCATENATE(TEXT(INDEX($W$7:$W$86,SMALL(IF($Z$7:$Z$86&lt;&gt;"",IF($W$7:$W$86&lt;&gt;"",ROW($W$7:$W$86)-MIN(ROW($W$7:$W$86))+1,""),""),ROW()-ROW(A$88)+1)),"##0")," "),"")</f>
        <v/>
      </c>
      <c r="Y117" t="str">
        <f t="array" ref="Y117">IFERROR(CONCATENATE((INDEX($A$7:$A$86,SMALL(IF($Z$7:$Z$86&lt;&gt;"",IF($W$7:$W$86&lt;&gt;"",ROW($W$7:$W$86)-MIN(ROW($W$7:$W$86))+1,""),""),ROW()-ROW(A$88)+1))),),"")</f>
        <v/>
      </c>
      <c r="AC117" t="str">
        <f t="array" ref="AC117">IFERROR(CONCATENATE((INDEX($AF$7:$AF$86,SMALL(IF($AF$7:$AF$86&lt;&gt;"",IF($AC$7:$AC$86&lt;&gt;"",ROW($AC$7:$AC$86)-MIN(ROW($AC$7:$AC$86))+1,""),""),ROW()-ROW(A$88)+1))),","),"")</f>
        <v/>
      </c>
      <c r="AD117" t="str">
        <f t="array" ref="AD117">IFERROR(CONCATENATE(TEXT(INDEX($AC$7:$AC$86,SMALL(IF($AF$7:$AF$86&lt;&gt;"",IF($AC$7:$AC$86&lt;&gt;"",ROW($AC$7:$AC$86)-MIN(ROW($AC$7:$AC$86))+1,""),""),ROW()-ROW(A$88)+1)),"##0"),","),"")</f>
        <v/>
      </c>
      <c r="AE117" t="str">
        <f t="array" ref="AE117">IFERROR(CONCATENATE((INDEX($A$7:$A$86,SMALL(IF($AF$7:$AF$86&lt;&gt;"",IF($AC$7:$AC$86&lt;&gt;"",ROW($AC$7:$AC$86)-MIN(ROW($AC$7:$AC$86))+1,""),""),ROW()-ROW(A$88)+1))),),"")</f>
        <v/>
      </c>
      <c r="AI117" t="str">
        <f t="array" ref="AI117">IFERROR(CONCATENATE((INDEX($AL$7:$AL$86,SMALL(IF($AL$7:$AL$86&lt;&gt;"",IF($AI$7:$AI$86&lt;&gt;"",ROW($AI$7:$AI$86)-MIN(ROW($AI$7:$AI$86))+1,""),""),ROW()-ROW(A$88)+1)))," "),"")</f>
        <v/>
      </c>
      <c r="AJ117" t="str">
        <f t="array" ref="AJ117">IFERROR(CONCATENATE(TEXT(INDEX($AI$7:$AI$86,SMALL(IF($AL$7:$AL$86&lt;&gt;"",IF($AI$7:$AI$86&lt;&gt;"",ROW($AI$7:$AI$86)-MIN(ROW($AI$7:$AI$86))+1,""),""),ROW()-ROW(A$88)+1)),"##0")," "),"")</f>
        <v/>
      </c>
      <c r="AK117" t="str">
        <f t="array" ref="AK117">IFERROR(CONCATENATE((INDEX($A$7:$A$86,SMALL(IF($AL$7:$AL$86&lt;&gt;"",IF($AI$7:$AI$86&lt;&gt;"",ROW($AI$7:$AI$86)-MIN(ROW($AI$7:$AI$86))+1,""),""),ROW()-ROW(A$88)+1))),),"")</f>
        <v/>
      </c>
    </row>
    <row r="118" spans="11:37">
      <c r="K118" t="str">
        <f t="array" ref="K118">IFERROR(CONCATENATE(TEXT(INDEX($K$7:$K$86,SMALL(IF($N$7:$N$86&lt;&gt;"",IF($K$7:$K$86&lt;&gt;"",ROW($K$7:$K$86)-MIN(ROW($K$7:$K$86))+1,""),""),ROW()-ROW(A$88)+1)),"##0"),","),"")</f>
        <v/>
      </c>
      <c r="L118" t="str">
        <f t="array" ref="L118">IFERROR(CONCATENATE((INDEX($N$7:$N$86,SMALL(IF($N$7:$N$86&lt;&gt;"",IF($K$7:$K$86&lt;&gt;"",ROW($K$7:$K$86)-MIN(ROW($K$7:$K$86))+1,""),""),ROW()-ROW(A$88)+1))),","),"")</f>
        <v/>
      </c>
      <c r="M118" t="str">
        <f t="array" ref="M118">IFERROR(CONCATENATE((INDEX($A$7:$A$86,SMALL(IF($N$7:$N$86&lt;&gt;"",IF($K$7:$K$86&lt;&gt;"",ROW($K$7:$K$86)-MIN(ROW($K$7:$K$86))+1,""),""),ROW()-ROW(A$88)+1))),),"")</f>
        <v/>
      </c>
      <c r="Q118" t="str">
        <f t="array" ref="Q118">IFERROR(CONCATENATE((INDEX($T$7:$T$86,SMALL(IF($T$7:$T$86&lt;&gt;"",IF($Q$7:$Q$86&lt;&gt;"",ROW($Q$7:$Q$86)-MIN(ROW($Q$7:$Q$86))+1,""),""),ROW()-ROW(A$88)+1)))," "),"")</f>
        <v/>
      </c>
      <c r="R118" t="str">
        <f t="array" ref="R118">IFERROR(CONCATENATE(TEXT(INDEX($Q$7:$Q$86,SMALL(IF($T$7:$T$86&lt;&gt;"",IF($Q$7:$Q$86&lt;&gt;"",ROW($Q$7:$Q$86)-MIN(ROW($Q$7:$Q$86))+1,""),""),ROW()-ROW(A$88)+1)),"##0")," "),"")</f>
        <v/>
      </c>
      <c r="S118" t="str">
        <f t="array" ref="S118">IFERROR(CONCATENATE((INDEX($A$7:$A$86,SMALL(IF($T$7:$T$86&lt;&gt;"",IF($Q$7:$Q$86&lt;&gt;"",ROW($Q$7:$Q$86)-MIN(ROW($Q$7:$Q$86))+1,""),""),ROW()-ROW(A$88)+1))),),"")</f>
        <v/>
      </c>
      <c r="W118" t="str">
        <f t="array" ref="W118">IFERROR(CONCATENATE((INDEX($Z$7:$Z$86,SMALL(IF($Z$7:$Z$86&lt;&gt;"",IF($W$7:$W$86&lt;&gt;"",ROW($W$7:$W$86)-MIN(ROW($W$7:$W$86))+1,""),""),ROW()-ROW(A$88)+1)))," "),"")</f>
        <v/>
      </c>
      <c r="X118" t="str">
        <f t="array" ref="X118">IFERROR(CONCATENATE(TEXT(INDEX($W$7:$W$86,SMALL(IF($Z$7:$Z$86&lt;&gt;"",IF($W$7:$W$86&lt;&gt;"",ROW($W$7:$W$86)-MIN(ROW($W$7:$W$86))+1,""),""),ROW()-ROW(A$88)+1)),"##0")," "),"")</f>
        <v/>
      </c>
      <c r="Y118" t="str">
        <f t="array" ref="Y118">IFERROR(CONCATENATE((INDEX($A$7:$A$86,SMALL(IF($Z$7:$Z$86&lt;&gt;"",IF($W$7:$W$86&lt;&gt;"",ROW($W$7:$W$86)-MIN(ROW($W$7:$W$86))+1,""),""),ROW()-ROW(A$88)+1))),),"")</f>
        <v/>
      </c>
      <c r="AC118" t="str">
        <f t="array" ref="AC118">IFERROR(CONCATENATE((INDEX($AF$7:$AF$86,SMALL(IF($AF$7:$AF$86&lt;&gt;"",IF($AC$7:$AC$86&lt;&gt;"",ROW($AC$7:$AC$86)-MIN(ROW($AC$7:$AC$86))+1,""),""),ROW()-ROW(A$88)+1))),","),"")</f>
        <v/>
      </c>
      <c r="AD118" t="str">
        <f t="array" ref="AD118">IFERROR(CONCATENATE(TEXT(INDEX($AC$7:$AC$86,SMALL(IF($AF$7:$AF$86&lt;&gt;"",IF($AC$7:$AC$86&lt;&gt;"",ROW($AC$7:$AC$86)-MIN(ROW($AC$7:$AC$86))+1,""),""),ROW()-ROW(A$88)+1)),"##0"),","),"")</f>
        <v/>
      </c>
      <c r="AE118" t="str">
        <f t="array" ref="AE118">IFERROR(CONCATENATE((INDEX($A$7:$A$86,SMALL(IF($AF$7:$AF$86&lt;&gt;"",IF($AC$7:$AC$86&lt;&gt;"",ROW($AC$7:$AC$86)-MIN(ROW($AC$7:$AC$86))+1,""),""),ROW()-ROW(A$88)+1))),),"")</f>
        <v/>
      </c>
      <c r="AI118" t="str">
        <f t="array" ref="AI118">IFERROR(CONCATENATE((INDEX($AL$7:$AL$86,SMALL(IF($AL$7:$AL$86&lt;&gt;"",IF($AI$7:$AI$86&lt;&gt;"",ROW($AI$7:$AI$86)-MIN(ROW($AI$7:$AI$86))+1,""),""),ROW()-ROW(A$88)+1)))," "),"")</f>
        <v/>
      </c>
      <c r="AJ118" t="str">
        <f t="array" ref="AJ118">IFERROR(CONCATENATE(TEXT(INDEX($AI$7:$AI$86,SMALL(IF($AL$7:$AL$86&lt;&gt;"",IF($AI$7:$AI$86&lt;&gt;"",ROW($AI$7:$AI$86)-MIN(ROW($AI$7:$AI$86))+1,""),""),ROW()-ROW(A$88)+1)),"##0")," "),"")</f>
        <v/>
      </c>
      <c r="AK118" t="str">
        <f t="array" ref="AK118">IFERROR(CONCATENATE((INDEX($A$7:$A$86,SMALL(IF($AL$7:$AL$86&lt;&gt;"",IF($AI$7:$AI$86&lt;&gt;"",ROW($AI$7:$AI$86)-MIN(ROW($AI$7:$AI$86))+1,""),""),ROW()-ROW(A$88)+1))),),"")</f>
        <v/>
      </c>
    </row>
    <row r="119" spans="11:37">
      <c r="K119" t="str">
        <f t="array" ref="K119">IFERROR(CONCATENATE(TEXT(INDEX($K$7:$K$86,SMALL(IF($N$7:$N$86&lt;&gt;"",IF($K$7:$K$86&lt;&gt;"",ROW($K$7:$K$86)-MIN(ROW($K$7:$K$86))+1,""),""),ROW()-ROW(A$88)+1)),"##0"),","),"")</f>
        <v/>
      </c>
      <c r="L119" t="str">
        <f t="array" ref="L119">IFERROR(CONCATENATE((INDEX($N$7:$N$86,SMALL(IF($N$7:$N$86&lt;&gt;"",IF($K$7:$K$86&lt;&gt;"",ROW($K$7:$K$86)-MIN(ROW($K$7:$K$86))+1,""),""),ROW()-ROW(A$88)+1))),","),"")</f>
        <v/>
      </c>
      <c r="M119" t="str">
        <f t="array" ref="M119">IFERROR(CONCATENATE((INDEX($A$7:$A$86,SMALL(IF($N$7:$N$86&lt;&gt;"",IF($K$7:$K$86&lt;&gt;"",ROW($K$7:$K$86)-MIN(ROW($K$7:$K$86))+1,""),""),ROW()-ROW(A$88)+1))),),"")</f>
        <v/>
      </c>
      <c r="Q119" t="str">
        <f t="array" ref="Q119">IFERROR(CONCATENATE((INDEX($T$7:$T$86,SMALL(IF($T$7:$T$86&lt;&gt;"",IF($Q$7:$Q$86&lt;&gt;"",ROW($Q$7:$Q$86)-MIN(ROW($Q$7:$Q$86))+1,""),""),ROW()-ROW(A$88)+1)))," "),"")</f>
        <v/>
      </c>
      <c r="R119" t="str">
        <f t="array" ref="R119">IFERROR(CONCATENATE(TEXT(INDEX($Q$7:$Q$86,SMALL(IF($T$7:$T$86&lt;&gt;"",IF($Q$7:$Q$86&lt;&gt;"",ROW($Q$7:$Q$86)-MIN(ROW($Q$7:$Q$86))+1,""),""),ROW()-ROW(A$88)+1)),"##0")," "),"")</f>
        <v/>
      </c>
      <c r="S119" t="str">
        <f t="array" ref="S119">IFERROR(CONCATENATE((INDEX($A$7:$A$86,SMALL(IF($T$7:$T$86&lt;&gt;"",IF($Q$7:$Q$86&lt;&gt;"",ROW($Q$7:$Q$86)-MIN(ROW($Q$7:$Q$86))+1,""),""),ROW()-ROW(A$88)+1))),),"")</f>
        <v/>
      </c>
      <c r="W119" t="str">
        <f t="array" ref="W119">IFERROR(CONCATENATE((INDEX($Z$7:$Z$86,SMALL(IF($Z$7:$Z$86&lt;&gt;"",IF($W$7:$W$86&lt;&gt;"",ROW($W$7:$W$86)-MIN(ROW($W$7:$W$86))+1,""),""),ROW()-ROW(A$88)+1)))," "),"")</f>
        <v/>
      </c>
      <c r="X119" t="str">
        <f t="array" ref="X119">IFERROR(CONCATENATE(TEXT(INDEX($W$7:$W$86,SMALL(IF($Z$7:$Z$86&lt;&gt;"",IF($W$7:$W$86&lt;&gt;"",ROW($W$7:$W$86)-MIN(ROW($W$7:$W$86))+1,""),""),ROW()-ROW(A$88)+1)),"##0")," "),"")</f>
        <v/>
      </c>
      <c r="Y119" t="str">
        <f t="array" ref="Y119">IFERROR(CONCATENATE((INDEX($A$7:$A$86,SMALL(IF($Z$7:$Z$86&lt;&gt;"",IF($W$7:$W$86&lt;&gt;"",ROW($W$7:$W$86)-MIN(ROW($W$7:$W$86))+1,""),""),ROW()-ROW(A$88)+1))),),"")</f>
        <v/>
      </c>
      <c r="AC119" t="str">
        <f t="array" ref="AC119">IFERROR(CONCATENATE((INDEX($AF$7:$AF$86,SMALL(IF($AF$7:$AF$86&lt;&gt;"",IF($AC$7:$AC$86&lt;&gt;"",ROW($AC$7:$AC$86)-MIN(ROW($AC$7:$AC$86))+1,""),""),ROW()-ROW(A$88)+1))),","),"")</f>
        <v/>
      </c>
      <c r="AD119" t="str">
        <f t="array" ref="AD119">IFERROR(CONCATENATE(TEXT(INDEX($AC$7:$AC$86,SMALL(IF($AF$7:$AF$86&lt;&gt;"",IF($AC$7:$AC$86&lt;&gt;"",ROW($AC$7:$AC$86)-MIN(ROW($AC$7:$AC$86))+1,""),""),ROW()-ROW(A$88)+1)),"##0"),","),"")</f>
        <v/>
      </c>
      <c r="AE119" t="str">
        <f t="array" ref="AE119">IFERROR(CONCATENATE((INDEX($A$7:$A$86,SMALL(IF($AF$7:$AF$86&lt;&gt;"",IF($AC$7:$AC$86&lt;&gt;"",ROW($AC$7:$AC$86)-MIN(ROW($AC$7:$AC$86))+1,""),""),ROW()-ROW(A$88)+1))),),"")</f>
        <v/>
      </c>
      <c r="AI119" t="str">
        <f t="array" ref="AI119">IFERROR(CONCATENATE((INDEX($AL$7:$AL$86,SMALL(IF($AL$7:$AL$86&lt;&gt;"",IF($AI$7:$AI$86&lt;&gt;"",ROW($AI$7:$AI$86)-MIN(ROW($AI$7:$AI$86))+1,""),""),ROW()-ROW(A$88)+1)))," "),"")</f>
        <v/>
      </c>
      <c r="AJ119" t="str">
        <f t="array" ref="AJ119">IFERROR(CONCATENATE(TEXT(INDEX($AI$7:$AI$86,SMALL(IF($AL$7:$AL$86&lt;&gt;"",IF($AI$7:$AI$86&lt;&gt;"",ROW($AI$7:$AI$86)-MIN(ROW($AI$7:$AI$86))+1,""),""),ROW()-ROW(A$88)+1)),"##0")," "),"")</f>
        <v/>
      </c>
      <c r="AK119" t="str">
        <f t="array" ref="AK119">IFERROR(CONCATENATE((INDEX($A$7:$A$86,SMALL(IF($AL$7:$AL$86&lt;&gt;"",IF($AI$7:$AI$86&lt;&gt;"",ROW($AI$7:$AI$86)-MIN(ROW($AI$7:$AI$86))+1,""),""),ROW()-ROW(A$88)+1))),),"")</f>
        <v/>
      </c>
    </row>
    <row r="120" spans="11:37">
      <c r="K120" t="str">
        <f t="array" ref="K120">IFERROR(CONCATENATE(TEXT(INDEX($K$7:$K$86,SMALL(IF($N$7:$N$86&lt;&gt;"",IF($K$7:$K$86&lt;&gt;"",ROW($K$7:$K$86)-MIN(ROW($K$7:$K$86))+1,""),""),ROW()-ROW(A$88)+1)),"##0"),","),"")</f>
        <v/>
      </c>
      <c r="L120" t="str">
        <f t="array" ref="L120">IFERROR(CONCATENATE((INDEX($N$7:$N$86,SMALL(IF($N$7:$N$86&lt;&gt;"",IF($K$7:$K$86&lt;&gt;"",ROW($K$7:$K$86)-MIN(ROW($K$7:$K$86))+1,""),""),ROW()-ROW(A$88)+1))),","),"")</f>
        <v/>
      </c>
      <c r="M120" t="str">
        <f t="array" ref="M120">IFERROR(CONCATENATE((INDEX($A$7:$A$86,SMALL(IF($N$7:$N$86&lt;&gt;"",IF($K$7:$K$86&lt;&gt;"",ROW($K$7:$K$86)-MIN(ROW($K$7:$K$86))+1,""),""),ROW()-ROW(A$88)+1))),),"")</f>
        <v/>
      </c>
      <c r="Q120" t="str">
        <f t="array" ref="Q120">IFERROR(CONCATENATE((INDEX($T$7:$T$86,SMALL(IF($T$7:$T$86&lt;&gt;"",IF($Q$7:$Q$86&lt;&gt;"",ROW($Q$7:$Q$86)-MIN(ROW($Q$7:$Q$86))+1,""),""),ROW()-ROW(A$88)+1)))," "),"")</f>
        <v/>
      </c>
      <c r="R120" t="str">
        <f t="array" ref="R120">IFERROR(CONCATENATE(TEXT(INDEX($Q$7:$Q$86,SMALL(IF($T$7:$T$86&lt;&gt;"",IF($Q$7:$Q$86&lt;&gt;"",ROW($Q$7:$Q$86)-MIN(ROW($Q$7:$Q$86))+1,""),""),ROW()-ROW(A$88)+1)),"##0")," "),"")</f>
        <v/>
      </c>
      <c r="S120" t="str">
        <f t="array" ref="S120">IFERROR(CONCATENATE((INDEX($A$7:$A$86,SMALL(IF($T$7:$T$86&lt;&gt;"",IF($Q$7:$Q$86&lt;&gt;"",ROW($Q$7:$Q$86)-MIN(ROW($Q$7:$Q$86))+1,""),""),ROW()-ROW(A$88)+1))),),"")</f>
        <v/>
      </c>
      <c r="W120" t="str">
        <f t="array" ref="W120">IFERROR(CONCATENATE((INDEX($Z$7:$Z$86,SMALL(IF($Z$7:$Z$86&lt;&gt;"",IF($W$7:$W$86&lt;&gt;"",ROW($W$7:$W$86)-MIN(ROW($W$7:$W$86))+1,""),""),ROW()-ROW(A$88)+1)))," "),"")</f>
        <v/>
      </c>
      <c r="X120" t="str">
        <f t="array" ref="X120">IFERROR(CONCATENATE(TEXT(INDEX($W$7:$W$86,SMALL(IF($Z$7:$Z$86&lt;&gt;"",IF($W$7:$W$86&lt;&gt;"",ROW($W$7:$W$86)-MIN(ROW($W$7:$W$86))+1,""),""),ROW()-ROW(A$88)+1)),"##0")," "),"")</f>
        <v/>
      </c>
      <c r="Y120" t="str">
        <f t="array" ref="Y120">IFERROR(CONCATENATE((INDEX($A$7:$A$86,SMALL(IF($Z$7:$Z$86&lt;&gt;"",IF($W$7:$W$86&lt;&gt;"",ROW($W$7:$W$86)-MIN(ROW($W$7:$W$86))+1,""),""),ROW()-ROW(A$88)+1))),),"")</f>
        <v/>
      </c>
      <c r="AC120" t="str">
        <f t="array" ref="AC120">IFERROR(CONCATENATE((INDEX($AF$7:$AF$86,SMALL(IF($AF$7:$AF$86&lt;&gt;"",IF($AC$7:$AC$86&lt;&gt;"",ROW($AC$7:$AC$86)-MIN(ROW($AC$7:$AC$86))+1,""),""),ROW()-ROW(A$88)+1))),","),"")</f>
        <v/>
      </c>
      <c r="AD120" t="str">
        <f t="array" ref="AD120">IFERROR(CONCATENATE(TEXT(INDEX($AC$7:$AC$86,SMALL(IF($AF$7:$AF$86&lt;&gt;"",IF($AC$7:$AC$86&lt;&gt;"",ROW($AC$7:$AC$86)-MIN(ROW($AC$7:$AC$86))+1,""),""),ROW()-ROW(A$88)+1)),"##0"),","),"")</f>
        <v/>
      </c>
      <c r="AE120" t="str">
        <f t="array" ref="AE120">IFERROR(CONCATENATE((INDEX($A$7:$A$86,SMALL(IF($AF$7:$AF$86&lt;&gt;"",IF($AC$7:$AC$86&lt;&gt;"",ROW($AC$7:$AC$86)-MIN(ROW($AC$7:$AC$86))+1,""),""),ROW()-ROW(A$88)+1))),),"")</f>
        <v/>
      </c>
      <c r="AI120" t="str">
        <f t="array" ref="AI120">IFERROR(CONCATENATE((INDEX($AL$7:$AL$86,SMALL(IF($AL$7:$AL$86&lt;&gt;"",IF($AI$7:$AI$86&lt;&gt;"",ROW($AI$7:$AI$86)-MIN(ROW($AI$7:$AI$86))+1,""),""),ROW()-ROW(A$88)+1)))," "),"")</f>
        <v/>
      </c>
      <c r="AJ120" t="str">
        <f t="array" ref="AJ120">IFERROR(CONCATENATE(TEXT(INDEX($AI$7:$AI$86,SMALL(IF($AL$7:$AL$86&lt;&gt;"",IF($AI$7:$AI$86&lt;&gt;"",ROW($AI$7:$AI$86)-MIN(ROW($AI$7:$AI$86))+1,""),""),ROW()-ROW(A$88)+1)),"##0")," "),"")</f>
        <v/>
      </c>
      <c r="AK120" t="str">
        <f t="array" ref="AK120">IFERROR(CONCATENATE((INDEX($A$7:$A$86,SMALL(IF($AL$7:$AL$86&lt;&gt;"",IF($AI$7:$AI$86&lt;&gt;"",ROW($AI$7:$AI$86)-MIN(ROW($AI$7:$AI$86))+1,""),""),ROW()-ROW(A$88)+1))),),"")</f>
        <v/>
      </c>
    </row>
    <row r="121" spans="11:37">
      <c r="K121" t="str">
        <f t="array" ref="K121">IFERROR(CONCATENATE(TEXT(INDEX($K$7:$K$86,SMALL(IF($N$7:$N$86&lt;&gt;"",IF($K$7:$K$86&lt;&gt;"",ROW($K$7:$K$86)-MIN(ROW($K$7:$K$86))+1,""),""),ROW()-ROW(A$88)+1)),"##0"),","),"")</f>
        <v/>
      </c>
      <c r="L121" t="str">
        <f t="array" ref="L121">IFERROR(CONCATENATE((INDEX($N$7:$N$86,SMALL(IF($N$7:$N$86&lt;&gt;"",IF($K$7:$K$86&lt;&gt;"",ROW($K$7:$K$86)-MIN(ROW($K$7:$K$86))+1,""),""),ROW()-ROW(A$88)+1))),","),"")</f>
        <v/>
      </c>
      <c r="M121" t="str">
        <f t="array" ref="M121">IFERROR(CONCATENATE((INDEX($A$7:$A$86,SMALL(IF($N$7:$N$86&lt;&gt;"",IF($K$7:$K$86&lt;&gt;"",ROW($K$7:$K$86)-MIN(ROW($K$7:$K$86))+1,""),""),ROW()-ROW(A$88)+1))),),"")</f>
        <v/>
      </c>
      <c r="Q121" t="str">
        <f t="array" ref="Q121">IFERROR(CONCATENATE((INDEX($T$7:$T$86,SMALL(IF($T$7:$T$86&lt;&gt;"",IF($Q$7:$Q$86&lt;&gt;"",ROW($Q$7:$Q$86)-MIN(ROW($Q$7:$Q$86))+1,""),""),ROW()-ROW(A$88)+1)))," "),"")</f>
        <v/>
      </c>
      <c r="R121" t="str">
        <f t="array" ref="R121">IFERROR(CONCATENATE(TEXT(INDEX($Q$7:$Q$86,SMALL(IF($T$7:$T$86&lt;&gt;"",IF($Q$7:$Q$86&lt;&gt;"",ROW($Q$7:$Q$86)-MIN(ROW($Q$7:$Q$86))+1,""),""),ROW()-ROW(A$88)+1)),"##0")," "),"")</f>
        <v/>
      </c>
      <c r="S121" t="str">
        <f t="array" ref="S121">IFERROR(CONCATENATE((INDEX($A$7:$A$86,SMALL(IF($T$7:$T$86&lt;&gt;"",IF($Q$7:$Q$86&lt;&gt;"",ROW($Q$7:$Q$86)-MIN(ROW($Q$7:$Q$86))+1,""),""),ROW()-ROW(A$88)+1))),),"")</f>
        <v/>
      </c>
      <c r="W121" t="str">
        <f t="array" ref="W121">IFERROR(CONCATENATE((INDEX($Z$7:$Z$86,SMALL(IF($Z$7:$Z$86&lt;&gt;"",IF($W$7:$W$86&lt;&gt;"",ROW($W$7:$W$86)-MIN(ROW($W$7:$W$86))+1,""),""),ROW()-ROW(A$88)+1)))," "),"")</f>
        <v/>
      </c>
      <c r="X121" t="str">
        <f t="array" ref="X121">IFERROR(CONCATENATE(TEXT(INDEX($W$7:$W$86,SMALL(IF($Z$7:$Z$86&lt;&gt;"",IF($W$7:$W$86&lt;&gt;"",ROW($W$7:$W$86)-MIN(ROW($W$7:$W$86))+1,""),""),ROW()-ROW(A$88)+1)),"##0")," "),"")</f>
        <v/>
      </c>
      <c r="Y121" t="str">
        <f t="array" ref="Y121">IFERROR(CONCATENATE((INDEX($A$7:$A$86,SMALL(IF($Z$7:$Z$86&lt;&gt;"",IF($W$7:$W$86&lt;&gt;"",ROW($W$7:$W$86)-MIN(ROW($W$7:$W$86))+1,""),""),ROW()-ROW(A$88)+1))),),"")</f>
        <v/>
      </c>
      <c r="AC121" t="str">
        <f t="array" ref="AC121">IFERROR(CONCATENATE((INDEX($AF$7:$AF$86,SMALL(IF($AF$7:$AF$86&lt;&gt;"",IF($AC$7:$AC$86&lt;&gt;"",ROW($AC$7:$AC$86)-MIN(ROW($AC$7:$AC$86))+1,""),""),ROW()-ROW(A$88)+1))),","),"")</f>
        <v/>
      </c>
      <c r="AD121" t="str">
        <f t="array" ref="AD121">IFERROR(CONCATENATE(TEXT(INDEX($AC$7:$AC$86,SMALL(IF($AF$7:$AF$86&lt;&gt;"",IF($AC$7:$AC$86&lt;&gt;"",ROW($AC$7:$AC$86)-MIN(ROW($AC$7:$AC$86))+1,""),""),ROW()-ROW(A$88)+1)),"##0"),","),"")</f>
        <v/>
      </c>
      <c r="AE121" t="str">
        <f t="array" ref="AE121">IFERROR(CONCATENATE((INDEX($A$7:$A$86,SMALL(IF($AF$7:$AF$86&lt;&gt;"",IF($AC$7:$AC$86&lt;&gt;"",ROW($AC$7:$AC$86)-MIN(ROW($AC$7:$AC$86))+1,""),""),ROW()-ROW(A$88)+1))),),"")</f>
        <v/>
      </c>
      <c r="AI121" t="str">
        <f t="array" ref="AI121">IFERROR(CONCATENATE((INDEX($AL$7:$AL$86,SMALL(IF($AL$7:$AL$86&lt;&gt;"",IF($AI$7:$AI$86&lt;&gt;"",ROW($AI$7:$AI$86)-MIN(ROW($AI$7:$AI$86))+1,""),""),ROW()-ROW(A$88)+1)))," "),"")</f>
        <v/>
      </c>
      <c r="AJ121" t="str">
        <f t="array" ref="AJ121">IFERROR(CONCATENATE(TEXT(INDEX($AI$7:$AI$86,SMALL(IF($AL$7:$AL$86&lt;&gt;"",IF($AI$7:$AI$86&lt;&gt;"",ROW($AI$7:$AI$86)-MIN(ROW($AI$7:$AI$86))+1,""),""),ROW()-ROW(A$88)+1)),"##0")," "),"")</f>
        <v/>
      </c>
      <c r="AK121" t="str">
        <f t="array" ref="AK121">IFERROR(CONCATENATE((INDEX($A$7:$A$86,SMALL(IF($AL$7:$AL$86&lt;&gt;"",IF($AI$7:$AI$86&lt;&gt;"",ROW($AI$7:$AI$86)-MIN(ROW($AI$7:$AI$86))+1,""),""),ROW()-ROW(A$88)+1))),),"")</f>
        <v/>
      </c>
    </row>
    <row r="122" spans="11:37">
      <c r="K122" t="str">
        <f t="array" ref="K122">IFERROR(CONCATENATE(TEXT(INDEX($K$7:$K$86,SMALL(IF($N$7:$N$86&lt;&gt;"",IF($K$7:$K$86&lt;&gt;"",ROW($K$7:$K$86)-MIN(ROW($K$7:$K$86))+1,""),""),ROW()-ROW(A$88)+1)),"##0"),","),"")</f>
        <v/>
      </c>
      <c r="L122" t="str">
        <f t="array" ref="L122">IFERROR(CONCATENATE((INDEX($N$7:$N$86,SMALL(IF($N$7:$N$86&lt;&gt;"",IF($K$7:$K$86&lt;&gt;"",ROW($K$7:$K$86)-MIN(ROW($K$7:$K$86))+1,""),""),ROW()-ROW(A$88)+1))),","),"")</f>
        <v/>
      </c>
      <c r="M122" t="str">
        <f t="array" ref="M122">IFERROR(CONCATENATE((INDEX($A$7:$A$86,SMALL(IF($N$7:$N$86&lt;&gt;"",IF($K$7:$K$86&lt;&gt;"",ROW($K$7:$K$86)-MIN(ROW($K$7:$K$86))+1,""),""),ROW()-ROW(A$88)+1))),),"")</f>
        <v/>
      </c>
      <c r="Q122" t="str">
        <f t="array" ref="Q122">IFERROR(CONCATENATE((INDEX($T$7:$T$86,SMALL(IF($T$7:$T$86&lt;&gt;"",IF($Q$7:$Q$86&lt;&gt;"",ROW($Q$7:$Q$86)-MIN(ROW($Q$7:$Q$86))+1,""),""),ROW()-ROW(A$88)+1)))," "),"")</f>
        <v/>
      </c>
      <c r="R122" t="str">
        <f t="array" ref="R122">IFERROR(CONCATENATE(TEXT(INDEX($Q$7:$Q$86,SMALL(IF($T$7:$T$86&lt;&gt;"",IF($Q$7:$Q$86&lt;&gt;"",ROW($Q$7:$Q$86)-MIN(ROW($Q$7:$Q$86))+1,""),""),ROW()-ROW(A$88)+1)),"##0")," "),"")</f>
        <v/>
      </c>
      <c r="S122" t="str">
        <f t="array" ref="S122">IFERROR(CONCATENATE((INDEX($A$7:$A$86,SMALL(IF($T$7:$T$86&lt;&gt;"",IF($Q$7:$Q$86&lt;&gt;"",ROW($Q$7:$Q$86)-MIN(ROW($Q$7:$Q$86))+1,""),""),ROW()-ROW(A$88)+1))),),"")</f>
        <v/>
      </c>
      <c r="W122" t="str">
        <f t="array" ref="W122">IFERROR(CONCATENATE((INDEX($Z$7:$Z$86,SMALL(IF($Z$7:$Z$86&lt;&gt;"",IF($W$7:$W$86&lt;&gt;"",ROW($W$7:$W$86)-MIN(ROW($W$7:$W$86))+1,""),""),ROW()-ROW(A$88)+1)))," "),"")</f>
        <v/>
      </c>
      <c r="X122" t="str">
        <f t="array" ref="X122">IFERROR(CONCATENATE(TEXT(INDEX($W$7:$W$86,SMALL(IF($Z$7:$Z$86&lt;&gt;"",IF($W$7:$W$86&lt;&gt;"",ROW($W$7:$W$86)-MIN(ROW($W$7:$W$86))+1,""),""),ROW()-ROW(A$88)+1)),"##0")," "),"")</f>
        <v/>
      </c>
      <c r="Y122" t="str">
        <f t="array" ref="Y122">IFERROR(CONCATENATE((INDEX($A$7:$A$86,SMALL(IF($Z$7:$Z$86&lt;&gt;"",IF($W$7:$W$86&lt;&gt;"",ROW($W$7:$W$86)-MIN(ROW($W$7:$W$86))+1,""),""),ROW()-ROW(A$88)+1))),),"")</f>
        <v/>
      </c>
      <c r="AC122" t="str">
        <f t="array" ref="AC122">IFERROR(CONCATENATE((INDEX($AF$7:$AF$86,SMALL(IF($AF$7:$AF$86&lt;&gt;"",IF($AC$7:$AC$86&lt;&gt;"",ROW($AC$7:$AC$86)-MIN(ROW($AC$7:$AC$86))+1,""),""),ROW()-ROW(A$88)+1))),","),"")</f>
        <v/>
      </c>
      <c r="AD122" t="str">
        <f t="array" ref="AD122">IFERROR(CONCATENATE(TEXT(INDEX($AC$7:$AC$86,SMALL(IF($AF$7:$AF$86&lt;&gt;"",IF($AC$7:$AC$86&lt;&gt;"",ROW($AC$7:$AC$86)-MIN(ROW($AC$7:$AC$86))+1,""),""),ROW()-ROW(A$88)+1)),"##0"),","),"")</f>
        <v/>
      </c>
      <c r="AE122" t="str">
        <f t="array" ref="AE122">IFERROR(CONCATENATE((INDEX($A$7:$A$86,SMALL(IF($AF$7:$AF$86&lt;&gt;"",IF($AC$7:$AC$86&lt;&gt;"",ROW($AC$7:$AC$86)-MIN(ROW($AC$7:$AC$86))+1,""),""),ROW()-ROW(A$88)+1))),),"")</f>
        <v/>
      </c>
      <c r="AI122" t="str">
        <f t="array" ref="AI122">IFERROR(CONCATENATE((INDEX($AL$7:$AL$86,SMALL(IF($AL$7:$AL$86&lt;&gt;"",IF($AI$7:$AI$86&lt;&gt;"",ROW($AI$7:$AI$86)-MIN(ROW($AI$7:$AI$86))+1,""),""),ROW()-ROW(A$88)+1)))," "),"")</f>
        <v/>
      </c>
      <c r="AJ122" t="str">
        <f t="array" ref="AJ122">IFERROR(CONCATENATE(TEXT(INDEX($AI$7:$AI$86,SMALL(IF($AL$7:$AL$86&lt;&gt;"",IF($AI$7:$AI$86&lt;&gt;"",ROW($AI$7:$AI$86)-MIN(ROW($AI$7:$AI$86))+1,""),""),ROW()-ROW(A$88)+1)),"##0")," "),"")</f>
        <v/>
      </c>
      <c r="AK122" t="str">
        <f t="array" ref="AK122">IFERROR(CONCATENATE((INDEX($A$7:$A$86,SMALL(IF($AL$7:$AL$86&lt;&gt;"",IF($AI$7:$AI$86&lt;&gt;"",ROW($AI$7:$AI$86)-MIN(ROW($AI$7:$AI$86))+1,""),""),ROW()-ROW(A$88)+1))),),"")</f>
        <v/>
      </c>
    </row>
    <row r="123" spans="11:37">
      <c r="K123" t="str">
        <f t="array" ref="K123">IFERROR(CONCATENATE(TEXT(INDEX($K$7:$K$86,SMALL(IF($N$7:$N$86&lt;&gt;"",IF($K$7:$K$86&lt;&gt;"",ROW($K$7:$K$86)-MIN(ROW($K$7:$K$86))+1,""),""),ROW()-ROW(A$88)+1)),"##0"),","),"")</f>
        <v/>
      </c>
      <c r="L123" t="str">
        <f t="array" ref="L123">IFERROR(CONCATENATE((INDEX($N$7:$N$86,SMALL(IF($N$7:$N$86&lt;&gt;"",IF($K$7:$K$86&lt;&gt;"",ROW($K$7:$K$86)-MIN(ROW($K$7:$K$86))+1,""),""),ROW()-ROW(A$88)+1))),","),"")</f>
        <v/>
      </c>
      <c r="M123" t="str">
        <f t="array" ref="M123">IFERROR(CONCATENATE((INDEX($A$7:$A$86,SMALL(IF($N$7:$N$86&lt;&gt;"",IF($K$7:$K$86&lt;&gt;"",ROW($K$7:$K$86)-MIN(ROW($K$7:$K$86))+1,""),""),ROW()-ROW(A$88)+1))),),"")</f>
        <v/>
      </c>
      <c r="Q123" t="str">
        <f t="array" ref="Q123">IFERROR(CONCATENATE((INDEX($T$7:$T$86,SMALL(IF($T$7:$T$86&lt;&gt;"",IF($Q$7:$Q$86&lt;&gt;"",ROW($Q$7:$Q$86)-MIN(ROW($Q$7:$Q$86))+1,""),""),ROW()-ROW(A$88)+1)))," "),"")</f>
        <v/>
      </c>
      <c r="R123" t="str">
        <f t="array" ref="R123">IFERROR(CONCATENATE(TEXT(INDEX($Q$7:$Q$86,SMALL(IF($T$7:$T$86&lt;&gt;"",IF($Q$7:$Q$86&lt;&gt;"",ROW($Q$7:$Q$86)-MIN(ROW($Q$7:$Q$86))+1,""),""),ROW()-ROW(A$88)+1)),"##0")," "),"")</f>
        <v/>
      </c>
      <c r="S123" t="str">
        <f t="array" ref="S123">IFERROR(CONCATENATE((INDEX($A$7:$A$86,SMALL(IF($T$7:$T$86&lt;&gt;"",IF($Q$7:$Q$86&lt;&gt;"",ROW($Q$7:$Q$86)-MIN(ROW($Q$7:$Q$86))+1,""),""),ROW()-ROW(A$88)+1))),),"")</f>
        <v/>
      </c>
      <c r="W123" t="str">
        <f t="array" ref="W123">IFERROR(CONCATENATE((INDEX($Z$7:$Z$86,SMALL(IF($Z$7:$Z$86&lt;&gt;"",IF($W$7:$W$86&lt;&gt;"",ROW($W$7:$W$86)-MIN(ROW($W$7:$W$86))+1,""),""),ROW()-ROW(A$88)+1)))," "),"")</f>
        <v/>
      </c>
      <c r="X123" t="str">
        <f t="array" ref="X123">IFERROR(CONCATENATE(TEXT(INDEX($W$7:$W$86,SMALL(IF($Z$7:$Z$86&lt;&gt;"",IF($W$7:$W$86&lt;&gt;"",ROW($W$7:$W$86)-MIN(ROW($W$7:$W$86))+1,""),""),ROW()-ROW(A$88)+1)),"##0")," "),"")</f>
        <v/>
      </c>
      <c r="Y123" t="str">
        <f t="array" ref="Y123">IFERROR(CONCATENATE((INDEX($A$7:$A$86,SMALL(IF($Z$7:$Z$86&lt;&gt;"",IF($W$7:$W$86&lt;&gt;"",ROW($W$7:$W$86)-MIN(ROW($W$7:$W$86))+1,""),""),ROW()-ROW(A$88)+1))),),"")</f>
        <v/>
      </c>
      <c r="AC123" t="str">
        <f t="array" ref="AC123">IFERROR(CONCATENATE((INDEX($AF$7:$AF$86,SMALL(IF($AF$7:$AF$86&lt;&gt;"",IF($AC$7:$AC$86&lt;&gt;"",ROW($AC$7:$AC$86)-MIN(ROW($AC$7:$AC$86))+1,""),""),ROW()-ROW(A$88)+1))),","),"")</f>
        <v/>
      </c>
      <c r="AD123" t="str">
        <f t="array" ref="AD123">IFERROR(CONCATENATE(TEXT(INDEX($AC$7:$AC$86,SMALL(IF($AF$7:$AF$86&lt;&gt;"",IF($AC$7:$AC$86&lt;&gt;"",ROW($AC$7:$AC$86)-MIN(ROW($AC$7:$AC$86))+1,""),""),ROW()-ROW(A$88)+1)),"##0"),","),"")</f>
        <v/>
      </c>
      <c r="AE123" t="str">
        <f t="array" ref="AE123">IFERROR(CONCATENATE((INDEX($A$7:$A$86,SMALL(IF($AF$7:$AF$86&lt;&gt;"",IF($AC$7:$AC$86&lt;&gt;"",ROW($AC$7:$AC$86)-MIN(ROW($AC$7:$AC$86))+1,""),""),ROW()-ROW(A$88)+1))),),"")</f>
        <v/>
      </c>
      <c r="AI123" t="str">
        <f t="array" ref="AI123">IFERROR(CONCATENATE((INDEX($AL$7:$AL$86,SMALL(IF($AL$7:$AL$86&lt;&gt;"",IF($AI$7:$AI$86&lt;&gt;"",ROW($AI$7:$AI$86)-MIN(ROW($AI$7:$AI$86))+1,""),""),ROW()-ROW(A$88)+1)))," "),"")</f>
        <v/>
      </c>
      <c r="AJ123" t="str">
        <f t="array" ref="AJ123">IFERROR(CONCATENATE(TEXT(INDEX($AI$7:$AI$86,SMALL(IF($AL$7:$AL$86&lt;&gt;"",IF($AI$7:$AI$86&lt;&gt;"",ROW($AI$7:$AI$86)-MIN(ROW($AI$7:$AI$86))+1,""),""),ROW()-ROW(A$88)+1)),"##0")," "),"")</f>
        <v/>
      </c>
      <c r="AK123" t="str">
        <f t="array" ref="AK123">IFERROR(CONCATENATE((INDEX($A$7:$A$86,SMALL(IF($AL$7:$AL$86&lt;&gt;"",IF($AI$7:$AI$86&lt;&gt;"",ROW($AI$7:$AI$86)-MIN(ROW($AI$7:$AI$86))+1,""),""),ROW()-ROW(A$88)+1))),),"")</f>
        <v/>
      </c>
    </row>
    <row r="124" spans="11:37">
      <c r="K124" t="str">
        <f t="array" ref="K124">IFERROR(CONCATENATE(TEXT(INDEX($K$7:$K$86,SMALL(IF($N$7:$N$86&lt;&gt;"",IF($K$7:$K$86&lt;&gt;"",ROW($K$7:$K$86)-MIN(ROW($K$7:$K$86))+1,""),""),ROW()-ROW(A$88)+1)),"##0"),","),"")</f>
        <v/>
      </c>
      <c r="L124" t="str">
        <f t="array" ref="L124">IFERROR(CONCATENATE((INDEX($N$7:$N$86,SMALL(IF($N$7:$N$86&lt;&gt;"",IF($K$7:$K$86&lt;&gt;"",ROW($K$7:$K$86)-MIN(ROW($K$7:$K$86))+1,""),""),ROW()-ROW(A$88)+1))),","),"")</f>
        <v/>
      </c>
      <c r="M124" t="str">
        <f t="array" ref="M124">IFERROR(CONCATENATE((INDEX($A$7:$A$86,SMALL(IF($N$7:$N$86&lt;&gt;"",IF($K$7:$K$86&lt;&gt;"",ROW($K$7:$K$86)-MIN(ROW($K$7:$K$86))+1,""),""),ROW()-ROW(A$88)+1))),),"")</f>
        <v/>
      </c>
      <c r="Q124" t="str">
        <f t="array" ref="Q124">IFERROR(CONCATENATE((INDEX($T$7:$T$86,SMALL(IF($T$7:$T$86&lt;&gt;"",IF($Q$7:$Q$86&lt;&gt;"",ROW($Q$7:$Q$86)-MIN(ROW($Q$7:$Q$86))+1,""),""),ROW()-ROW(A$88)+1)))," "),"")</f>
        <v/>
      </c>
      <c r="R124" t="str">
        <f t="array" ref="R124">IFERROR(CONCATENATE(TEXT(INDEX($Q$7:$Q$86,SMALL(IF($T$7:$T$86&lt;&gt;"",IF($Q$7:$Q$86&lt;&gt;"",ROW($Q$7:$Q$86)-MIN(ROW($Q$7:$Q$86))+1,""),""),ROW()-ROW(A$88)+1)),"##0")," "),"")</f>
        <v/>
      </c>
      <c r="S124" t="str">
        <f t="array" ref="S124">IFERROR(CONCATENATE((INDEX($A$7:$A$86,SMALL(IF($T$7:$T$86&lt;&gt;"",IF($Q$7:$Q$86&lt;&gt;"",ROW($Q$7:$Q$86)-MIN(ROW($Q$7:$Q$86))+1,""),""),ROW()-ROW(A$88)+1))),),"")</f>
        <v/>
      </c>
      <c r="W124" t="str">
        <f t="array" ref="W124">IFERROR(CONCATENATE((INDEX($Z$7:$Z$86,SMALL(IF($Z$7:$Z$86&lt;&gt;"",IF($W$7:$W$86&lt;&gt;"",ROW($W$7:$W$86)-MIN(ROW($W$7:$W$86))+1,""),""),ROW()-ROW(A$88)+1)))," "),"")</f>
        <v/>
      </c>
      <c r="X124" t="str">
        <f t="array" ref="X124">IFERROR(CONCATENATE(TEXT(INDEX($W$7:$W$86,SMALL(IF($Z$7:$Z$86&lt;&gt;"",IF($W$7:$W$86&lt;&gt;"",ROW($W$7:$W$86)-MIN(ROW($W$7:$W$86))+1,""),""),ROW()-ROW(A$88)+1)),"##0")," "),"")</f>
        <v/>
      </c>
      <c r="Y124" t="str">
        <f t="array" ref="Y124">IFERROR(CONCATENATE((INDEX($A$7:$A$86,SMALL(IF($Z$7:$Z$86&lt;&gt;"",IF($W$7:$W$86&lt;&gt;"",ROW($W$7:$W$86)-MIN(ROW($W$7:$W$86))+1,""),""),ROW()-ROW(A$88)+1))),),"")</f>
        <v/>
      </c>
      <c r="AC124" t="str">
        <f t="array" ref="AC124">IFERROR(CONCATENATE((INDEX($AF$7:$AF$86,SMALL(IF($AF$7:$AF$86&lt;&gt;"",IF($AC$7:$AC$86&lt;&gt;"",ROW($AC$7:$AC$86)-MIN(ROW($AC$7:$AC$86))+1,""),""),ROW()-ROW(A$88)+1))),","),"")</f>
        <v/>
      </c>
      <c r="AD124" t="str">
        <f t="array" ref="AD124">IFERROR(CONCATENATE(TEXT(INDEX($AC$7:$AC$86,SMALL(IF($AF$7:$AF$86&lt;&gt;"",IF($AC$7:$AC$86&lt;&gt;"",ROW($AC$7:$AC$86)-MIN(ROW($AC$7:$AC$86))+1,""),""),ROW()-ROW(A$88)+1)),"##0"),","),"")</f>
        <v/>
      </c>
      <c r="AE124" t="str">
        <f t="array" ref="AE124">IFERROR(CONCATENATE((INDEX($A$7:$A$86,SMALL(IF($AF$7:$AF$86&lt;&gt;"",IF($AC$7:$AC$86&lt;&gt;"",ROW($AC$7:$AC$86)-MIN(ROW($AC$7:$AC$86))+1,""),""),ROW()-ROW(A$88)+1))),),"")</f>
        <v/>
      </c>
      <c r="AI124" t="str">
        <f t="array" ref="AI124">IFERROR(CONCATENATE((INDEX($AL$7:$AL$86,SMALL(IF($AL$7:$AL$86&lt;&gt;"",IF($AI$7:$AI$86&lt;&gt;"",ROW($AI$7:$AI$86)-MIN(ROW($AI$7:$AI$86))+1,""),""),ROW()-ROW(A$88)+1)))," "),"")</f>
        <v/>
      </c>
      <c r="AJ124" t="str">
        <f t="array" ref="AJ124">IFERROR(CONCATENATE(TEXT(INDEX($AI$7:$AI$86,SMALL(IF($AL$7:$AL$86&lt;&gt;"",IF($AI$7:$AI$86&lt;&gt;"",ROW($AI$7:$AI$86)-MIN(ROW($AI$7:$AI$86))+1,""),""),ROW()-ROW(A$88)+1)),"##0")," "),"")</f>
        <v/>
      </c>
      <c r="AK124" t="str">
        <f t="array" ref="AK124">IFERROR(CONCATENATE((INDEX($A$7:$A$86,SMALL(IF($AL$7:$AL$86&lt;&gt;"",IF($AI$7:$AI$86&lt;&gt;"",ROW($AI$7:$AI$86)-MIN(ROW($AI$7:$AI$86))+1,""),""),ROW()-ROW(A$88)+1))),),"")</f>
        <v/>
      </c>
    </row>
    <row r="125" spans="11:37">
      <c r="K125" t="str">
        <f t="array" ref="K125">IFERROR(CONCATENATE(TEXT(INDEX($K$7:$K$86,SMALL(IF($N$7:$N$86&lt;&gt;"",IF($K$7:$K$86&lt;&gt;"",ROW($K$7:$K$86)-MIN(ROW($K$7:$K$86))+1,""),""),ROW()-ROW(A$88)+1)),"##0"),","),"")</f>
        <v/>
      </c>
      <c r="L125" t="str">
        <f t="array" ref="L125">IFERROR(CONCATENATE((INDEX($N$7:$N$86,SMALL(IF($N$7:$N$86&lt;&gt;"",IF($K$7:$K$86&lt;&gt;"",ROW($K$7:$K$86)-MIN(ROW($K$7:$K$86))+1,""),""),ROW()-ROW(A$88)+1))),","),"")</f>
        <v/>
      </c>
      <c r="M125" t="str">
        <f t="array" ref="M125">IFERROR(CONCATENATE((INDEX($A$7:$A$86,SMALL(IF($N$7:$N$86&lt;&gt;"",IF($K$7:$K$86&lt;&gt;"",ROW($K$7:$K$86)-MIN(ROW($K$7:$K$86))+1,""),""),ROW()-ROW(A$88)+1))),),"")</f>
        <v/>
      </c>
      <c r="Q125" t="str">
        <f t="array" ref="Q125">IFERROR(CONCATENATE((INDEX($T$7:$T$86,SMALL(IF($T$7:$T$86&lt;&gt;"",IF($Q$7:$Q$86&lt;&gt;"",ROW($Q$7:$Q$86)-MIN(ROW($Q$7:$Q$86))+1,""),""),ROW()-ROW(A$88)+1)))," "),"")</f>
        <v/>
      </c>
      <c r="R125" t="str">
        <f t="array" ref="R125">IFERROR(CONCATENATE(TEXT(INDEX($Q$7:$Q$86,SMALL(IF($T$7:$T$86&lt;&gt;"",IF($Q$7:$Q$86&lt;&gt;"",ROW($Q$7:$Q$86)-MIN(ROW($Q$7:$Q$86))+1,""),""),ROW()-ROW(A$88)+1)),"##0")," "),"")</f>
        <v/>
      </c>
      <c r="S125" t="str">
        <f t="array" ref="S125">IFERROR(CONCATENATE((INDEX($A$7:$A$86,SMALL(IF($T$7:$T$86&lt;&gt;"",IF($Q$7:$Q$86&lt;&gt;"",ROW($Q$7:$Q$86)-MIN(ROW($Q$7:$Q$86))+1,""),""),ROW()-ROW(A$88)+1))),),"")</f>
        <v/>
      </c>
      <c r="W125" t="str">
        <f t="array" ref="W125">IFERROR(CONCATENATE((INDEX($Z$7:$Z$86,SMALL(IF($Z$7:$Z$86&lt;&gt;"",IF($W$7:$W$86&lt;&gt;"",ROW($W$7:$W$86)-MIN(ROW($W$7:$W$86))+1,""),""),ROW()-ROW(A$88)+1)))," "),"")</f>
        <v/>
      </c>
      <c r="X125" t="str">
        <f t="array" ref="X125">IFERROR(CONCATENATE(TEXT(INDEX($W$7:$W$86,SMALL(IF($Z$7:$Z$86&lt;&gt;"",IF($W$7:$W$86&lt;&gt;"",ROW($W$7:$W$86)-MIN(ROW($W$7:$W$86))+1,""),""),ROW()-ROW(A$88)+1)),"##0")," "),"")</f>
        <v/>
      </c>
      <c r="Y125" t="str">
        <f t="array" ref="Y125">IFERROR(CONCATENATE((INDEX($A$7:$A$86,SMALL(IF($Z$7:$Z$86&lt;&gt;"",IF($W$7:$W$86&lt;&gt;"",ROW($W$7:$W$86)-MIN(ROW($W$7:$W$86))+1,""),""),ROW()-ROW(A$88)+1))),),"")</f>
        <v/>
      </c>
      <c r="AC125" t="str">
        <f t="array" ref="AC125">IFERROR(CONCATENATE((INDEX($AF$7:$AF$86,SMALL(IF($AF$7:$AF$86&lt;&gt;"",IF($AC$7:$AC$86&lt;&gt;"",ROW($AC$7:$AC$86)-MIN(ROW($AC$7:$AC$86))+1,""),""),ROW()-ROW(A$88)+1))),","),"")</f>
        <v/>
      </c>
      <c r="AD125" t="str">
        <f t="array" ref="AD125">IFERROR(CONCATENATE(TEXT(INDEX($AC$7:$AC$86,SMALL(IF($AF$7:$AF$86&lt;&gt;"",IF($AC$7:$AC$86&lt;&gt;"",ROW($AC$7:$AC$86)-MIN(ROW($AC$7:$AC$86))+1,""),""),ROW()-ROW(A$88)+1)),"##0"),","),"")</f>
        <v/>
      </c>
      <c r="AE125" t="str">
        <f t="array" ref="AE125">IFERROR(CONCATENATE((INDEX($A$7:$A$86,SMALL(IF($AF$7:$AF$86&lt;&gt;"",IF($AC$7:$AC$86&lt;&gt;"",ROW($AC$7:$AC$86)-MIN(ROW($AC$7:$AC$86))+1,""),""),ROW()-ROW(A$88)+1))),),"")</f>
        <v/>
      </c>
      <c r="AI125" t="str">
        <f t="array" ref="AI125">IFERROR(CONCATENATE((INDEX($AL$7:$AL$86,SMALL(IF($AL$7:$AL$86&lt;&gt;"",IF($AI$7:$AI$86&lt;&gt;"",ROW($AI$7:$AI$86)-MIN(ROW($AI$7:$AI$86))+1,""),""),ROW()-ROW(A$88)+1)))," "),"")</f>
        <v/>
      </c>
      <c r="AJ125" t="str">
        <f t="array" ref="AJ125">IFERROR(CONCATENATE(TEXT(INDEX($AI$7:$AI$86,SMALL(IF($AL$7:$AL$86&lt;&gt;"",IF($AI$7:$AI$86&lt;&gt;"",ROW($AI$7:$AI$86)-MIN(ROW($AI$7:$AI$86))+1,""),""),ROW()-ROW(A$88)+1)),"##0")," "),"")</f>
        <v/>
      </c>
      <c r="AK125" t="str">
        <f t="array" ref="AK125">IFERROR(CONCATENATE((INDEX($A$7:$A$86,SMALL(IF($AL$7:$AL$86&lt;&gt;"",IF($AI$7:$AI$86&lt;&gt;"",ROW($AI$7:$AI$86)-MIN(ROW($AI$7:$AI$86))+1,""),""),ROW()-ROW(A$88)+1))),),"")</f>
        <v/>
      </c>
    </row>
    <row r="126" spans="11:37">
      <c r="K126" t="str">
        <f t="array" ref="K126">IFERROR(CONCATENATE(TEXT(INDEX($K$7:$K$86,SMALL(IF($N$7:$N$86&lt;&gt;"",IF($K$7:$K$86&lt;&gt;"",ROW($K$7:$K$86)-MIN(ROW($K$7:$K$86))+1,""),""),ROW()-ROW(A$88)+1)),"##0"),","),"")</f>
        <v/>
      </c>
      <c r="L126" t="str">
        <f t="array" ref="L126">IFERROR(CONCATENATE((INDEX($N$7:$N$86,SMALL(IF($N$7:$N$86&lt;&gt;"",IF($K$7:$K$86&lt;&gt;"",ROW($K$7:$K$86)-MIN(ROW($K$7:$K$86))+1,""),""),ROW()-ROW(A$88)+1))),","),"")</f>
        <v/>
      </c>
      <c r="M126" t="str">
        <f t="array" ref="M126">IFERROR(CONCATENATE((INDEX($A$7:$A$86,SMALL(IF($N$7:$N$86&lt;&gt;"",IF($K$7:$K$86&lt;&gt;"",ROW($K$7:$K$86)-MIN(ROW($K$7:$K$86))+1,""),""),ROW()-ROW(A$88)+1))),),"")</f>
        <v/>
      </c>
      <c r="Q126" t="str">
        <f t="array" ref="Q126">IFERROR(CONCATENATE((INDEX($T$7:$T$86,SMALL(IF($T$7:$T$86&lt;&gt;"",IF($Q$7:$Q$86&lt;&gt;"",ROW($Q$7:$Q$86)-MIN(ROW($Q$7:$Q$86))+1,""),""),ROW()-ROW(A$88)+1)))," "),"")</f>
        <v/>
      </c>
      <c r="R126" t="str">
        <f t="array" ref="R126">IFERROR(CONCATENATE(TEXT(INDEX($Q$7:$Q$86,SMALL(IF($T$7:$T$86&lt;&gt;"",IF($Q$7:$Q$86&lt;&gt;"",ROW($Q$7:$Q$86)-MIN(ROW($Q$7:$Q$86))+1,""),""),ROW()-ROW(A$88)+1)),"##0")," "),"")</f>
        <v/>
      </c>
      <c r="S126" t="str">
        <f t="array" ref="S126">IFERROR(CONCATENATE((INDEX($A$7:$A$86,SMALL(IF($T$7:$T$86&lt;&gt;"",IF($Q$7:$Q$86&lt;&gt;"",ROW($Q$7:$Q$86)-MIN(ROW($Q$7:$Q$86))+1,""),""),ROW()-ROW(A$88)+1))),),"")</f>
        <v/>
      </c>
      <c r="W126" t="str">
        <f t="array" ref="W126">IFERROR(CONCATENATE((INDEX($Z$7:$Z$86,SMALL(IF($Z$7:$Z$86&lt;&gt;"",IF($W$7:$W$86&lt;&gt;"",ROW($W$7:$W$86)-MIN(ROW($W$7:$W$86))+1,""),""),ROW()-ROW(A$88)+1)))," "),"")</f>
        <v/>
      </c>
      <c r="X126" t="str">
        <f t="array" ref="X126">IFERROR(CONCATENATE(TEXT(INDEX($W$7:$W$86,SMALL(IF($Z$7:$Z$86&lt;&gt;"",IF($W$7:$W$86&lt;&gt;"",ROW($W$7:$W$86)-MIN(ROW($W$7:$W$86))+1,""),""),ROW()-ROW(A$88)+1)),"##0")," "),"")</f>
        <v/>
      </c>
      <c r="Y126" t="str">
        <f t="array" ref="Y126">IFERROR(CONCATENATE((INDEX($A$7:$A$86,SMALL(IF($Z$7:$Z$86&lt;&gt;"",IF($W$7:$W$86&lt;&gt;"",ROW($W$7:$W$86)-MIN(ROW($W$7:$W$86))+1,""),""),ROW()-ROW(A$88)+1))),),"")</f>
        <v/>
      </c>
      <c r="AC126" t="str">
        <f t="array" ref="AC126">IFERROR(CONCATENATE((INDEX($AF$7:$AF$86,SMALL(IF($AF$7:$AF$86&lt;&gt;"",IF($AC$7:$AC$86&lt;&gt;"",ROW($AC$7:$AC$86)-MIN(ROW($AC$7:$AC$86))+1,""),""),ROW()-ROW(A$88)+1))),","),"")</f>
        <v/>
      </c>
      <c r="AD126" t="str">
        <f t="array" ref="AD126">IFERROR(CONCATENATE(TEXT(INDEX($AC$7:$AC$86,SMALL(IF($AF$7:$AF$86&lt;&gt;"",IF($AC$7:$AC$86&lt;&gt;"",ROW($AC$7:$AC$86)-MIN(ROW($AC$7:$AC$86))+1,""),""),ROW()-ROW(A$88)+1)),"##0"),","),"")</f>
        <v/>
      </c>
      <c r="AE126" t="str">
        <f t="array" ref="AE126">IFERROR(CONCATENATE((INDEX($A$7:$A$86,SMALL(IF($AF$7:$AF$86&lt;&gt;"",IF($AC$7:$AC$86&lt;&gt;"",ROW($AC$7:$AC$86)-MIN(ROW($AC$7:$AC$86))+1,""),""),ROW()-ROW(A$88)+1))),),"")</f>
        <v/>
      </c>
      <c r="AI126" t="str">
        <f t="array" ref="AI126">IFERROR(CONCATENATE((INDEX($AL$7:$AL$86,SMALL(IF($AL$7:$AL$86&lt;&gt;"",IF($AI$7:$AI$86&lt;&gt;"",ROW($AI$7:$AI$86)-MIN(ROW($AI$7:$AI$86))+1,""),""),ROW()-ROW(A$88)+1)))," "),"")</f>
        <v/>
      </c>
      <c r="AJ126" t="str">
        <f t="array" ref="AJ126">IFERROR(CONCATENATE(TEXT(INDEX($AI$7:$AI$86,SMALL(IF($AL$7:$AL$86&lt;&gt;"",IF($AI$7:$AI$86&lt;&gt;"",ROW($AI$7:$AI$86)-MIN(ROW($AI$7:$AI$86))+1,""),""),ROW()-ROW(A$88)+1)),"##0")," "),"")</f>
        <v/>
      </c>
      <c r="AK126" t="str">
        <f t="array" ref="AK126">IFERROR(CONCATENATE((INDEX($A$7:$A$86,SMALL(IF($AL$7:$AL$86&lt;&gt;"",IF($AI$7:$AI$86&lt;&gt;"",ROW($AI$7:$AI$86)-MIN(ROW($AI$7:$AI$86))+1,""),""),ROW()-ROW(A$88)+1))),),"")</f>
        <v/>
      </c>
    </row>
    <row r="127" spans="11:37">
      <c r="K127" t="str">
        <f t="array" ref="K127">IFERROR(CONCATENATE(TEXT(INDEX($K$7:$K$86,SMALL(IF($N$7:$N$86&lt;&gt;"",IF($K$7:$K$86&lt;&gt;"",ROW($K$7:$K$86)-MIN(ROW($K$7:$K$86))+1,""),""),ROW()-ROW(A$88)+1)),"##0"),","),"")</f>
        <v/>
      </c>
      <c r="L127" t="str">
        <f t="array" ref="L127">IFERROR(CONCATENATE((INDEX($N$7:$N$86,SMALL(IF($N$7:$N$86&lt;&gt;"",IF($K$7:$K$86&lt;&gt;"",ROW($K$7:$K$86)-MIN(ROW($K$7:$K$86))+1,""),""),ROW()-ROW(A$88)+1))),","),"")</f>
        <v/>
      </c>
      <c r="M127" t="str">
        <f t="array" ref="M127">IFERROR(CONCATENATE((INDEX($A$7:$A$86,SMALL(IF($N$7:$N$86&lt;&gt;"",IF($K$7:$K$86&lt;&gt;"",ROW($K$7:$K$86)-MIN(ROW($K$7:$K$86))+1,""),""),ROW()-ROW(A$88)+1))),),"")</f>
        <v/>
      </c>
      <c r="Q127" t="str">
        <f t="array" ref="Q127">IFERROR(CONCATENATE((INDEX($T$7:$T$86,SMALL(IF($T$7:$T$86&lt;&gt;"",IF($Q$7:$Q$86&lt;&gt;"",ROW($Q$7:$Q$86)-MIN(ROW($Q$7:$Q$86))+1,""),""),ROW()-ROW(A$88)+1)))," "),"")</f>
        <v/>
      </c>
      <c r="R127" t="str">
        <f t="array" ref="R127">IFERROR(CONCATENATE(TEXT(INDEX($Q$7:$Q$86,SMALL(IF($T$7:$T$86&lt;&gt;"",IF($Q$7:$Q$86&lt;&gt;"",ROW($Q$7:$Q$86)-MIN(ROW($Q$7:$Q$86))+1,""),""),ROW()-ROW(A$88)+1)),"##0")," "),"")</f>
        <v/>
      </c>
      <c r="S127" t="str">
        <f t="array" ref="S127">IFERROR(CONCATENATE((INDEX($A$7:$A$86,SMALL(IF($T$7:$T$86&lt;&gt;"",IF($Q$7:$Q$86&lt;&gt;"",ROW($Q$7:$Q$86)-MIN(ROW($Q$7:$Q$86))+1,""),""),ROW()-ROW(A$88)+1))),),"")</f>
        <v/>
      </c>
      <c r="W127" t="str">
        <f t="array" ref="W127">IFERROR(CONCATENATE((INDEX($Z$7:$Z$86,SMALL(IF($Z$7:$Z$86&lt;&gt;"",IF($W$7:$W$86&lt;&gt;"",ROW($W$7:$W$86)-MIN(ROW($W$7:$W$86))+1,""),""),ROW()-ROW(A$88)+1)))," "),"")</f>
        <v/>
      </c>
      <c r="X127" t="str">
        <f t="array" ref="X127">IFERROR(CONCATENATE(TEXT(INDEX($W$7:$W$86,SMALL(IF($Z$7:$Z$86&lt;&gt;"",IF($W$7:$W$86&lt;&gt;"",ROW($W$7:$W$86)-MIN(ROW($W$7:$W$86))+1,""),""),ROW()-ROW(A$88)+1)),"##0")," "),"")</f>
        <v/>
      </c>
      <c r="Y127" t="str">
        <f t="array" ref="Y127">IFERROR(CONCATENATE((INDEX($A$7:$A$86,SMALL(IF($Z$7:$Z$86&lt;&gt;"",IF($W$7:$W$86&lt;&gt;"",ROW($W$7:$W$86)-MIN(ROW($W$7:$W$86))+1,""),""),ROW()-ROW(A$88)+1))),),"")</f>
        <v/>
      </c>
      <c r="AC127" t="str">
        <f t="array" ref="AC127">IFERROR(CONCATENATE((INDEX($AF$7:$AF$86,SMALL(IF($AF$7:$AF$86&lt;&gt;"",IF($AC$7:$AC$86&lt;&gt;"",ROW($AC$7:$AC$86)-MIN(ROW($AC$7:$AC$86))+1,""),""),ROW()-ROW(A$88)+1))),","),"")</f>
        <v/>
      </c>
      <c r="AD127" t="str">
        <f t="array" ref="AD127">IFERROR(CONCATENATE(TEXT(INDEX($AC$7:$AC$86,SMALL(IF($AF$7:$AF$86&lt;&gt;"",IF($AC$7:$AC$86&lt;&gt;"",ROW($AC$7:$AC$86)-MIN(ROW($AC$7:$AC$86))+1,""),""),ROW()-ROW(A$88)+1)),"##0"),","),"")</f>
        <v/>
      </c>
      <c r="AE127" t="str">
        <f t="array" ref="AE127">IFERROR(CONCATENATE((INDEX($A$7:$A$86,SMALL(IF($AF$7:$AF$86&lt;&gt;"",IF($AC$7:$AC$86&lt;&gt;"",ROW($AC$7:$AC$86)-MIN(ROW($AC$7:$AC$86))+1,""),""),ROW()-ROW(A$88)+1))),),"")</f>
        <v/>
      </c>
      <c r="AI127" t="str">
        <f t="array" ref="AI127">IFERROR(CONCATENATE((INDEX($AL$7:$AL$86,SMALL(IF($AL$7:$AL$86&lt;&gt;"",IF($AI$7:$AI$86&lt;&gt;"",ROW($AI$7:$AI$86)-MIN(ROW($AI$7:$AI$86))+1,""),""),ROW()-ROW(A$88)+1)))," "),"")</f>
        <v/>
      </c>
      <c r="AJ127" t="str">
        <f t="array" ref="AJ127">IFERROR(CONCATENATE(TEXT(INDEX($AI$7:$AI$86,SMALL(IF($AL$7:$AL$86&lt;&gt;"",IF($AI$7:$AI$86&lt;&gt;"",ROW($AI$7:$AI$86)-MIN(ROW($AI$7:$AI$86))+1,""),""),ROW()-ROW(A$88)+1)),"##0")," "),"")</f>
        <v/>
      </c>
      <c r="AK127" t="str">
        <f t="array" ref="AK127">IFERROR(CONCATENATE((INDEX($A$7:$A$86,SMALL(IF($AL$7:$AL$86&lt;&gt;"",IF($AI$7:$AI$86&lt;&gt;"",ROW($AI$7:$AI$86)-MIN(ROW($AI$7:$AI$86))+1,""),""),ROW()-ROW(A$88)+1))),),"")</f>
        <v/>
      </c>
    </row>
    <row r="128" spans="11:37">
      <c r="K128" t="str">
        <f t="array" ref="K128">IFERROR(CONCATENATE(TEXT(INDEX($K$7:$K$86,SMALL(IF($N$7:$N$86&lt;&gt;"",IF($K$7:$K$86&lt;&gt;"",ROW($K$7:$K$86)-MIN(ROW($K$7:$K$86))+1,""),""),ROW()-ROW(A$88)+1)),"##0"),","),"")</f>
        <v/>
      </c>
      <c r="L128" t="str">
        <f t="array" ref="L128">IFERROR(CONCATENATE((INDEX($N$7:$N$86,SMALL(IF($N$7:$N$86&lt;&gt;"",IF($K$7:$K$86&lt;&gt;"",ROW($K$7:$K$86)-MIN(ROW($K$7:$K$86))+1,""),""),ROW()-ROW(A$88)+1))),","),"")</f>
        <v/>
      </c>
      <c r="M128" t="str">
        <f t="array" ref="M128">IFERROR(CONCATENATE((INDEX($A$7:$A$86,SMALL(IF($N$7:$N$86&lt;&gt;"",IF($K$7:$K$86&lt;&gt;"",ROW($K$7:$K$86)-MIN(ROW($K$7:$K$86))+1,""),""),ROW()-ROW(A$88)+1))),),"")</f>
        <v/>
      </c>
      <c r="Q128" t="str">
        <f t="array" ref="Q128">IFERROR(CONCATENATE((INDEX($T$7:$T$86,SMALL(IF($T$7:$T$86&lt;&gt;"",IF($Q$7:$Q$86&lt;&gt;"",ROW($Q$7:$Q$86)-MIN(ROW($Q$7:$Q$86))+1,""),""),ROW()-ROW(A$88)+1)))," "),"")</f>
        <v/>
      </c>
      <c r="R128" t="str">
        <f t="array" ref="R128">IFERROR(CONCATENATE(TEXT(INDEX($Q$7:$Q$86,SMALL(IF($T$7:$T$86&lt;&gt;"",IF($Q$7:$Q$86&lt;&gt;"",ROW($Q$7:$Q$86)-MIN(ROW($Q$7:$Q$86))+1,""),""),ROW()-ROW(A$88)+1)),"##0")," "),"")</f>
        <v/>
      </c>
      <c r="S128" t="str">
        <f t="array" ref="S128">IFERROR(CONCATENATE((INDEX($A$7:$A$86,SMALL(IF($T$7:$T$86&lt;&gt;"",IF($Q$7:$Q$86&lt;&gt;"",ROW($Q$7:$Q$86)-MIN(ROW($Q$7:$Q$86))+1,""),""),ROW()-ROW(A$88)+1))),),"")</f>
        <v/>
      </c>
      <c r="W128" t="str">
        <f t="array" ref="W128">IFERROR(CONCATENATE((INDEX($Z$7:$Z$86,SMALL(IF($Z$7:$Z$86&lt;&gt;"",IF($W$7:$W$86&lt;&gt;"",ROW($W$7:$W$86)-MIN(ROW($W$7:$W$86))+1,""),""),ROW()-ROW(A$88)+1)))," "),"")</f>
        <v/>
      </c>
      <c r="X128" t="str">
        <f t="array" ref="X128">IFERROR(CONCATENATE(TEXT(INDEX($W$7:$W$86,SMALL(IF($Z$7:$Z$86&lt;&gt;"",IF($W$7:$W$86&lt;&gt;"",ROW($W$7:$W$86)-MIN(ROW($W$7:$W$86))+1,""),""),ROW()-ROW(A$88)+1)),"##0")," "),"")</f>
        <v/>
      </c>
      <c r="Y128" t="str">
        <f t="array" ref="Y128">IFERROR(CONCATENATE((INDEX($A$7:$A$86,SMALL(IF($Z$7:$Z$86&lt;&gt;"",IF($W$7:$W$86&lt;&gt;"",ROW($W$7:$W$86)-MIN(ROW($W$7:$W$86))+1,""),""),ROW()-ROW(A$88)+1))),),"")</f>
        <v/>
      </c>
      <c r="AC128" t="str">
        <f t="array" ref="AC128">IFERROR(CONCATENATE((INDEX($AF$7:$AF$86,SMALL(IF($AF$7:$AF$86&lt;&gt;"",IF($AC$7:$AC$86&lt;&gt;"",ROW($AC$7:$AC$86)-MIN(ROW($AC$7:$AC$86))+1,""),""),ROW()-ROW(A$88)+1))),","),"")</f>
        <v/>
      </c>
      <c r="AD128" t="str">
        <f t="array" ref="AD128">IFERROR(CONCATENATE(TEXT(INDEX($AC$7:$AC$86,SMALL(IF($AF$7:$AF$86&lt;&gt;"",IF($AC$7:$AC$86&lt;&gt;"",ROW($AC$7:$AC$86)-MIN(ROW($AC$7:$AC$86))+1,""),""),ROW()-ROW(A$88)+1)),"##0"),","),"")</f>
        <v/>
      </c>
      <c r="AE128" t="str">
        <f t="array" ref="AE128">IFERROR(CONCATENATE((INDEX($A$7:$A$86,SMALL(IF($AF$7:$AF$86&lt;&gt;"",IF($AC$7:$AC$86&lt;&gt;"",ROW($AC$7:$AC$86)-MIN(ROW($AC$7:$AC$86))+1,""),""),ROW()-ROW(A$88)+1))),),"")</f>
        <v/>
      </c>
      <c r="AI128" t="str">
        <f t="array" ref="AI128">IFERROR(CONCATENATE((INDEX($AL$7:$AL$86,SMALL(IF($AL$7:$AL$86&lt;&gt;"",IF($AI$7:$AI$86&lt;&gt;"",ROW($AI$7:$AI$86)-MIN(ROW($AI$7:$AI$86))+1,""),""),ROW()-ROW(A$88)+1)))," "),"")</f>
        <v/>
      </c>
      <c r="AJ128" t="str">
        <f t="array" ref="AJ128">IFERROR(CONCATENATE(TEXT(INDEX($AI$7:$AI$86,SMALL(IF($AL$7:$AL$86&lt;&gt;"",IF($AI$7:$AI$86&lt;&gt;"",ROW($AI$7:$AI$86)-MIN(ROW($AI$7:$AI$86))+1,""),""),ROW()-ROW(A$88)+1)),"##0")," "),"")</f>
        <v/>
      </c>
      <c r="AK128" t="str">
        <f t="array" ref="AK128">IFERROR(CONCATENATE((INDEX($A$7:$A$86,SMALL(IF($AL$7:$AL$86&lt;&gt;"",IF($AI$7:$AI$86&lt;&gt;"",ROW($AI$7:$AI$86)-MIN(ROW($AI$7:$AI$86))+1,""),""),ROW()-ROW(A$88)+1))),),"")</f>
        <v/>
      </c>
    </row>
    <row r="129" spans="11:37">
      <c r="K129" t="str">
        <f t="array" ref="K129">IFERROR(CONCATENATE(TEXT(INDEX($K$7:$K$86,SMALL(IF($N$7:$N$86&lt;&gt;"",IF($K$7:$K$86&lt;&gt;"",ROW($K$7:$K$86)-MIN(ROW($K$7:$K$86))+1,""),""),ROW()-ROW(A$88)+1)),"##0"),","),"")</f>
        <v/>
      </c>
      <c r="L129" t="str">
        <f t="array" ref="L129">IFERROR(CONCATENATE((INDEX($N$7:$N$86,SMALL(IF($N$7:$N$86&lt;&gt;"",IF($K$7:$K$86&lt;&gt;"",ROW($K$7:$K$86)-MIN(ROW($K$7:$K$86))+1,""),""),ROW()-ROW(A$88)+1))),","),"")</f>
        <v/>
      </c>
      <c r="M129" t="str">
        <f t="array" ref="M129">IFERROR(CONCATENATE((INDEX($A$7:$A$86,SMALL(IF($N$7:$N$86&lt;&gt;"",IF($K$7:$K$86&lt;&gt;"",ROW($K$7:$K$86)-MIN(ROW($K$7:$K$86))+1,""),""),ROW()-ROW(A$88)+1))),),"")</f>
        <v/>
      </c>
      <c r="Q129" t="str">
        <f t="array" ref="Q129">IFERROR(CONCATENATE((INDEX($T$7:$T$86,SMALL(IF($T$7:$T$86&lt;&gt;"",IF($Q$7:$Q$86&lt;&gt;"",ROW($Q$7:$Q$86)-MIN(ROW($Q$7:$Q$86))+1,""),""),ROW()-ROW(A$88)+1)))," "),"")</f>
        <v/>
      </c>
      <c r="R129" t="str">
        <f t="array" ref="R129">IFERROR(CONCATENATE(TEXT(INDEX($Q$7:$Q$86,SMALL(IF($T$7:$T$86&lt;&gt;"",IF($Q$7:$Q$86&lt;&gt;"",ROW($Q$7:$Q$86)-MIN(ROW($Q$7:$Q$86))+1,""),""),ROW()-ROW(A$88)+1)),"##0")," "),"")</f>
        <v/>
      </c>
      <c r="S129" t="str">
        <f t="array" ref="S129">IFERROR(CONCATENATE((INDEX($A$7:$A$86,SMALL(IF($T$7:$T$86&lt;&gt;"",IF($Q$7:$Q$86&lt;&gt;"",ROW($Q$7:$Q$86)-MIN(ROW($Q$7:$Q$86))+1,""),""),ROW()-ROW(A$88)+1))),),"")</f>
        <v/>
      </c>
      <c r="W129" t="str">
        <f t="array" ref="W129">IFERROR(CONCATENATE((INDEX($Z$7:$Z$86,SMALL(IF($Z$7:$Z$86&lt;&gt;"",IF($W$7:$W$86&lt;&gt;"",ROW($W$7:$W$86)-MIN(ROW($W$7:$W$86))+1,""),""),ROW()-ROW(A$88)+1)))," "),"")</f>
        <v/>
      </c>
      <c r="X129" t="str">
        <f t="array" ref="X129">IFERROR(CONCATENATE(TEXT(INDEX($W$7:$W$86,SMALL(IF($Z$7:$Z$86&lt;&gt;"",IF($W$7:$W$86&lt;&gt;"",ROW($W$7:$W$86)-MIN(ROW($W$7:$W$86))+1,""),""),ROW()-ROW(A$88)+1)),"##0")," "),"")</f>
        <v/>
      </c>
      <c r="Y129" t="str">
        <f t="array" ref="Y129">IFERROR(CONCATENATE((INDEX($A$7:$A$86,SMALL(IF($Z$7:$Z$86&lt;&gt;"",IF($W$7:$W$86&lt;&gt;"",ROW($W$7:$W$86)-MIN(ROW($W$7:$W$86))+1,""),""),ROW()-ROW(A$88)+1))),),"")</f>
        <v/>
      </c>
      <c r="AC129" t="str">
        <f t="array" ref="AC129">IFERROR(CONCATENATE((INDEX($AF$7:$AF$86,SMALL(IF($AF$7:$AF$86&lt;&gt;"",IF($AC$7:$AC$86&lt;&gt;"",ROW($AC$7:$AC$86)-MIN(ROW($AC$7:$AC$86))+1,""),""),ROW()-ROW(A$88)+1))),","),"")</f>
        <v/>
      </c>
      <c r="AD129" t="str">
        <f t="array" ref="AD129">IFERROR(CONCATENATE(TEXT(INDEX($AC$7:$AC$86,SMALL(IF($AF$7:$AF$86&lt;&gt;"",IF($AC$7:$AC$86&lt;&gt;"",ROW($AC$7:$AC$86)-MIN(ROW($AC$7:$AC$86))+1,""),""),ROW()-ROW(A$88)+1)),"##0"),","),"")</f>
        <v/>
      </c>
      <c r="AE129" t="str">
        <f t="array" ref="AE129">IFERROR(CONCATENATE((INDEX($A$7:$A$86,SMALL(IF($AF$7:$AF$86&lt;&gt;"",IF($AC$7:$AC$86&lt;&gt;"",ROW($AC$7:$AC$86)-MIN(ROW($AC$7:$AC$86))+1,""),""),ROW()-ROW(A$88)+1))),),"")</f>
        <v/>
      </c>
      <c r="AI129" t="str">
        <f t="array" ref="AI129">IFERROR(CONCATENATE((INDEX($AL$7:$AL$86,SMALL(IF($AL$7:$AL$86&lt;&gt;"",IF($AI$7:$AI$86&lt;&gt;"",ROW($AI$7:$AI$86)-MIN(ROW($AI$7:$AI$86))+1,""),""),ROW()-ROW(A$88)+1)))," "),"")</f>
        <v/>
      </c>
      <c r="AJ129" t="str">
        <f t="array" ref="AJ129">IFERROR(CONCATENATE(TEXT(INDEX($AI$7:$AI$86,SMALL(IF($AL$7:$AL$86&lt;&gt;"",IF($AI$7:$AI$86&lt;&gt;"",ROW($AI$7:$AI$86)-MIN(ROW($AI$7:$AI$86))+1,""),""),ROW()-ROW(A$88)+1)),"##0")," "),"")</f>
        <v/>
      </c>
      <c r="AK129" t="str">
        <f t="array" ref="AK129">IFERROR(CONCATENATE((INDEX($A$7:$A$86,SMALL(IF($AL$7:$AL$86&lt;&gt;"",IF($AI$7:$AI$86&lt;&gt;"",ROW($AI$7:$AI$86)-MIN(ROW($AI$7:$AI$86))+1,""),""),ROW()-ROW(A$88)+1))),),"")</f>
        <v/>
      </c>
    </row>
    <row r="130" spans="11:37">
      <c r="K130" t="str">
        <f t="array" ref="K130">IFERROR(CONCATENATE(TEXT(INDEX($K$7:$K$86,SMALL(IF($N$7:$N$86&lt;&gt;"",IF($K$7:$K$86&lt;&gt;"",ROW($K$7:$K$86)-MIN(ROW($K$7:$K$86))+1,""),""),ROW()-ROW(A$88)+1)),"##0"),","),"")</f>
        <v/>
      </c>
      <c r="L130" t="str">
        <f t="array" ref="L130">IFERROR(CONCATENATE((INDEX($N$7:$N$86,SMALL(IF($N$7:$N$86&lt;&gt;"",IF($K$7:$K$86&lt;&gt;"",ROW($K$7:$K$86)-MIN(ROW($K$7:$K$86))+1,""),""),ROW()-ROW(A$88)+1))),","),"")</f>
        <v/>
      </c>
      <c r="M130" t="str">
        <f t="array" ref="M130">IFERROR(CONCATENATE((INDEX($A$7:$A$86,SMALL(IF($N$7:$N$86&lt;&gt;"",IF($K$7:$K$86&lt;&gt;"",ROW($K$7:$K$86)-MIN(ROW($K$7:$K$86))+1,""),""),ROW()-ROW(A$88)+1))),),"")</f>
        <v/>
      </c>
      <c r="Q130" t="str">
        <f t="array" ref="Q130">IFERROR(CONCATENATE((INDEX($T$7:$T$86,SMALL(IF($T$7:$T$86&lt;&gt;"",IF($Q$7:$Q$86&lt;&gt;"",ROW($Q$7:$Q$86)-MIN(ROW($Q$7:$Q$86))+1,""),""),ROW()-ROW(A$88)+1)))," "),"")</f>
        <v/>
      </c>
      <c r="R130" t="str">
        <f t="array" ref="R130">IFERROR(CONCATENATE(TEXT(INDEX($Q$7:$Q$86,SMALL(IF($T$7:$T$86&lt;&gt;"",IF($Q$7:$Q$86&lt;&gt;"",ROW($Q$7:$Q$86)-MIN(ROW($Q$7:$Q$86))+1,""),""),ROW()-ROW(A$88)+1)),"##0")," "),"")</f>
        <v/>
      </c>
      <c r="S130" t="str">
        <f t="array" ref="S130">IFERROR(CONCATENATE((INDEX($A$7:$A$86,SMALL(IF($T$7:$T$86&lt;&gt;"",IF($Q$7:$Q$86&lt;&gt;"",ROW($Q$7:$Q$86)-MIN(ROW($Q$7:$Q$86))+1,""),""),ROW()-ROW(A$88)+1))),),"")</f>
        <v/>
      </c>
      <c r="W130" t="str">
        <f t="array" ref="W130">IFERROR(CONCATENATE((INDEX($Z$7:$Z$86,SMALL(IF($Z$7:$Z$86&lt;&gt;"",IF($W$7:$W$86&lt;&gt;"",ROW($W$7:$W$86)-MIN(ROW($W$7:$W$86))+1,""),""),ROW()-ROW(A$88)+1)))," "),"")</f>
        <v/>
      </c>
      <c r="X130" t="str">
        <f t="array" ref="X130">IFERROR(CONCATENATE(TEXT(INDEX($W$7:$W$86,SMALL(IF($Z$7:$Z$86&lt;&gt;"",IF($W$7:$W$86&lt;&gt;"",ROW($W$7:$W$86)-MIN(ROW($W$7:$W$86))+1,""),""),ROW()-ROW(A$88)+1)),"##0")," "),"")</f>
        <v/>
      </c>
      <c r="Y130" t="str">
        <f t="array" ref="Y130">IFERROR(CONCATENATE((INDEX($A$7:$A$86,SMALL(IF($Z$7:$Z$86&lt;&gt;"",IF($W$7:$W$86&lt;&gt;"",ROW($W$7:$W$86)-MIN(ROW($W$7:$W$86))+1,""),""),ROW()-ROW(A$88)+1))),),"")</f>
        <v/>
      </c>
      <c r="AC130" t="str">
        <f t="array" ref="AC130">IFERROR(CONCATENATE((INDEX($AF$7:$AF$86,SMALL(IF($AF$7:$AF$86&lt;&gt;"",IF($AC$7:$AC$86&lt;&gt;"",ROW($AC$7:$AC$86)-MIN(ROW($AC$7:$AC$86))+1,""),""),ROW()-ROW(A$88)+1))),","),"")</f>
        <v/>
      </c>
      <c r="AD130" t="str">
        <f t="array" ref="AD130">IFERROR(CONCATENATE(TEXT(INDEX($AC$7:$AC$86,SMALL(IF($AF$7:$AF$86&lt;&gt;"",IF($AC$7:$AC$86&lt;&gt;"",ROW($AC$7:$AC$86)-MIN(ROW($AC$7:$AC$86))+1,""),""),ROW()-ROW(A$88)+1)),"##0"),","),"")</f>
        <v/>
      </c>
      <c r="AE130" t="str">
        <f t="array" ref="AE130">IFERROR(CONCATENATE((INDEX($A$7:$A$86,SMALL(IF($AF$7:$AF$86&lt;&gt;"",IF($AC$7:$AC$86&lt;&gt;"",ROW($AC$7:$AC$86)-MIN(ROW($AC$7:$AC$86))+1,""),""),ROW()-ROW(A$88)+1))),),"")</f>
        <v/>
      </c>
      <c r="AI130" t="str">
        <f t="array" ref="AI130">IFERROR(CONCATENATE((INDEX($AL$7:$AL$86,SMALL(IF($AL$7:$AL$86&lt;&gt;"",IF($AI$7:$AI$86&lt;&gt;"",ROW($AI$7:$AI$86)-MIN(ROW($AI$7:$AI$86))+1,""),""),ROW()-ROW(A$88)+1)))," "),"")</f>
        <v/>
      </c>
      <c r="AJ130" t="str">
        <f t="array" ref="AJ130">IFERROR(CONCATENATE(TEXT(INDEX($AI$7:$AI$86,SMALL(IF($AL$7:$AL$86&lt;&gt;"",IF($AI$7:$AI$86&lt;&gt;"",ROW($AI$7:$AI$86)-MIN(ROW($AI$7:$AI$86))+1,""),""),ROW()-ROW(A$88)+1)),"##0")," "),"")</f>
        <v/>
      </c>
      <c r="AK130" t="str">
        <f t="array" ref="AK130">IFERROR(CONCATENATE((INDEX($A$7:$A$86,SMALL(IF($AL$7:$AL$86&lt;&gt;"",IF($AI$7:$AI$86&lt;&gt;"",ROW($AI$7:$AI$86)-MIN(ROW($AI$7:$AI$86))+1,""),""),ROW()-ROW(A$88)+1))),),"")</f>
        <v/>
      </c>
    </row>
    <row r="131" spans="11:37">
      <c r="K131" t="str">
        <f t="array" ref="K131">IFERROR(CONCATENATE(TEXT(INDEX($K$7:$K$86,SMALL(IF($N$7:$N$86&lt;&gt;"",IF($K$7:$K$86&lt;&gt;"",ROW($K$7:$K$86)-MIN(ROW($K$7:$K$86))+1,""),""),ROW()-ROW(A$88)+1)),"##0"),","),"")</f>
        <v/>
      </c>
      <c r="L131" t="str">
        <f t="array" ref="L131">IFERROR(CONCATENATE((INDEX($N$7:$N$86,SMALL(IF($N$7:$N$86&lt;&gt;"",IF($K$7:$K$86&lt;&gt;"",ROW($K$7:$K$86)-MIN(ROW($K$7:$K$86))+1,""),""),ROW()-ROW(A$88)+1))),","),"")</f>
        <v/>
      </c>
      <c r="M131" t="str">
        <f t="array" ref="M131">IFERROR(CONCATENATE((INDEX($A$7:$A$86,SMALL(IF($N$7:$N$86&lt;&gt;"",IF($K$7:$K$86&lt;&gt;"",ROW($K$7:$K$86)-MIN(ROW($K$7:$K$86))+1,""),""),ROW()-ROW(A$88)+1))),),"")</f>
        <v/>
      </c>
      <c r="Q131" t="str">
        <f t="array" ref="Q131">IFERROR(CONCATENATE((INDEX($T$7:$T$86,SMALL(IF($T$7:$T$86&lt;&gt;"",IF($Q$7:$Q$86&lt;&gt;"",ROW($Q$7:$Q$86)-MIN(ROW($Q$7:$Q$86))+1,""),""),ROW()-ROW(A$88)+1)))," "),"")</f>
        <v/>
      </c>
      <c r="R131" t="str">
        <f t="array" ref="R131">IFERROR(CONCATENATE(TEXT(INDEX($Q$7:$Q$86,SMALL(IF($T$7:$T$86&lt;&gt;"",IF($Q$7:$Q$86&lt;&gt;"",ROW($Q$7:$Q$86)-MIN(ROW($Q$7:$Q$86))+1,""),""),ROW()-ROW(A$88)+1)),"##0")," "),"")</f>
        <v/>
      </c>
      <c r="S131" t="str">
        <f t="array" ref="S131">IFERROR(CONCATENATE((INDEX($A$7:$A$86,SMALL(IF($T$7:$T$86&lt;&gt;"",IF($Q$7:$Q$86&lt;&gt;"",ROW($Q$7:$Q$86)-MIN(ROW($Q$7:$Q$86))+1,""),""),ROW()-ROW(A$88)+1))),),"")</f>
        <v/>
      </c>
      <c r="W131" t="str">
        <f t="array" ref="W131">IFERROR(CONCATENATE((INDEX($Z$7:$Z$86,SMALL(IF($Z$7:$Z$86&lt;&gt;"",IF($W$7:$W$86&lt;&gt;"",ROW($W$7:$W$86)-MIN(ROW($W$7:$W$86))+1,""),""),ROW()-ROW(A$88)+1)))," "),"")</f>
        <v/>
      </c>
      <c r="X131" t="str">
        <f t="array" ref="X131">IFERROR(CONCATENATE(TEXT(INDEX($W$7:$W$86,SMALL(IF($Z$7:$Z$86&lt;&gt;"",IF($W$7:$W$86&lt;&gt;"",ROW($W$7:$W$86)-MIN(ROW($W$7:$W$86))+1,""),""),ROW()-ROW(A$88)+1)),"##0")," "),"")</f>
        <v/>
      </c>
      <c r="Y131" t="str">
        <f t="array" ref="Y131">IFERROR(CONCATENATE((INDEX($A$7:$A$86,SMALL(IF($Z$7:$Z$86&lt;&gt;"",IF($W$7:$W$86&lt;&gt;"",ROW($W$7:$W$86)-MIN(ROW($W$7:$W$86))+1,""),""),ROW()-ROW(A$88)+1))),),"")</f>
        <v/>
      </c>
      <c r="AC131" t="str">
        <f t="array" ref="AC131">IFERROR(CONCATENATE((INDEX($AF$7:$AF$86,SMALL(IF($AF$7:$AF$86&lt;&gt;"",IF($AC$7:$AC$86&lt;&gt;"",ROW($AC$7:$AC$86)-MIN(ROW($AC$7:$AC$86))+1,""),""),ROW()-ROW(A$88)+1))),","),"")</f>
        <v/>
      </c>
      <c r="AD131" t="str">
        <f t="array" ref="AD131">IFERROR(CONCATENATE(TEXT(INDEX($AC$7:$AC$86,SMALL(IF($AF$7:$AF$86&lt;&gt;"",IF($AC$7:$AC$86&lt;&gt;"",ROW($AC$7:$AC$86)-MIN(ROW($AC$7:$AC$86))+1,""),""),ROW()-ROW(A$88)+1)),"##0"),","),"")</f>
        <v/>
      </c>
      <c r="AE131" t="str">
        <f t="array" ref="AE131">IFERROR(CONCATENATE((INDEX($A$7:$A$86,SMALL(IF($AF$7:$AF$86&lt;&gt;"",IF($AC$7:$AC$86&lt;&gt;"",ROW($AC$7:$AC$86)-MIN(ROW($AC$7:$AC$86))+1,""),""),ROW()-ROW(A$88)+1))),),"")</f>
        <v/>
      </c>
      <c r="AI131" t="str">
        <f t="array" ref="AI131">IFERROR(CONCATENATE((INDEX($AL$7:$AL$86,SMALL(IF($AL$7:$AL$86&lt;&gt;"",IF($AI$7:$AI$86&lt;&gt;"",ROW($AI$7:$AI$86)-MIN(ROW($AI$7:$AI$86))+1,""),""),ROW()-ROW(A$88)+1)))," "),"")</f>
        <v/>
      </c>
      <c r="AJ131" t="str">
        <f t="array" ref="AJ131">IFERROR(CONCATENATE(TEXT(INDEX($AI$7:$AI$86,SMALL(IF($AL$7:$AL$86&lt;&gt;"",IF($AI$7:$AI$86&lt;&gt;"",ROW($AI$7:$AI$86)-MIN(ROW($AI$7:$AI$86))+1,""),""),ROW()-ROW(A$88)+1)),"##0")," "),"")</f>
        <v/>
      </c>
      <c r="AK131" t="str">
        <f t="array" ref="AK131">IFERROR(CONCATENATE((INDEX($A$7:$A$86,SMALL(IF($AL$7:$AL$86&lt;&gt;"",IF($AI$7:$AI$86&lt;&gt;"",ROW($AI$7:$AI$86)-MIN(ROW($AI$7:$AI$86))+1,""),""),ROW()-ROW(A$88)+1))),),"")</f>
        <v/>
      </c>
    </row>
    <row r="132" spans="11:37">
      <c r="K132" t="str">
        <f t="array" ref="K132">IFERROR(CONCATENATE(TEXT(INDEX($K$7:$K$86,SMALL(IF($N$7:$N$86&lt;&gt;"",IF($K$7:$K$86&lt;&gt;"",ROW($K$7:$K$86)-MIN(ROW($K$7:$K$86))+1,""),""),ROW()-ROW(A$88)+1)),"##0"),","),"")</f>
        <v/>
      </c>
      <c r="L132" t="str">
        <f t="array" ref="L132">IFERROR(CONCATENATE((INDEX($N$7:$N$86,SMALL(IF($N$7:$N$86&lt;&gt;"",IF($K$7:$K$86&lt;&gt;"",ROW($K$7:$K$86)-MIN(ROW($K$7:$K$86))+1,""),""),ROW()-ROW(A$88)+1))),","),"")</f>
        <v/>
      </c>
      <c r="M132" t="str">
        <f t="array" ref="M132">IFERROR(CONCATENATE((INDEX($A$7:$A$86,SMALL(IF($N$7:$N$86&lt;&gt;"",IF($K$7:$K$86&lt;&gt;"",ROW($K$7:$K$86)-MIN(ROW($K$7:$K$86))+1,""),""),ROW()-ROW(A$88)+1))),),"")</f>
        <v/>
      </c>
      <c r="Q132" t="str">
        <f t="array" ref="Q132">IFERROR(CONCATENATE((INDEX($T$7:$T$86,SMALL(IF($T$7:$T$86&lt;&gt;"",IF($Q$7:$Q$86&lt;&gt;"",ROW($Q$7:$Q$86)-MIN(ROW($Q$7:$Q$86))+1,""),""),ROW()-ROW(A$88)+1)))," "),"")</f>
        <v/>
      </c>
      <c r="R132" t="str">
        <f t="array" ref="R132">IFERROR(CONCATENATE(TEXT(INDEX($Q$7:$Q$86,SMALL(IF($T$7:$T$86&lt;&gt;"",IF($Q$7:$Q$86&lt;&gt;"",ROW($Q$7:$Q$86)-MIN(ROW($Q$7:$Q$86))+1,""),""),ROW()-ROW(A$88)+1)),"##0")," "),"")</f>
        <v/>
      </c>
      <c r="S132" t="str">
        <f t="array" ref="S132">IFERROR(CONCATENATE((INDEX($A$7:$A$86,SMALL(IF($T$7:$T$86&lt;&gt;"",IF($Q$7:$Q$86&lt;&gt;"",ROW($Q$7:$Q$86)-MIN(ROW($Q$7:$Q$86))+1,""),""),ROW()-ROW(A$88)+1))),),"")</f>
        <v/>
      </c>
      <c r="W132" t="str">
        <f t="array" ref="W132">IFERROR(CONCATENATE((INDEX($Z$7:$Z$86,SMALL(IF($Z$7:$Z$86&lt;&gt;"",IF($W$7:$W$86&lt;&gt;"",ROW($W$7:$W$86)-MIN(ROW($W$7:$W$86))+1,""),""),ROW()-ROW(A$88)+1)))," "),"")</f>
        <v/>
      </c>
      <c r="X132" t="str">
        <f t="array" ref="X132">IFERROR(CONCATENATE(TEXT(INDEX($W$7:$W$86,SMALL(IF($Z$7:$Z$86&lt;&gt;"",IF($W$7:$W$86&lt;&gt;"",ROW($W$7:$W$86)-MIN(ROW($W$7:$W$86))+1,""),""),ROW()-ROW(A$88)+1)),"##0")," "),"")</f>
        <v/>
      </c>
      <c r="Y132" t="str">
        <f t="array" ref="Y132">IFERROR(CONCATENATE((INDEX($A$7:$A$86,SMALL(IF($Z$7:$Z$86&lt;&gt;"",IF($W$7:$W$86&lt;&gt;"",ROW($W$7:$W$86)-MIN(ROW($W$7:$W$86))+1,""),""),ROW()-ROW(A$88)+1))),),"")</f>
        <v/>
      </c>
      <c r="AC132" t="str">
        <f t="array" ref="AC132">IFERROR(CONCATENATE((INDEX($AF$7:$AF$86,SMALL(IF($AF$7:$AF$86&lt;&gt;"",IF($AC$7:$AC$86&lt;&gt;"",ROW($AC$7:$AC$86)-MIN(ROW($AC$7:$AC$86))+1,""),""),ROW()-ROW(A$88)+1))),","),"")</f>
        <v/>
      </c>
      <c r="AD132" t="str">
        <f t="array" ref="AD132">IFERROR(CONCATENATE(TEXT(INDEX($AC$7:$AC$86,SMALL(IF($AF$7:$AF$86&lt;&gt;"",IF($AC$7:$AC$86&lt;&gt;"",ROW($AC$7:$AC$86)-MIN(ROW($AC$7:$AC$86))+1,""),""),ROW()-ROW(A$88)+1)),"##0"),","),"")</f>
        <v/>
      </c>
      <c r="AE132" t="str">
        <f t="array" ref="AE132">IFERROR(CONCATENATE((INDEX($A$7:$A$86,SMALL(IF($AF$7:$AF$86&lt;&gt;"",IF($AC$7:$AC$86&lt;&gt;"",ROW($AC$7:$AC$86)-MIN(ROW($AC$7:$AC$86))+1,""),""),ROW()-ROW(A$88)+1))),),"")</f>
        <v/>
      </c>
      <c r="AI132" t="str">
        <f t="array" ref="AI132">IFERROR(CONCATENATE((INDEX($AL$7:$AL$86,SMALL(IF($AL$7:$AL$86&lt;&gt;"",IF($AI$7:$AI$86&lt;&gt;"",ROW($AI$7:$AI$86)-MIN(ROW($AI$7:$AI$86))+1,""),""),ROW()-ROW(A$88)+1)))," "),"")</f>
        <v/>
      </c>
      <c r="AJ132" t="str">
        <f t="array" ref="AJ132">IFERROR(CONCATENATE(TEXT(INDEX($AI$7:$AI$86,SMALL(IF($AL$7:$AL$86&lt;&gt;"",IF($AI$7:$AI$86&lt;&gt;"",ROW($AI$7:$AI$86)-MIN(ROW($AI$7:$AI$86))+1,""),""),ROW()-ROW(A$88)+1)),"##0")," "),"")</f>
        <v/>
      </c>
      <c r="AK132" t="str">
        <f t="array" ref="AK132">IFERROR(CONCATENATE((INDEX($A$7:$A$86,SMALL(IF($AL$7:$AL$86&lt;&gt;"",IF($AI$7:$AI$86&lt;&gt;"",ROW($AI$7:$AI$86)-MIN(ROW($AI$7:$AI$86))+1,""),""),ROW()-ROW(A$88)+1))),),"")</f>
        <v/>
      </c>
    </row>
    <row r="133" spans="11:37">
      <c r="K133" t="str">
        <f t="array" ref="K133">IFERROR(CONCATENATE(TEXT(INDEX($K$7:$K$86,SMALL(IF($N$7:$N$86&lt;&gt;"",IF($K$7:$K$86&lt;&gt;"",ROW($K$7:$K$86)-MIN(ROW($K$7:$K$86))+1,""),""),ROW()-ROW(A$88)+1)),"##0"),","),"")</f>
        <v/>
      </c>
      <c r="L133" t="str">
        <f t="array" ref="L133">IFERROR(CONCATENATE((INDEX($N$7:$N$86,SMALL(IF($N$7:$N$86&lt;&gt;"",IF($K$7:$K$86&lt;&gt;"",ROW($K$7:$K$86)-MIN(ROW($K$7:$K$86))+1,""),""),ROW()-ROW(A$88)+1))),","),"")</f>
        <v/>
      </c>
      <c r="M133" t="str">
        <f t="array" ref="M133">IFERROR(CONCATENATE((INDEX($A$7:$A$86,SMALL(IF($N$7:$N$86&lt;&gt;"",IF($K$7:$K$86&lt;&gt;"",ROW($K$7:$K$86)-MIN(ROW($K$7:$K$86))+1,""),""),ROW()-ROW(A$88)+1))),),"")</f>
        <v/>
      </c>
      <c r="Q133" t="str">
        <f t="array" ref="Q133">IFERROR(CONCATENATE((INDEX($T$7:$T$86,SMALL(IF($T$7:$T$86&lt;&gt;"",IF($Q$7:$Q$86&lt;&gt;"",ROW($Q$7:$Q$86)-MIN(ROW($Q$7:$Q$86))+1,""),""),ROW()-ROW(A$88)+1)))," "),"")</f>
        <v/>
      </c>
      <c r="R133" t="str">
        <f t="array" ref="R133">IFERROR(CONCATENATE(TEXT(INDEX($Q$7:$Q$86,SMALL(IF($T$7:$T$86&lt;&gt;"",IF($Q$7:$Q$86&lt;&gt;"",ROW($Q$7:$Q$86)-MIN(ROW($Q$7:$Q$86))+1,""),""),ROW()-ROW(A$88)+1)),"##0")," "),"")</f>
        <v/>
      </c>
      <c r="S133" t="str">
        <f t="array" ref="S133">IFERROR(CONCATENATE((INDEX($A$7:$A$86,SMALL(IF($T$7:$T$86&lt;&gt;"",IF($Q$7:$Q$86&lt;&gt;"",ROW($Q$7:$Q$86)-MIN(ROW($Q$7:$Q$86))+1,""),""),ROW()-ROW(A$88)+1))),),"")</f>
        <v/>
      </c>
      <c r="W133" t="str">
        <f t="array" ref="W133">IFERROR(CONCATENATE((INDEX($Z$7:$Z$86,SMALL(IF($Z$7:$Z$86&lt;&gt;"",IF($W$7:$W$86&lt;&gt;"",ROW($W$7:$W$86)-MIN(ROW($W$7:$W$86))+1,""),""),ROW()-ROW(A$88)+1)))," "),"")</f>
        <v/>
      </c>
      <c r="X133" t="str">
        <f t="array" ref="X133">IFERROR(CONCATENATE(TEXT(INDEX($W$7:$W$86,SMALL(IF($Z$7:$Z$86&lt;&gt;"",IF($W$7:$W$86&lt;&gt;"",ROW($W$7:$W$86)-MIN(ROW($W$7:$W$86))+1,""),""),ROW()-ROW(A$88)+1)),"##0")," "),"")</f>
        <v/>
      </c>
      <c r="Y133" t="str">
        <f t="array" ref="Y133">IFERROR(CONCATENATE((INDEX($A$7:$A$86,SMALL(IF($Z$7:$Z$86&lt;&gt;"",IF($W$7:$W$86&lt;&gt;"",ROW($W$7:$W$86)-MIN(ROW($W$7:$W$86))+1,""),""),ROW()-ROW(A$88)+1))),),"")</f>
        <v/>
      </c>
      <c r="AC133" t="str">
        <f t="array" ref="AC133">IFERROR(CONCATENATE((INDEX($AF$7:$AF$86,SMALL(IF($AF$7:$AF$86&lt;&gt;"",IF($AC$7:$AC$86&lt;&gt;"",ROW($AC$7:$AC$86)-MIN(ROW($AC$7:$AC$86))+1,""),""),ROW()-ROW(A$88)+1))),","),"")</f>
        <v/>
      </c>
      <c r="AD133" t="str">
        <f t="array" ref="AD133">IFERROR(CONCATENATE(TEXT(INDEX($AC$7:$AC$86,SMALL(IF($AF$7:$AF$86&lt;&gt;"",IF($AC$7:$AC$86&lt;&gt;"",ROW($AC$7:$AC$86)-MIN(ROW($AC$7:$AC$86))+1,""),""),ROW()-ROW(A$88)+1)),"##0"),","),"")</f>
        <v/>
      </c>
      <c r="AE133" t="str">
        <f t="array" ref="AE133">IFERROR(CONCATENATE((INDEX($A$7:$A$86,SMALL(IF($AF$7:$AF$86&lt;&gt;"",IF($AC$7:$AC$86&lt;&gt;"",ROW($AC$7:$AC$86)-MIN(ROW($AC$7:$AC$86))+1,""),""),ROW()-ROW(A$88)+1))),),"")</f>
        <v/>
      </c>
      <c r="AI133" t="str">
        <f t="array" ref="AI133">IFERROR(CONCATENATE((INDEX($AL$7:$AL$86,SMALL(IF($AL$7:$AL$86&lt;&gt;"",IF($AI$7:$AI$86&lt;&gt;"",ROW($AI$7:$AI$86)-MIN(ROW($AI$7:$AI$86))+1,""),""),ROW()-ROW(A$88)+1)))," "),"")</f>
        <v/>
      </c>
      <c r="AJ133" t="str">
        <f t="array" ref="AJ133">IFERROR(CONCATENATE(TEXT(INDEX($AI$7:$AI$86,SMALL(IF($AL$7:$AL$86&lt;&gt;"",IF($AI$7:$AI$86&lt;&gt;"",ROW($AI$7:$AI$86)-MIN(ROW($AI$7:$AI$86))+1,""),""),ROW()-ROW(A$88)+1)),"##0")," "),"")</f>
        <v/>
      </c>
      <c r="AK133" t="str">
        <f t="array" ref="AK133">IFERROR(CONCATENATE((INDEX($A$7:$A$86,SMALL(IF($AL$7:$AL$86&lt;&gt;"",IF($AI$7:$AI$86&lt;&gt;"",ROW($AI$7:$AI$86)-MIN(ROW($AI$7:$AI$86))+1,""),""),ROW()-ROW(A$88)+1))),),"")</f>
        <v/>
      </c>
    </row>
    <row r="134" spans="11:37">
      <c r="K134" t="str">
        <f t="array" ref="K134">IFERROR(CONCATENATE(TEXT(INDEX($K$7:$K$86,SMALL(IF($N$7:$N$86&lt;&gt;"",IF($K$7:$K$86&lt;&gt;"",ROW($K$7:$K$86)-MIN(ROW($K$7:$K$86))+1,""),""),ROW()-ROW(A$88)+1)),"##0"),","),"")</f>
        <v/>
      </c>
      <c r="L134" t="str">
        <f t="array" ref="L134">IFERROR(CONCATENATE((INDEX($N$7:$N$86,SMALL(IF($N$7:$N$86&lt;&gt;"",IF($K$7:$K$86&lt;&gt;"",ROW($K$7:$K$86)-MIN(ROW($K$7:$K$86))+1,""),""),ROW()-ROW(A$88)+1))),","),"")</f>
        <v/>
      </c>
      <c r="M134" t="str">
        <f t="array" ref="M134">IFERROR(CONCATENATE((INDEX($A$7:$A$86,SMALL(IF($N$7:$N$86&lt;&gt;"",IF($K$7:$K$86&lt;&gt;"",ROW($K$7:$K$86)-MIN(ROW($K$7:$K$86))+1,""),""),ROW()-ROW(A$88)+1))),),"")</f>
        <v/>
      </c>
      <c r="Q134" t="str">
        <f t="array" ref="Q134">IFERROR(CONCATENATE((INDEX($T$7:$T$86,SMALL(IF($T$7:$T$86&lt;&gt;"",IF($Q$7:$Q$86&lt;&gt;"",ROW($Q$7:$Q$86)-MIN(ROW($Q$7:$Q$86))+1,""),""),ROW()-ROW(A$88)+1)))," "),"")</f>
        <v/>
      </c>
      <c r="R134" t="str">
        <f t="array" ref="R134">IFERROR(CONCATENATE(TEXT(INDEX($Q$7:$Q$86,SMALL(IF($T$7:$T$86&lt;&gt;"",IF($Q$7:$Q$86&lt;&gt;"",ROW($Q$7:$Q$86)-MIN(ROW($Q$7:$Q$86))+1,""),""),ROW()-ROW(A$88)+1)),"##0")," "),"")</f>
        <v/>
      </c>
      <c r="S134" t="str">
        <f t="array" ref="S134">IFERROR(CONCATENATE((INDEX($A$7:$A$86,SMALL(IF($T$7:$T$86&lt;&gt;"",IF($Q$7:$Q$86&lt;&gt;"",ROW($Q$7:$Q$86)-MIN(ROW($Q$7:$Q$86))+1,""),""),ROW()-ROW(A$88)+1))),),"")</f>
        <v/>
      </c>
      <c r="W134" t="str">
        <f t="array" ref="W134">IFERROR(CONCATENATE((INDEX($Z$7:$Z$86,SMALL(IF($Z$7:$Z$86&lt;&gt;"",IF($W$7:$W$86&lt;&gt;"",ROW($W$7:$W$86)-MIN(ROW($W$7:$W$86))+1,""),""),ROW()-ROW(A$88)+1)))," "),"")</f>
        <v/>
      </c>
      <c r="X134" t="str">
        <f t="array" ref="X134">IFERROR(CONCATENATE(TEXT(INDEX($W$7:$W$86,SMALL(IF($Z$7:$Z$86&lt;&gt;"",IF($W$7:$W$86&lt;&gt;"",ROW($W$7:$W$86)-MIN(ROW($W$7:$W$86))+1,""),""),ROW()-ROW(A$88)+1)),"##0")," "),"")</f>
        <v/>
      </c>
      <c r="Y134" t="str">
        <f t="array" ref="Y134">IFERROR(CONCATENATE((INDEX($A$7:$A$86,SMALL(IF($Z$7:$Z$86&lt;&gt;"",IF($W$7:$W$86&lt;&gt;"",ROW($W$7:$W$86)-MIN(ROW($W$7:$W$86))+1,""),""),ROW()-ROW(A$88)+1))),),"")</f>
        <v/>
      </c>
      <c r="AC134" t="str">
        <f t="array" ref="AC134">IFERROR(CONCATENATE((INDEX($AF$7:$AF$86,SMALL(IF($AF$7:$AF$86&lt;&gt;"",IF($AC$7:$AC$86&lt;&gt;"",ROW($AC$7:$AC$86)-MIN(ROW($AC$7:$AC$86))+1,""),""),ROW()-ROW(A$88)+1))),","),"")</f>
        <v/>
      </c>
      <c r="AD134" t="str">
        <f t="array" ref="AD134">IFERROR(CONCATENATE(TEXT(INDEX($AC$7:$AC$86,SMALL(IF($AF$7:$AF$86&lt;&gt;"",IF($AC$7:$AC$86&lt;&gt;"",ROW($AC$7:$AC$86)-MIN(ROW($AC$7:$AC$86))+1,""),""),ROW()-ROW(A$88)+1)),"##0"),","),"")</f>
        <v/>
      </c>
      <c r="AE134" t="str">
        <f t="array" ref="AE134">IFERROR(CONCATENATE((INDEX($A$7:$A$86,SMALL(IF($AF$7:$AF$86&lt;&gt;"",IF($AC$7:$AC$86&lt;&gt;"",ROW($AC$7:$AC$86)-MIN(ROW($AC$7:$AC$86))+1,""),""),ROW()-ROW(A$88)+1))),),"")</f>
        <v/>
      </c>
      <c r="AI134" t="str">
        <f t="array" ref="AI134">IFERROR(CONCATENATE((INDEX($AL$7:$AL$86,SMALL(IF($AL$7:$AL$86&lt;&gt;"",IF($AI$7:$AI$86&lt;&gt;"",ROW($AI$7:$AI$86)-MIN(ROW($AI$7:$AI$86))+1,""),""),ROW()-ROW(A$88)+1)))," "),"")</f>
        <v/>
      </c>
      <c r="AJ134" t="str">
        <f t="array" ref="AJ134">IFERROR(CONCATENATE(TEXT(INDEX($AI$7:$AI$86,SMALL(IF($AL$7:$AL$86&lt;&gt;"",IF($AI$7:$AI$86&lt;&gt;"",ROW($AI$7:$AI$86)-MIN(ROW($AI$7:$AI$86))+1,""),""),ROW()-ROW(A$88)+1)),"##0")," "),"")</f>
        <v/>
      </c>
      <c r="AK134" t="str">
        <f t="array" ref="AK134">IFERROR(CONCATENATE((INDEX($A$7:$A$86,SMALL(IF($AL$7:$AL$86&lt;&gt;"",IF($AI$7:$AI$86&lt;&gt;"",ROW($AI$7:$AI$86)-MIN(ROW($AI$7:$AI$86))+1,""),""),ROW()-ROW(A$88)+1))),),"")</f>
        <v/>
      </c>
    </row>
    <row r="135" spans="11:37">
      <c r="K135" t="str">
        <f t="array" ref="K135">IFERROR(CONCATENATE(TEXT(INDEX($K$7:$K$86,SMALL(IF($N$7:$N$86&lt;&gt;"",IF($K$7:$K$86&lt;&gt;"",ROW($K$7:$K$86)-MIN(ROW($K$7:$K$86))+1,""),""),ROW()-ROW(A$88)+1)),"##0"),","),"")</f>
        <v/>
      </c>
      <c r="L135" t="str">
        <f t="array" ref="L135">IFERROR(CONCATENATE((INDEX($N$7:$N$86,SMALL(IF($N$7:$N$86&lt;&gt;"",IF($K$7:$K$86&lt;&gt;"",ROW($K$7:$K$86)-MIN(ROW($K$7:$K$86))+1,""),""),ROW()-ROW(A$88)+1))),","),"")</f>
        <v/>
      </c>
      <c r="M135" t="str">
        <f t="array" ref="M135">IFERROR(CONCATENATE((INDEX($A$7:$A$86,SMALL(IF($N$7:$N$86&lt;&gt;"",IF($K$7:$K$86&lt;&gt;"",ROW($K$7:$K$86)-MIN(ROW($K$7:$K$86))+1,""),""),ROW()-ROW(A$88)+1))),),"")</f>
        <v/>
      </c>
      <c r="Q135" t="str">
        <f t="array" ref="Q135">IFERROR(CONCATENATE((INDEX($T$7:$T$86,SMALL(IF($T$7:$T$86&lt;&gt;"",IF($Q$7:$Q$86&lt;&gt;"",ROW($Q$7:$Q$86)-MIN(ROW($Q$7:$Q$86))+1,""),""),ROW()-ROW(A$88)+1)))," "),"")</f>
        <v/>
      </c>
      <c r="R135" t="str">
        <f t="array" ref="R135">IFERROR(CONCATENATE(TEXT(INDEX($Q$7:$Q$86,SMALL(IF($T$7:$T$86&lt;&gt;"",IF($Q$7:$Q$86&lt;&gt;"",ROW($Q$7:$Q$86)-MIN(ROW($Q$7:$Q$86))+1,""),""),ROW()-ROW(A$88)+1)),"##0")," "),"")</f>
        <v/>
      </c>
      <c r="S135" t="str">
        <f t="array" ref="S135">IFERROR(CONCATENATE((INDEX($A$7:$A$86,SMALL(IF($T$7:$T$86&lt;&gt;"",IF($Q$7:$Q$86&lt;&gt;"",ROW($Q$7:$Q$86)-MIN(ROW($Q$7:$Q$86))+1,""),""),ROW()-ROW(A$88)+1))),),"")</f>
        <v/>
      </c>
      <c r="W135" t="str">
        <f t="array" ref="W135">IFERROR(CONCATENATE((INDEX($Z$7:$Z$86,SMALL(IF($Z$7:$Z$86&lt;&gt;"",IF($W$7:$W$86&lt;&gt;"",ROW($W$7:$W$86)-MIN(ROW($W$7:$W$86))+1,""),""),ROW()-ROW(A$88)+1)))," "),"")</f>
        <v/>
      </c>
      <c r="X135" t="str">
        <f t="array" ref="X135">IFERROR(CONCATENATE(TEXT(INDEX($W$7:$W$86,SMALL(IF($Z$7:$Z$86&lt;&gt;"",IF($W$7:$W$86&lt;&gt;"",ROW($W$7:$W$86)-MIN(ROW($W$7:$W$86))+1,""),""),ROW()-ROW(A$88)+1)),"##0")," "),"")</f>
        <v/>
      </c>
      <c r="Y135" t="str">
        <f t="array" ref="Y135">IFERROR(CONCATENATE((INDEX($A$7:$A$86,SMALL(IF($Z$7:$Z$86&lt;&gt;"",IF($W$7:$W$86&lt;&gt;"",ROW($W$7:$W$86)-MIN(ROW($W$7:$W$86))+1,""),""),ROW()-ROW(A$88)+1))),),"")</f>
        <v/>
      </c>
      <c r="AC135" t="str">
        <f t="array" ref="AC135">IFERROR(CONCATENATE((INDEX($AF$7:$AF$86,SMALL(IF($AF$7:$AF$86&lt;&gt;"",IF($AC$7:$AC$86&lt;&gt;"",ROW($AC$7:$AC$86)-MIN(ROW($AC$7:$AC$86))+1,""),""),ROW()-ROW(A$88)+1))),","),"")</f>
        <v/>
      </c>
      <c r="AD135" t="str">
        <f t="array" ref="AD135">IFERROR(CONCATENATE(TEXT(INDEX($AC$7:$AC$86,SMALL(IF($AF$7:$AF$86&lt;&gt;"",IF($AC$7:$AC$86&lt;&gt;"",ROW($AC$7:$AC$86)-MIN(ROW($AC$7:$AC$86))+1,""),""),ROW()-ROW(A$88)+1)),"##0"),","),"")</f>
        <v/>
      </c>
      <c r="AE135" t="str">
        <f t="array" ref="AE135">IFERROR(CONCATENATE((INDEX($A$7:$A$86,SMALL(IF($AF$7:$AF$86&lt;&gt;"",IF($AC$7:$AC$86&lt;&gt;"",ROW($AC$7:$AC$86)-MIN(ROW($AC$7:$AC$86))+1,""),""),ROW()-ROW(A$88)+1))),),"")</f>
        <v/>
      </c>
      <c r="AI135" t="str">
        <f t="array" ref="AI135">IFERROR(CONCATENATE((INDEX($AL$7:$AL$86,SMALL(IF($AL$7:$AL$86&lt;&gt;"",IF($AI$7:$AI$86&lt;&gt;"",ROW($AI$7:$AI$86)-MIN(ROW($AI$7:$AI$86))+1,""),""),ROW()-ROW(A$88)+1)))," "),"")</f>
        <v/>
      </c>
      <c r="AJ135" t="str">
        <f t="array" ref="AJ135">IFERROR(CONCATENATE(TEXT(INDEX($AI$7:$AI$86,SMALL(IF($AL$7:$AL$86&lt;&gt;"",IF($AI$7:$AI$86&lt;&gt;"",ROW($AI$7:$AI$86)-MIN(ROW($AI$7:$AI$86))+1,""),""),ROW()-ROW(A$88)+1)),"##0")," "),"")</f>
        <v/>
      </c>
      <c r="AK135" t="str">
        <f t="array" ref="AK135">IFERROR(CONCATENATE((INDEX($A$7:$A$86,SMALL(IF($AL$7:$AL$86&lt;&gt;"",IF($AI$7:$AI$86&lt;&gt;"",ROW($AI$7:$AI$86)-MIN(ROW($AI$7:$AI$86))+1,""),""),ROW()-ROW(A$88)+1))),),"")</f>
        <v/>
      </c>
    </row>
    <row r="136" spans="11:37">
      <c r="K136" t="str">
        <f t="array" ref="K136">IFERROR(CONCATENATE(TEXT(INDEX($K$7:$K$86,SMALL(IF($N$7:$N$86&lt;&gt;"",IF($K$7:$K$86&lt;&gt;"",ROW($K$7:$K$86)-MIN(ROW($K$7:$K$86))+1,""),""),ROW()-ROW(A$88)+1)),"##0"),","),"")</f>
        <v/>
      </c>
      <c r="L136" t="str">
        <f t="array" ref="L136">IFERROR(CONCATENATE((INDEX($N$7:$N$86,SMALL(IF($N$7:$N$86&lt;&gt;"",IF($K$7:$K$86&lt;&gt;"",ROW($K$7:$K$86)-MIN(ROW($K$7:$K$86))+1,""),""),ROW()-ROW(A$88)+1))),","),"")</f>
        <v/>
      </c>
      <c r="M136" t="str">
        <f t="array" ref="M136">IFERROR(CONCATENATE((INDEX($A$7:$A$86,SMALL(IF($N$7:$N$86&lt;&gt;"",IF($K$7:$K$86&lt;&gt;"",ROW($K$7:$K$86)-MIN(ROW($K$7:$K$86))+1,""),""),ROW()-ROW(A$88)+1))),),"")</f>
        <v/>
      </c>
      <c r="Q136" t="str">
        <f t="array" ref="Q136">IFERROR(CONCATENATE((INDEX($T$7:$T$86,SMALL(IF($T$7:$T$86&lt;&gt;"",IF($Q$7:$Q$86&lt;&gt;"",ROW($Q$7:$Q$86)-MIN(ROW($Q$7:$Q$86))+1,""),""),ROW()-ROW(A$88)+1)))," "),"")</f>
        <v/>
      </c>
      <c r="R136" t="str">
        <f t="array" ref="R136">IFERROR(CONCATENATE(TEXT(INDEX($Q$7:$Q$86,SMALL(IF($T$7:$T$86&lt;&gt;"",IF($Q$7:$Q$86&lt;&gt;"",ROW($Q$7:$Q$86)-MIN(ROW($Q$7:$Q$86))+1,""),""),ROW()-ROW(A$88)+1)),"##0")," "),"")</f>
        <v/>
      </c>
      <c r="S136" t="str">
        <f t="array" ref="S136">IFERROR(CONCATENATE((INDEX($A$7:$A$86,SMALL(IF($T$7:$T$86&lt;&gt;"",IF($Q$7:$Q$86&lt;&gt;"",ROW($Q$7:$Q$86)-MIN(ROW($Q$7:$Q$86))+1,""),""),ROW()-ROW(A$88)+1))),),"")</f>
        <v/>
      </c>
      <c r="W136" t="str">
        <f t="array" ref="W136">IFERROR(CONCATENATE((INDEX($Z$7:$Z$86,SMALL(IF($Z$7:$Z$86&lt;&gt;"",IF($W$7:$W$86&lt;&gt;"",ROW($W$7:$W$86)-MIN(ROW($W$7:$W$86))+1,""),""),ROW()-ROW(A$88)+1)))," "),"")</f>
        <v/>
      </c>
      <c r="X136" t="str">
        <f t="array" ref="X136">IFERROR(CONCATENATE(TEXT(INDEX($W$7:$W$86,SMALL(IF($Z$7:$Z$86&lt;&gt;"",IF($W$7:$W$86&lt;&gt;"",ROW($W$7:$W$86)-MIN(ROW($W$7:$W$86))+1,""),""),ROW()-ROW(A$88)+1)),"##0")," "),"")</f>
        <v/>
      </c>
      <c r="Y136" t="str">
        <f t="array" ref="Y136">IFERROR(CONCATENATE((INDEX($A$7:$A$86,SMALL(IF($Z$7:$Z$86&lt;&gt;"",IF($W$7:$W$86&lt;&gt;"",ROW($W$7:$W$86)-MIN(ROW($W$7:$W$86))+1,""),""),ROW()-ROW(A$88)+1))),),"")</f>
        <v/>
      </c>
      <c r="AC136" t="str">
        <f t="array" ref="AC136">IFERROR(CONCATENATE((INDEX($AF$7:$AF$86,SMALL(IF($AF$7:$AF$86&lt;&gt;"",IF($AC$7:$AC$86&lt;&gt;"",ROW($AC$7:$AC$86)-MIN(ROW($AC$7:$AC$86))+1,""),""),ROW()-ROW(A$88)+1))),","),"")</f>
        <v/>
      </c>
      <c r="AD136" t="str">
        <f t="array" ref="AD136">IFERROR(CONCATENATE(TEXT(INDEX($AC$7:$AC$86,SMALL(IF($AF$7:$AF$86&lt;&gt;"",IF($AC$7:$AC$86&lt;&gt;"",ROW($AC$7:$AC$86)-MIN(ROW($AC$7:$AC$86))+1,""),""),ROW()-ROW(A$88)+1)),"##0"),","),"")</f>
        <v/>
      </c>
      <c r="AE136" t="str">
        <f t="array" ref="AE136">IFERROR(CONCATENATE((INDEX($A$7:$A$86,SMALL(IF($AF$7:$AF$86&lt;&gt;"",IF($AC$7:$AC$86&lt;&gt;"",ROW($AC$7:$AC$86)-MIN(ROW($AC$7:$AC$86))+1,""),""),ROW()-ROW(A$88)+1))),),"")</f>
        <v/>
      </c>
      <c r="AI136" t="str">
        <f t="array" ref="AI136">IFERROR(CONCATENATE((INDEX($AL$7:$AL$86,SMALL(IF($AL$7:$AL$86&lt;&gt;"",IF($AI$7:$AI$86&lt;&gt;"",ROW($AI$7:$AI$86)-MIN(ROW($AI$7:$AI$86))+1,""),""),ROW()-ROW(A$88)+1)))," "),"")</f>
        <v/>
      </c>
      <c r="AJ136" t="str">
        <f t="array" ref="AJ136">IFERROR(CONCATENATE(TEXT(INDEX($AI$7:$AI$86,SMALL(IF($AL$7:$AL$86&lt;&gt;"",IF($AI$7:$AI$86&lt;&gt;"",ROW($AI$7:$AI$86)-MIN(ROW($AI$7:$AI$86))+1,""),""),ROW()-ROW(A$88)+1)),"##0")," "),"")</f>
        <v/>
      </c>
      <c r="AK136" t="str">
        <f t="array" ref="AK136">IFERROR(CONCATENATE((INDEX($A$7:$A$86,SMALL(IF($AL$7:$AL$86&lt;&gt;"",IF($AI$7:$AI$86&lt;&gt;"",ROW($AI$7:$AI$86)-MIN(ROW($AI$7:$AI$86))+1,""),""),ROW()-ROW(A$88)+1))),),"")</f>
        <v/>
      </c>
    </row>
    <row r="137" spans="11:37">
      <c r="K137" t="str">
        <f t="array" ref="K137">IFERROR(CONCATENATE(TEXT(INDEX($K$7:$K$86,SMALL(IF($N$7:$N$86&lt;&gt;"",IF($K$7:$K$86&lt;&gt;"",ROW($K$7:$K$86)-MIN(ROW($K$7:$K$86))+1,""),""),ROW()-ROW(A$88)+1)),"##0"),","),"")</f>
        <v/>
      </c>
      <c r="L137" t="str">
        <f t="array" ref="L137">IFERROR(CONCATENATE((INDEX($N$7:$N$86,SMALL(IF($N$7:$N$86&lt;&gt;"",IF($K$7:$K$86&lt;&gt;"",ROW($K$7:$K$86)-MIN(ROW($K$7:$K$86))+1,""),""),ROW()-ROW(A$88)+1))),","),"")</f>
        <v/>
      </c>
      <c r="M137" t="str">
        <f t="array" ref="M137">IFERROR(CONCATENATE((INDEX($A$7:$A$86,SMALL(IF($N$7:$N$86&lt;&gt;"",IF($K$7:$K$86&lt;&gt;"",ROW($K$7:$K$86)-MIN(ROW($K$7:$K$86))+1,""),""),ROW()-ROW(A$88)+1))),),"")</f>
        <v/>
      </c>
      <c r="Q137" t="str">
        <f t="array" ref="Q137">IFERROR(CONCATENATE((INDEX($T$7:$T$86,SMALL(IF($T$7:$T$86&lt;&gt;"",IF($Q$7:$Q$86&lt;&gt;"",ROW($Q$7:$Q$86)-MIN(ROW($Q$7:$Q$86))+1,""),""),ROW()-ROW(A$88)+1)))," "),"")</f>
        <v/>
      </c>
      <c r="R137" t="str">
        <f t="array" ref="R137">IFERROR(CONCATENATE(TEXT(INDEX($Q$7:$Q$86,SMALL(IF($T$7:$T$86&lt;&gt;"",IF($Q$7:$Q$86&lt;&gt;"",ROW($Q$7:$Q$86)-MIN(ROW($Q$7:$Q$86))+1,""),""),ROW()-ROW(A$88)+1)),"##0")," "),"")</f>
        <v/>
      </c>
      <c r="S137" t="str">
        <f t="array" ref="S137">IFERROR(CONCATENATE((INDEX($A$7:$A$86,SMALL(IF($T$7:$T$86&lt;&gt;"",IF($Q$7:$Q$86&lt;&gt;"",ROW($Q$7:$Q$86)-MIN(ROW($Q$7:$Q$86))+1,""),""),ROW()-ROW(A$88)+1))),),"")</f>
        <v/>
      </c>
      <c r="W137" t="str">
        <f t="array" ref="W137">IFERROR(CONCATENATE((INDEX($Z$7:$Z$86,SMALL(IF($Z$7:$Z$86&lt;&gt;"",IF($W$7:$W$86&lt;&gt;"",ROW($W$7:$W$86)-MIN(ROW($W$7:$W$86))+1,""),""),ROW()-ROW(A$88)+1)))," "),"")</f>
        <v/>
      </c>
      <c r="X137" t="str">
        <f t="array" ref="X137">IFERROR(CONCATENATE(TEXT(INDEX($W$7:$W$86,SMALL(IF($Z$7:$Z$86&lt;&gt;"",IF($W$7:$W$86&lt;&gt;"",ROW($W$7:$W$86)-MIN(ROW($W$7:$W$86))+1,""),""),ROW()-ROW(A$88)+1)),"##0")," "),"")</f>
        <v/>
      </c>
      <c r="Y137" t="str">
        <f t="array" ref="Y137">IFERROR(CONCATENATE((INDEX($A$7:$A$86,SMALL(IF($Z$7:$Z$86&lt;&gt;"",IF($W$7:$W$86&lt;&gt;"",ROW($W$7:$W$86)-MIN(ROW($W$7:$W$86))+1,""),""),ROW()-ROW(A$88)+1))),),"")</f>
        <v/>
      </c>
      <c r="AC137" t="str">
        <f t="array" ref="AC137">IFERROR(CONCATENATE((INDEX($AF$7:$AF$86,SMALL(IF($AF$7:$AF$86&lt;&gt;"",IF($AC$7:$AC$86&lt;&gt;"",ROW($AC$7:$AC$86)-MIN(ROW($AC$7:$AC$86))+1,""),""),ROW()-ROW(A$88)+1))),","),"")</f>
        <v/>
      </c>
      <c r="AD137" t="str">
        <f t="array" ref="AD137">IFERROR(CONCATENATE(TEXT(INDEX($AC$7:$AC$86,SMALL(IF($AF$7:$AF$86&lt;&gt;"",IF($AC$7:$AC$86&lt;&gt;"",ROW($AC$7:$AC$86)-MIN(ROW($AC$7:$AC$86))+1,""),""),ROW()-ROW(A$88)+1)),"##0"),","),"")</f>
        <v/>
      </c>
      <c r="AE137" t="str">
        <f t="array" ref="AE137">IFERROR(CONCATENATE((INDEX($A$7:$A$86,SMALL(IF($AF$7:$AF$86&lt;&gt;"",IF($AC$7:$AC$86&lt;&gt;"",ROW($AC$7:$AC$86)-MIN(ROW($AC$7:$AC$86))+1,""),""),ROW()-ROW(A$88)+1))),),"")</f>
        <v/>
      </c>
      <c r="AI137" t="str">
        <f t="array" ref="AI137">IFERROR(CONCATENATE((INDEX($AL$7:$AL$86,SMALL(IF($AL$7:$AL$86&lt;&gt;"",IF($AI$7:$AI$86&lt;&gt;"",ROW($AI$7:$AI$86)-MIN(ROW($AI$7:$AI$86))+1,""),""),ROW()-ROW(A$88)+1)))," "),"")</f>
        <v/>
      </c>
      <c r="AJ137" t="str">
        <f t="array" ref="AJ137">IFERROR(CONCATENATE(TEXT(INDEX($AI$7:$AI$86,SMALL(IF($AL$7:$AL$86&lt;&gt;"",IF($AI$7:$AI$86&lt;&gt;"",ROW($AI$7:$AI$86)-MIN(ROW($AI$7:$AI$86))+1,""),""),ROW()-ROW(A$88)+1)),"##0")," "),"")</f>
        <v/>
      </c>
      <c r="AK137" t="str">
        <f t="array" ref="AK137">IFERROR(CONCATENATE((INDEX($A$7:$A$86,SMALL(IF($AL$7:$AL$86&lt;&gt;"",IF($AI$7:$AI$86&lt;&gt;"",ROW($AI$7:$AI$86)-MIN(ROW($AI$7:$AI$86))+1,""),""),ROW()-ROW(A$88)+1))),),"")</f>
        <v/>
      </c>
    </row>
    <row r="138" spans="11:37">
      <c r="K138" t="str">
        <f t="array" ref="K138">IFERROR(CONCATENATE(TEXT(INDEX($K$7:$K$86,SMALL(IF($N$7:$N$86&lt;&gt;"",IF($K$7:$K$86&lt;&gt;"",ROW($K$7:$K$86)-MIN(ROW($K$7:$K$86))+1,""),""),ROW()-ROW(A$88)+1)),"##0"),","),"")</f>
        <v/>
      </c>
      <c r="L138" t="str">
        <f t="array" ref="L138">IFERROR(CONCATENATE((INDEX($N$7:$N$86,SMALL(IF($N$7:$N$86&lt;&gt;"",IF($K$7:$K$86&lt;&gt;"",ROW($K$7:$K$86)-MIN(ROW($K$7:$K$86))+1,""),""),ROW()-ROW(A$88)+1))),","),"")</f>
        <v/>
      </c>
      <c r="M138" t="str">
        <f t="array" ref="M138">IFERROR(CONCATENATE((INDEX($A$7:$A$86,SMALL(IF($N$7:$N$86&lt;&gt;"",IF($K$7:$K$86&lt;&gt;"",ROW($K$7:$K$86)-MIN(ROW($K$7:$K$86))+1,""),""),ROW()-ROW(A$88)+1))),),"")</f>
        <v/>
      </c>
      <c r="Q138" t="str">
        <f t="array" ref="Q138">IFERROR(CONCATENATE((INDEX($T$7:$T$86,SMALL(IF($T$7:$T$86&lt;&gt;"",IF($Q$7:$Q$86&lt;&gt;"",ROW($Q$7:$Q$86)-MIN(ROW($Q$7:$Q$86))+1,""),""),ROW()-ROW(A$88)+1)))," "),"")</f>
        <v/>
      </c>
      <c r="R138" t="str">
        <f t="array" ref="R138">IFERROR(CONCATENATE(TEXT(INDEX($Q$7:$Q$86,SMALL(IF($T$7:$T$86&lt;&gt;"",IF($Q$7:$Q$86&lt;&gt;"",ROW($Q$7:$Q$86)-MIN(ROW($Q$7:$Q$86))+1,""),""),ROW()-ROW(A$88)+1)),"##0")," "),"")</f>
        <v/>
      </c>
      <c r="S138" t="str">
        <f t="array" ref="S138">IFERROR(CONCATENATE((INDEX($A$7:$A$86,SMALL(IF($T$7:$T$86&lt;&gt;"",IF($Q$7:$Q$86&lt;&gt;"",ROW($Q$7:$Q$86)-MIN(ROW($Q$7:$Q$86))+1,""),""),ROW()-ROW(A$88)+1))),),"")</f>
        <v/>
      </c>
      <c r="W138" t="str">
        <f t="array" ref="W138">IFERROR(CONCATENATE((INDEX($Z$7:$Z$86,SMALL(IF($Z$7:$Z$86&lt;&gt;"",IF($W$7:$W$86&lt;&gt;"",ROW($W$7:$W$86)-MIN(ROW($W$7:$W$86))+1,""),""),ROW()-ROW(A$88)+1)))," "),"")</f>
        <v/>
      </c>
      <c r="X138" t="str">
        <f t="array" ref="X138">IFERROR(CONCATENATE(TEXT(INDEX($W$7:$W$86,SMALL(IF($Z$7:$Z$86&lt;&gt;"",IF($W$7:$W$86&lt;&gt;"",ROW($W$7:$W$86)-MIN(ROW($W$7:$W$86))+1,""),""),ROW()-ROW(A$88)+1)),"##0")," "),"")</f>
        <v/>
      </c>
      <c r="Y138" t="str">
        <f t="array" ref="Y138">IFERROR(CONCATENATE((INDEX($A$7:$A$86,SMALL(IF($Z$7:$Z$86&lt;&gt;"",IF($W$7:$W$86&lt;&gt;"",ROW($W$7:$W$86)-MIN(ROW($W$7:$W$86))+1,""),""),ROW()-ROW(A$88)+1))),),"")</f>
        <v/>
      </c>
      <c r="AC138" t="str">
        <f t="array" ref="AC138">IFERROR(CONCATENATE((INDEX($AF$7:$AF$86,SMALL(IF($AF$7:$AF$86&lt;&gt;"",IF($AC$7:$AC$86&lt;&gt;"",ROW($AC$7:$AC$86)-MIN(ROW($AC$7:$AC$86))+1,""),""),ROW()-ROW(A$88)+1))),","),"")</f>
        <v/>
      </c>
      <c r="AD138" t="str">
        <f t="array" ref="AD138">IFERROR(CONCATENATE(TEXT(INDEX($AC$7:$AC$86,SMALL(IF($AF$7:$AF$86&lt;&gt;"",IF($AC$7:$AC$86&lt;&gt;"",ROW($AC$7:$AC$86)-MIN(ROW($AC$7:$AC$86))+1,""),""),ROW()-ROW(A$88)+1)),"##0"),","),"")</f>
        <v/>
      </c>
      <c r="AE138" t="str">
        <f t="array" ref="AE138">IFERROR(CONCATENATE((INDEX($A$7:$A$86,SMALL(IF($AF$7:$AF$86&lt;&gt;"",IF($AC$7:$AC$86&lt;&gt;"",ROW($AC$7:$AC$86)-MIN(ROW($AC$7:$AC$86))+1,""),""),ROW()-ROW(A$88)+1))),),"")</f>
        <v/>
      </c>
      <c r="AI138" t="str">
        <f t="array" ref="AI138">IFERROR(CONCATENATE((INDEX($AL$7:$AL$86,SMALL(IF($AL$7:$AL$86&lt;&gt;"",IF($AI$7:$AI$86&lt;&gt;"",ROW($AI$7:$AI$86)-MIN(ROW($AI$7:$AI$86))+1,""),""),ROW()-ROW(A$88)+1)))," "),"")</f>
        <v/>
      </c>
      <c r="AJ138" t="str">
        <f t="array" ref="AJ138">IFERROR(CONCATENATE(TEXT(INDEX($AI$7:$AI$86,SMALL(IF($AL$7:$AL$86&lt;&gt;"",IF($AI$7:$AI$86&lt;&gt;"",ROW($AI$7:$AI$86)-MIN(ROW($AI$7:$AI$86))+1,""),""),ROW()-ROW(A$88)+1)),"##0")," "),"")</f>
        <v/>
      </c>
      <c r="AK138" t="str">
        <f t="array" ref="AK138">IFERROR(CONCATENATE((INDEX($A$7:$A$86,SMALL(IF($AL$7:$AL$86&lt;&gt;"",IF($AI$7:$AI$86&lt;&gt;"",ROW($AI$7:$AI$86)-MIN(ROW($AI$7:$AI$86))+1,""),""),ROW()-ROW(A$88)+1))),),"")</f>
        <v/>
      </c>
    </row>
    <row r="139" spans="11:37">
      <c r="K139" t="str">
        <f t="array" ref="K139">IFERROR(CONCATENATE(TEXT(INDEX($K$7:$K$86,SMALL(IF($N$7:$N$86&lt;&gt;"",IF($K$7:$K$86&lt;&gt;"",ROW($K$7:$K$86)-MIN(ROW($K$7:$K$86))+1,""),""),ROW()-ROW(A$88)+1)),"##0"),","),"")</f>
        <v/>
      </c>
      <c r="L139" t="str">
        <f t="array" ref="L139">IFERROR(CONCATENATE((INDEX($N$7:$N$86,SMALL(IF($N$7:$N$86&lt;&gt;"",IF($K$7:$K$86&lt;&gt;"",ROW($K$7:$K$86)-MIN(ROW($K$7:$K$86))+1,""),""),ROW()-ROW(A$88)+1))),","),"")</f>
        <v/>
      </c>
      <c r="M139" t="str">
        <f t="array" ref="M139">IFERROR(CONCATENATE((INDEX($A$7:$A$86,SMALL(IF($N$7:$N$86&lt;&gt;"",IF($K$7:$K$86&lt;&gt;"",ROW($K$7:$K$86)-MIN(ROW($K$7:$K$86))+1,""),""),ROW()-ROW(A$88)+1))),),"")</f>
        <v/>
      </c>
      <c r="Q139" t="str">
        <f t="array" ref="Q139">IFERROR(CONCATENATE((INDEX($T$7:$T$86,SMALL(IF($T$7:$T$86&lt;&gt;"",IF($Q$7:$Q$86&lt;&gt;"",ROW($Q$7:$Q$86)-MIN(ROW($Q$7:$Q$86))+1,""),""),ROW()-ROW(A$88)+1)))," "),"")</f>
        <v/>
      </c>
      <c r="R139" t="str">
        <f t="array" ref="R139">IFERROR(CONCATENATE(TEXT(INDEX($Q$7:$Q$86,SMALL(IF($T$7:$T$86&lt;&gt;"",IF($Q$7:$Q$86&lt;&gt;"",ROW($Q$7:$Q$86)-MIN(ROW($Q$7:$Q$86))+1,""),""),ROW()-ROW(A$88)+1)),"##0")," "),"")</f>
        <v/>
      </c>
      <c r="S139" t="str">
        <f t="array" ref="S139">IFERROR(CONCATENATE((INDEX($A$7:$A$86,SMALL(IF($T$7:$T$86&lt;&gt;"",IF($Q$7:$Q$86&lt;&gt;"",ROW($Q$7:$Q$86)-MIN(ROW($Q$7:$Q$86))+1,""),""),ROW()-ROW(A$88)+1))),),"")</f>
        <v/>
      </c>
      <c r="W139" t="str">
        <f t="array" ref="W139">IFERROR(CONCATENATE((INDEX($Z$7:$Z$86,SMALL(IF($Z$7:$Z$86&lt;&gt;"",IF($W$7:$W$86&lt;&gt;"",ROW($W$7:$W$86)-MIN(ROW($W$7:$W$86))+1,""),""),ROW()-ROW(A$88)+1)))," "),"")</f>
        <v/>
      </c>
      <c r="X139" t="str">
        <f t="array" ref="X139">IFERROR(CONCATENATE(TEXT(INDEX($W$7:$W$86,SMALL(IF($Z$7:$Z$86&lt;&gt;"",IF($W$7:$W$86&lt;&gt;"",ROW($W$7:$W$86)-MIN(ROW($W$7:$W$86))+1,""),""),ROW()-ROW(A$88)+1)),"##0")," "),"")</f>
        <v/>
      </c>
      <c r="Y139" t="str">
        <f t="array" ref="Y139">IFERROR(CONCATENATE((INDEX($A$7:$A$86,SMALL(IF($Z$7:$Z$86&lt;&gt;"",IF($W$7:$W$86&lt;&gt;"",ROW($W$7:$W$86)-MIN(ROW($W$7:$W$86))+1,""),""),ROW()-ROW(A$88)+1))),),"")</f>
        <v/>
      </c>
      <c r="AC139" t="str">
        <f t="array" ref="AC139">IFERROR(CONCATENATE((INDEX($AF$7:$AF$86,SMALL(IF($AF$7:$AF$86&lt;&gt;"",IF($AC$7:$AC$86&lt;&gt;"",ROW($AC$7:$AC$86)-MIN(ROW($AC$7:$AC$86))+1,""),""),ROW()-ROW(A$88)+1))),","),"")</f>
        <v/>
      </c>
      <c r="AD139" t="str">
        <f t="array" ref="AD139">IFERROR(CONCATENATE(TEXT(INDEX($AC$7:$AC$86,SMALL(IF($AF$7:$AF$86&lt;&gt;"",IF($AC$7:$AC$86&lt;&gt;"",ROW($AC$7:$AC$86)-MIN(ROW($AC$7:$AC$86))+1,""),""),ROW()-ROW(A$88)+1)),"##0"),","),"")</f>
        <v/>
      </c>
      <c r="AE139" t="str">
        <f t="array" ref="AE139">IFERROR(CONCATENATE((INDEX($A$7:$A$86,SMALL(IF($AF$7:$AF$86&lt;&gt;"",IF($AC$7:$AC$86&lt;&gt;"",ROW($AC$7:$AC$86)-MIN(ROW($AC$7:$AC$86))+1,""),""),ROW()-ROW(A$88)+1))),),"")</f>
        <v/>
      </c>
      <c r="AI139" t="str">
        <f t="array" ref="AI139">IFERROR(CONCATENATE((INDEX($AL$7:$AL$86,SMALL(IF($AL$7:$AL$86&lt;&gt;"",IF($AI$7:$AI$86&lt;&gt;"",ROW($AI$7:$AI$86)-MIN(ROW($AI$7:$AI$86))+1,""),""),ROW()-ROW(A$88)+1)))," "),"")</f>
        <v/>
      </c>
      <c r="AJ139" t="str">
        <f t="array" ref="AJ139">IFERROR(CONCATENATE(TEXT(INDEX($AI$7:$AI$86,SMALL(IF($AL$7:$AL$86&lt;&gt;"",IF($AI$7:$AI$86&lt;&gt;"",ROW($AI$7:$AI$86)-MIN(ROW($AI$7:$AI$86))+1,""),""),ROW()-ROW(A$88)+1)),"##0")," "),"")</f>
        <v/>
      </c>
      <c r="AK139" t="str">
        <f t="array" ref="AK139">IFERROR(CONCATENATE((INDEX($A$7:$A$86,SMALL(IF($AL$7:$AL$86&lt;&gt;"",IF($AI$7:$AI$86&lt;&gt;"",ROW($AI$7:$AI$86)-MIN(ROW($AI$7:$AI$86))+1,""),""),ROW()-ROW(A$88)+1))),),"")</f>
        <v/>
      </c>
    </row>
    <row r="140" spans="11:37">
      <c r="K140" t="str">
        <f t="array" ref="K140">IFERROR(CONCATENATE(TEXT(INDEX($K$7:$K$86,SMALL(IF($N$7:$N$86&lt;&gt;"",IF($K$7:$K$86&lt;&gt;"",ROW($K$7:$K$86)-MIN(ROW($K$7:$K$86))+1,""),""),ROW()-ROW(A$88)+1)),"##0"),","),"")</f>
        <v/>
      </c>
      <c r="L140" t="str">
        <f t="array" ref="L140">IFERROR(CONCATENATE((INDEX($N$7:$N$86,SMALL(IF($N$7:$N$86&lt;&gt;"",IF($K$7:$K$86&lt;&gt;"",ROW($K$7:$K$86)-MIN(ROW($K$7:$K$86))+1,""),""),ROW()-ROW(A$88)+1))),","),"")</f>
        <v/>
      </c>
      <c r="M140" t="str">
        <f t="array" ref="M140">IFERROR(CONCATENATE((INDEX($A$7:$A$86,SMALL(IF($N$7:$N$86&lt;&gt;"",IF($K$7:$K$86&lt;&gt;"",ROW($K$7:$K$86)-MIN(ROW($K$7:$K$86))+1,""),""),ROW()-ROW(A$88)+1))),),"")</f>
        <v/>
      </c>
      <c r="Q140" t="str">
        <f t="array" ref="Q140">IFERROR(CONCATENATE((INDEX($T$7:$T$86,SMALL(IF($T$7:$T$86&lt;&gt;"",IF($Q$7:$Q$86&lt;&gt;"",ROW($Q$7:$Q$86)-MIN(ROW($Q$7:$Q$86))+1,""),""),ROW()-ROW(A$88)+1)))," "),"")</f>
        <v/>
      </c>
      <c r="R140" t="str">
        <f t="array" ref="R140">IFERROR(CONCATENATE(TEXT(INDEX($Q$7:$Q$86,SMALL(IF($T$7:$T$86&lt;&gt;"",IF($Q$7:$Q$86&lt;&gt;"",ROW($Q$7:$Q$86)-MIN(ROW($Q$7:$Q$86))+1,""),""),ROW()-ROW(A$88)+1)),"##0")," "),"")</f>
        <v/>
      </c>
      <c r="S140" t="str">
        <f t="array" ref="S140">IFERROR(CONCATENATE((INDEX($A$7:$A$86,SMALL(IF($T$7:$T$86&lt;&gt;"",IF($Q$7:$Q$86&lt;&gt;"",ROW($Q$7:$Q$86)-MIN(ROW($Q$7:$Q$86))+1,""),""),ROW()-ROW(A$88)+1))),),"")</f>
        <v/>
      </c>
      <c r="W140" t="str">
        <f t="array" ref="W140">IFERROR(CONCATENATE((INDEX($Z$7:$Z$86,SMALL(IF($Z$7:$Z$86&lt;&gt;"",IF($W$7:$W$86&lt;&gt;"",ROW($W$7:$W$86)-MIN(ROW($W$7:$W$86))+1,""),""),ROW()-ROW(A$88)+1)))," "),"")</f>
        <v/>
      </c>
      <c r="X140" t="str">
        <f t="array" ref="X140">IFERROR(CONCATENATE(TEXT(INDEX($W$7:$W$86,SMALL(IF($Z$7:$Z$86&lt;&gt;"",IF($W$7:$W$86&lt;&gt;"",ROW($W$7:$W$86)-MIN(ROW($W$7:$W$86))+1,""),""),ROW()-ROW(A$88)+1)),"##0")," "),"")</f>
        <v/>
      </c>
      <c r="Y140" t="str">
        <f t="array" ref="Y140">IFERROR(CONCATENATE((INDEX($A$7:$A$86,SMALL(IF($Z$7:$Z$86&lt;&gt;"",IF($W$7:$W$86&lt;&gt;"",ROW($W$7:$W$86)-MIN(ROW($W$7:$W$86))+1,""),""),ROW()-ROW(A$88)+1))),),"")</f>
        <v/>
      </c>
      <c r="AC140" t="str">
        <f t="array" ref="AC140">IFERROR(CONCATENATE((INDEX($AF$7:$AF$86,SMALL(IF($AF$7:$AF$86&lt;&gt;"",IF($AC$7:$AC$86&lt;&gt;"",ROW($AC$7:$AC$86)-MIN(ROW($AC$7:$AC$86))+1,""),""),ROW()-ROW(A$88)+1))),","),"")</f>
        <v/>
      </c>
      <c r="AD140" t="str">
        <f t="array" ref="AD140">IFERROR(CONCATENATE(TEXT(INDEX($AC$7:$AC$86,SMALL(IF($AF$7:$AF$86&lt;&gt;"",IF($AC$7:$AC$86&lt;&gt;"",ROW($AC$7:$AC$86)-MIN(ROW($AC$7:$AC$86))+1,""),""),ROW()-ROW(A$88)+1)),"##0"),","),"")</f>
        <v/>
      </c>
      <c r="AE140" t="str">
        <f t="array" ref="AE140">IFERROR(CONCATENATE((INDEX($A$7:$A$86,SMALL(IF($AF$7:$AF$86&lt;&gt;"",IF($AC$7:$AC$86&lt;&gt;"",ROW($AC$7:$AC$86)-MIN(ROW($AC$7:$AC$86))+1,""),""),ROW()-ROW(A$88)+1))),),"")</f>
        <v/>
      </c>
      <c r="AI140" t="str">
        <f t="array" ref="AI140">IFERROR(CONCATENATE((INDEX($AL$7:$AL$86,SMALL(IF($AL$7:$AL$86&lt;&gt;"",IF($AI$7:$AI$86&lt;&gt;"",ROW($AI$7:$AI$86)-MIN(ROW($AI$7:$AI$86))+1,""),""),ROW()-ROW(A$88)+1)))," "),"")</f>
        <v/>
      </c>
      <c r="AJ140" t="str">
        <f t="array" ref="AJ140">IFERROR(CONCATENATE(TEXT(INDEX($AI$7:$AI$86,SMALL(IF($AL$7:$AL$86&lt;&gt;"",IF($AI$7:$AI$86&lt;&gt;"",ROW($AI$7:$AI$86)-MIN(ROW($AI$7:$AI$86))+1,""),""),ROW()-ROW(A$88)+1)),"##0")," "),"")</f>
        <v/>
      </c>
      <c r="AK140" t="str">
        <f t="array" ref="AK140">IFERROR(CONCATENATE((INDEX($A$7:$A$86,SMALL(IF($AL$7:$AL$86&lt;&gt;"",IF($AI$7:$AI$86&lt;&gt;"",ROW($AI$7:$AI$86)-MIN(ROW($AI$7:$AI$86))+1,""),""),ROW()-ROW(A$88)+1))),),"")</f>
        <v/>
      </c>
    </row>
    <row r="141" spans="11:37">
      <c r="K141" t="str">
        <f t="array" ref="K141">IFERROR(CONCATENATE(TEXT(INDEX($K$7:$K$86,SMALL(IF($N$7:$N$86&lt;&gt;"",IF($K$7:$K$86&lt;&gt;"",ROW($K$7:$K$86)-MIN(ROW($K$7:$K$86))+1,""),""),ROW()-ROW(A$88)+1)),"##0"),","),"")</f>
        <v/>
      </c>
      <c r="L141" t="str">
        <f t="array" ref="L141">IFERROR(CONCATENATE((INDEX($N$7:$N$86,SMALL(IF($N$7:$N$86&lt;&gt;"",IF($K$7:$K$86&lt;&gt;"",ROW($K$7:$K$86)-MIN(ROW($K$7:$K$86))+1,""),""),ROW()-ROW(A$88)+1))),","),"")</f>
        <v/>
      </c>
      <c r="M141" t="str">
        <f t="array" ref="M141">IFERROR(CONCATENATE((INDEX($A$7:$A$86,SMALL(IF($N$7:$N$86&lt;&gt;"",IF($K$7:$K$86&lt;&gt;"",ROW($K$7:$K$86)-MIN(ROW($K$7:$K$86))+1,""),""),ROW()-ROW(A$88)+1))),),"")</f>
        <v/>
      </c>
      <c r="Q141" t="str">
        <f t="array" ref="Q141">IFERROR(CONCATENATE((INDEX($T$7:$T$86,SMALL(IF($T$7:$T$86&lt;&gt;"",IF($Q$7:$Q$86&lt;&gt;"",ROW($Q$7:$Q$86)-MIN(ROW($Q$7:$Q$86))+1,""),""),ROW()-ROW(A$88)+1)))," "),"")</f>
        <v/>
      </c>
      <c r="R141" t="str">
        <f t="array" ref="R141">IFERROR(CONCATENATE(TEXT(INDEX($Q$7:$Q$86,SMALL(IF($T$7:$T$86&lt;&gt;"",IF($Q$7:$Q$86&lt;&gt;"",ROW($Q$7:$Q$86)-MIN(ROW($Q$7:$Q$86))+1,""),""),ROW()-ROW(A$88)+1)),"##0")," "),"")</f>
        <v/>
      </c>
      <c r="S141" t="str">
        <f t="array" ref="S141">IFERROR(CONCATENATE((INDEX($A$7:$A$86,SMALL(IF($T$7:$T$86&lt;&gt;"",IF($Q$7:$Q$86&lt;&gt;"",ROW($Q$7:$Q$86)-MIN(ROW($Q$7:$Q$86))+1,""),""),ROW()-ROW(A$88)+1))),),"")</f>
        <v/>
      </c>
      <c r="W141" t="str">
        <f t="array" ref="W141">IFERROR(CONCATENATE((INDEX($Z$7:$Z$86,SMALL(IF($Z$7:$Z$86&lt;&gt;"",IF($W$7:$W$86&lt;&gt;"",ROW($W$7:$W$86)-MIN(ROW($W$7:$W$86))+1,""),""),ROW()-ROW(A$88)+1)))," "),"")</f>
        <v/>
      </c>
      <c r="X141" t="str">
        <f t="array" ref="X141">IFERROR(CONCATENATE(TEXT(INDEX($W$7:$W$86,SMALL(IF($Z$7:$Z$86&lt;&gt;"",IF($W$7:$W$86&lt;&gt;"",ROW($W$7:$W$86)-MIN(ROW($W$7:$W$86))+1,""),""),ROW()-ROW(A$88)+1)),"##0")," "),"")</f>
        <v/>
      </c>
      <c r="Y141" t="str">
        <f t="array" ref="Y141">IFERROR(CONCATENATE((INDEX($A$7:$A$86,SMALL(IF($Z$7:$Z$86&lt;&gt;"",IF($W$7:$W$86&lt;&gt;"",ROW($W$7:$W$86)-MIN(ROW($W$7:$W$86))+1,""),""),ROW()-ROW(A$88)+1))),),"")</f>
        <v/>
      </c>
      <c r="AC141" t="str">
        <f t="array" ref="AC141">IFERROR(CONCATENATE((INDEX($AF$7:$AF$86,SMALL(IF($AF$7:$AF$86&lt;&gt;"",IF($AC$7:$AC$86&lt;&gt;"",ROW($AC$7:$AC$86)-MIN(ROW($AC$7:$AC$86))+1,""),""),ROW()-ROW(A$88)+1))),","),"")</f>
        <v/>
      </c>
      <c r="AD141" t="str">
        <f t="array" ref="AD141">IFERROR(CONCATENATE(TEXT(INDEX($AC$7:$AC$86,SMALL(IF($AF$7:$AF$86&lt;&gt;"",IF($AC$7:$AC$86&lt;&gt;"",ROW($AC$7:$AC$86)-MIN(ROW($AC$7:$AC$86))+1,""),""),ROW()-ROW(A$88)+1)),"##0"),","),"")</f>
        <v/>
      </c>
      <c r="AE141" t="str">
        <f t="array" ref="AE141">IFERROR(CONCATENATE((INDEX($A$7:$A$86,SMALL(IF($AF$7:$AF$86&lt;&gt;"",IF($AC$7:$AC$86&lt;&gt;"",ROW($AC$7:$AC$86)-MIN(ROW($AC$7:$AC$86))+1,""),""),ROW()-ROW(A$88)+1))),),"")</f>
        <v/>
      </c>
      <c r="AI141" t="str">
        <f t="array" ref="AI141">IFERROR(CONCATENATE((INDEX($AL$7:$AL$86,SMALL(IF($AL$7:$AL$86&lt;&gt;"",IF($AI$7:$AI$86&lt;&gt;"",ROW($AI$7:$AI$86)-MIN(ROW($AI$7:$AI$86))+1,""),""),ROW()-ROW(A$88)+1)))," "),"")</f>
        <v/>
      </c>
      <c r="AJ141" t="str">
        <f t="array" ref="AJ141">IFERROR(CONCATENATE(TEXT(INDEX($AI$7:$AI$86,SMALL(IF($AL$7:$AL$86&lt;&gt;"",IF($AI$7:$AI$86&lt;&gt;"",ROW($AI$7:$AI$86)-MIN(ROW($AI$7:$AI$86))+1,""),""),ROW()-ROW(A$88)+1)),"##0")," "),"")</f>
        <v/>
      </c>
      <c r="AK141" t="str">
        <f t="array" ref="AK141">IFERROR(CONCATENATE((INDEX($A$7:$A$86,SMALL(IF($AL$7:$AL$86&lt;&gt;"",IF($AI$7:$AI$86&lt;&gt;"",ROW($AI$7:$AI$86)-MIN(ROW($AI$7:$AI$86))+1,""),""),ROW()-ROW(A$88)+1))),),"")</f>
        <v/>
      </c>
    </row>
    <row r="142" spans="11:37">
      <c r="K142" t="str">
        <f t="array" ref="K142">IFERROR(CONCATENATE(TEXT(INDEX($K$7:$K$86,SMALL(IF($N$7:$N$86&lt;&gt;"",IF($K$7:$K$86&lt;&gt;"",ROW($K$7:$K$86)-MIN(ROW($K$7:$K$86))+1,""),""),ROW()-ROW(A$88)+1)),"##0"),","),"")</f>
        <v/>
      </c>
      <c r="L142" t="str">
        <f t="array" ref="L142">IFERROR(CONCATENATE((INDEX($N$7:$N$86,SMALL(IF($N$7:$N$86&lt;&gt;"",IF($K$7:$K$86&lt;&gt;"",ROW($K$7:$K$86)-MIN(ROW($K$7:$K$86))+1,""),""),ROW()-ROW(A$88)+1))),","),"")</f>
        <v/>
      </c>
      <c r="M142" t="str">
        <f t="array" ref="M142">IFERROR(CONCATENATE((INDEX($A$7:$A$86,SMALL(IF($N$7:$N$86&lt;&gt;"",IF($K$7:$K$86&lt;&gt;"",ROW($K$7:$K$86)-MIN(ROW($K$7:$K$86))+1,""),""),ROW()-ROW(A$88)+1))),),"")</f>
        <v/>
      </c>
      <c r="Q142" t="str">
        <f t="array" ref="Q142">IFERROR(CONCATENATE((INDEX($T$7:$T$86,SMALL(IF($T$7:$T$86&lt;&gt;"",IF($Q$7:$Q$86&lt;&gt;"",ROW($Q$7:$Q$86)-MIN(ROW($Q$7:$Q$86))+1,""),""),ROW()-ROW(A$88)+1)))," "),"")</f>
        <v/>
      </c>
      <c r="R142" t="str">
        <f t="array" ref="R142">IFERROR(CONCATENATE(TEXT(INDEX($Q$7:$Q$86,SMALL(IF($T$7:$T$86&lt;&gt;"",IF($Q$7:$Q$86&lt;&gt;"",ROW($Q$7:$Q$86)-MIN(ROW($Q$7:$Q$86))+1,""),""),ROW()-ROW(A$88)+1)),"##0")," "),"")</f>
        <v/>
      </c>
      <c r="S142" t="str">
        <f t="array" ref="S142">IFERROR(CONCATENATE((INDEX($A$7:$A$86,SMALL(IF($T$7:$T$86&lt;&gt;"",IF($Q$7:$Q$86&lt;&gt;"",ROW($Q$7:$Q$86)-MIN(ROW($Q$7:$Q$86))+1,""),""),ROW()-ROW(A$88)+1))),),"")</f>
        <v/>
      </c>
      <c r="W142" t="str">
        <f t="array" ref="W142">IFERROR(CONCATENATE((INDEX($Z$7:$Z$86,SMALL(IF($Z$7:$Z$86&lt;&gt;"",IF($W$7:$W$86&lt;&gt;"",ROW($W$7:$W$86)-MIN(ROW($W$7:$W$86))+1,""),""),ROW()-ROW(A$88)+1)))," "),"")</f>
        <v/>
      </c>
      <c r="X142" t="str">
        <f t="array" ref="X142">IFERROR(CONCATENATE(TEXT(INDEX($W$7:$W$86,SMALL(IF($Z$7:$Z$86&lt;&gt;"",IF($W$7:$W$86&lt;&gt;"",ROW($W$7:$W$86)-MIN(ROW($W$7:$W$86))+1,""),""),ROW()-ROW(A$88)+1)),"##0")," "),"")</f>
        <v/>
      </c>
      <c r="Y142" t="str">
        <f t="array" ref="Y142">IFERROR(CONCATENATE((INDEX($A$7:$A$86,SMALL(IF($Z$7:$Z$86&lt;&gt;"",IF($W$7:$W$86&lt;&gt;"",ROW($W$7:$W$86)-MIN(ROW($W$7:$W$86))+1,""),""),ROW()-ROW(A$88)+1))),),"")</f>
        <v/>
      </c>
      <c r="AC142" t="str">
        <f t="array" ref="AC142">IFERROR(CONCATENATE((INDEX($AF$7:$AF$86,SMALL(IF($AF$7:$AF$86&lt;&gt;"",IF($AC$7:$AC$86&lt;&gt;"",ROW($AC$7:$AC$86)-MIN(ROW($AC$7:$AC$86))+1,""),""),ROW()-ROW(A$88)+1))),","),"")</f>
        <v/>
      </c>
      <c r="AD142" t="str">
        <f t="array" ref="AD142">IFERROR(CONCATENATE(TEXT(INDEX($AC$7:$AC$86,SMALL(IF($AF$7:$AF$86&lt;&gt;"",IF($AC$7:$AC$86&lt;&gt;"",ROW($AC$7:$AC$86)-MIN(ROW($AC$7:$AC$86))+1,""),""),ROW()-ROW(A$88)+1)),"##0"),","),"")</f>
        <v/>
      </c>
      <c r="AE142" t="str">
        <f t="array" ref="AE142">IFERROR(CONCATENATE((INDEX($A$7:$A$86,SMALL(IF($AF$7:$AF$86&lt;&gt;"",IF($AC$7:$AC$86&lt;&gt;"",ROW($AC$7:$AC$86)-MIN(ROW($AC$7:$AC$86))+1,""),""),ROW()-ROW(A$88)+1))),),"")</f>
        <v/>
      </c>
      <c r="AI142" t="str">
        <f t="array" ref="AI142">IFERROR(CONCATENATE((INDEX($AL$7:$AL$86,SMALL(IF($AL$7:$AL$86&lt;&gt;"",IF($AI$7:$AI$86&lt;&gt;"",ROW($AI$7:$AI$86)-MIN(ROW($AI$7:$AI$86))+1,""),""),ROW()-ROW(A$88)+1)))," "),"")</f>
        <v/>
      </c>
      <c r="AJ142" t="str">
        <f t="array" ref="AJ142">IFERROR(CONCATENATE(TEXT(INDEX($AI$7:$AI$86,SMALL(IF($AL$7:$AL$86&lt;&gt;"",IF($AI$7:$AI$86&lt;&gt;"",ROW($AI$7:$AI$86)-MIN(ROW($AI$7:$AI$86))+1,""),""),ROW()-ROW(A$88)+1)),"##0")," "),"")</f>
        <v/>
      </c>
      <c r="AK142" t="str">
        <f t="array" ref="AK142">IFERROR(CONCATENATE((INDEX($A$7:$A$86,SMALL(IF($AL$7:$AL$86&lt;&gt;"",IF($AI$7:$AI$86&lt;&gt;"",ROW($AI$7:$AI$86)-MIN(ROW($AI$7:$AI$86))+1,""),""),ROW()-ROW(A$88)+1))),),"")</f>
        <v/>
      </c>
    </row>
    <row r="143" spans="11:37">
      <c r="K143" t="str">
        <f t="array" ref="K143">IFERROR(CONCATENATE(TEXT(INDEX($K$7:$K$86,SMALL(IF($N$7:$N$86&lt;&gt;"",IF($K$7:$K$86&lt;&gt;"",ROW($K$7:$K$86)-MIN(ROW($K$7:$K$86))+1,""),""),ROW()-ROW(A$88)+1)),"##0"),","),"")</f>
        <v/>
      </c>
      <c r="L143" t="str">
        <f t="array" ref="L143">IFERROR(CONCATENATE((INDEX($N$7:$N$86,SMALL(IF($N$7:$N$86&lt;&gt;"",IF($K$7:$K$86&lt;&gt;"",ROW($K$7:$K$86)-MIN(ROW($K$7:$K$86))+1,""),""),ROW()-ROW(A$88)+1))),","),"")</f>
        <v/>
      </c>
      <c r="M143" t="str">
        <f t="array" ref="M143">IFERROR(CONCATENATE((INDEX($A$7:$A$86,SMALL(IF($N$7:$N$86&lt;&gt;"",IF($K$7:$K$86&lt;&gt;"",ROW($K$7:$K$86)-MIN(ROW($K$7:$K$86))+1,""),""),ROW()-ROW(A$88)+1))),),"")</f>
        <v/>
      </c>
      <c r="Q143" t="str">
        <f t="array" ref="Q143">IFERROR(CONCATENATE((INDEX($T$7:$T$86,SMALL(IF($T$7:$T$86&lt;&gt;"",IF($Q$7:$Q$86&lt;&gt;"",ROW($Q$7:$Q$86)-MIN(ROW($Q$7:$Q$86))+1,""),""),ROW()-ROW(A$88)+1)))," "),"")</f>
        <v/>
      </c>
      <c r="R143" t="str">
        <f t="array" ref="R143">IFERROR(CONCATENATE(TEXT(INDEX($Q$7:$Q$86,SMALL(IF($T$7:$T$86&lt;&gt;"",IF($Q$7:$Q$86&lt;&gt;"",ROW($Q$7:$Q$86)-MIN(ROW($Q$7:$Q$86))+1,""),""),ROW()-ROW(A$88)+1)),"##0")," "),"")</f>
        <v/>
      </c>
      <c r="S143" t="str">
        <f t="array" ref="S143">IFERROR(CONCATENATE((INDEX($A$7:$A$86,SMALL(IF($T$7:$T$86&lt;&gt;"",IF($Q$7:$Q$86&lt;&gt;"",ROW($Q$7:$Q$86)-MIN(ROW($Q$7:$Q$86))+1,""),""),ROW()-ROW(A$88)+1))),),"")</f>
        <v/>
      </c>
      <c r="W143" t="str">
        <f t="array" ref="W143">IFERROR(CONCATENATE((INDEX($Z$7:$Z$86,SMALL(IF($Z$7:$Z$86&lt;&gt;"",IF($W$7:$W$86&lt;&gt;"",ROW($W$7:$W$86)-MIN(ROW($W$7:$W$86))+1,""),""),ROW()-ROW(A$88)+1)))," "),"")</f>
        <v/>
      </c>
      <c r="X143" t="str">
        <f t="array" ref="X143">IFERROR(CONCATENATE(TEXT(INDEX($W$7:$W$86,SMALL(IF($Z$7:$Z$86&lt;&gt;"",IF($W$7:$W$86&lt;&gt;"",ROW($W$7:$W$86)-MIN(ROW($W$7:$W$86))+1,""),""),ROW()-ROW(A$88)+1)),"##0")," "),"")</f>
        <v/>
      </c>
      <c r="Y143" t="str">
        <f t="array" ref="Y143">IFERROR(CONCATENATE((INDEX($A$7:$A$86,SMALL(IF($Z$7:$Z$86&lt;&gt;"",IF($W$7:$W$86&lt;&gt;"",ROW($W$7:$W$86)-MIN(ROW($W$7:$W$86))+1,""),""),ROW()-ROW(A$88)+1))),),"")</f>
        <v/>
      </c>
      <c r="AC143" t="str">
        <f t="array" ref="AC143">IFERROR(CONCATENATE((INDEX($AF$7:$AF$86,SMALL(IF($AF$7:$AF$86&lt;&gt;"",IF($AC$7:$AC$86&lt;&gt;"",ROW($AC$7:$AC$86)-MIN(ROW($AC$7:$AC$86))+1,""),""),ROW()-ROW(A$88)+1))),","),"")</f>
        <v/>
      </c>
      <c r="AD143" t="str">
        <f t="array" ref="AD143">IFERROR(CONCATENATE(TEXT(INDEX($AC$7:$AC$86,SMALL(IF($AF$7:$AF$86&lt;&gt;"",IF($AC$7:$AC$86&lt;&gt;"",ROW($AC$7:$AC$86)-MIN(ROW($AC$7:$AC$86))+1,""),""),ROW()-ROW(A$88)+1)),"##0"),","),"")</f>
        <v/>
      </c>
      <c r="AE143" t="str">
        <f t="array" ref="AE143">IFERROR(CONCATENATE((INDEX($A$7:$A$86,SMALL(IF($AF$7:$AF$86&lt;&gt;"",IF($AC$7:$AC$86&lt;&gt;"",ROW($AC$7:$AC$86)-MIN(ROW($AC$7:$AC$86))+1,""),""),ROW()-ROW(A$88)+1))),),"")</f>
        <v/>
      </c>
      <c r="AI143" t="str">
        <f t="array" ref="AI143">IFERROR(CONCATENATE((INDEX($AL$7:$AL$86,SMALL(IF($AL$7:$AL$86&lt;&gt;"",IF($AI$7:$AI$86&lt;&gt;"",ROW($AI$7:$AI$86)-MIN(ROW($AI$7:$AI$86))+1,""),""),ROW()-ROW(A$88)+1)))," "),"")</f>
        <v/>
      </c>
      <c r="AJ143" t="str">
        <f t="array" ref="AJ143">IFERROR(CONCATENATE(TEXT(INDEX($AI$7:$AI$86,SMALL(IF($AL$7:$AL$86&lt;&gt;"",IF($AI$7:$AI$86&lt;&gt;"",ROW($AI$7:$AI$86)-MIN(ROW($AI$7:$AI$86))+1,""),""),ROW()-ROW(A$88)+1)),"##0")," "),"")</f>
        <v/>
      </c>
      <c r="AK143" t="str">
        <f t="array" ref="AK143">IFERROR(CONCATENATE((INDEX($A$7:$A$86,SMALL(IF($AL$7:$AL$86&lt;&gt;"",IF($AI$7:$AI$86&lt;&gt;"",ROW($AI$7:$AI$86)-MIN(ROW($AI$7:$AI$86))+1,""),""),ROW()-ROW(A$88)+1))),),"")</f>
        <v/>
      </c>
    </row>
    <row r="144" spans="11:37">
      <c r="K144" t="str">
        <f t="array" ref="K144">IFERROR(CONCATENATE(TEXT(INDEX($K$7:$K$86,SMALL(IF($N$7:$N$86&lt;&gt;"",IF($K$7:$K$86&lt;&gt;"",ROW($K$7:$K$86)-MIN(ROW($K$7:$K$86))+1,""),""),ROW()-ROW(A$88)+1)),"##0"),","),"")</f>
        <v/>
      </c>
      <c r="L144" t="str">
        <f t="array" ref="L144">IFERROR(CONCATENATE((INDEX($N$7:$N$86,SMALL(IF($N$7:$N$86&lt;&gt;"",IF($K$7:$K$86&lt;&gt;"",ROW($K$7:$K$86)-MIN(ROW($K$7:$K$86))+1,""),""),ROW()-ROW(A$88)+1))),","),"")</f>
        <v/>
      </c>
      <c r="M144" t="str">
        <f t="array" ref="M144">IFERROR(CONCATENATE((INDEX($A$7:$A$86,SMALL(IF($N$7:$N$86&lt;&gt;"",IF($K$7:$K$86&lt;&gt;"",ROW($K$7:$K$86)-MIN(ROW($K$7:$K$86))+1,""),""),ROW()-ROW(A$88)+1))),),"")</f>
        <v/>
      </c>
      <c r="Q144" t="str">
        <f t="array" ref="Q144">IFERROR(CONCATENATE((INDEX($T$7:$T$86,SMALL(IF($T$7:$T$86&lt;&gt;"",IF($Q$7:$Q$86&lt;&gt;"",ROW($Q$7:$Q$86)-MIN(ROW($Q$7:$Q$86))+1,""),""),ROW()-ROW(A$88)+1)))," "),"")</f>
        <v/>
      </c>
      <c r="R144" t="str">
        <f t="array" ref="R144">IFERROR(CONCATENATE(TEXT(INDEX($Q$7:$Q$86,SMALL(IF($T$7:$T$86&lt;&gt;"",IF($Q$7:$Q$86&lt;&gt;"",ROW($Q$7:$Q$86)-MIN(ROW($Q$7:$Q$86))+1,""),""),ROW()-ROW(A$88)+1)),"##0")," "),"")</f>
        <v/>
      </c>
      <c r="S144" t="str">
        <f t="array" ref="S144">IFERROR(CONCATENATE((INDEX($A$7:$A$86,SMALL(IF($T$7:$T$86&lt;&gt;"",IF($Q$7:$Q$86&lt;&gt;"",ROW($Q$7:$Q$86)-MIN(ROW($Q$7:$Q$86))+1,""),""),ROW()-ROW(A$88)+1))),),"")</f>
        <v/>
      </c>
      <c r="W144" t="str">
        <f t="array" ref="W144">IFERROR(CONCATENATE((INDEX($Z$7:$Z$86,SMALL(IF($Z$7:$Z$86&lt;&gt;"",IF($W$7:$W$86&lt;&gt;"",ROW($W$7:$W$86)-MIN(ROW($W$7:$W$86))+1,""),""),ROW()-ROW(A$88)+1)))," "),"")</f>
        <v/>
      </c>
      <c r="X144" t="str">
        <f t="array" ref="X144">IFERROR(CONCATENATE(TEXT(INDEX($W$7:$W$86,SMALL(IF($Z$7:$Z$86&lt;&gt;"",IF($W$7:$W$86&lt;&gt;"",ROW($W$7:$W$86)-MIN(ROW($W$7:$W$86))+1,""),""),ROW()-ROW(A$88)+1)),"##0")," "),"")</f>
        <v/>
      </c>
      <c r="Y144" t="str">
        <f t="array" ref="Y144">IFERROR(CONCATENATE((INDEX($A$7:$A$86,SMALL(IF($Z$7:$Z$86&lt;&gt;"",IF($W$7:$W$86&lt;&gt;"",ROW($W$7:$W$86)-MIN(ROW($W$7:$W$86))+1,""),""),ROW()-ROW(A$88)+1))),),"")</f>
        <v/>
      </c>
      <c r="AC144" t="str">
        <f t="array" ref="AC144">IFERROR(CONCATENATE((INDEX($AF$7:$AF$86,SMALL(IF($AF$7:$AF$86&lt;&gt;"",IF($AC$7:$AC$86&lt;&gt;"",ROW($AC$7:$AC$86)-MIN(ROW($AC$7:$AC$86))+1,""),""),ROW()-ROW(A$88)+1))),","),"")</f>
        <v/>
      </c>
      <c r="AD144" t="str">
        <f t="array" ref="AD144">IFERROR(CONCATENATE(TEXT(INDEX($AC$7:$AC$86,SMALL(IF($AF$7:$AF$86&lt;&gt;"",IF($AC$7:$AC$86&lt;&gt;"",ROW($AC$7:$AC$86)-MIN(ROW($AC$7:$AC$86))+1,""),""),ROW()-ROW(A$88)+1)),"##0"),","),"")</f>
        <v/>
      </c>
      <c r="AE144" t="str">
        <f t="array" ref="AE144">IFERROR(CONCATENATE((INDEX($A$7:$A$86,SMALL(IF($AF$7:$AF$86&lt;&gt;"",IF($AC$7:$AC$86&lt;&gt;"",ROW($AC$7:$AC$86)-MIN(ROW($AC$7:$AC$86))+1,""),""),ROW()-ROW(A$88)+1))),),"")</f>
        <v/>
      </c>
      <c r="AI144" t="str">
        <f t="array" ref="AI144">IFERROR(CONCATENATE((INDEX($AL$7:$AL$86,SMALL(IF($AL$7:$AL$86&lt;&gt;"",IF($AI$7:$AI$86&lt;&gt;"",ROW($AI$7:$AI$86)-MIN(ROW($AI$7:$AI$86))+1,""),""),ROW()-ROW(A$88)+1)))," "),"")</f>
        <v/>
      </c>
      <c r="AJ144" t="str">
        <f t="array" ref="AJ144">IFERROR(CONCATENATE(TEXT(INDEX($AI$7:$AI$86,SMALL(IF($AL$7:$AL$86&lt;&gt;"",IF($AI$7:$AI$86&lt;&gt;"",ROW($AI$7:$AI$86)-MIN(ROW($AI$7:$AI$86))+1,""),""),ROW()-ROW(A$88)+1)),"##0")," "),"")</f>
        <v/>
      </c>
      <c r="AK144" t="str">
        <f t="array" ref="AK144">IFERROR(CONCATENATE((INDEX($A$7:$A$86,SMALL(IF($AL$7:$AL$86&lt;&gt;"",IF($AI$7:$AI$86&lt;&gt;"",ROW($AI$7:$AI$86)-MIN(ROW($AI$7:$AI$86))+1,""),""),ROW()-ROW(A$88)+1))),),"")</f>
        <v/>
      </c>
    </row>
    <row r="145" spans="11:37">
      <c r="K145" t="str">
        <f t="array" ref="K145">IFERROR(CONCATENATE(TEXT(INDEX($K$7:$K$86,SMALL(IF($N$7:$N$86&lt;&gt;"",IF($K$7:$K$86&lt;&gt;"",ROW($K$7:$K$86)-MIN(ROW($K$7:$K$86))+1,""),""),ROW()-ROW(A$88)+1)),"##0"),","),"")</f>
        <v/>
      </c>
      <c r="L145" t="str">
        <f t="array" ref="L145">IFERROR(CONCATENATE((INDEX($N$7:$N$86,SMALL(IF($N$7:$N$86&lt;&gt;"",IF($K$7:$K$86&lt;&gt;"",ROW($K$7:$K$86)-MIN(ROW($K$7:$K$86))+1,""),""),ROW()-ROW(A$88)+1))),","),"")</f>
        <v/>
      </c>
      <c r="M145" t="str">
        <f t="array" ref="M145">IFERROR(CONCATENATE((INDEX($A$7:$A$86,SMALL(IF($N$7:$N$86&lt;&gt;"",IF($K$7:$K$86&lt;&gt;"",ROW($K$7:$K$86)-MIN(ROW($K$7:$K$86))+1,""),""),ROW()-ROW(A$88)+1))),),"")</f>
        <v/>
      </c>
      <c r="Q145" t="str">
        <f t="array" ref="Q145">IFERROR(CONCATENATE((INDEX($T$7:$T$86,SMALL(IF($T$7:$T$86&lt;&gt;"",IF($Q$7:$Q$86&lt;&gt;"",ROW($Q$7:$Q$86)-MIN(ROW($Q$7:$Q$86))+1,""),""),ROW()-ROW(A$88)+1)))," "),"")</f>
        <v/>
      </c>
      <c r="R145" t="str">
        <f t="array" ref="R145">IFERROR(CONCATENATE(TEXT(INDEX($Q$7:$Q$86,SMALL(IF($T$7:$T$86&lt;&gt;"",IF($Q$7:$Q$86&lt;&gt;"",ROW($Q$7:$Q$86)-MIN(ROW($Q$7:$Q$86))+1,""),""),ROW()-ROW(A$88)+1)),"##0")," "),"")</f>
        <v/>
      </c>
      <c r="S145" t="str">
        <f t="array" ref="S145">IFERROR(CONCATENATE((INDEX($A$7:$A$86,SMALL(IF($T$7:$T$86&lt;&gt;"",IF($Q$7:$Q$86&lt;&gt;"",ROW($Q$7:$Q$86)-MIN(ROW($Q$7:$Q$86))+1,""),""),ROW()-ROW(A$88)+1))),),"")</f>
        <v/>
      </c>
      <c r="W145" t="str">
        <f t="array" ref="W145">IFERROR(CONCATENATE((INDEX($Z$7:$Z$86,SMALL(IF($Z$7:$Z$86&lt;&gt;"",IF($W$7:$W$86&lt;&gt;"",ROW($W$7:$W$86)-MIN(ROW($W$7:$W$86))+1,""),""),ROW()-ROW(A$88)+1)))," "),"")</f>
        <v/>
      </c>
      <c r="X145" t="str">
        <f t="array" ref="X145">IFERROR(CONCATENATE(TEXT(INDEX($W$7:$W$86,SMALL(IF($Z$7:$Z$86&lt;&gt;"",IF($W$7:$W$86&lt;&gt;"",ROW($W$7:$W$86)-MIN(ROW($W$7:$W$86))+1,""),""),ROW()-ROW(A$88)+1)),"##0")," "),"")</f>
        <v/>
      </c>
      <c r="Y145" t="str">
        <f t="array" ref="Y145">IFERROR(CONCATENATE((INDEX($A$7:$A$86,SMALL(IF($Z$7:$Z$86&lt;&gt;"",IF($W$7:$W$86&lt;&gt;"",ROW($W$7:$W$86)-MIN(ROW($W$7:$W$86))+1,""),""),ROW()-ROW(A$88)+1))),),"")</f>
        <v/>
      </c>
      <c r="AC145" t="str">
        <f t="array" ref="AC145">IFERROR(CONCATENATE((INDEX($AF$7:$AF$86,SMALL(IF($AF$7:$AF$86&lt;&gt;"",IF($AC$7:$AC$86&lt;&gt;"",ROW($AC$7:$AC$86)-MIN(ROW($AC$7:$AC$86))+1,""),""),ROW()-ROW(A$88)+1))),","),"")</f>
        <v/>
      </c>
      <c r="AD145" t="str">
        <f t="array" ref="AD145">IFERROR(CONCATENATE(TEXT(INDEX($AC$7:$AC$86,SMALL(IF($AF$7:$AF$86&lt;&gt;"",IF($AC$7:$AC$86&lt;&gt;"",ROW($AC$7:$AC$86)-MIN(ROW($AC$7:$AC$86))+1,""),""),ROW()-ROW(A$88)+1)),"##0"),","),"")</f>
        <v/>
      </c>
      <c r="AE145" t="str">
        <f t="array" ref="AE145">IFERROR(CONCATENATE((INDEX($A$7:$A$86,SMALL(IF($AF$7:$AF$86&lt;&gt;"",IF($AC$7:$AC$86&lt;&gt;"",ROW($AC$7:$AC$86)-MIN(ROW($AC$7:$AC$86))+1,""),""),ROW()-ROW(A$88)+1))),),"")</f>
        <v/>
      </c>
      <c r="AI145" t="str">
        <f t="array" ref="AI145">IFERROR(CONCATENATE((INDEX($AL$7:$AL$86,SMALL(IF($AL$7:$AL$86&lt;&gt;"",IF($AI$7:$AI$86&lt;&gt;"",ROW($AI$7:$AI$86)-MIN(ROW($AI$7:$AI$86))+1,""),""),ROW()-ROW(A$88)+1)))," "),"")</f>
        <v/>
      </c>
      <c r="AJ145" t="str">
        <f t="array" ref="AJ145">IFERROR(CONCATENATE(TEXT(INDEX($AI$7:$AI$86,SMALL(IF($AL$7:$AL$86&lt;&gt;"",IF($AI$7:$AI$86&lt;&gt;"",ROW($AI$7:$AI$86)-MIN(ROW($AI$7:$AI$86))+1,""),""),ROW()-ROW(A$88)+1)),"##0")," "),"")</f>
        <v/>
      </c>
      <c r="AK145" t="str">
        <f t="array" ref="AK145">IFERROR(CONCATENATE((INDEX($A$7:$A$86,SMALL(IF($AL$7:$AL$86&lt;&gt;"",IF($AI$7:$AI$86&lt;&gt;"",ROW($AI$7:$AI$86)-MIN(ROW($AI$7:$AI$86))+1,""),""),ROW()-ROW(A$88)+1))),),"")</f>
        <v/>
      </c>
    </row>
    <row r="146" spans="11:37">
      <c r="K146" t="str">
        <f t="array" ref="K146">IFERROR(CONCATENATE(TEXT(INDEX($K$7:$K$86,SMALL(IF($N$7:$N$86&lt;&gt;"",IF($K$7:$K$86&lt;&gt;"",ROW($K$7:$K$86)-MIN(ROW($K$7:$K$86))+1,""),""),ROW()-ROW(A$88)+1)),"##0"),","),"")</f>
        <v/>
      </c>
      <c r="L146" t="str">
        <f t="array" ref="L146">IFERROR(CONCATENATE((INDEX($N$7:$N$86,SMALL(IF($N$7:$N$86&lt;&gt;"",IF($K$7:$K$86&lt;&gt;"",ROW($K$7:$K$86)-MIN(ROW($K$7:$K$86))+1,""),""),ROW()-ROW(A$88)+1))),","),"")</f>
        <v/>
      </c>
      <c r="M146" t="str">
        <f t="array" ref="M146">IFERROR(CONCATENATE((INDEX($A$7:$A$86,SMALL(IF($N$7:$N$86&lt;&gt;"",IF($K$7:$K$86&lt;&gt;"",ROW($K$7:$K$86)-MIN(ROW($K$7:$K$86))+1,""),""),ROW()-ROW(A$88)+1))),),"")</f>
        <v/>
      </c>
      <c r="Q146" t="str">
        <f t="array" ref="Q146">IFERROR(CONCATENATE((INDEX($T$7:$T$86,SMALL(IF($T$7:$T$86&lt;&gt;"",IF($Q$7:$Q$86&lt;&gt;"",ROW($Q$7:$Q$86)-MIN(ROW($Q$7:$Q$86))+1,""),""),ROW()-ROW(A$88)+1)))," "),"")</f>
        <v/>
      </c>
      <c r="R146" t="str">
        <f t="array" ref="R146">IFERROR(CONCATENATE(TEXT(INDEX($Q$7:$Q$86,SMALL(IF($T$7:$T$86&lt;&gt;"",IF($Q$7:$Q$86&lt;&gt;"",ROW($Q$7:$Q$86)-MIN(ROW($Q$7:$Q$86))+1,""),""),ROW()-ROW(A$88)+1)),"##0")," "),"")</f>
        <v/>
      </c>
      <c r="S146" t="str">
        <f t="array" ref="S146">IFERROR(CONCATENATE((INDEX($A$7:$A$86,SMALL(IF($T$7:$T$86&lt;&gt;"",IF($Q$7:$Q$86&lt;&gt;"",ROW($Q$7:$Q$86)-MIN(ROW($Q$7:$Q$86))+1,""),""),ROW()-ROW(A$88)+1))),),"")</f>
        <v/>
      </c>
      <c r="W146" t="str">
        <f t="array" ref="W146">IFERROR(CONCATENATE((INDEX($Z$7:$Z$86,SMALL(IF($Z$7:$Z$86&lt;&gt;"",IF($W$7:$W$86&lt;&gt;"",ROW($W$7:$W$86)-MIN(ROW($W$7:$W$86))+1,""),""),ROW()-ROW(A$88)+1)))," "),"")</f>
        <v/>
      </c>
      <c r="X146" t="str">
        <f t="array" ref="X146">IFERROR(CONCATENATE(TEXT(INDEX($W$7:$W$86,SMALL(IF($Z$7:$Z$86&lt;&gt;"",IF($W$7:$W$86&lt;&gt;"",ROW($W$7:$W$86)-MIN(ROW($W$7:$W$86))+1,""),""),ROW()-ROW(A$88)+1)),"##0")," "),"")</f>
        <v/>
      </c>
      <c r="Y146" t="str">
        <f t="array" ref="Y146">IFERROR(CONCATENATE((INDEX($A$7:$A$86,SMALL(IF($Z$7:$Z$86&lt;&gt;"",IF($W$7:$W$86&lt;&gt;"",ROW($W$7:$W$86)-MIN(ROW($W$7:$W$86))+1,""),""),ROW()-ROW(A$88)+1))),),"")</f>
        <v/>
      </c>
      <c r="AC146" t="str">
        <f t="array" ref="AC146">IFERROR(CONCATENATE((INDEX($AF$7:$AF$86,SMALL(IF($AF$7:$AF$86&lt;&gt;"",IF($AC$7:$AC$86&lt;&gt;"",ROW($AC$7:$AC$86)-MIN(ROW($AC$7:$AC$86))+1,""),""),ROW()-ROW(A$88)+1))),","),"")</f>
        <v/>
      </c>
      <c r="AD146" t="str">
        <f t="array" ref="AD146">IFERROR(CONCATENATE(TEXT(INDEX($AC$7:$AC$86,SMALL(IF($AF$7:$AF$86&lt;&gt;"",IF($AC$7:$AC$86&lt;&gt;"",ROW($AC$7:$AC$86)-MIN(ROW($AC$7:$AC$86))+1,""),""),ROW()-ROW(A$88)+1)),"##0"),","),"")</f>
        <v/>
      </c>
      <c r="AE146" t="str">
        <f t="array" ref="AE146">IFERROR(CONCATENATE((INDEX($A$7:$A$86,SMALL(IF($AF$7:$AF$86&lt;&gt;"",IF($AC$7:$AC$86&lt;&gt;"",ROW($AC$7:$AC$86)-MIN(ROW($AC$7:$AC$86))+1,""),""),ROW()-ROW(A$88)+1))),),"")</f>
        <v/>
      </c>
      <c r="AI146" t="str">
        <f t="array" ref="AI146">IFERROR(CONCATENATE((INDEX($AL$7:$AL$86,SMALL(IF($AL$7:$AL$86&lt;&gt;"",IF($AI$7:$AI$86&lt;&gt;"",ROW($AI$7:$AI$86)-MIN(ROW($AI$7:$AI$86))+1,""),""),ROW()-ROW(A$88)+1)))," "),"")</f>
        <v/>
      </c>
      <c r="AJ146" t="str">
        <f t="array" ref="AJ146">IFERROR(CONCATENATE(TEXT(INDEX($AI$7:$AI$86,SMALL(IF($AL$7:$AL$86&lt;&gt;"",IF($AI$7:$AI$86&lt;&gt;"",ROW($AI$7:$AI$86)-MIN(ROW($AI$7:$AI$86))+1,""),""),ROW()-ROW(A$88)+1)),"##0")," "),"")</f>
        <v/>
      </c>
      <c r="AK146" t="str">
        <f t="array" ref="AK146">IFERROR(CONCATENATE((INDEX($A$7:$A$86,SMALL(IF($AL$7:$AL$86&lt;&gt;"",IF($AI$7:$AI$86&lt;&gt;"",ROW($AI$7:$AI$86)-MIN(ROW($AI$7:$AI$86))+1,""),""),ROW()-ROW(A$88)+1))),),"")</f>
        <v/>
      </c>
    </row>
    <row r="147" spans="11:37">
      <c r="K147" t="str">
        <f t="array" ref="K147">IFERROR(CONCATENATE(TEXT(INDEX($K$7:$K$86,SMALL(IF($N$7:$N$86&lt;&gt;"",IF($K$7:$K$86&lt;&gt;"",ROW($K$7:$K$86)-MIN(ROW($K$7:$K$86))+1,""),""),ROW()-ROW(A$88)+1)),"##0"),","),"")</f>
        <v/>
      </c>
      <c r="L147" t="str">
        <f t="array" ref="L147">IFERROR(CONCATENATE((INDEX($N$7:$N$86,SMALL(IF($N$7:$N$86&lt;&gt;"",IF($K$7:$K$86&lt;&gt;"",ROW($K$7:$K$86)-MIN(ROW($K$7:$K$86))+1,""),""),ROW()-ROW(A$88)+1))),","),"")</f>
        <v/>
      </c>
      <c r="M147" t="str">
        <f t="array" ref="M147">IFERROR(CONCATENATE((INDEX($A$7:$A$86,SMALL(IF($N$7:$N$86&lt;&gt;"",IF($K$7:$K$86&lt;&gt;"",ROW($K$7:$K$86)-MIN(ROW($K$7:$K$86))+1,""),""),ROW()-ROW(A$88)+1))),),"")</f>
        <v/>
      </c>
      <c r="Q147" t="str">
        <f t="array" ref="Q147">IFERROR(CONCATENATE((INDEX($T$7:$T$86,SMALL(IF($T$7:$T$86&lt;&gt;"",IF($Q$7:$Q$86&lt;&gt;"",ROW($Q$7:$Q$86)-MIN(ROW($Q$7:$Q$86))+1,""),""),ROW()-ROW(A$88)+1)))," "),"")</f>
        <v/>
      </c>
      <c r="R147" t="str">
        <f t="array" ref="R147">IFERROR(CONCATENATE(TEXT(INDEX($Q$7:$Q$86,SMALL(IF($T$7:$T$86&lt;&gt;"",IF($Q$7:$Q$86&lt;&gt;"",ROW($Q$7:$Q$86)-MIN(ROW($Q$7:$Q$86))+1,""),""),ROW()-ROW(A$88)+1)),"##0")," "),"")</f>
        <v/>
      </c>
      <c r="S147" t="str">
        <f t="array" ref="S147">IFERROR(CONCATENATE((INDEX($A$7:$A$86,SMALL(IF($T$7:$T$86&lt;&gt;"",IF($Q$7:$Q$86&lt;&gt;"",ROW($Q$7:$Q$86)-MIN(ROW($Q$7:$Q$86))+1,""),""),ROW()-ROW(A$88)+1))),),"")</f>
        <v/>
      </c>
      <c r="W147" t="str">
        <f t="array" ref="W147">IFERROR(CONCATENATE((INDEX($Z$7:$Z$86,SMALL(IF($Z$7:$Z$86&lt;&gt;"",IF($W$7:$W$86&lt;&gt;"",ROW($W$7:$W$86)-MIN(ROW($W$7:$W$86))+1,""),""),ROW()-ROW(A$88)+1)))," "),"")</f>
        <v/>
      </c>
      <c r="X147" t="str">
        <f t="array" ref="X147">IFERROR(CONCATENATE(TEXT(INDEX($W$7:$W$86,SMALL(IF($Z$7:$Z$86&lt;&gt;"",IF($W$7:$W$86&lt;&gt;"",ROW($W$7:$W$86)-MIN(ROW($W$7:$W$86))+1,""),""),ROW()-ROW(A$88)+1)),"##0")," "),"")</f>
        <v/>
      </c>
      <c r="Y147" t="str">
        <f t="array" ref="Y147">IFERROR(CONCATENATE((INDEX($A$7:$A$86,SMALL(IF($Z$7:$Z$86&lt;&gt;"",IF($W$7:$W$86&lt;&gt;"",ROW($W$7:$W$86)-MIN(ROW($W$7:$W$86))+1,""),""),ROW()-ROW(A$88)+1))),),"")</f>
        <v/>
      </c>
      <c r="AC147" t="str">
        <f t="array" ref="AC147">IFERROR(CONCATENATE((INDEX($AF$7:$AF$86,SMALL(IF($AF$7:$AF$86&lt;&gt;"",IF($AC$7:$AC$86&lt;&gt;"",ROW($AC$7:$AC$86)-MIN(ROW($AC$7:$AC$86))+1,""),""),ROW()-ROW(A$88)+1))),","),"")</f>
        <v/>
      </c>
      <c r="AD147" t="str">
        <f t="array" ref="AD147">IFERROR(CONCATENATE(TEXT(INDEX($AC$7:$AC$86,SMALL(IF($AF$7:$AF$86&lt;&gt;"",IF($AC$7:$AC$86&lt;&gt;"",ROW($AC$7:$AC$86)-MIN(ROW($AC$7:$AC$86))+1,""),""),ROW()-ROW(A$88)+1)),"##0"),","),"")</f>
        <v/>
      </c>
      <c r="AE147" t="str">
        <f t="array" ref="AE147">IFERROR(CONCATENATE((INDEX($A$7:$A$86,SMALL(IF($AF$7:$AF$86&lt;&gt;"",IF($AC$7:$AC$86&lt;&gt;"",ROW($AC$7:$AC$86)-MIN(ROW($AC$7:$AC$86))+1,""),""),ROW()-ROW(A$88)+1))),),"")</f>
        <v/>
      </c>
      <c r="AI147" t="str">
        <f t="array" ref="AI147">IFERROR(CONCATENATE((INDEX($AL$7:$AL$86,SMALL(IF($AL$7:$AL$86&lt;&gt;"",IF($AI$7:$AI$86&lt;&gt;"",ROW($AI$7:$AI$86)-MIN(ROW($AI$7:$AI$86))+1,""),""),ROW()-ROW(A$88)+1)))," "),"")</f>
        <v/>
      </c>
      <c r="AJ147" t="str">
        <f t="array" ref="AJ147">IFERROR(CONCATENATE(TEXT(INDEX($AI$7:$AI$86,SMALL(IF($AL$7:$AL$86&lt;&gt;"",IF($AI$7:$AI$86&lt;&gt;"",ROW($AI$7:$AI$86)-MIN(ROW($AI$7:$AI$86))+1,""),""),ROW()-ROW(A$88)+1)),"##0")," "),"")</f>
        <v/>
      </c>
      <c r="AK147" t="str">
        <f t="array" ref="AK147">IFERROR(CONCATENATE((INDEX($A$7:$A$86,SMALL(IF($AL$7:$AL$86&lt;&gt;"",IF($AI$7:$AI$86&lt;&gt;"",ROW($AI$7:$AI$86)-MIN(ROW($AI$7:$AI$86))+1,""),""),ROW()-ROW(A$88)+1))),),"")</f>
        <v/>
      </c>
    </row>
    <row r="148" spans="11:37">
      <c r="K148" t="str">
        <f t="array" ref="K148">IFERROR(CONCATENATE(TEXT(INDEX($K$7:$K$86,SMALL(IF($N$7:$N$86&lt;&gt;"",IF($K$7:$K$86&lt;&gt;"",ROW($K$7:$K$86)-MIN(ROW($K$7:$K$86))+1,""),""),ROW()-ROW(A$88)+1)),"##0"),","),"")</f>
        <v/>
      </c>
      <c r="L148" t="str">
        <f t="array" ref="L148">IFERROR(CONCATENATE((INDEX($N$7:$N$86,SMALL(IF($N$7:$N$86&lt;&gt;"",IF($K$7:$K$86&lt;&gt;"",ROW($K$7:$K$86)-MIN(ROW($K$7:$K$86))+1,""),""),ROW()-ROW(A$88)+1))),","),"")</f>
        <v/>
      </c>
      <c r="M148" t="str">
        <f t="array" ref="M148">IFERROR(CONCATENATE((INDEX($A$7:$A$86,SMALL(IF($N$7:$N$86&lt;&gt;"",IF($K$7:$K$86&lt;&gt;"",ROW($K$7:$K$86)-MIN(ROW($K$7:$K$86))+1,""),""),ROW()-ROW(A$88)+1))),),"")</f>
        <v/>
      </c>
      <c r="Q148" t="str">
        <f t="array" ref="Q148">IFERROR(CONCATENATE((INDEX($T$7:$T$86,SMALL(IF($T$7:$T$86&lt;&gt;"",IF($Q$7:$Q$86&lt;&gt;"",ROW($Q$7:$Q$86)-MIN(ROW($Q$7:$Q$86))+1,""),""),ROW()-ROW(A$88)+1)))," "),"")</f>
        <v/>
      </c>
      <c r="R148" t="str">
        <f t="array" ref="R148">IFERROR(CONCATENATE(TEXT(INDEX($Q$7:$Q$86,SMALL(IF($T$7:$T$86&lt;&gt;"",IF($Q$7:$Q$86&lt;&gt;"",ROW($Q$7:$Q$86)-MIN(ROW($Q$7:$Q$86))+1,""),""),ROW()-ROW(A$88)+1)),"##0")," "),"")</f>
        <v/>
      </c>
      <c r="S148" t="str">
        <f t="array" ref="S148">IFERROR(CONCATENATE((INDEX($A$7:$A$86,SMALL(IF($T$7:$T$86&lt;&gt;"",IF($Q$7:$Q$86&lt;&gt;"",ROW($Q$7:$Q$86)-MIN(ROW($Q$7:$Q$86))+1,""),""),ROW()-ROW(A$88)+1))),),"")</f>
        <v/>
      </c>
      <c r="W148" t="str">
        <f t="array" ref="W148">IFERROR(CONCATENATE((INDEX($Z$7:$Z$86,SMALL(IF($Z$7:$Z$86&lt;&gt;"",IF($W$7:$W$86&lt;&gt;"",ROW($W$7:$W$86)-MIN(ROW($W$7:$W$86))+1,""),""),ROW()-ROW(A$88)+1)))," "),"")</f>
        <v/>
      </c>
      <c r="X148" t="str">
        <f t="array" ref="X148">IFERROR(CONCATENATE(TEXT(INDEX($W$7:$W$86,SMALL(IF($Z$7:$Z$86&lt;&gt;"",IF($W$7:$W$86&lt;&gt;"",ROW($W$7:$W$86)-MIN(ROW($W$7:$W$86))+1,""),""),ROW()-ROW(A$88)+1)),"##0")," "),"")</f>
        <v/>
      </c>
      <c r="Y148" t="str">
        <f t="array" ref="Y148">IFERROR(CONCATENATE((INDEX($A$7:$A$86,SMALL(IF($Z$7:$Z$86&lt;&gt;"",IF($W$7:$W$86&lt;&gt;"",ROW($W$7:$W$86)-MIN(ROW($W$7:$W$86))+1,""),""),ROW()-ROW(A$88)+1))),),"")</f>
        <v/>
      </c>
      <c r="AC148" t="str">
        <f t="array" ref="AC148">IFERROR(CONCATENATE((INDEX($AF$7:$AF$86,SMALL(IF($AF$7:$AF$86&lt;&gt;"",IF($AC$7:$AC$86&lt;&gt;"",ROW($AC$7:$AC$86)-MIN(ROW($AC$7:$AC$86))+1,""),""),ROW()-ROW(A$88)+1))),","),"")</f>
        <v/>
      </c>
      <c r="AD148" t="str">
        <f t="array" ref="AD148">IFERROR(CONCATENATE(TEXT(INDEX($AC$7:$AC$86,SMALL(IF($AF$7:$AF$86&lt;&gt;"",IF($AC$7:$AC$86&lt;&gt;"",ROW($AC$7:$AC$86)-MIN(ROW($AC$7:$AC$86))+1,""),""),ROW()-ROW(A$88)+1)),"##0"),","),"")</f>
        <v/>
      </c>
      <c r="AE148" t="str">
        <f t="array" ref="AE148">IFERROR(CONCATENATE((INDEX($A$7:$A$86,SMALL(IF($AF$7:$AF$86&lt;&gt;"",IF($AC$7:$AC$86&lt;&gt;"",ROW($AC$7:$AC$86)-MIN(ROW($AC$7:$AC$86))+1,""),""),ROW()-ROW(A$88)+1))),),"")</f>
        <v/>
      </c>
      <c r="AI148" t="str">
        <f t="array" ref="AI148">IFERROR(CONCATENATE((INDEX($AL$7:$AL$86,SMALL(IF($AL$7:$AL$86&lt;&gt;"",IF($AI$7:$AI$86&lt;&gt;"",ROW($AI$7:$AI$86)-MIN(ROW($AI$7:$AI$86))+1,""),""),ROW()-ROW(A$88)+1)))," "),"")</f>
        <v/>
      </c>
      <c r="AJ148" t="str">
        <f t="array" ref="AJ148">IFERROR(CONCATENATE(TEXT(INDEX($AI$7:$AI$86,SMALL(IF($AL$7:$AL$86&lt;&gt;"",IF($AI$7:$AI$86&lt;&gt;"",ROW($AI$7:$AI$86)-MIN(ROW($AI$7:$AI$86))+1,""),""),ROW()-ROW(A$88)+1)),"##0")," "),"")</f>
        <v/>
      </c>
      <c r="AK148" t="str">
        <f t="array" ref="AK148">IFERROR(CONCATENATE((INDEX($A$7:$A$86,SMALL(IF($AL$7:$AL$86&lt;&gt;"",IF($AI$7:$AI$86&lt;&gt;"",ROW($AI$7:$AI$86)-MIN(ROW($AI$7:$AI$86))+1,""),""),ROW()-ROW(A$88)+1))),),"")</f>
        <v/>
      </c>
    </row>
    <row r="149" spans="11:37">
      <c r="K149" t="str">
        <f t="array" ref="K149">IFERROR(CONCATENATE(TEXT(INDEX($K$7:$K$86,SMALL(IF($N$7:$N$86&lt;&gt;"",IF($K$7:$K$86&lt;&gt;"",ROW($K$7:$K$86)-MIN(ROW($K$7:$K$86))+1,""),""),ROW()-ROW(A$88)+1)),"##0"),","),"")</f>
        <v/>
      </c>
      <c r="L149" t="str">
        <f t="array" ref="L149">IFERROR(CONCATENATE((INDEX($N$7:$N$86,SMALL(IF($N$7:$N$86&lt;&gt;"",IF($K$7:$K$86&lt;&gt;"",ROW($K$7:$K$86)-MIN(ROW($K$7:$K$86))+1,""),""),ROW()-ROW(A$88)+1))),","),"")</f>
        <v/>
      </c>
      <c r="M149" t="str">
        <f t="array" ref="M149">IFERROR(CONCATENATE((INDEX($A$7:$A$86,SMALL(IF($N$7:$N$86&lt;&gt;"",IF($K$7:$K$86&lt;&gt;"",ROW($K$7:$K$86)-MIN(ROW($K$7:$K$86))+1,""),""),ROW()-ROW(A$88)+1))),),"")</f>
        <v/>
      </c>
      <c r="Q149" t="str">
        <f t="array" ref="Q149">IFERROR(CONCATENATE((INDEX($T$7:$T$86,SMALL(IF($T$7:$T$86&lt;&gt;"",IF($Q$7:$Q$86&lt;&gt;"",ROW($Q$7:$Q$86)-MIN(ROW($Q$7:$Q$86))+1,""),""),ROW()-ROW(A$88)+1)))," "),"")</f>
        <v/>
      </c>
      <c r="R149" t="str">
        <f t="array" ref="R149">IFERROR(CONCATENATE(TEXT(INDEX($Q$7:$Q$86,SMALL(IF($T$7:$T$86&lt;&gt;"",IF($Q$7:$Q$86&lt;&gt;"",ROW($Q$7:$Q$86)-MIN(ROW($Q$7:$Q$86))+1,""),""),ROW()-ROW(A$88)+1)),"##0")," "),"")</f>
        <v/>
      </c>
      <c r="S149" t="str">
        <f t="array" ref="S149">IFERROR(CONCATENATE((INDEX($A$7:$A$86,SMALL(IF($T$7:$T$86&lt;&gt;"",IF($Q$7:$Q$86&lt;&gt;"",ROW($Q$7:$Q$86)-MIN(ROW($Q$7:$Q$86))+1,""),""),ROW()-ROW(A$88)+1))),),"")</f>
        <v/>
      </c>
      <c r="W149" t="str">
        <f t="array" ref="W149">IFERROR(CONCATENATE((INDEX($Z$7:$Z$86,SMALL(IF($Z$7:$Z$86&lt;&gt;"",IF($W$7:$W$86&lt;&gt;"",ROW($W$7:$W$86)-MIN(ROW($W$7:$W$86))+1,""),""),ROW()-ROW(A$88)+1)))," "),"")</f>
        <v/>
      </c>
      <c r="X149" t="str">
        <f t="array" ref="X149">IFERROR(CONCATENATE(TEXT(INDEX($W$7:$W$86,SMALL(IF($Z$7:$Z$86&lt;&gt;"",IF($W$7:$W$86&lt;&gt;"",ROW($W$7:$W$86)-MIN(ROW($W$7:$W$86))+1,""),""),ROW()-ROW(A$88)+1)),"##0")," "),"")</f>
        <v/>
      </c>
      <c r="Y149" t="str">
        <f t="array" ref="Y149">IFERROR(CONCATENATE((INDEX($A$7:$A$86,SMALL(IF($Z$7:$Z$86&lt;&gt;"",IF($W$7:$W$86&lt;&gt;"",ROW($W$7:$W$86)-MIN(ROW($W$7:$W$86))+1,""),""),ROW()-ROW(A$88)+1))),),"")</f>
        <v/>
      </c>
      <c r="AC149" t="str">
        <f t="array" ref="AC149">IFERROR(CONCATENATE((INDEX($AF$7:$AF$86,SMALL(IF($AF$7:$AF$86&lt;&gt;"",IF($AC$7:$AC$86&lt;&gt;"",ROW($AC$7:$AC$86)-MIN(ROW($AC$7:$AC$86))+1,""),""),ROW()-ROW(A$88)+1))),","),"")</f>
        <v/>
      </c>
      <c r="AD149" t="str">
        <f t="array" ref="AD149">IFERROR(CONCATENATE(TEXT(INDEX($AC$7:$AC$86,SMALL(IF($AF$7:$AF$86&lt;&gt;"",IF($AC$7:$AC$86&lt;&gt;"",ROW($AC$7:$AC$86)-MIN(ROW($AC$7:$AC$86))+1,""),""),ROW()-ROW(A$88)+1)),"##0"),","),"")</f>
        <v/>
      </c>
      <c r="AE149" t="str">
        <f t="array" ref="AE149">IFERROR(CONCATENATE((INDEX($A$7:$A$86,SMALL(IF($AF$7:$AF$86&lt;&gt;"",IF($AC$7:$AC$86&lt;&gt;"",ROW($AC$7:$AC$86)-MIN(ROW($AC$7:$AC$86))+1,""),""),ROW()-ROW(A$88)+1))),),"")</f>
        <v/>
      </c>
      <c r="AI149" t="str">
        <f t="array" ref="AI149">IFERROR(CONCATENATE((INDEX($AL$7:$AL$86,SMALL(IF($AL$7:$AL$86&lt;&gt;"",IF($AI$7:$AI$86&lt;&gt;"",ROW($AI$7:$AI$86)-MIN(ROW($AI$7:$AI$86))+1,""),""),ROW()-ROW(A$88)+1)))," "),"")</f>
        <v/>
      </c>
      <c r="AJ149" t="str">
        <f t="array" ref="AJ149">IFERROR(CONCATENATE(TEXT(INDEX($AI$7:$AI$86,SMALL(IF($AL$7:$AL$86&lt;&gt;"",IF($AI$7:$AI$86&lt;&gt;"",ROW($AI$7:$AI$86)-MIN(ROW($AI$7:$AI$86))+1,""),""),ROW()-ROW(A$88)+1)),"##0")," "),"")</f>
        <v/>
      </c>
      <c r="AK149" t="str">
        <f t="array" ref="AK149">IFERROR(CONCATENATE((INDEX($A$7:$A$86,SMALL(IF($AL$7:$AL$86&lt;&gt;"",IF($AI$7:$AI$86&lt;&gt;"",ROW($AI$7:$AI$86)-MIN(ROW($AI$7:$AI$86))+1,""),""),ROW()-ROW(A$88)+1))),),"")</f>
        <v/>
      </c>
    </row>
    <row r="150" spans="11:37">
      <c r="K150" t="str">
        <f t="array" ref="K150">IFERROR(CONCATENATE(TEXT(INDEX($K$7:$K$86,SMALL(IF($N$7:$N$86&lt;&gt;"",IF($K$7:$K$86&lt;&gt;"",ROW($K$7:$K$86)-MIN(ROW($K$7:$K$86))+1,""),""),ROW()-ROW(A$88)+1)),"##0"),","),"")</f>
        <v/>
      </c>
      <c r="L150" t="str">
        <f t="array" ref="L150">IFERROR(CONCATENATE((INDEX($N$7:$N$86,SMALL(IF($N$7:$N$86&lt;&gt;"",IF($K$7:$K$86&lt;&gt;"",ROW($K$7:$K$86)-MIN(ROW($K$7:$K$86))+1,""),""),ROW()-ROW(A$88)+1))),","),"")</f>
        <v/>
      </c>
      <c r="M150" t="str">
        <f t="array" ref="M150">IFERROR(CONCATENATE((INDEX($A$7:$A$86,SMALL(IF($N$7:$N$86&lt;&gt;"",IF($K$7:$K$86&lt;&gt;"",ROW($K$7:$K$86)-MIN(ROW($K$7:$K$86))+1,""),""),ROW()-ROW(A$88)+1))),),"")</f>
        <v/>
      </c>
      <c r="Q150" t="str">
        <f t="array" ref="Q150">IFERROR(CONCATENATE((INDEX($T$7:$T$86,SMALL(IF($T$7:$T$86&lt;&gt;"",IF($Q$7:$Q$86&lt;&gt;"",ROW($Q$7:$Q$86)-MIN(ROW($Q$7:$Q$86))+1,""),""),ROW()-ROW(A$88)+1)))," "),"")</f>
        <v/>
      </c>
      <c r="R150" t="str">
        <f t="array" ref="R150">IFERROR(CONCATENATE(TEXT(INDEX($Q$7:$Q$86,SMALL(IF($T$7:$T$86&lt;&gt;"",IF($Q$7:$Q$86&lt;&gt;"",ROW($Q$7:$Q$86)-MIN(ROW($Q$7:$Q$86))+1,""),""),ROW()-ROW(A$88)+1)),"##0")," "),"")</f>
        <v/>
      </c>
      <c r="S150" t="str">
        <f t="array" ref="S150">IFERROR(CONCATENATE((INDEX($A$7:$A$86,SMALL(IF($T$7:$T$86&lt;&gt;"",IF($Q$7:$Q$86&lt;&gt;"",ROW($Q$7:$Q$86)-MIN(ROW($Q$7:$Q$86))+1,""),""),ROW()-ROW(A$88)+1))),),"")</f>
        <v/>
      </c>
      <c r="W150" t="str">
        <f t="array" ref="W150">IFERROR(CONCATENATE((INDEX($Z$7:$Z$86,SMALL(IF($Z$7:$Z$86&lt;&gt;"",IF($W$7:$W$86&lt;&gt;"",ROW($W$7:$W$86)-MIN(ROW($W$7:$W$86))+1,""),""),ROW()-ROW(A$88)+1)))," "),"")</f>
        <v/>
      </c>
      <c r="X150" t="str">
        <f t="array" ref="X150">IFERROR(CONCATENATE(TEXT(INDEX($W$7:$W$86,SMALL(IF($Z$7:$Z$86&lt;&gt;"",IF($W$7:$W$86&lt;&gt;"",ROW($W$7:$W$86)-MIN(ROW($W$7:$W$86))+1,""),""),ROW()-ROW(A$88)+1)),"##0")," "),"")</f>
        <v/>
      </c>
      <c r="Y150" t="str">
        <f t="array" ref="Y150">IFERROR(CONCATENATE((INDEX($A$7:$A$86,SMALL(IF($Z$7:$Z$86&lt;&gt;"",IF($W$7:$W$86&lt;&gt;"",ROW($W$7:$W$86)-MIN(ROW($W$7:$W$86))+1,""),""),ROW()-ROW(A$88)+1))),),"")</f>
        <v/>
      </c>
      <c r="AC150" t="str">
        <f t="array" ref="AC150">IFERROR(CONCATENATE((INDEX($AF$7:$AF$86,SMALL(IF($AF$7:$AF$86&lt;&gt;"",IF($AC$7:$AC$86&lt;&gt;"",ROW($AC$7:$AC$86)-MIN(ROW($AC$7:$AC$86))+1,""),""),ROW()-ROW(A$88)+1))),","),"")</f>
        <v/>
      </c>
      <c r="AD150" t="str">
        <f t="array" ref="AD150">IFERROR(CONCATENATE(TEXT(INDEX($AC$7:$AC$86,SMALL(IF($AF$7:$AF$86&lt;&gt;"",IF($AC$7:$AC$86&lt;&gt;"",ROW($AC$7:$AC$86)-MIN(ROW($AC$7:$AC$86))+1,""),""),ROW()-ROW(A$88)+1)),"##0"),","),"")</f>
        <v/>
      </c>
      <c r="AE150" t="str">
        <f t="array" ref="AE150">IFERROR(CONCATENATE((INDEX($A$7:$A$86,SMALL(IF($AF$7:$AF$86&lt;&gt;"",IF($AC$7:$AC$86&lt;&gt;"",ROW($AC$7:$AC$86)-MIN(ROW($AC$7:$AC$86))+1,""),""),ROW()-ROW(A$88)+1))),),"")</f>
        <v/>
      </c>
      <c r="AI150" t="str">
        <f t="array" ref="AI150">IFERROR(CONCATENATE((INDEX($AL$7:$AL$86,SMALL(IF($AL$7:$AL$86&lt;&gt;"",IF($AI$7:$AI$86&lt;&gt;"",ROW($AI$7:$AI$86)-MIN(ROW($AI$7:$AI$86))+1,""),""),ROW()-ROW(A$88)+1)))," "),"")</f>
        <v/>
      </c>
      <c r="AJ150" t="str">
        <f t="array" ref="AJ150">IFERROR(CONCATENATE(TEXT(INDEX($AI$7:$AI$86,SMALL(IF($AL$7:$AL$86&lt;&gt;"",IF($AI$7:$AI$86&lt;&gt;"",ROW($AI$7:$AI$86)-MIN(ROW($AI$7:$AI$86))+1,""),""),ROW()-ROW(A$88)+1)),"##0")," "),"")</f>
        <v/>
      </c>
      <c r="AK150" t="str">
        <f t="array" ref="AK150">IFERROR(CONCATENATE((INDEX($A$7:$A$86,SMALL(IF($AL$7:$AL$86&lt;&gt;"",IF($AI$7:$AI$86&lt;&gt;"",ROW($AI$7:$AI$86)-MIN(ROW($AI$7:$AI$86))+1,""),""),ROW()-ROW(A$88)+1))),),"")</f>
        <v/>
      </c>
    </row>
    <row r="151" spans="11:37">
      <c r="K151" t="str">
        <f t="array" ref="K151">IFERROR(CONCATENATE(TEXT(INDEX($K$7:$K$86,SMALL(IF($N$7:$N$86&lt;&gt;"",IF($K$7:$K$86&lt;&gt;"",ROW($K$7:$K$86)-MIN(ROW($K$7:$K$86))+1,""),""),ROW()-ROW(A$88)+1)),"##0"),","),"")</f>
        <v/>
      </c>
      <c r="L151" t="str">
        <f t="array" ref="L151">IFERROR(CONCATENATE((INDEX($N$7:$N$86,SMALL(IF($N$7:$N$86&lt;&gt;"",IF($K$7:$K$86&lt;&gt;"",ROW($K$7:$K$86)-MIN(ROW($K$7:$K$86))+1,""),""),ROW()-ROW(A$88)+1))),","),"")</f>
        <v/>
      </c>
      <c r="M151" t="str">
        <f t="array" ref="M151">IFERROR(CONCATENATE((INDEX($A$7:$A$86,SMALL(IF($N$7:$N$86&lt;&gt;"",IF($K$7:$K$86&lt;&gt;"",ROW($K$7:$K$86)-MIN(ROW($K$7:$K$86))+1,""),""),ROW()-ROW(A$88)+1))),),"")</f>
        <v/>
      </c>
      <c r="Q151" t="str">
        <f t="array" ref="Q151">IFERROR(CONCATENATE((INDEX($T$7:$T$86,SMALL(IF($T$7:$T$86&lt;&gt;"",IF($Q$7:$Q$86&lt;&gt;"",ROW($Q$7:$Q$86)-MIN(ROW($Q$7:$Q$86))+1,""),""),ROW()-ROW(A$88)+1)))," "),"")</f>
        <v/>
      </c>
      <c r="R151" t="str">
        <f t="array" ref="R151">IFERROR(CONCATENATE(TEXT(INDEX($Q$7:$Q$86,SMALL(IF($T$7:$T$86&lt;&gt;"",IF($Q$7:$Q$86&lt;&gt;"",ROW($Q$7:$Q$86)-MIN(ROW($Q$7:$Q$86))+1,""),""),ROW()-ROW(A$88)+1)),"##0")," "),"")</f>
        <v/>
      </c>
      <c r="S151" t="str">
        <f t="array" ref="S151">IFERROR(CONCATENATE((INDEX($A$7:$A$86,SMALL(IF($T$7:$T$86&lt;&gt;"",IF($Q$7:$Q$86&lt;&gt;"",ROW($Q$7:$Q$86)-MIN(ROW($Q$7:$Q$86))+1,""),""),ROW()-ROW(A$88)+1))),),"")</f>
        <v/>
      </c>
      <c r="W151" t="str">
        <f t="array" ref="W151">IFERROR(CONCATENATE((INDEX($Z$7:$Z$86,SMALL(IF($Z$7:$Z$86&lt;&gt;"",IF($W$7:$W$86&lt;&gt;"",ROW($W$7:$W$86)-MIN(ROW($W$7:$W$86))+1,""),""),ROW()-ROW(A$88)+1)))," "),"")</f>
        <v/>
      </c>
      <c r="X151" t="str">
        <f t="array" ref="X151">IFERROR(CONCATENATE(TEXT(INDEX($W$7:$W$86,SMALL(IF($Z$7:$Z$86&lt;&gt;"",IF($W$7:$W$86&lt;&gt;"",ROW($W$7:$W$86)-MIN(ROW($W$7:$W$86))+1,""),""),ROW()-ROW(A$88)+1)),"##0")," "),"")</f>
        <v/>
      </c>
      <c r="Y151" t="str">
        <f t="array" ref="Y151">IFERROR(CONCATENATE((INDEX($A$7:$A$86,SMALL(IF($Z$7:$Z$86&lt;&gt;"",IF($W$7:$W$86&lt;&gt;"",ROW($W$7:$W$86)-MIN(ROW($W$7:$W$86))+1,""),""),ROW()-ROW(A$88)+1))),),"")</f>
        <v/>
      </c>
      <c r="AC151" t="str">
        <f t="array" ref="AC151">IFERROR(CONCATENATE((INDEX($AF$7:$AF$86,SMALL(IF($AF$7:$AF$86&lt;&gt;"",IF($AC$7:$AC$86&lt;&gt;"",ROW($AC$7:$AC$86)-MIN(ROW($AC$7:$AC$86))+1,""),""),ROW()-ROW(A$88)+1))),","),"")</f>
        <v/>
      </c>
      <c r="AD151" t="str">
        <f t="array" ref="AD151">IFERROR(CONCATENATE(TEXT(INDEX($AC$7:$AC$86,SMALL(IF($AF$7:$AF$86&lt;&gt;"",IF($AC$7:$AC$86&lt;&gt;"",ROW($AC$7:$AC$86)-MIN(ROW($AC$7:$AC$86))+1,""),""),ROW()-ROW(A$88)+1)),"##0"),","),"")</f>
        <v/>
      </c>
      <c r="AE151" t="str">
        <f t="array" ref="AE151">IFERROR(CONCATENATE((INDEX($A$7:$A$86,SMALL(IF($AF$7:$AF$86&lt;&gt;"",IF($AC$7:$AC$86&lt;&gt;"",ROW($AC$7:$AC$86)-MIN(ROW($AC$7:$AC$86))+1,""),""),ROW()-ROW(A$88)+1))),),"")</f>
        <v/>
      </c>
      <c r="AI151" t="str">
        <f t="array" ref="AI151">IFERROR(CONCATENATE((INDEX($AL$7:$AL$86,SMALL(IF($AL$7:$AL$86&lt;&gt;"",IF($AI$7:$AI$86&lt;&gt;"",ROW($AI$7:$AI$86)-MIN(ROW($AI$7:$AI$86))+1,""),""),ROW()-ROW(A$88)+1)))," "),"")</f>
        <v/>
      </c>
      <c r="AJ151" t="str">
        <f t="array" ref="AJ151">IFERROR(CONCATENATE(TEXT(INDEX($AI$7:$AI$86,SMALL(IF($AL$7:$AL$86&lt;&gt;"",IF($AI$7:$AI$86&lt;&gt;"",ROW($AI$7:$AI$86)-MIN(ROW($AI$7:$AI$86))+1,""),""),ROW()-ROW(A$88)+1)),"##0")," "),"")</f>
        <v/>
      </c>
      <c r="AK151" t="str">
        <f t="array" ref="AK151">IFERROR(CONCATENATE((INDEX($A$7:$A$86,SMALL(IF($AL$7:$AL$86&lt;&gt;"",IF($AI$7:$AI$86&lt;&gt;"",ROW($AI$7:$AI$86)-MIN(ROW($AI$7:$AI$86))+1,""),""),ROW()-ROW(A$88)+1))),),"")</f>
        <v/>
      </c>
    </row>
    <row r="152" spans="11:37">
      <c r="K152" t="str">
        <f t="array" ref="K152">IFERROR(CONCATENATE(TEXT(INDEX($K$7:$K$86,SMALL(IF($N$7:$N$86&lt;&gt;"",IF($K$7:$K$86&lt;&gt;"",ROW($K$7:$K$86)-MIN(ROW($K$7:$K$86))+1,""),""),ROW()-ROW(A$88)+1)),"##0"),","),"")</f>
        <v/>
      </c>
      <c r="L152" t="str">
        <f t="array" ref="L152">IFERROR(CONCATENATE((INDEX($N$7:$N$86,SMALL(IF($N$7:$N$86&lt;&gt;"",IF($K$7:$K$86&lt;&gt;"",ROW($K$7:$K$86)-MIN(ROW($K$7:$K$86))+1,""),""),ROW()-ROW(A$88)+1))),","),"")</f>
        <v/>
      </c>
      <c r="M152" t="str">
        <f t="array" ref="M152">IFERROR(CONCATENATE((INDEX($A$7:$A$86,SMALL(IF($N$7:$N$86&lt;&gt;"",IF($K$7:$K$86&lt;&gt;"",ROW($K$7:$K$86)-MIN(ROW($K$7:$K$86))+1,""),""),ROW()-ROW(A$88)+1))),),"")</f>
        <v/>
      </c>
      <c r="Q152" t="str">
        <f t="array" ref="Q152">IFERROR(CONCATENATE((INDEX($T$7:$T$86,SMALL(IF($T$7:$T$86&lt;&gt;"",IF($Q$7:$Q$86&lt;&gt;"",ROW($Q$7:$Q$86)-MIN(ROW($Q$7:$Q$86))+1,""),""),ROW()-ROW(A$88)+1)))," "),"")</f>
        <v/>
      </c>
      <c r="R152" t="str">
        <f t="array" ref="R152">IFERROR(CONCATENATE(TEXT(INDEX($Q$7:$Q$86,SMALL(IF($T$7:$T$86&lt;&gt;"",IF($Q$7:$Q$86&lt;&gt;"",ROW($Q$7:$Q$86)-MIN(ROW($Q$7:$Q$86))+1,""),""),ROW()-ROW(A$88)+1)),"##0")," "),"")</f>
        <v/>
      </c>
      <c r="S152" t="str">
        <f t="array" ref="S152">IFERROR(CONCATENATE((INDEX($A$7:$A$86,SMALL(IF($T$7:$T$86&lt;&gt;"",IF($Q$7:$Q$86&lt;&gt;"",ROW($Q$7:$Q$86)-MIN(ROW($Q$7:$Q$86))+1,""),""),ROW()-ROW(A$88)+1))),),"")</f>
        <v/>
      </c>
      <c r="W152" t="str">
        <f t="array" ref="W152">IFERROR(CONCATENATE((INDEX($Z$7:$Z$86,SMALL(IF($Z$7:$Z$86&lt;&gt;"",IF($W$7:$W$86&lt;&gt;"",ROW($W$7:$W$86)-MIN(ROW($W$7:$W$86))+1,""),""),ROW()-ROW(A$88)+1)))," "),"")</f>
        <v/>
      </c>
      <c r="X152" t="str">
        <f t="array" ref="X152">IFERROR(CONCATENATE(TEXT(INDEX($W$7:$W$86,SMALL(IF($Z$7:$Z$86&lt;&gt;"",IF($W$7:$W$86&lt;&gt;"",ROW($W$7:$W$86)-MIN(ROW($W$7:$W$86))+1,""),""),ROW()-ROW(A$88)+1)),"##0")," "),"")</f>
        <v/>
      </c>
      <c r="Y152" t="str">
        <f t="array" ref="Y152">IFERROR(CONCATENATE((INDEX($A$7:$A$86,SMALL(IF($Z$7:$Z$86&lt;&gt;"",IF($W$7:$W$86&lt;&gt;"",ROW($W$7:$W$86)-MIN(ROW($W$7:$W$86))+1,""),""),ROW()-ROW(A$88)+1))),),"")</f>
        <v/>
      </c>
      <c r="AC152" t="str">
        <f t="array" ref="AC152">IFERROR(CONCATENATE((INDEX($AF$7:$AF$86,SMALL(IF($AF$7:$AF$86&lt;&gt;"",IF($AC$7:$AC$86&lt;&gt;"",ROW($AC$7:$AC$86)-MIN(ROW($AC$7:$AC$86))+1,""),""),ROW()-ROW(A$88)+1))),","),"")</f>
        <v/>
      </c>
      <c r="AD152" t="str">
        <f t="array" ref="AD152">IFERROR(CONCATENATE(TEXT(INDEX($AC$7:$AC$86,SMALL(IF($AF$7:$AF$86&lt;&gt;"",IF($AC$7:$AC$86&lt;&gt;"",ROW($AC$7:$AC$86)-MIN(ROW($AC$7:$AC$86))+1,""),""),ROW()-ROW(A$88)+1)),"##0"),","),"")</f>
        <v/>
      </c>
      <c r="AE152" t="str">
        <f t="array" ref="AE152">IFERROR(CONCATENATE((INDEX($A$7:$A$86,SMALL(IF($AF$7:$AF$86&lt;&gt;"",IF($AC$7:$AC$86&lt;&gt;"",ROW($AC$7:$AC$86)-MIN(ROW($AC$7:$AC$86))+1,""),""),ROW()-ROW(A$88)+1))),),"")</f>
        <v/>
      </c>
      <c r="AI152" t="str">
        <f t="array" ref="AI152">IFERROR(CONCATENATE((INDEX($AL$7:$AL$86,SMALL(IF($AL$7:$AL$86&lt;&gt;"",IF($AI$7:$AI$86&lt;&gt;"",ROW($AI$7:$AI$86)-MIN(ROW($AI$7:$AI$86))+1,""),""),ROW()-ROW(A$88)+1)))," "),"")</f>
        <v/>
      </c>
      <c r="AJ152" t="str">
        <f t="array" ref="AJ152">IFERROR(CONCATENATE(TEXT(INDEX($AI$7:$AI$86,SMALL(IF($AL$7:$AL$86&lt;&gt;"",IF($AI$7:$AI$86&lt;&gt;"",ROW($AI$7:$AI$86)-MIN(ROW($AI$7:$AI$86))+1,""),""),ROW()-ROW(A$88)+1)),"##0")," "),"")</f>
        <v/>
      </c>
      <c r="AK152" t="str">
        <f t="array" ref="AK152">IFERROR(CONCATENATE((INDEX($A$7:$A$86,SMALL(IF($AL$7:$AL$86&lt;&gt;"",IF($AI$7:$AI$86&lt;&gt;"",ROW($AI$7:$AI$86)-MIN(ROW($AI$7:$AI$86))+1,""),""),ROW()-ROW(A$88)+1))),),"")</f>
        <v/>
      </c>
    </row>
    <row r="153" spans="11:37">
      <c r="K153" t="str">
        <f t="array" ref="K153">IFERROR(CONCATENATE(TEXT(INDEX($K$7:$K$86,SMALL(IF($N$7:$N$86&lt;&gt;"",IF($K$7:$K$86&lt;&gt;"",ROW($K$7:$K$86)-MIN(ROW($K$7:$K$86))+1,""),""),ROW()-ROW(A$88)+1)),"##0"),","),"")</f>
        <v/>
      </c>
      <c r="L153" t="str">
        <f t="array" ref="L153">IFERROR(CONCATENATE((INDEX($N$7:$N$86,SMALL(IF($N$7:$N$86&lt;&gt;"",IF($K$7:$K$86&lt;&gt;"",ROW($K$7:$K$86)-MIN(ROW($K$7:$K$86))+1,""),""),ROW()-ROW(A$88)+1))),","),"")</f>
        <v/>
      </c>
      <c r="M153" t="str">
        <f t="array" ref="M153">IFERROR(CONCATENATE((INDEX($A$7:$A$86,SMALL(IF($N$7:$N$86&lt;&gt;"",IF($K$7:$K$86&lt;&gt;"",ROW($K$7:$K$86)-MIN(ROW($K$7:$K$86))+1,""),""),ROW()-ROW(A$88)+1))),),"")</f>
        <v/>
      </c>
      <c r="Q153" t="str">
        <f t="array" ref="Q153">IFERROR(CONCATENATE((INDEX($T$7:$T$86,SMALL(IF($T$7:$T$86&lt;&gt;"",IF($Q$7:$Q$86&lt;&gt;"",ROW($Q$7:$Q$86)-MIN(ROW($Q$7:$Q$86))+1,""),""),ROW()-ROW(A$88)+1)))," "),"")</f>
        <v/>
      </c>
      <c r="R153" t="str">
        <f t="array" ref="R153">IFERROR(CONCATENATE(TEXT(INDEX($Q$7:$Q$86,SMALL(IF($T$7:$T$86&lt;&gt;"",IF($Q$7:$Q$86&lt;&gt;"",ROW($Q$7:$Q$86)-MIN(ROW($Q$7:$Q$86))+1,""),""),ROW()-ROW(A$88)+1)),"##0")," "),"")</f>
        <v/>
      </c>
      <c r="S153" t="str">
        <f t="array" ref="S153">IFERROR(CONCATENATE((INDEX($A$7:$A$86,SMALL(IF($T$7:$T$86&lt;&gt;"",IF($Q$7:$Q$86&lt;&gt;"",ROW($Q$7:$Q$86)-MIN(ROW($Q$7:$Q$86))+1,""),""),ROW()-ROW(A$88)+1))),),"")</f>
        <v/>
      </c>
      <c r="W153" t="str">
        <f t="array" ref="W153">IFERROR(CONCATENATE((INDEX($Z$7:$Z$86,SMALL(IF($Z$7:$Z$86&lt;&gt;"",IF($W$7:$W$86&lt;&gt;"",ROW($W$7:$W$86)-MIN(ROW($W$7:$W$86))+1,""),""),ROW()-ROW(A$88)+1)))," "),"")</f>
        <v/>
      </c>
      <c r="X153" t="str">
        <f t="array" ref="X153">IFERROR(CONCATENATE(TEXT(INDEX($W$7:$W$86,SMALL(IF($Z$7:$Z$86&lt;&gt;"",IF($W$7:$W$86&lt;&gt;"",ROW($W$7:$W$86)-MIN(ROW($W$7:$W$86))+1,""),""),ROW()-ROW(A$88)+1)),"##0")," "),"")</f>
        <v/>
      </c>
      <c r="Y153" t="str">
        <f t="array" ref="Y153">IFERROR(CONCATENATE((INDEX($A$7:$A$86,SMALL(IF($Z$7:$Z$86&lt;&gt;"",IF($W$7:$W$86&lt;&gt;"",ROW($W$7:$W$86)-MIN(ROW($W$7:$W$86))+1,""),""),ROW()-ROW(A$88)+1))),),"")</f>
        <v/>
      </c>
      <c r="AC153" t="str">
        <f t="array" ref="AC153">IFERROR(CONCATENATE((INDEX($AF$7:$AF$86,SMALL(IF($AF$7:$AF$86&lt;&gt;"",IF($AC$7:$AC$86&lt;&gt;"",ROW($AC$7:$AC$86)-MIN(ROW($AC$7:$AC$86))+1,""),""),ROW()-ROW(A$88)+1))),","),"")</f>
        <v/>
      </c>
      <c r="AD153" t="str">
        <f t="array" ref="AD153">IFERROR(CONCATENATE(TEXT(INDEX($AC$7:$AC$86,SMALL(IF($AF$7:$AF$86&lt;&gt;"",IF($AC$7:$AC$86&lt;&gt;"",ROW($AC$7:$AC$86)-MIN(ROW($AC$7:$AC$86))+1,""),""),ROW()-ROW(A$88)+1)),"##0"),","),"")</f>
        <v/>
      </c>
      <c r="AE153" t="str">
        <f t="array" ref="AE153">IFERROR(CONCATENATE((INDEX($A$7:$A$86,SMALL(IF($AF$7:$AF$86&lt;&gt;"",IF($AC$7:$AC$86&lt;&gt;"",ROW($AC$7:$AC$86)-MIN(ROW($AC$7:$AC$86))+1,""),""),ROW()-ROW(A$88)+1))),),"")</f>
        <v/>
      </c>
      <c r="AI153" t="str">
        <f t="array" ref="AI153">IFERROR(CONCATENATE((INDEX($AL$7:$AL$86,SMALL(IF($AL$7:$AL$86&lt;&gt;"",IF($AI$7:$AI$86&lt;&gt;"",ROW($AI$7:$AI$86)-MIN(ROW($AI$7:$AI$86))+1,""),""),ROW()-ROW(A$88)+1)))," "),"")</f>
        <v/>
      </c>
      <c r="AJ153" t="str">
        <f t="array" ref="AJ153">IFERROR(CONCATENATE(TEXT(INDEX($AI$7:$AI$86,SMALL(IF($AL$7:$AL$86&lt;&gt;"",IF($AI$7:$AI$86&lt;&gt;"",ROW($AI$7:$AI$86)-MIN(ROW($AI$7:$AI$86))+1,""),""),ROW()-ROW(A$88)+1)),"##0")," "),"")</f>
        <v/>
      </c>
      <c r="AK153" t="str">
        <f t="array" ref="AK153">IFERROR(CONCATENATE((INDEX($A$7:$A$86,SMALL(IF($AL$7:$AL$86&lt;&gt;"",IF($AI$7:$AI$86&lt;&gt;"",ROW($AI$7:$AI$86)-MIN(ROW($AI$7:$AI$86))+1,""),""),ROW()-ROW(A$88)+1))),),"")</f>
        <v/>
      </c>
    </row>
    <row r="154" spans="11:37">
      <c r="K154" t="str">
        <f t="array" ref="K154">IFERROR(CONCATENATE(TEXT(INDEX($K$7:$K$86,SMALL(IF($N$7:$N$86&lt;&gt;"",IF($K$7:$K$86&lt;&gt;"",ROW($K$7:$K$86)-MIN(ROW($K$7:$K$86))+1,""),""),ROW()-ROW(A$88)+1)),"##0"),","),"")</f>
        <v/>
      </c>
      <c r="L154" t="str">
        <f t="array" ref="L154">IFERROR(CONCATENATE((INDEX($N$7:$N$86,SMALL(IF($N$7:$N$86&lt;&gt;"",IF($K$7:$K$86&lt;&gt;"",ROW($K$7:$K$86)-MIN(ROW($K$7:$K$86))+1,""),""),ROW()-ROW(A$88)+1))),","),"")</f>
        <v/>
      </c>
      <c r="M154" t="str">
        <f t="array" ref="M154">IFERROR(CONCATENATE((INDEX($A$7:$A$86,SMALL(IF($N$7:$N$86&lt;&gt;"",IF($K$7:$K$86&lt;&gt;"",ROW($K$7:$K$86)-MIN(ROW($K$7:$K$86))+1,""),""),ROW()-ROW(A$88)+1))),),"")</f>
        <v/>
      </c>
      <c r="Q154" t="str">
        <f t="array" ref="Q154">IFERROR(CONCATENATE((INDEX($T$7:$T$86,SMALL(IF($T$7:$T$86&lt;&gt;"",IF($Q$7:$Q$86&lt;&gt;"",ROW($Q$7:$Q$86)-MIN(ROW($Q$7:$Q$86))+1,""),""),ROW()-ROW(A$88)+1)))," "),"")</f>
        <v/>
      </c>
      <c r="R154" t="str">
        <f t="array" ref="R154">IFERROR(CONCATENATE(TEXT(INDEX($Q$7:$Q$86,SMALL(IF($T$7:$T$86&lt;&gt;"",IF($Q$7:$Q$86&lt;&gt;"",ROW($Q$7:$Q$86)-MIN(ROW($Q$7:$Q$86))+1,""),""),ROW()-ROW(A$88)+1)),"##0")," "),"")</f>
        <v/>
      </c>
      <c r="S154" t="str">
        <f t="array" ref="S154">IFERROR(CONCATENATE((INDEX($A$7:$A$86,SMALL(IF($T$7:$T$86&lt;&gt;"",IF($Q$7:$Q$86&lt;&gt;"",ROW($Q$7:$Q$86)-MIN(ROW($Q$7:$Q$86))+1,""),""),ROW()-ROW(A$88)+1))),),"")</f>
        <v/>
      </c>
      <c r="W154" t="str">
        <f t="array" ref="W154">IFERROR(CONCATENATE((INDEX($Z$7:$Z$86,SMALL(IF($Z$7:$Z$86&lt;&gt;"",IF($W$7:$W$86&lt;&gt;"",ROW($W$7:$W$86)-MIN(ROW($W$7:$W$86))+1,""),""),ROW()-ROW(A$88)+1)))," "),"")</f>
        <v/>
      </c>
      <c r="X154" t="str">
        <f t="array" ref="X154">IFERROR(CONCATENATE(TEXT(INDEX($W$7:$W$86,SMALL(IF($Z$7:$Z$86&lt;&gt;"",IF($W$7:$W$86&lt;&gt;"",ROW($W$7:$W$86)-MIN(ROW($W$7:$W$86))+1,""),""),ROW()-ROW(A$88)+1)),"##0")," "),"")</f>
        <v/>
      </c>
      <c r="Y154" t="str">
        <f t="array" ref="Y154">IFERROR(CONCATENATE((INDEX($A$7:$A$86,SMALL(IF($Z$7:$Z$86&lt;&gt;"",IF($W$7:$W$86&lt;&gt;"",ROW($W$7:$W$86)-MIN(ROW($W$7:$W$86))+1,""),""),ROW()-ROW(A$88)+1))),),"")</f>
        <v/>
      </c>
      <c r="AC154" t="str">
        <f t="array" ref="AC154">IFERROR(CONCATENATE((INDEX($AF$7:$AF$86,SMALL(IF($AF$7:$AF$86&lt;&gt;"",IF($AC$7:$AC$86&lt;&gt;"",ROW($AC$7:$AC$86)-MIN(ROW($AC$7:$AC$86))+1,""),""),ROW()-ROW(A$88)+1))),","),"")</f>
        <v/>
      </c>
      <c r="AD154" t="str">
        <f t="array" ref="AD154">IFERROR(CONCATENATE(TEXT(INDEX($AC$7:$AC$86,SMALL(IF($AF$7:$AF$86&lt;&gt;"",IF($AC$7:$AC$86&lt;&gt;"",ROW($AC$7:$AC$86)-MIN(ROW($AC$7:$AC$86))+1,""),""),ROW()-ROW(A$88)+1)),"##0"),","),"")</f>
        <v/>
      </c>
      <c r="AE154" t="str">
        <f t="array" ref="AE154">IFERROR(CONCATENATE((INDEX($A$7:$A$86,SMALL(IF($AF$7:$AF$86&lt;&gt;"",IF($AC$7:$AC$86&lt;&gt;"",ROW($AC$7:$AC$86)-MIN(ROW($AC$7:$AC$86))+1,""),""),ROW()-ROW(A$88)+1))),),"")</f>
        <v/>
      </c>
      <c r="AI154" t="str">
        <f t="array" ref="AI154">IFERROR(CONCATENATE((INDEX($AL$7:$AL$86,SMALL(IF($AL$7:$AL$86&lt;&gt;"",IF($AI$7:$AI$86&lt;&gt;"",ROW($AI$7:$AI$86)-MIN(ROW($AI$7:$AI$86))+1,""),""),ROW()-ROW(A$88)+1)))," "),"")</f>
        <v/>
      </c>
      <c r="AJ154" t="str">
        <f t="array" ref="AJ154">IFERROR(CONCATENATE(TEXT(INDEX($AI$7:$AI$86,SMALL(IF($AL$7:$AL$86&lt;&gt;"",IF($AI$7:$AI$86&lt;&gt;"",ROW($AI$7:$AI$86)-MIN(ROW($AI$7:$AI$86))+1,""),""),ROW()-ROW(A$88)+1)),"##0")," "),"")</f>
        <v/>
      </c>
      <c r="AK154" t="str">
        <f t="array" ref="AK154">IFERROR(CONCATENATE((INDEX($A$7:$A$86,SMALL(IF($AL$7:$AL$86&lt;&gt;"",IF($AI$7:$AI$86&lt;&gt;"",ROW($AI$7:$AI$86)-MIN(ROW($AI$7:$AI$86))+1,""),""),ROW()-ROW(A$88)+1))),),"")</f>
        <v/>
      </c>
    </row>
    <row r="155" spans="11:37">
      <c r="K155" t="str">
        <f t="array" ref="K155">IFERROR(CONCATENATE(TEXT(INDEX($K$7:$K$86,SMALL(IF($N$7:$N$86&lt;&gt;"",IF($K$7:$K$86&lt;&gt;"",ROW($K$7:$K$86)-MIN(ROW($K$7:$K$86))+1,""),""),ROW()-ROW(A$88)+1)),"##0"),","),"")</f>
        <v/>
      </c>
      <c r="L155" t="str">
        <f t="array" ref="L155">IFERROR(CONCATENATE((INDEX($N$7:$N$86,SMALL(IF($N$7:$N$86&lt;&gt;"",IF($K$7:$K$86&lt;&gt;"",ROW($K$7:$K$86)-MIN(ROW($K$7:$K$86))+1,""),""),ROW()-ROW(A$88)+1))),","),"")</f>
        <v/>
      </c>
      <c r="M155" t="str">
        <f t="array" ref="M155">IFERROR(CONCATENATE((INDEX($A$7:$A$86,SMALL(IF($N$7:$N$86&lt;&gt;"",IF($K$7:$K$86&lt;&gt;"",ROW($K$7:$K$86)-MIN(ROW($K$7:$K$86))+1,""),""),ROW()-ROW(A$88)+1))),),"")</f>
        <v/>
      </c>
      <c r="Q155" t="str">
        <f t="array" ref="Q155">IFERROR(CONCATENATE((INDEX($T$7:$T$86,SMALL(IF($T$7:$T$86&lt;&gt;"",IF($Q$7:$Q$86&lt;&gt;"",ROW($Q$7:$Q$86)-MIN(ROW($Q$7:$Q$86))+1,""),""),ROW()-ROW(A$88)+1)))," "),"")</f>
        <v/>
      </c>
      <c r="R155" t="str">
        <f t="array" ref="R155">IFERROR(CONCATENATE(TEXT(INDEX($Q$7:$Q$86,SMALL(IF($T$7:$T$86&lt;&gt;"",IF($Q$7:$Q$86&lt;&gt;"",ROW($Q$7:$Q$86)-MIN(ROW($Q$7:$Q$86))+1,""),""),ROW()-ROW(A$88)+1)),"##0")," "),"")</f>
        <v/>
      </c>
      <c r="S155" t="str">
        <f t="array" ref="S155">IFERROR(CONCATENATE((INDEX($A$7:$A$86,SMALL(IF($T$7:$T$86&lt;&gt;"",IF($Q$7:$Q$86&lt;&gt;"",ROW($Q$7:$Q$86)-MIN(ROW($Q$7:$Q$86))+1,""),""),ROW()-ROW(A$88)+1))),),"")</f>
        <v/>
      </c>
      <c r="W155" t="str">
        <f t="array" ref="W155">IFERROR(CONCATENATE((INDEX($Z$7:$Z$86,SMALL(IF($Z$7:$Z$86&lt;&gt;"",IF($W$7:$W$86&lt;&gt;"",ROW($W$7:$W$86)-MIN(ROW($W$7:$W$86))+1,""),""),ROW()-ROW(A$88)+1)))," "),"")</f>
        <v/>
      </c>
      <c r="X155" t="str">
        <f t="array" ref="X155">IFERROR(CONCATENATE(TEXT(INDEX($W$7:$W$86,SMALL(IF($Z$7:$Z$86&lt;&gt;"",IF($W$7:$W$86&lt;&gt;"",ROW($W$7:$W$86)-MIN(ROW($W$7:$W$86))+1,""),""),ROW()-ROW(A$88)+1)),"##0")," "),"")</f>
        <v/>
      </c>
      <c r="Y155" t="str">
        <f t="array" ref="Y155">IFERROR(CONCATENATE((INDEX($A$7:$A$86,SMALL(IF($Z$7:$Z$86&lt;&gt;"",IF($W$7:$W$86&lt;&gt;"",ROW($W$7:$W$86)-MIN(ROW($W$7:$W$86))+1,""),""),ROW()-ROW(A$88)+1))),),"")</f>
        <v/>
      </c>
      <c r="AC155" t="str">
        <f t="array" ref="AC155">IFERROR(CONCATENATE((INDEX($AF$7:$AF$86,SMALL(IF($AF$7:$AF$86&lt;&gt;"",IF($AC$7:$AC$86&lt;&gt;"",ROW($AC$7:$AC$86)-MIN(ROW($AC$7:$AC$86))+1,""),""),ROW()-ROW(A$88)+1))),","),"")</f>
        <v/>
      </c>
      <c r="AD155" t="str">
        <f t="array" ref="AD155">IFERROR(CONCATENATE(TEXT(INDEX($AC$7:$AC$86,SMALL(IF($AF$7:$AF$86&lt;&gt;"",IF($AC$7:$AC$86&lt;&gt;"",ROW($AC$7:$AC$86)-MIN(ROW($AC$7:$AC$86))+1,""),""),ROW()-ROW(A$88)+1)),"##0"),","),"")</f>
        <v/>
      </c>
      <c r="AE155" t="str">
        <f t="array" ref="AE155">IFERROR(CONCATENATE((INDEX($A$7:$A$86,SMALL(IF($AF$7:$AF$86&lt;&gt;"",IF($AC$7:$AC$86&lt;&gt;"",ROW($AC$7:$AC$86)-MIN(ROW($AC$7:$AC$86))+1,""),""),ROW()-ROW(A$88)+1))),),"")</f>
        <v/>
      </c>
      <c r="AI155" t="str">
        <f t="array" ref="AI155">IFERROR(CONCATENATE((INDEX($AL$7:$AL$86,SMALL(IF($AL$7:$AL$86&lt;&gt;"",IF($AI$7:$AI$86&lt;&gt;"",ROW($AI$7:$AI$86)-MIN(ROW($AI$7:$AI$86))+1,""),""),ROW()-ROW(A$88)+1)))," "),"")</f>
        <v/>
      </c>
      <c r="AJ155" t="str">
        <f t="array" ref="AJ155">IFERROR(CONCATENATE(TEXT(INDEX($AI$7:$AI$86,SMALL(IF($AL$7:$AL$86&lt;&gt;"",IF($AI$7:$AI$86&lt;&gt;"",ROW($AI$7:$AI$86)-MIN(ROW($AI$7:$AI$86))+1,""),""),ROW()-ROW(A$88)+1)),"##0")," "),"")</f>
        <v/>
      </c>
      <c r="AK155" t="str">
        <f t="array" ref="AK155">IFERROR(CONCATENATE((INDEX($A$7:$A$86,SMALL(IF($AL$7:$AL$86&lt;&gt;"",IF($AI$7:$AI$86&lt;&gt;"",ROW($AI$7:$AI$86)-MIN(ROW($AI$7:$AI$86))+1,""),""),ROW()-ROW(A$88)+1))),),"")</f>
        <v/>
      </c>
    </row>
    <row r="156" spans="11:37">
      <c r="K156" t="str">
        <f t="array" ref="K156">IFERROR(CONCATENATE(TEXT(INDEX($K$7:$K$86,SMALL(IF($N$7:$N$86&lt;&gt;"",IF($K$7:$K$86&lt;&gt;"",ROW($K$7:$K$86)-MIN(ROW($K$7:$K$86))+1,""),""),ROW()-ROW(A$88)+1)),"##0"),","),"")</f>
        <v/>
      </c>
      <c r="L156" t="str">
        <f t="array" ref="L156">IFERROR(CONCATENATE((INDEX($N$7:$N$86,SMALL(IF($N$7:$N$86&lt;&gt;"",IF($K$7:$K$86&lt;&gt;"",ROW($K$7:$K$86)-MIN(ROW($K$7:$K$86))+1,""),""),ROW()-ROW(A$88)+1))),","),"")</f>
        <v/>
      </c>
      <c r="M156" t="str">
        <f t="array" ref="M156">IFERROR(CONCATENATE((INDEX($A$7:$A$86,SMALL(IF($N$7:$N$86&lt;&gt;"",IF($K$7:$K$86&lt;&gt;"",ROW($K$7:$K$86)-MIN(ROW($K$7:$K$86))+1,""),""),ROW()-ROW(A$88)+1))),),"")</f>
        <v/>
      </c>
      <c r="Q156" t="str">
        <f t="array" ref="Q156">IFERROR(CONCATENATE((INDEX($T$7:$T$86,SMALL(IF($T$7:$T$86&lt;&gt;"",IF($Q$7:$Q$86&lt;&gt;"",ROW($Q$7:$Q$86)-MIN(ROW($Q$7:$Q$86))+1,""),""),ROW()-ROW(A$88)+1)))," "),"")</f>
        <v/>
      </c>
      <c r="R156" t="str">
        <f t="array" ref="R156">IFERROR(CONCATENATE(TEXT(INDEX($Q$7:$Q$86,SMALL(IF($T$7:$T$86&lt;&gt;"",IF($Q$7:$Q$86&lt;&gt;"",ROW($Q$7:$Q$86)-MIN(ROW($Q$7:$Q$86))+1,""),""),ROW()-ROW(A$88)+1)),"##0")," "),"")</f>
        <v/>
      </c>
      <c r="S156" t="str">
        <f t="array" ref="S156">IFERROR(CONCATENATE((INDEX($A$7:$A$86,SMALL(IF($T$7:$T$86&lt;&gt;"",IF($Q$7:$Q$86&lt;&gt;"",ROW($Q$7:$Q$86)-MIN(ROW($Q$7:$Q$86))+1,""),""),ROW()-ROW(A$88)+1))),),"")</f>
        <v/>
      </c>
      <c r="W156" t="str">
        <f t="array" ref="W156">IFERROR(CONCATENATE((INDEX($Z$7:$Z$86,SMALL(IF($Z$7:$Z$86&lt;&gt;"",IF($W$7:$W$86&lt;&gt;"",ROW($W$7:$W$86)-MIN(ROW($W$7:$W$86))+1,""),""),ROW()-ROW(A$88)+1)))," "),"")</f>
        <v/>
      </c>
      <c r="X156" t="str">
        <f t="array" ref="X156">IFERROR(CONCATENATE(TEXT(INDEX($W$7:$W$86,SMALL(IF($Z$7:$Z$86&lt;&gt;"",IF($W$7:$W$86&lt;&gt;"",ROW($W$7:$W$86)-MIN(ROW($W$7:$W$86))+1,""),""),ROW()-ROW(A$88)+1)),"##0")," "),"")</f>
        <v/>
      </c>
      <c r="Y156" t="str">
        <f t="array" ref="Y156">IFERROR(CONCATENATE((INDEX($A$7:$A$86,SMALL(IF($Z$7:$Z$86&lt;&gt;"",IF($W$7:$W$86&lt;&gt;"",ROW($W$7:$W$86)-MIN(ROW($W$7:$W$86))+1,""),""),ROW()-ROW(A$88)+1))),),"")</f>
        <v/>
      </c>
      <c r="AC156" t="str">
        <f t="array" ref="AC156">IFERROR(CONCATENATE((INDEX($AF$7:$AF$86,SMALL(IF($AF$7:$AF$86&lt;&gt;"",IF($AC$7:$AC$86&lt;&gt;"",ROW($AC$7:$AC$86)-MIN(ROW($AC$7:$AC$86))+1,""),""),ROW()-ROW(A$88)+1))),","),"")</f>
        <v/>
      </c>
      <c r="AD156" t="str">
        <f t="array" ref="AD156">IFERROR(CONCATENATE(TEXT(INDEX($AC$7:$AC$86,SMALL(IF($AF$7:$AF$86&lt;&gt;"",IF($AC$7:$AC$86&lt;&gt;"",ROW($AC$7:$AC$86)-MIN(ROW($AC$7:$AC$86))+1,""),""),ROW()-ROW(A$88)+1)),"##0"),","),"")</f>
        <v/>
      </c>
      <c r="AE156" t="str">
        <f t="array" ref="AE156">IFERROR(CONCATENATE((INDEX($A$7:$A$86,SMALL(IF($AF$7:$AF$86&lt;&gt;"",IF($AC$7:$AC$86&lt;&gt;"",ROW($AC$7:$AC$86)-MIN(ROW($AC$7:$AC$86))+1,""),""),ROW()-ROW(A$88)+1))),),"")</f>
        <v/>
      </c>
      <c r="AI156" t="str">
        <f t="array" ref="AI156">IFERROR(CONCATENATE((INDEX($AL$7:$AL$86,SMALL(IF($AL$7:$AL$86&lt;&gt;"",IF($AI$7:$AI$86&lt;&gt;"",ROW($AI$7:$AI$86)-MIN(ROW($AI$7:$AI$86))+1,""),""),ROW()-ROW(A$88)+1)))," "),"")</f>
        <v/>
      </c>
      <c r="AJ156" t="str">
        <f t="array" ref="AJ156">IFERROR(CONCATENATE(TEXT(INDEX($AI$7:$AI$86,SMALL(IF($AL$7:$AL$86&lt;&gt;"",IF($AI$7:$AI$86&lt;&gt;"",ROW($AI$7:$AI$86)-MIN(ROW($AI$7:$AI$86))+1,""),""),ROW()-ROW(A$88)+1)),"##0")," "),"")</f>
        <v/>
      </c>
      <c r="AK156" t="str">
        <f t="array" ref="AK156">IFERROR(CONCATENATE((INDEX($A$7:$A$86,SMALL(IF($AL$7:$AL$86&lt;&gt;"",IF($AI$7:$AI$86&lt;&gt;"",ROW($AI$7:$AI$86)-MIN(ROW($AI$7:$AI$86))+1,""),""),ROW()-ROW(A$88)+1))),),"")</f>
        <v/>
      </c>
    </row>
    <row r="157" spans="11:37">
      <c r="K157" t="str">
        <f t="array" ref="K157">IFERROR(CONCATENATE(TEXT(INDEX($K$7:$K$86,SMALL(IF($N$7:$N$86&lt;&gt;"",IF($K$7:$K$86&lt;&gt;"",ROW($K$7:$K$86)-MIN(ROW($K$7:$K$86))+1,""),""),ROW()-ROW(A$88)+1)),"##0"),","),"")</f>
        <v/>
      </c>
      <c r="L157" t="str">
        <f t="array" ref="L157">IFERROR(CONCATENATE((INDEX($N$7:$N$86,SMALL(IF($N$7:$N$86&lt;&gt;"",IF($K$7:$K$86&lt;&gt;"",ROW($K$7:$K$86)-MIN(ROW($K$7:$K$86))+1,""),""),ROW()-ROW(A$88)+1))),","),"")</f>
        <v/>
      </c>
      <c r="M157" t="str">
        <f t="array" ref="M157">IFERROR(CONCATENATE((INDEX($A$7:$A$86,SMALL(IF($N$7:$N$86&lt;&gt;"",IF($K$7:$K$86&lt;&gt;"",ROW($K$7:$K$86)-MIN(ROW($K$7:$K$86))+1,""),""),ROW()-ROW(A$88)+1))),),"")</f>
        <v/>
      </c>
      <c r="Q157" t="str">
        <f t="array" ref="Q157">IFERROR(CONCATENATE((INDEX($T$7:$T$86,SMALL(IF($T$7:$T$86&lt;&gt;"",IF($Q$7:$Q$86&lt;&gt;"",ROW($Q$7:$Q$86)-MIN(ROW($Q$7:$Q$86))+1,""),""),ROW()-ROW(A$88)+1)))," "),"")</f>
        <v/>
      </c>
      <c r="R157" t="str">
        <f t="array" ref="R157">IFERROR(CONCATENATE(TEXT(INDEX($Q$7:$Q$86,SMALL(IF($T$7:$T$86&lt;&gt;"",IF($Q$7:$Q$86&lt;&gt;"",ROW($Q$7:$Q$86)-MIN(ROW($Q$7:$Q$86))+1,""),""),ROW()-ROW(A$88)+1)),"##0")," "),"")</f>
        <v/>
      </c>
      <c r="S157" t="str">
        <f t="array" ref="S157">IFERROR(CONCATENATE((INDEX($A$7:$A$86,SMALL(IF($T$7:$T$86&lt;&gt;"",IF($Q$7:$Q$86&lt;&gt;"",ROW($Q$7:$Q$86)-MIN(ROW($Q$7:$Q$86))+1,""),""),ROW()-ROW(A$88)+1))),),"")</f>
        <v/>
      </c>
      <c r="W157" t="str">
        <f t="array" ref="W157">IFERROR(CONCATENATE((INDEX($Z$7:$Z$86,SMALL(IF($Z$7:$Z$86&lt;&gt;"",IF($W$7:$W$86&lt;&gt;"",ROW($W$7:$W$86)-MIN(ROW($W$7:$W$86))+1,""),""),ROW()-ROW(A$88)+1)))," "),"")</f>
        <v/>
      </c>
      <c r="X157" t="str">
        <f t="array" ref="X157">IFERROR(CONCATENATE(TEXT(INDEX($W$7:$W$86,SMALL(IF($Z$7:$Z$86&lt;&gt;"",IF($W$7:$W$86&lt;&gt;"",ROW($W$7:$W$86)-MIN(ROW($W$7:$W$86))+1,""),""),ROW()-ROW(A$88)+1)),"##0")," "),"")</f>
        <v/>
      </c>
      <c r="Y157" t="str">
        <f t="array" ref="Y157">IFERROR(CONCATENATE((INDEX($A$7:$A$86,SMALL(IF($Z$7:$Z$86&lt;&gt;"",IF($W$7:$W$86&lt;&gt;"",ROW($W$7:$W$86)-MIN(ROW($W$7:$W$86))+1,""),""),ROW()-ROW(A$88)+1))),),"")</f>
        <v/>
      </c>
      <c r="AC157" t="str">
        <f t="array" ref="AC157">IFERROR(CONCATENATE((INDEX($AF$7:$AF$86,SMALL(IF($AF$7:$AF$86&lt;&gt;"",IF($AC$7:$AC$86&lt;&gt;"",ROW($AC$7:$AC$86)-MIN(ROW($AC$7:$AC$86))+1,""),""),ROW()-ROW(A$88)+1))),","),"")</f>
        <v/>
      </c>
      <c r="AD157" t="str">
        <f t="array" ref="AD157">IFERROR(CONCATENATE(TEXT(INDEX($AC$7:$AC$86,SMALL(IF($AF$7:$AF$86&lt;&gt;"",IF($AC$7:$AC$86&lt;&gt;"",ROW($AC$7:$AC$86)-MIN(ROW($AC$7:$AC$86))+1,""),""),ROW()-ROW(A$88)+1)),"##0"),","),"")</f>
        <v/>
      </c>
      <c r="AE157" t="str">
        <f t="array" ref="AE157">IFERROR(CONCATENATE((INDEX($A$7:$A$86,SMALL(IF($AF$7:$AF$86&lt;&gt;"",IF($AC$7:$AC$86&lt;&gt;"",ROW($AC$7:$AC$86)-MIN(ROW($AC$7:$AC$86))+1,""),""),ROW()-ROW(A$88)+1))),),"")</f>
        <v/>
      </c>
      <c r="AI157" t="str">
        <f t="array" ref="AI157">IFERROR(CONCATENATE((INDEX($AL$7:$AL$86,SMALL(IF($AL$7:$AL$86&lt;&gt;"",IF($AI$7:$AI$86&lt;&gt;"",ROW($AI$7:$AI$86)-MIN(ROW($AI$7:$AI$86))+1,""),""),ROW()-ROW(A$88)+1)))," "),"")</f>
        <v/>
      </c>
      <c r="AJ157" t="str">
        <f t="array" ref="AJ157">IFERROR(CONCATENATE(TEXT(INDEX($AI$7:$AI$86,SMALL(IF($AL$7:$AL$86&lt;&gt;"",IF($AI$7:$AI$86&lt;&gt;"",ROW($AI$7:$AI$86)-MIN(ROW($AI$7:$AI$86))+1,""),""),ROW()-ROW(A$88)+1)),"##0")," "),"")</f>
        <v/>
      </c>
      <c r="AK157" t="str">
        <f t="array" ref="AK157">IFERROR(CONCATENATE((INDEX($A$7:$A$86,SMALL(IF($AL$7:$AL$86&lt;&gt;"",IF($AI$7:$AI$86&lt;&gt;"",ROW($AI$7:$AI$86)-MIN(ROW($AI$7:$AI$86))+1,""),""),ROW()-ROW(A$88)+1))),),"")</f>
        <v/>
      </c>
    </row>
    <row r="158" spans="11:37">
      <c r="K158" t="str">
        <f t="array" ref="K158">IFERROR(CONCATENATE(TEXT(INDEX($K$7:$K$86,SMALL(IF($N$7:$N$86&lt;&gt;"",IF($K$7:$K$86&lt;&gt;"",ROW($K$7:$K$86)-MIN(ROW($K$7:$K$86))+1,""),""),ROW()-ROW(A$88)+1)),"##0"),","),"")</f>
        <v/>
      </c>
      <c r="L158" t="str">
        <f t="array" ref="L158">IFERROR(CONCATENATE((INDEX($N$7:$N$86,SMALL(IF($N$7:$N$86&lt;&gt;"",IF($K$7:$K$86&lt;&gt;"",ROW($K$7:$K$86)-MIN(ROW($K$7:$K$86))+1,""),""),ROW()-ROW(A$88)+1))),","),"")</f>
        <v/>
      </c>
      <c r="M158" t="str">
        <f t="array" ref="M158">IFERROR(CONCATENATE((INDEX($A$7:$A$86,SMALL(IF($N$7:$N$86&lt;&gt;"",IF($K$7:$K$86&lt;&gt;"",ROW($K$7:$K$86)-MIN(ROW($K$7:$K$86))+1,""),""),ROW()-ROW(A$88)+1))),),"")</f>
        <v/>
      </c>
      <c r="Q158" t="str">
        <f t="array" ref="Q158">IFERROR(CONCATENATE((INDEX($T$7:$T$86,SMALL(IF($T$7:$T$86&lt;&gt;"",IF($Q$7:$Q$86&lt;&gt;"",ROW($Q$7:$Q$86)-MIN(ROW($Q$7:$Q$86))+1,""),""),ROW()-ROW(A$88)+1)))," "),"")</f>
        <v/>
      </c>
      <c r="R158" t="str">
        <f t="array" ref="R158">IFERROR(CONCATENATE(TEXT(INDEX($Q$7:$Q$86,SMALL(IF($T$7:$T$86&lt;&gt;"",IF($Q$7:$Q$86&lt;&gt;"",ROW($Q$7:$Q$86)-MIN(ROW($Q$7:$Q$86))+1,""),""),ROW()-ROW(A$88)+1)),"##0")," "),"")</f>
        <v/>
      </c>
      <c r="S158" t="str">
        <f t="array" ref="S158">IFERROR(CONCATENATE((INDEX($A$7:$A$86,SMALL(IF($T$7:$T$86&lt;&gt;"",IF($Q$7:$Q$86&lt;&gt;"",ROW($Q$7:$Q$86)-MIN(ROW($Q$7:$Q$86))+1,""),""),ROW()-ROW(A$88)+1))),),"")</f>
        <v/>
      </c>
      <c r="W158" t="str">
        <f t="array" ref="W158">IFERROR(CONCATENATE((INDEX($Z$7:$Z$86,SMALL(IF($Z$7:$Z$86&lt;&gt;"",IF($W$7:$W$86&lt;&gt;"",ROW($W$7:$W$86)-MIN(ROW($W$7:$W$86))+1,""),""),ROW()-ROW(A$88)+1)))," "),"")</f>
        <v/>
      </c>
      <c r="X158" t="str">
        <f t="array" ref="X158">IFERROR(CONCATENATE(TEXT(INDEX($W$7:$W$86,SMALL(IF($Z$7:$Z$86&lt;&gt;"",IF($W$7:$W$86&lt;&gt;"",ROW($W$7:$W$86)-MIN(ROW($W$7:$W$86))+1,""),""),ROW()-ROW(A$88)+1)),"##0")," "),"")</f>
        <v/>
      </c>
      <c r="Y158" t="str">
        <f t="array" ref="Y158">IFERROR(CONCATENATE((INDEX($A$7:$A$86,SMALL(IF($Z$7:$Z$86&lt;&gt;"",IF($W$7:$W$86&lt;&gt;"",ROW($W$7:$W$86)-MIN(ROW($W$7:$W$86))+1,""),""),ROW()-ROW(A$88)+1))),),"")</f>
        <v/>
      </c>
      <c r="AC158" t="str">
        <f t="array" ref="AC158">IFERROR(CONCATENATE((INDEX($AF$7:$AF$86,SMALL(IF($AF$7:$AF$86&lt;&gt;"",IF($AC$7:$AC$86&lt;&gt;"",ROW($AC$7:$AC$86)-MIN(ROW($AC$7:$AC$86))+1,""),""),ROW()-ROW(A$88)+1))),","),"")</f>
        <v/>
      </c>
      <c r="AD158" t="str">
        <f t="array" ref="AD158">IFERROR(CONCATENATE(TEXT(INDEX($AC$7:$AC$86,SMALL(IF($AF$7:$AF$86&lt;&gt;"",IF($AC$7:$AC$86&lt;&gt;"",ROW($AC$7:$AC$86)-MIN(ROW($AC$7:$AC$86))+1,""),""),ROW()-ROW(A$88)+1)),"##0"),","),"")</f>
        <v/>
      </c>
      <c r="AE158" t="str">
        <f t="array" ref="AE158">IFERROR(CONCATENATE((INDEX($A$7:$A$86,SMALL(IF($AF$7:$AF$86&lt;&gt;"",IF($AC$7:$AC$86&lt;&gt;"",ROW($AC$7:$AC$86)-MIN(ROW($AC$7:$AC$86))+1,""),""),ROW()-ROW(A$88)+1))),),"")</f>
        <v/>
      </c>
      <c r="AI158" t="str">
        <f t="array" ref="AI158">IFERROR(CONCATENATE((INDEX($AL$7:$AL$86,SMALL(IF($AL$7:$AL$86&lt;&gt;"",IF($AI$7:$AI$86&lt;&gt;"",ROW($AI$7:$AI$86)-MIN(ROW($AI$7:$AI$86))+1,""),""),ROW()-ROW(A$88)+1)))," "),"")</f>
        <v/>
      </c>
      <c r="AJ158" t="str">
        <f t="array" ref="AJ158">IFERROR(CONCATENATE(TEXT(INDEX($AI$7:$AI$86,SMALL(IF($AL$7:$AL$86&lt;&gt;"",IF($AI$7:$AI$86&lt;&gt;"",ROW($AI$7:$AI$86)-MIN(ROW($AI$7:$AI$86))+1,""),""),ROW()-ROW(A$88)+1)),"##0")," "),"")</f>
        <v/>
      </c>
      <c r="AK158" t="str">
        <f t="array" ref="AK158">IFERROR(CONCATENATE((INDEX($A$7:$A$86,SMALL(IF($AL$7:$AL$86&lt;&gt;"",IF($AI$7:$AI$86&lt;&gt;"",ROW($AI$7:$AI$86)-MIN(ROW($AI$7:$AI$86))+1,""),""),ROW()-ROW(A$88)+1))),),"")</f>
        <v/>
      </c>
    </row>
    <row r="159" spans="11:37">
      <c r="K159" t="str">
        <f t="array" ref="K159">IFERROR(CONCATENATE(TEXT(INDEX($K$7:$K$86,SMALL(IF($N$7:$N$86&lt;&gt;"",IF($K$7:$K$86&lt;&gt;"",ROW($K$7:$K$86)-MIN(ROW($K$7:$K$86))+1,""),""),ROW()-ROW(A$88)+1)),"##0"),","),"")</f>
        <v/>
      </c>
      <c r="L159" t="str">
        <f t="array" ref="L159">IFERROR(CONCATENATE((INDEX($N$7:$N$86,SMALL(IF($N$7:$N$86&lt;&gt;"",IF($K$7:$K$86&lt;&gt;"",ROW($K$7:$K$86)-MIN(ROW($K$7:$K$86))+1,""),""),ROW()-ROW(A$88)+1))),","),"")</f>
        <v/>
      </c>
      <c r="M159" t="str">
        <f t="array" ref="M159">IFERROR(CONCATENATE((INDEX($A$7:$A$86,SMALL(IF($N$7:$N$86&lt;&gt;"",IF($K$7:$K$86&lt;&gt;"",ROW($K$7:$K$86)-MIN(ROW($K$7:$K$86))+1,""),""),ROW()-ROW(A$88)+1))),),"")</f>
        <v/>
      </c>
      <c r="Q159" t="str">
        <f t="array" ref="Q159">IFERROR(CONCATENATE((INDEX($T$7:$T$86,SMALL(IF($T$7:$T$86&lt;&gt;"",IF($Q$7:$Q$86&lt;&gt;"",ROW($Q$7:$Q$86)-MIN(ROW($Q$7:$Q$86))+1,""),""),ROW()-ROW(A$88)+1)))," "),"")</f>
        <v/>
      </c>
      <c r="R159" t="str">
        <f t="array" ref="R159">IFERROR(CONCATENATE(TEXT(INDEX($Q$7:$Q$86,SMALL(IF($T$7:$T$86&lt;&gt;"",IF($Q$7:$Q$86&lt;&gt;"",ROW($Q$7:$Q$86)-MIN(ROW($Q$7:$Q$86))+1,""),""),ROW()-ROW(A$88)+1)),"##0")," "),"")</f>
        <v/>
      </c>
      <c r="S159" t="str">
        <f t="array" ref="S159">IFERROR(CONCATENATE((INDEX($A$7:$A$86,SMALL(IF($T$7:$T$86&lt;&gt;"",IF($Q$7:$Q$86&lt;&gt;"",ROW($Q$7:$Q$86)-MIN(ROW($Q$7:$Q$86))+1,""),""),ROW()-ROW(A$88)+1))),),"")</f>
        <v/>
      </c>
      <c r="W159" t="str">
        <f t="array" ref="W159">IFERROR(CONCATENATE((INDEX($Z$7:$Z$86,SMALL(IF($Z$7:$Z$86&lt;&gt;"",IF($W$7:$W$86&lt;&gt;"",ROW($W$7:$W$86)-MIN(ROW($W$7:$W$86))+1,""),""),ROW()-ROW(A$88)+1)))," "),"")</f>
        <v/>
      </c>
      <c r="X159" t="str">
        <f t="array" ref="X159">IFERROR(CONCATENATE(TEXT(INDEX($W$7:$W$86,SMALL(IF($Z$7:$Z$86&lt;&gt;"",IF($W$7:$W$86&lt;&gt;"",ROW($W$7:$W$86)-MIN(ROW($W$7:$W$86))+1,""),""),ROW()-ROW(A$88)+1)),"##0")," "),"")</f>
        <v/>
      </c>
      <c r="Y159" t="str">
        <f t="array" ref="Y159">IFERROR(CONCATENATE((INDEX($A$7:$A$86,SMALL(IF($Z$7:$Z$86&lt;&gt;"",IF($W$7:$W$86&lt;&gt;"",ROW($W$7:$W$86)-MIN(ROW($W$7:$W$86))+1,""),""),ROW()-ROW(A$88)+1))),),"")</f>
        <v/>
      </c>
      <c r="AC159" t="str">
        <f t="array" ref="AC159">IFERROR(CONCATENATE((INDEX($AF$7:$AF$86,SMALL(IF($AF$7:$AF$86&lt;&gt;"",IF($AC$7:$AC$86&lt;&gt;"",ROW($AC$7:$AC$86)-MIN(ROW($AC$7:$AC$86))+1,""),""),ROW()-ROW(A$88)+1))),","),"")</f>
        <v/>
      </c>
      <c r="AD159" t="str">
        <f t="array" ref="AD159">IFERROR(CONCATENATE(TEXT(INDEX($AC$7:$AC$86,SMALL(IF($AF$7:$AF$86&lt;&gt;"",IF($AC$7:$AC$86&lt;&gt;"",ROW($AC$7:$AC$86)-MIN(ROW($AC$7:$AC$86))+1,""),""),ROW()-ROW(A$88)+1)),"##0"),","),"")</f>
        <v/>
      </c>
      <c r="AE159" t="str">
        <f t="array" ref="AE159">IFERROR(CONCATENATE((INDEX($A$7:$A$86,SMALL(IF($AF$7:$AF$86&lt;&gt;"",IF($AC$7:$AC$86&lt;&gt;"",ROW($AC$7:$AC$86)-MIN(ROW($AC$7:$AC$86))+1,""),""),ROW()-ROW(A$88)+1))),),"")</f>
        <v/>
      </c>
      <c r="AI159" t="str">
        <f t="array" ref="AI159">IFERROR(CONCATENATE((INDEX($AL$7:$AL$86,SMALL(IF($AL$7:$AL$86&lt;&gt;"",IF($AI$7:$AI$86&lt;&gt;"",ROW($AI$7:$AI$86)-MIN(ROW($AI$7:$AI$86))+1,""),""),ROW()-ROW(A$88)+1)))," "),"")</f>
        <v/>
      </c>
      <c r="AJ159" t="str">
        <f t="array" ref="AJ159">IFERROR(CONCATENATE(TEXT(INDEX($AI$7:$AI$86,SMALL(IF($AL$7:$AL$86&lt;&gt;"",IF($AI$7:$AI$86&lt;&gt;"",ROW($AI$7:$AI$86)-MIN(ROW($AI$7:$AI$86))+1,""),""),ROW()-ROW(A$88)+1)),"##0")," "),"")</f>
        <v/>
      </c>
      <c r="AK159" t="str">
        <f t="array" ref="AK159">IFERROR(CONCATENATE((INDEX($A$7:$A$86,SMALL(IF($AL$7:$AL$86&lt;&gt;"",IF($AI$7:$AI$86&lt;&gt;"",ROW($AI$7:$AI$86)-MIN(ROW($AI$7:$AI$86))+1,""),""),ROW()-ROW(A$88)+1))),),"")</f>
        <v/>
      </c>
    </row>
    <row r="160" spans="11:37">
      <c r="K160" t="str">
        <f t="array" ref="K160">IFERROR(CONCATENATE(TEXT(INDEX($K$7:$K$86,SMALL(IF($N$7:$N$86&lt;&gt;"",IF($K$7:$K$86&lt;&gt;"",ROW($K$7:$K$86)-MIN(ROW($K$7:$K$86))+1,""),""),ROW()-ROW(A$88)+1)),"##0"),","),"")</f>
        <v/>
      </c>
      <c r="L160" t="str">
        <f t="array" ref="L160">IFERROR(CONCATENATE((INDEX($N$7:$N$86,SMALL(IF($N$7:$N$86&lt;&gt;"",IF($K$7:$K$86&lt;&gt;"",ROW($K$7:$K$86)-MIN(ROW($K$7:$K$86))+1,""),""),ROW()-ROW(A$88)+1))),","),"")</f>
        <v/>
      </c>
      <c r="M160" t="str">
        <f t="array" ref="M160">IFERROR(CONCATENATE((INDEX($A$7:$A$86,SMALL(IF($N$7:$N$86&lt;&gt;"",IF($K$7:$K$86&lt;&gt;"",ROW($K$7:$K$86)-MIN(ROW($K$7:$K$86))+1,""),""),ROW()-ROW(A$88)+1))),),"")</f>
        <v/>
      </c>
      <c r="Q160" t="str">
        <f t="array" ref="Q160">IFERROR(CONCATENATE((INDEX($T$7:$T$86,SMALL(IF($T$7:$T$86&lt;&gt;"",IF($Q$7:$Q$86&lt;&gt;"",ROW($Q$7:$Q$86)-MIN(ROW($Q$7:$Q$86))+1,""),""),ROW()-ROW(A$88)+1)))," "),"")</f>
        <v/>
      </c>
      <c r="R160" t="str">
        <f t="array" ref="R160">IFERROR(CONCATENATE(TEXT(INDEX($Q$7:$Q$86,SMALL(IF($T$7:$T$86&lt;&gt;"",IF($Q$7:$Q$86&lt;&gt;"",ROW($Q$7:$Q$86)-MIN(ROW($Q$7:$Q$86))+1,""),""),ROW()-ROW(A$88)+1)),"##0")," "),"")</f>
        <v/>
      </c>
      <c r="S160" t="str">
        <f t="array" ref="S160">IFERROR(CONCATENATE((INDEX($A$7:$A$86,SMALL(IF($T$7:$T$86&lt;&gt;"",IF($Q$7:$Q$86&lt;&gt;"",ROW($Q$7:$Q$86)-MIN(ROW($Q$7:$Q$86))+1,""),""),ROW()-ROW(A$88)+1))),),"")</f>
        <v/>
      </c>
      <c r="W160" t="str">
        <f t="array" ref="W160">IFERROR(CONCATENATE((INDEX($Z$7:$Z$86,SMALL(IF($Z$7:$Z$86&lt;&gt;"",IF($W$7:$W$86&lt;&gt;"",ROW($W$7:$W$86)-MIN(ROW($W$7:$W$86))+1,""),""),ROW()-ROW(A$88)+1)))," "),"")</f>
        <v/>
      </c>
      <c r="X160" t="str">
        <f t="array" ref="X160">IFERROR(CONCATENATE(TEXT(INDEX($W$7:$W$86,SMALL(IF($Z$7:$Z$86&lt;&gt;"",IF($W$7:$W$86&lt;&gt;"",ROW($W$7:$W$86)-MIN(ROW($W$7:$W$86))+1,""),""),ROW()-ROW(A$88)+1)),"##0")," "),"")</f>
        <v/>
      </c>
      <c r="Y160" t="str">
        <f t="array" ref="Y160">IFERROR(CONCATENATE((INDEX($A$7:$A$86,SMALL(IF($Z$7:$Z$86&lt;&gt;"",IF($W$7:$W$86&lt;&gt;"",ROW($W$7:$W$86)-MIN(ROW($W$7:$W$86))+1,""),""),ROW()-ROW(A$88)+1))),),"")</f>
        <v/>
      </c>
      <c r="AC160" t="str">
        <f t="array" ref="AC160">IFERROR(CONCATENATE((INDEX($AF$7:$AF$86,SMALL(IF($AF$7:$AF$86&lt;&gt;"",IF($AC$7:$AC$86&lt;&gt;"",ROW($AC$7:$AC$86)-MIN(ROW($AC$7:$AC$86))+1,""),""),ROW()-ROW(A$88)+1))),","),"")</f>
        <v/>
      </c>
      <c r="AD160" t="str">
        <f t="array" ref="AD160">IFERROR(CONCATENATE(TEXT(INDEX($AC$7:$AC$86,SMALL(IF($AF$7:$AF$86&lt;&gt;"",IF($AC$7:$AC$86&lt;&gt;"",ROW($AC$7:$AC$86)-MIN(ROW($AC$7:$AC$86))+1,""),""),ROW()-ROW(A$88)+1)),"##0"),","),"")</f>
        <v/>
      </c>
      <c r="AE160" t="str">
        <f t="array" ref="AE160">IFERROR(CONCATENATE((INDEX($A$7:$A$86,SMALL(IF($AF$7:$AF$86&lt;&gt;"",IF($AC$7:$AC$86&lt;&gt;"",ROW($AC$7:$AC$86)-MIN(ROW($AC$7:$AC$86))+1,""),""),ROW()-ROW(A$88)+1))),),"")</f>
        <v/>
      </c>
      <c r="AI160" t="str">
        <f t="array" ref="AI160">IFERROR(CONCATENATE((INDEX($AL$7:$AL$86,SMALL(IF($AL$7:$AL$86&lt;&gt;"",IF($AI$7:$AI$86&lt;&gt;"",ROW($AI$7:$AI$86)-MIN(ROW($AI$7:$AI$86))+1,""),""),ROW()-ROW(A$88)+1)))," "),"")</f>
        <v/>
      </c>
      <c r="AJ160" t="str">
        <f t="array" ref="AJ160">IFERROR(CONCATENATE(TEXT(INDEX($AI$7:$AI$86,SMALL(IF($AL$7:$AL$86&lt;&gt;"",IF($AI$7:$AI$86&lt;&gt;"",ROW($AI$7:$AI$86)-MIN(ROW($AI$7:$AI$86))+1,""),""),ROW()-ROW(A$88)+1)),"##0")," "),"")</f>
        <v/>
      </c>
      <c r="AK160" t="str">
        <f t="array" ref="AK160">IFERROR(CONCATENATE((INDEX($A$7:$A$86,SMALL(IF($AL$7:$AL$86&lt;&gt;"",IF($AI$7:$AI$86&lt;&gt;"",ROW($AI$7:$AI$86)-MIN(ROW($AI$7:$AI$86))+1,""),""),ROW()-ROW(A$88)+1))),),"")</f>
        <v/>
      </c>
    </row>
    <row r="161" spans="11:37">
      <c r="K161" t="str">
        <f t="array" ref="K161">IFERROR(CONCATENATE(TEXT(INDEX($K$7:$K$86,SMALL(IF($N$7:$N$86&lt;&gt;"",IF($K$7:$K$86&lt;&gt;"",ROW($K$7:$K$86)-MIN(ROW($K$7:$K$86))+1,""),""),ROW()-ROW(A$88)+1)),"##0"),","),"")</f>
        <v/>
      </c>
      <c r="L161" t="str">
        <f t="array" ref="L161">IFERROR(CONCATENATE((INDEX($N$7:$N$86,SMALL(IF($N$7:$N$86&lt;&gt;"",IF($K$7:$K$86&lt;&gt;"",ROW($K$7:$K$86)-MIN(ROW($K$7:$K$86))+1,""),""),ROW()-ROW(A$88)+1))),","),"")</f>
        <v/>
      </c>
      <c r="M161" t="str">
        <f t="array" ref="M161">IFERROR(CONCATENATE((INDEX($A$7:$A$86,SMALL(IF($N$7:$N$86&lt;&gt;"",IF($K$7:$K$86&lt;&gt;"",ROW($K$7:$K$86)-MIN(ROW($K$7:$K$86))+1,""),""),ROW()-ROW(A$88)+1))),),"")</f>
        <v/>
      </c>
      <c r="Q161" t="str">
        <f t="array" ref="Q161">IFERROR(CONCATENATE((INDEX($T$7:$T$86,SMALL(IF($T$7:$T$86&lt;&gt;"",IF($Q$7:$Q$86&lt;&gt;"",ROW($Q$7:$Q$86)-MIN(ROW($Q$7:$Q$86))+1,""),""),ROW()-ROW(A$88)+1)))," "),"")</f>
        <v/>
      </c>
      <c r="R161" t="str">
        <f t="array" ref="R161">IFERROR(CONCATENATE(TEXT(INDEX($Q$7:$Q$86,SMALL(IF($T$7:$T$86&lt;&gt;"",IF($Q$7:$Q$86&lt;&gt;"",ROW($Q$7:$Q$86)-MIN(ROW($Q$7:$Q$86))+1,""),""),ROW()-ROW(A$88)+1)),"##0")," "),"")</f>
        <v/>
      </c>
      <c r="S161" t="str">
        <f t="array" ref="S161">IFERROR(CONCATENATE((INDEX($A$7:$A$86,SMALL(IF($T$7:$T$86&lt;&gt;"",IF($Q$7:$Q$86&lt;&gt;"",ROW($Q$7:$Q$86)-MIN(ROW($Q$7:$Q$86))+1,""),""),ROW()-ROW(A$88)+1))),),"")</f>
        <v/>
      </c>
      <c r="W161" t="str">
        <f t="array" ref="W161">IFERROR(CONCATENATE((INDEX($Z$7:$Z$86,SMALL(IF($Z$7:$Z$86&lt;&gt;"",IF($W$7:$W$86&lt;&gt;"",ROW($W$7:$W$86)-MIN(ROW($W$7:$W$86))+1,""),""),ROW()-ROW(A$88)+1)))," "),"")</f>
        <v/>
      </c>
      <c r="X161" t="str">
        <f t="array" ref="X161">IFERROR(CONCATENATE(TEXT(INDEX($W$7:$W$86,SMALL(IF($Z$7:$Z$86&lt;&gt;"",IF($W$7:$W$86&lt;&gt;"",ROW($W$7:$W$86)-MIN(ROW($W$7:$W$86))+1,""),""),ROW()-ROW(A$88)+1)),"##0")," "),"")</f>
        <v/>
      </c>
      <c r="Y161" t="str">
        <f t="array" ref="Y161">IFERROR(CONCATENATE((INDEX($A$7:$A$86,SMALL(IF($Z$7:$Z$86&lt;&gt;"",IF($W$7:$W$86&lt;&gt;"",ROW($W$7:$W$86)-MIN(ROW($W$7:$W$86))+1,""),""),ROW()-ROW(A$88)+1))),),"")</f>
        <v/>
      </c>
      <c r="AC161" t="str">
        <f t="array" ref="AC161">IFERROR(CONCATENATE((INDEX($AF$7:$AF$86,SMALL(IF($AF$7:$AF$86&lt;&gt;"",IF($AC$7:$AC$86&lt;&gt;"",ROW($AC$7:$AC$86)-MIN(ROW($AC$7:$AC$86))+1,""),""),ROW()-ROW(A$88)+1))),","),"")</f>
        <v/>
      </c>
      <c r="AD161" t="str">
        <f t="array" ref="AD161">IFERROR(CONCATENATE(TEXT(INDEX($AC$7:$AC$86,SMALL(IF($AF$7:$AF$86&lt;&gt;"",IF($AC$7:$AC$86&lt;&gt;"",ROW($AC$7:$AC$86)-MIN(ROW($AC$7:$AC$86))+1,""),""),ROW()-ROW(A$88)+1)),"##0"),","),"")</f>
        <v/>
      </c>
      <c r="AE161" t="str">
        <f t="array" ref="AE161">IFERROR(CONCATENATE((INDEX($A$7:$A$86,SMALL(IF($AF$7:$AF$86&lt;&gt;"",IF($AC$7:$AC$86&lt;&gt;"",ROW($AC$7:$AC$86)-MIN(ROW($AC$7:$AC$86))+1,""),""),ROW()-ROW(A$88)+1))),),"")</f>
        <v/>
      </c>
      <c r="AI161" t="str">
        <f t="array" ref="AI161">IFERROR(CONCATENATE((INDEX($AL$7:$AL$86,SMALL(IF($AL$7:$AL$86&lt;&gt;"",IF($AI$7:$AI$86&lt;&gt;"",ROW($AI$7:$AI$86)-MIN(ROW($AI$7:$AI$86))+1,""),""),ROW()-ROW(A$88)+1)))," "),"")</f>
        <v/>
      </c>
      <c r="AJ161" t="str">
        <f t="array" ref="AJ161">IFERROR(CONCATENATE(TEXT(INDEX($AI$7:$AI$86,SMALL(IF($AL$7:$AL$86&lt;&gt;"",IF($AI$7:$AI$86&lt;&gt;"",ROW($AI$7:$AI$86)-MIN(ROW($AI$7:$AI$86))+1,""),""),ROW()-ROW(A$88)+1)),"##0")," "),"")</f>
        <v/>
      </c>
      <c r="AK161" t="str">
        <f t="array" ref="AK161">IFERROR(CONCATENATE((INDEX($A$7:$A$86,SMALL(IF($AL$7:$AL$86&lt;&gt;"",IF($AI$7:$AI$86&lt;&gt;"",ROW($AI$7:$AI$86)-MIN(ROW($AI$7:$AI$86))+1,""),""),ROW()-ROW(A$88)+1))),),"")</f>
        <v/>
      </c>
    </row>
    <row r="162" spans="11:37">
      <c r="K162" t="str">
        <f t="array" ref="K162">IFERROR(CONCATENATE(TEXT(INDEX($K$7:$K$86,SMALL(IF($N$7:$N$86&lt;&gt;"",IF($K$7:$K$86&lt;&gt;"",ROW($K$7:$K$86)-MIN(ROW($K$7:$K$86))+1,""),""),ROW()-ROW(A$88)+1)),"##0"),","),"")</f>
        <v/>
      </c>
      <c r="L162" t="str">
        <f t="array" ref="L162">IFERROR(CONCATENATE((INDEX($N$7:$N$86,SMALL(IF($N$7:$N$86&lt;&gt;"",IF($K$7:$K$86&lt;&gt;"",ROW($K$7:$K$86)-MIN(ROW($K$7:$K$86))+1,""),""),ROW()-ROW(A$88)+1))),","),"")</f>
        <v/>
      </c>
      <c r="M162" t="str">
        <f t="array" ref="M162">IFERROR(CONCATENATE((INDEX($A$7:$A$86,SMALL(IF($N$7:$N$86&lt;&gt;"",IF($K$7:$K$86&lt;&gt;"",ROW($K$7:$K$86)-MIN(ROW($K$7:$K$86))+1,""),""),ROW()-ROW(A$88)+1))),),"")</f>
        <v/>
      </c>
      <c r="Q162" t="str">
        <f t="array" ref="Q162">IFERROR(CONCATENATE((INDEX($T$7:$T$86,SMALL(IF($T$7:$T$86&lt;&gt;"",IF($Q$7:$Q$86&lt;&gt;"",ROW($Q$7:$Q$86)-MIN(ROW($Q$7:$Q$86))+1,""),""),ROW()-ROW(A$88)+1)))," "),"")</f>
        <v/>
      </c>
      <c r="R162" t="str">
        <f t="array" ref="R162">IFERROR(CONCATENATE(TEXT(INDEX($Q$7:$Q$86,SMALL(IF($T$7:$T$86&lt;&gt;"",IF($Q$7:$Q$86&lt;&gt;"",ROW($Q$7:$Q$86)-MIN(ROW($Q$7:$Q$86))+1,""),""),ROW()-ROW(A$88)+1)),"##0")," "),"")</f>
        <v/>
      </c>
      <c r="S162" t="str">
        <f t="array" ref="S162">IFERROR(CONCATENATE((INDEX($A$7:$A$86,SMALL(IF($T$7:$T$86&lt;&gt;"",IF($Q$7:$Q$86&lt;&gt;"",ROW($Q$7:$Q$86)-MIN(ROW($Q$7:$Q$86))+1,""),""),ROW()-ROW(A$88)+1))),),"")</f>
        <v/>
      </c>
      <c r="W162" t="str">
        <f t="array" ref="W162">IFERROR(CONCATENATE((INDEX($Z$7:$Z$86,SMALL(IF($Z$7:$Z$86&lt;&gt;"",IF($W$7:$W$86&lt;&gt;"",ROW($W$7:$W$86)-MIN(ROW($W$7:$W$86))+1,""),""),ROW()-ROW(A$88)+1)))," "),"")</f>
        <v/>
      </c>
      <c r="X162" t="str">
        <f t="array" ref="X162">IFERROR(CONCATENATE(TEXT(INDEX($W$7:$W$86,SMALL(IF($Z$7:$Z$86&lt;&gt;"",IF($W$7:$W$86&lt;&gt;"",ROW($W$7:$W$86)-MIN(ROW($W$7:$W$86))+1,""),""),ROW()-ROW(A$88)+1)),"##0")," "),"")</f>
        <v/>
      </c>
      <c r="Y162" t="str">
        <f t="array" ref="Y162">IFERROR(CONCATENATE((INDEX($A$7:$A$86,SMALL(IF($Z$7:$Z$86&lt;&gt;"",IF($W$7:$W$86&lt;&gt;"",ROW($W$7:$W$86)-MIN(ROW($W$7:$W$86))+1,""),""),ROW()-ROW(A$88)+1))),),"")</f>
        <v/>
      </c>
      <c r="AC162" t="str">
        <f t="array" ref="AC162">IFERROR(CONCATENATE((INDEX($AF$7:$AF$86,SMALL(IF($AF$7:$AF$86&lt;&gt;"",IF($AC$7:$AC$86&lt;&gt;"",ROW($AC$7:$AC$86)-MIN(ROW($AC$7:$AC$86))+1,""),""),ROW()-ROW(A$88)+1))),","),"")</f>
        <v/>
      </c>
      <c r="AD162" t="str">
        <f t="array" ref="AD162">IFERROR(CONCATENATE(TEXT(INDEX($AC$7:$AC$86,SMALL(IF($AF$7:$AF$86&lt;&gt;"",IF($AC$7:$AC$86&lt;&gt;"",ROW($AC$7:$AC$86)-MIN(ROW($AC$7:$AC$86))+1,""),""),ROW()-ROW(A$88)+1)),"##0"),","),"")</f>
        <v/>
      </c>
      <c r="AE162" t="str">
        <f t="array" ref="AE162">IFERROR(CONCATENATE((INDEX($A$7:$A$86,SMALL(IF($AF$7:$AF$86&lt;&gt;"",IF($AC$7:$AC$86&lt;&gt;"",ROW($AC$7:$AC$86)-MIN(ROW($AC$7:$AC$86))+1,""),""),ROW()-ROW(A$88)+1))),),"")</f>
        <v/>
      </c>
      <c r="AI162" t="str">
        <f t="array" ref="AI162">IFERROR(CONCATENATE((INDEX($AL$7:$AL$86,SMALL(IF($AL$7:$AL$86&lt;&gt;"",IF($AI$7:$AI$86&lt;&gt;"",ROW($AI$7:$AI$86)-MIN(ROW($AI$7:$AI$86))+1,""),""),ROW()-ROW(A$88)+1)))," "),"")</f>
        <v/>
      </c>
      <c r="AJ162" t="str">
        <f t="array" ref="AJ162">IFERROR(CONCATENATE(TEXT(INDEX($AI$7:$AI$86,SMALL(IF($AL$7:$AL$86&lt;&gt;"",IF($AI$7:$AI$86&lt;&gt;"",ROW($AI$7:$AI$86)-MIN(ROW($AI$7:$AI$86))+1,""),""),ROW()-ROW(A$88)+1)),"##0")," "),"")</f>
        <v/>
      </c>
      <c r="AK162" t="str">
        <f t="array" ref="AK162">IFERROR(CONCATENATE((INDEX($A$7:$A$86,SMALL(IF($AL$7:$AL$86&lt;&gt;"",IF($AI$7:$AI$86&lt;&gt;"",ROW($AI$7:$AI$86)-MIN(ROW($AI$7:$AI$86))+1,""),""),ROW()-ROW(A$88)+1))),),"")</f>
        <v/>
      </c>
    </row>
    <row r="163" spans="11:37">
      <c r="K163" t="str">
        <f t="array" ref="K163">IFERROR(CONCATENATE(TEXT(INDEX($K$7:$K$86,SMALL(IF($N$7:$N$86&lt;&gt;"",IF($K$7:$K$86&lt;&gt;"",ROW($K$7:$K$86)-MIN(ROW($K$7:$K$86))+1,""),""),ROW()-ROW(A$88)+1)),"##0"),","),"")</f>
        <v/>
      </c>
      <c r="L163" t="str">
        <f t="array" ref="L163">IFERROR(CONCATENATE((INDEX($N$7:$N$86,SMALL(IF($N$7:$N$86&lt;&gt;"",IF($K$7:$K$86&lt;&gt;"",ROW($K$7:$K$86)-MIN(ROW($K$7:$K$86))+1,""),""),ROW()-ROW(A$88)+1))),","),"")</f>
        <v/>
      </c>
      <c r="M163" t="str">
        <f t="array" ref="M163">IFERROR(CONCATENATE((INDEX($A$7:$A$86,SMALL(IF($N$7:$N$86&lt;&gt;"",IF($K$7:$K$86&lt;&gt;"",ROW($K$7:$K$86)-MIN(ROW($K$7:$K$86))+1,""),""),ROW()-ROW(A$88)+1))),),"")</f>
        <v/>
      </c>
      <c r="Q163" t="str">
        <f t="array" ref="Q163">IFERROR(CONCATENATE((INDEX($T$7:$T$86,SMALL(IF($T$7:$T$86&lt;&gt;"",IF($Q$7:$Q$86&lt;&gt;"",ROW($Q$7:$Q$86)-MIN(ROW($Q$7:$Q$86))+1,""),""),ROW()-ROW(A$88)+1)))," "),"")</f>
        <v/>
      </c>
      <c r="R163" t="str">
        <f t="array" ref="R163">IFERROR(CONCATENATE(TEXT(INDEX($Q$7:$Q$86,SMALL(IF($T$7:$T$86&lt;&gt;"",IF($Q$7:$Q$86&lt;&gt;"",ROW($Q$7:$Q$86)-MIN(ROW($Q$7:$Q$86))+1,""),""),ROW()-ROW(A$88)+1)),"##0")," "),"")</f>
        <v/>
      </c>
      <c r="S163" t="str">
        <f t="array" ref="S163">IFERROR(CONCATENATE((INDEX($A$7:$A$86,SMALL(IF($T$7:$T$86&lt;&gt;"",IF($Q$7:$Q$86&lt;&gt;"",ROW($Q$7:$Q$86)-MIN(ROW($Q$7:$Q$86))+1,""),""),ROW()-ROW(A$88)+1))),),"")</f>
        <v/>
      </c>
      <c r="W163" t="str">
        <f t="array" ref="W163">IFERROR(CONCATENATE((INDEX($Z$7:$Z$86,SMALL(IF($Z$7:$Z$86&lt;&gt;"",IF($W$7:$W$86&lt;&gt;"",ROW($W$7:$W$86)-MIN(ROW($W$7:$W$86))+1,""),""),ROW()-ROW(A$88)+1)))," "),"")</f>
        <v/>
      </c>
      <c r="X163" t="str">
        <f t="array" ref="X163">IFERROR(CONCATENATE(TEXT(INDEX($W$7:$W$86,SMALL(IF($Z$7:$Z$86&lt;&gt;"",IF($W$7:$W$86&lt;&gt;"",ROW($W$7:$W$86)-MIN(ROW($W$7:$W$86))+1,""),""),ROW()-ROW(A$88)+1)),"##0")," "),"")</f>
        <v/>
      </c>
      <c r="Y163" t="str">
        <f t="array" ref="Y163">IFERROR(CONCATENATE((INDEX($A$7:$A$86,SMALL(IF($Z$7:$Z$86&lt;&gt;"",IF($W$7:$W$86&lt;&gt;"",ROW($W$7:$W$86)-MIN(ROW($W$7:$W$86))+1,""),""),ROW()-ROW(A$88)+1))),),"")</f>
        <v/>
      </c>
      <c r="AC163" t="str">
        <f t="array" ref="AC163">IFERROR(CONCATENATE((INDEX($AF$7:$AF$86,SMALL(IF($AF$7:$AF$86&lt;&gt;"",IF($AC$7:$AC$86&lt;&gt;"",ROW($AC$7:$AC$86)-MIN(ROW($AC$7:$AC$86))+1,""),""),ROW()-ROW(A$88)+1))),","),"")</f>
        <v/>
      </c>
      <c r="AD163" t="str">
        <f t="array" ref="AD163">IFERROR(CONCATENATE(TEXT(INDEX($AC$7:$AC$86,SMALL(IF($AF$7:$AF$86&lt;&gt;"",IF($AC$7:$AC$86&lt;&gt;"",ROW($AC$7:$AC$86)-MIN(ROW($AC$7:$AC$86))+1,""),""),ROW()-ROW(A$88)+1)),"##0"),","),"")</f>
        <v/>
      </c>
      <c r="AE163" t="str">
        <f t="array" ref="AE163">IFERROR(CONCATENATE((INDEX($A$7:$A$86,SMALL(IF($AF$7:$AF$86&lt;&gt;"",IF($AC$7:$AC$86&lt;&gt;"",ROW($AC$7:$AC$86)-MIN(ROW($AC$7:$AC$86))+1,""),""),ROW()-ROW(A$88)+1))),),"")</f>
        <v/>
      </c>
      <c r="AI163" t="str">
        <f t="array" ref="AI163">IFERROR(CONCATENATE((INDEX($AL$7:$AL$86,SMALL(IF($AL$7:$AL$86&lt;&gt;"",IF($AI$7:$AI$86&lt;&gt;"",ROW($AI$7:$AI$86)-MIN(ROW($AI$7:$AI$86))+1,""),""),ROW()-ROW(A$88)+1)))," "),"")</f>
        <v/>
      </c>
      <c r="AJ163" t="str">
        <f t="array" ref="AJ163">IFERROR(CONCATENATE(TEXT(INDEX($AI$7:$AI$86,SMALL(IF($AL$7:$AL$86&lt;&gt;"",IF($AI$7:$AI$86&lt;&gt;"",ROW($AI$7:$AI$86)-MIN(ROW($AI$7:$AI$86))+1,""),""),ROW()-ROW(A$88)+1)),"##0")," "),"")</f>
        <v/>
      </c>
      <c r="AK163" t="str">
        <f t="array" ref="AK163">IFERROR(CONCATENATE((INDEX($A$7:$A$86,SMALL(IF($AL$7:$AL$86&lt;&gt;"",IF($AI$7:$AI$86&lt;&gt;"",ROW($AI$7:$AI$86)-MIN(ROW($AI$7:$AI$86))+1,""),""),ROW()-ROW(A$88)+1))),),"")</f>
        <v/>
      </c>
    </row>
    <row r="164" spans="11:37">
      <c r="K164" t="str">
        <f t="array" ref="K164">IFERROR(CONCATENATE(TEXT(INDEX($K$7:$K$86,SMALL(IF($N$7:$N$86&lt;&gt;"",IF($K$7:$K$86&lt;&gt;"",ROW($K$7:$K$86)-MIN(ROW($K$7:$K$86))+1,""),""),ROW()-ROW(A$88)+1)),"##0"),","),"")</f>
        <v/>
      </c>
      <c r="L164" t="str">
        <f t="array" ref="L164">IFERROR(CONCATENATE((INDEX($N$7:$N$86,SMALL(IF($N$7:$N$86&lt;&gt;"",IF($K$7:$K$86&lt;&gt;"",ROW($K$7:$K$86)-MIN(ROW($K$7:$K$86))+1,""),""),ROW()-ROW(A$88)+1))),","),"")</f>
        <v/>
      </c>
      <c r="M164" t="str">
        <f t="array" ref="M164">IFERROR(CONCATENATE((INDEX($A$7:$A$86,SMALL(IF($N$7:$N$86&lt;&gt;"",IF($K$7:$K$86&lt;&gt;"",ROW($K$7:$K$86)-MIN(ROW($K$7:$K$86))+1,""),""),ROW()-ROW(A$88)+1))),),"")</f>
        <v/>
      </c>
      <c r="Q164" t="str">
        <f t="array" ref="Q164">IFERROR(CONCATENATE((INDEX($T$7:$T$86,SMALL(IF($T$7:$T$86&lt;&gt;"",IF($Q$7:$Q$86&lt;&gt;"",ROW($Q$7:$Q$86)-MIN(ROW($Q$7:$Q$86))+1,""),""),ROW()-ROW(A$88)+1)))," "),"")</f>
        <v/>
      </c>
      <c r="R164" t="str">
        <f t="array" ref="R164">IFERROR(CONCATENATE(TEXT(INDEX($Q$7:$Q$86,SMALL(IF($T$7:$T$86&lt;&gt;"",IF($Q$7:$Q$86&lt;&gt;"",ROW($Q$7:$Q$86)-MIN(ROW($Q$7:$Q$86))+1,""),""),ROW()-ROW(A$88)+1)),"##0")," "),"")</f>
        <v/>
      </c>
      <c r="S164" t="str">
        <f t="array" ref="S164">IFERROR(CONCATENATE((INDEX($A$7:$A$86,SMALL(IF($T$7:$T$86&lt;&gt;"",IF($Q$7:$Q$86&lt;&gt;"",ROW($Q$7:$Q$86)-MIN(ROW($Q$7:$Q$86))+1,""),""),ROW()-ROW(A$88)+1))),),"")</f>
        <v/>
      </c>
      <c r="W164" t="str">
        <f t="array" ref="W164">IFERROR(CONCATENATE((INDEX($Z$7:$Z$86,SMALL(IF($Z$7:$Z$86&lt;&gt;"",IF($W$7:$W$86&lt;&gt;"",ROW($W$7:$W$86)-MIN(ROW($W$7:$W$86))+1,""),""),ROW()-ROW(A$88)+1)))," "),"")</f>
        <v/>
      </c>
      <c r="X164" t="str">
        <f t="array" ref="X164">IFERROR(CONCATENATE(TEXT(INDEX($W$7:$W$86,SMALL(IF($Z$7:$Z$86&lt;&gt;"",IF($W$7:$W$86&lt;&gt;"",ROW($W$7:$W$86)-MIN(ROW($W$7:$W$86))+1,""),""),ROW()-ROW(A$88)+1)),"##0")," "),"")</f>
        <v/>
      </c>
      <c r="Y164" t="str">
        <f t="array" ref="Y164">IFERROR(CONCATENATE((INDEX($A$7:$A$86,SMALL(IF($Z$7:$Z$86&lt;&gt;"",IF($W$7:$W$86&lt;&gt;"",ROW($W$7:$W$86)-MIN(ROW($W$7:$W$86))+1,""),""),ROW()-ROW(A$88)+1))),),"")</f>
        <v/>
      </c>
      <c r="AC164" t="str">
        <f t="array" ref="AC164">IFERROR(CONCATENATE((INDEX($AF$7:$AF$86,SMALL(IF($AF$7:$AF$86&lt;&gt;"",IF($AC$7:$AC$86&lt;&gt;"",ROW($AC$7:$AC$86)-MIN(ROW($AC$7:$AC$86))+1,""),""),ROW()-ROW(A$88)+1))),","),"")</f>
        <v/>
      </c>
      <c r="AD164" t="str">
        <f t="array" ref="AD164">IFERROR(CONCATENATE(TEXT(INDEX($AC$7:$AC$86,SMALL(IF($AF$7:$AF$86&lt;&gt;"",IF($AC$7:$AC$86&lt;&gt;"",ROW($AC$7:$AC$86)-MIN(ROW($AC$7:$AC$86))+1,""),""),ROW()-ROW(A$88)+1)),"##0"),","),"")</f>
        <v/>
      </c>
      <c r="AE164" t="str">
        <f t="array" ref="AE164">IFERROR(CONCATENATE((INDEX($A$7:$A$86,SMALL(IF($AF$7:$AF$86&lt;&gt;"",IF($AC$7:$AC$86&lt;&gt;"",ROW($AC$7:$AC$86)-MIN(ROW($AC$7:$AC$86))+1,""),""),ROW()-ROW(A$88)+1))),),"")</f>
        <v/>
      </c>
      <c r="AI164" t="str">
        <f t="array" ref="AI164">IFERROR(CONCATENATE((INDEX($AL$7:$AL$86,SMALL(IF($AL$7:$AL$86&lt;&gt;"",IF($AI$7:$AI$86&lt;&gt;"",ROW($AI$7:$AI$86)-MIN(ROW($AI$7:$AI$86))+1,""),""),ROW()-ROW(A$88)+1)))," "),"")</f>
        <v/>
      </c>
      <c r="AJ164" t="str">
        <f t="array" ref="AJ164">IFERROR(CONCATENATE(TEXT(INDEX($AI$7:$AI$86,SMALL(IF($AL$7:$AL$86&lt;&gt;"",IF($AI$7:$AI$86&lt;&gt;"",ROW($AI$7:$AI$86)-MIN(ROW($AI$7:$AI$86))+1,""),""),ROW()-ROW(A$88)+1)),"##0")," "),"")</f>
        <v/>
      </c>
      <c r="AK164" t="str">
        <f t="array" ref="AK164">IFERROR(CONCATENATE((INDEX($A$7:$A$86,SMALL(IF($AL$7:$AL$86&lt;&gt;"",IF($AI$7:$AI$86&lt;&gt;"",ROW($AI$7:$AI$86)-MIN(ROW($AI$7:$AI$86))+1,""),""),ROW()-ROW(A$88)+1))),),"")</f>
        <v/>
      </c>
    </row>
    <row r="165" spans="11:37">
      <c r="K165" t="str">
        <f t="array" ref="K165">IFERROR(CONCATENATE(TEXT(INDEX($K$7:$K$86,SMALL(IF($N$7:$N$86&lt;&gt;"",IF($K$7:$K$86&lt;&gt;"",ROW($K$7:$K$86)-MIN(ROW($K$7:$K$86))+1,""),""),ROW()-ROW(A$88)+1)),"##0"),","),"")</f>
        <v/>
      </c>
      <c r="L165" t="str">
        <f t="array" ref="L165">IFERROR(CONCATENATE((INDEX($N$7:$N$86,SMALL(IF($N$7:$N$86&lt;&gt;"",IF($K$7:$K$86&lt;&gt;"",ROW($K$7:$K$86)-MIN(ROW($K$7:$K$86))+1,""),""),ROW()-ROW(A$88)+1))),","),"")</f>
        <v/>
      </c>
      <c r="M165" t="str">
        <f t="array" ref="M165">IFERROR(CONCATENATE((INDEX($A$7:$A$86,SMALL(IF($N$7:$N$86&lt;&gt;"",IF($K$7:$K$86&lt;&gt;"",ROW($K$7:$K$86)-MIN(ROW($K$7:$K$86))+1,""),""),ROW()-ROW(A$88)+1))),),"")</f>
        <v/>
      </c>
      <c r="Q165" t="str">
        <f t="array" ref="Q165">IFERROR(CONCATENATE((INDEX($T$7:$T$86,SMALL(IF($T$7:$T$86&lt;&gt;"",IF($Q$7:$Q$86&lt;&gt;"",ROW($Q$7:$Q$86)-MIN(ROW($Q$7:$Q$86))+1,""),""),ROW()-ROW(A$88)+1)))," "),"")</f>
        <v/>
      </c>
      <c r="R165" t="str">
        <f t="array" ref="R165">IFERROR(CONCATENATE(TEXT(INDEX($Q$7:$Q$86,SMALL(IF($T$7:$T$86&lt;&gt;"",IF($Q$7:$Q$86&lt;&gt;"",ROW($Q$7:$Q$86)-MIN(ROW($Q$7:$Q$86))+1,""),""),ROW()-ROW(A$88)+1)),"##0")," "),"")</f>
        <v/>
      </c>
      <c r="S165" t="str">
        <f t="array" ref="S165">IFERROR(CONCATENATE((INDEX($A$7:$A$86,SMALL(IF($T$7:$T$86&lt;&gt;"",IF($Q$7:$Q$86&lt;&gt;"",ROW($Q$7:$Q$86)-MIN(ROW($Q$7:$Q$86))+1,""),""),ROW()-ROW(A$88)+1))),),"")</f>
        <v/>
      </c>
      <c r="W165" t="str">
        <f t="array" ref="W165">IFERROR(CONCATENATE((INDEX($Z$7:$Z$86,SMALL(IF($Z$7:$Z$86&lt;&gt;"",IF($W$7:$W$86&lt;&gt;"",ROW($W$7:$W$86)-MIN(ROW($W$7:$W$86))+1,""),""),ROW()-ROW(A$88)+1)))," "),"")</f>
        <v/>
      </c>
      <c r="X165" t="str">
        <f t="array" ref="X165">IFERROR(CONCATENATE(TEXT(INDEX($W$7:$W$86,SMALL(IF($Z$7:$Z$86&lt;&gt;"",IF($W$7:$W$86&lt;&gt;"",ROW($W$7:$W$86)-MIN(ROW($W$7:$W$86))+1,""),""),ROW()-ROW(A$88)+1)),"##0")," "),"")</f>
        <v/>
      </c>
      <c r="Y165" t="str">
        <f t="array" ref="Y165">IFERROR(CONCATENATE((INDEX($A$7:$A$86,SMALL(IF($Z$7:$Z$86&lt;&gt;"",IF($W$7:$W$86&lt;&gt;"",ROW($W$7:$W$86)-MIN(ROW($W$7:$W$86))+1,""),""),ROW()-ROW(A$88)+1))),),"")</f>
        <v/>
      </c>
      <c r="AC165" t="str">
        <f t="array" ref="AC165">IFERROR(CONCATENATE((INDEX($AF$7:$AF$86,SMALL(IF($AF$7:$AF$86&lt;&gt;"",IF($AC$7:$AC$86&lt;&gt;"",ROW($AC$7:$AC$86)-MIN(ROW($AC$7:$AC$86))+1,""),""),ROW()-ROW(A$88)+1))),","),"")</f>
        <v/>
      </c>
      <c r="AD165" t="str">
        <f t="array" ref="AD165">IFERROR(CONCATENATE(TEXT(INDEX($AC$7:$AC$86,SMALL(IF($AF$7:$AF$86&lt;&gt;"",IF($AC$7:$AC$86&lt;&gt;"",ROW($AC$7:$AC$86)-MIN(ROW($AC$7:$AC$86))+1,""),""),ROW()-ROW(A$88)+1)),"##0"),","),"")</f>
        <v/>
      </c>
      <c r="AE165" t="str">
        <f t="array" ref="AE165">IFERROR(CONCATENATE((INDEX($A$7:$A$86,SMALL(IF($AF$7:$AF$86&lt;&gt;"",IF($AC$7:$AC$86&lt;&gt;"",ROW($AC$7:$AC$86)-MIN(ROW($AC$7:$AC$86))+1,""),""),ROW()-ROW(A$88)+1))),),"")</f>
        <v/>
      </c>
      <c r="AI165" t="str">
        <f t="array" ref="AI165">IFERROR(CONCATENATE((INDEX($AL$7:$AL$86,SMALL(IF($AL$7:$AL$86&lt;&gt;"",IF($AI$7:$AI$86&lt;&gt;"",ROW($AI$7:$AI$86)-MIN(ROW($AI$7:$AI$86))+1,""),""),ROW()-ROW(A$88)+1)))," "),"")</f>
        <v/>
      </c>
      <c r="AJ165" t="str">
        <f t="array" ref="AJ165">IFERROR(CONCATENATE(TEXT(INDEX($AI$7:$AI$86,SMALL(IF($AL$7:$AL$86&lt;&gt;"",IF($AI$7:$AI$86&lt;&gt;"",ROW($AI$7:$AI$86)-MIN(ROW($AI$7:$AI$86))+1,""),""),ROW()-ROW(A$88)+1)),"##0")," "),"")</f>
        <v/>
      </c>
      <c r="AK165" t="str">
        <f t="array" ref="AK165">IFERROR(CONCATENATE((INDEX($A$7:$A$86,SMALL(IF($AL$7:$AL$86&lt;&gt;"",IF($AI$7:$AI$86&lt;&gt;"",ROW($AI$7:$AI$86)-MIN(ROW($AI$7:$AI$86))+1,""),""),ROW()-ROW(A$88)+1))),),"")</f>
        <v/>
      </c>
    </row>
    <row r="166" spans="11:37">
      <c r="K166" t="str">
        <f t="array" ref="K166">IFERROR(CONCATENATE(TEXT(INDEX($K$7:$K$86,SMALL(IF($N$7:$N$86&lt;&gt;"",IF($K$7:$K$86&lt;&gt;"",ROW($K$7:$K$86)-MIN(ROW($K$7:$K$86))+1,""),""),ROW()-ROW(A$88)+1)),"##0"),","),"")</f>
        <v/>
      </c>
      <c r="L166" t="str">
        <f t="array" ref="L166">IFERROR(CONCATENATE((INDEX($N$7:$N$86,SMALL(IF($N$7:$N$86&lt;&gt;"",IF($K$7:$K$86&lt;&gt;"",ROW($K$7:$K$86)-MIN(ROW($K$7:$K$86))+1,""),""),ROW()-ROW(A$88)+1))),","),"")</f>
        <v/>
      </c>
      <c r="M166" t="str">
        <f t="array" ref="M166">IFERROR(CONCATENATE((INDEX($A$7:$A$86,SMALL(IF($N$7:$N$86&lt;&gt;"",IF($K$7:$K$86&lt;&gt;"",ROW($K$7:$K$86)-MIN(ROW($K$7:$K$86))+1,""),""),ROW()-ROW(A$88)+1))),),"")</f>
        <v/>
      </c>
      <c r="Q166" t="str">
        <f t="array" ref="Q166">IFERROR(CONCATENATE((INDEX($T$7:$T$86,SMALL(IF($T$7:$T$86&lt;&gt;"",IF($Q$7:$Q$86&lt;&gt;"",ROW($Q$7:$Q$86)-MIN(ROW($Q$7:$Q$86))+1,""),""),ROW()-ROW(A$88)+1)))," "),"")</f>
        <v/>
      </c>
      <c r="R166" t="str">
        <f t="array" ref="R166">IFERROR(CONCATENATE(TEXT(INDEX($Q$7:$Q$86,SMALL(IF($T$7:$T$86&lt;&gt;"",IF($Q$7:$Q$86&lt;&gt;"",ROW($Q$7:$Q$86)-MIN(ROW($Q$7:$Q$86))+1,""),""),ROW()-ROW(A$88)+1)),"##0")," "),"")</f>
        <v/>
      </c>
      <c r="S166" t="str">
        <f t="array" ref="S166">IFERROR(CONCATENATE((INDEX($A$7:$A$86,SMALL(IF($T$7:$T$86&lt;&gt;"",IF($Q$7:$Q$86&lt;&gt;"",ROW($Q$7:$Q$86)-MIN(ROW($Q$7:$Q$86))+1,""),""),ROW()-ROW(A$88)+1))),),"")</f>
        <v/>
      </c>
      <c r="W166" t="str">
        <f t="array" ref="W166">IFERROR(CONCATENATE((INDEX($Z$7:$Z$86,SMALL(IF($Z$7:$Z$86&lt;&gt;"",IF($W$7:$W$86&lt;&gt;"",ROW($W$7:$W$86)-MIN(ROW($W$7:$W$86))+1,""),""),ROW()-ROW(A$88)+1)))," "),"")</f>
        <v/>
      </c>
      <c r="X166" t="str">
        <f t="array" ref="X166">IFERROR(CONCATENATE(TEXT(INDEX($W$7:$W$86,SMALL(IF($Z$7:$Z$86&lt;&gt;"",IF($W$7:$W$86&lt;&gt;"",ROW($W$7:$W$86)-MIN(ROW($W$7:$W$86))+1,""),""),ROW()-ROW(A$88)+1)),"##0")," "),"")</f>
        <v/>
      </c>
      <c r="Y166" t="str">
        <f t="array" ref="Y166">IFERROR(CONCATENATE((INDEX($A$7:$A$86,SMALL(IF($Z$7:$Z$86&lt;&gt;"",IF($W$7:$W$86&lt;&gt;"",ROW($W$7:$W$86)-MIN(ROW($W$7:$W$86))+1,""),""),ROW()-ROW(A$88)+1))),),"")</f>
        <v/>
      </c>
      <c r="AC166" t="str">
        <f t="array" ref="AC166">IFERROR(CONCATENATE((INDEX($AF$7:$AF$86,SMALL(IF($AF$7:$AF$86&lt;&gt;"",IF($AC$7:$AC$86&lt;&gt;"",ROW($AC$7:$AC$86)-MIN(ROW($AC$7:$AC$86))+1,""),""),ROW()-ROW(A$88)+1))),","),"")</f>
        <v/>
      </c>
      <c r="AD166" t="str">
        <f t="array" ref="AD166">IFERROR(CONCATENATE(TEXT(INDEX($AC$7:$AC$86,SMALL(IF($AF$7:$AF$86&lt;&gt;"",IF($AC$7:$AC$86&lt;&gt;"",ROW($AC$7:$AC$86)-MIN(ROW($AC$7:$AC$86))+1,""),""),ROW()-ROW(A$88)+1)),"##0"),","),"")</f>
        <v/>
      </c>
      <c r="AE166" t="str">
        <f t="array" ref="AE166">IFERROR(CONCATENATE((INDEX($A$7:$A$86,SMALL(IF($AF$7:$AF$86&lt;&gt;"",IF($AC$7:$AC$86&lt;&gt;"",ROW($AC$7:$AC$86)-MIN(ROW($AC$7:$AC$86))+1,""),""),ROW()-ROW(A$88)+1))),),"")</f>
        <v/>
      </c>
      <c r="AI166" t="str">
        <f t="array" ref="AI166">IFERROR(CONCATENATE((INDEX($AL$7:$AL$86,SMALL(IF($AL$7:$AL$86&lt;&gt;"",IF($AI$7:$AI$86&lt;&gt;"",ROW($AI$7:$AI$86)-MIN(ROW($AI$7:$AI$86))+1,""),""),ROW()-ROW(A$88)+1)))," "),"")</f>
        <v/>
      </c>
      <c r="AJ166" t="str">
        <f t="array" ref="AJ166">IFERROR(CONCATENATE(TEXT(INDEX($AI$7:$AI$86,SMALL(IF($AL$7:$AL$86&lt;&gt;"",IF($AI$7:$AI$86&lt;&gt;"",ROW($AI$7:$AI$86)-MIN(ROW($AI$7:$AI$86))+1,""),""),ROW()-ROW(A$88)+1)),"##0")," "),"")</f>
        <v/>
      </c>
      <c r="AK166" t="str">
        <f t="array" ref="AK166">IFERROR(CONCATENATE((INDEX($A$7:$A$86,SMALL(IF($AL$7:$AL$86&lt;&gt;"",IF($AI$7:$AI$86&lt;&gt;"",ROW($AI$7:$AI$86)-MIN(ROW($AI$7:$AI$86))+1,""),""),ROW()-ROW(A$88)+1))),),"")</f>
        <v/>
      </c>
    </row>
    <row r="167" spans="11:37">
      <c r="K167" t="str">
        <f t="array" ref="K167">IFERROR(CONCATENATE(TEXT(INDEX($K$7:$K$86,SMALL(IF($N$7:$N$86&lt;&gt;"",IF($K$7:$K$86&lt;&gt;"",ROW($K$7:$K$86)-MIN(ROW($K$7:$K$86))+1,""),""),ROW()-ROW(A$88)+1)),"##0"),","),"")</f>
        <v/>
      </c>
      <c r="L167" t="str">
        <f t="array" ref="L167">IFERROR(CONCATENATE((INDEX($N$7:$N$86,SMALL(IF($N$7:$N$86&lt;&gt;"",IF($K$7:$K$86&lt;&gt;"",ROW($K$7:$K$86)-MIN(ROW($K$7:$K$86))+1,""),""),ROW()-ROW(A$88)+1))),","),"")</f>
        <v/>
      </c>
      <c r="M167" t="str">
        <f t="array" ref="M167">IFERROR(CONCATENATE((INDEX($A$7:$A$86,SMALL(IF($N$7:$N$86&lt;&gt;"",IF($K$7:$K$86&lt;&gt;"",ROW($K$7:$K$86)-MIN(ROW($K$7:$K$86))+1,""),""),ROW()-ROW(A$88)+1))),),"")</f>
        <v/>
      </c>
      <c r="Q167" t="str">
        <f t="array" ref="Q167">IFERROR(CONCATENATE((INDEX($T$7:$T$86,SMALL(IF($T$7:$T$86&lt;&gt;"",IF($Q$7:$Q$86&lt;&gt;"",ROW($Q$7:$Q$86)-MIN(ROW($Q$7:$Q$86))+1,""),""),ROW()-ROW(A$88)+1)))," "),"")</f>
        <v/>
      </c>
      <c r="R167" t="str">
        <f t="array" ref="R167">IFERROR(CONCATENATE(TEXT(INDEX($Q$7:$Q$86,SMALL(IF($T$7:$T$86&lt;&gt;"",IF($Q$7:$Q$86&lt;&gt;"",ROW($Q$7:$Q$86)-MIN(ROW($Q$7:$Q$86))+1,""),""),ROW()-ROW(A$88)+1)),"##0")," "),"")</f>
        <v/>
      </c>
      <c r="S167" t="str">
        <f t="array" ref="S167">IFERROR(CONCATENATE((INDEX($A$7:$A$86,SMALL(IF($T$7:$T$86&lt;&gt;"",IF($Q$7:$Q$86&lt;&gt;"",ROW($Q$7:$Q$86)-MIN(ROW($Q$7:$Q$86))+1,""),""),ROW()-ROW(A$88)+1))),),"")</f>
        <v/>
      </c>
      <c r="W167" t="str">
        <f t="array" ref="W167">IFERROR(CONCATENATE((INDEX($Z$7:$Z$86,SMALL(IF($Z$7:$Z$86&lt;&gt;"",IF($W$7:$W$86&lt;&gt;"",ROW($W$7:$W$86)-MIN(ROW($W$7:$W$86))+1,""),""),ROW()-ROW(A$88)+1)))," "),"")</f>
        <v/>
      </c>
      <c r="X167" t="str">
        <f t="array" ref="X167">IFERROR(CONCATENATE(TEXT(INDEX($W$7:$W$86,SMALL(IF($Z$7:$Z$86&lt;&gt;"",IF($W$7:$W$86&lt;&gt;"",ROW($W$7:$W$86)-MIN(ROW($W$7:$W$86))+1,""),""),ROW()-ROW(A$88)+1)),"##0")," "),"")</f>
        <v/>
      </c>
      <c r="Y167" t="str">
        <f t="array" ref="Y167">IFERROR(CONCATENATE((INDEX($A$7:$A$86,SMALL(IF($Z$7:$Z$86&lt;&gt;"",IF($W$7:$W$86&lt;&gt;"",ROW($W$7:$W$86)-MIN(ROW($W$7:$W$86))+1,""),""),ROW()-ROW(A$88)+1))),),"")</f>
        <v/>
      </c>
      <c r="AC167" t="str">
        <f t="array" ref="AC167">IFERROR(CONCATENATE((INDEX($AF$7:$AF$86,SMALL(IF($AF$7:$AF$86&lt;&gt;"",IF($AC$7:$AC$86&lt;&gt;"",ROW($AC$7:$AC$86)-MIN(ROW($AC$7:$AC$86))+1,""),""),ROW()-ROW(A$88)+1))),","),"")</f>
        <v/>
      </c>
      <c r="AD167" t="str">
        <f t="array" ref="AD167">IFERROR(CONCATENATE(TEXT(INDEX($AC$7:$AC$86,SMALL(IF($AF$7:$AF$86&lt;&gt;"",IF($AC$7:$AC$86&lt;&gt;"",ROW($AC$7:$AC$86)-MIN(ROW($AC$7:$AC$86))+1,""),""),ROW()-ROW(A$88)+1)),"##0"),","),"")</f>
        <v/>
      </c>
      <c r="AE167" t="str">
        <f t="array" ref="AE167">IFERROR(CONCATENATE((INDEX($A$7:$A$86,SMALL(IF($AF$7:$AF$86&lt;&gt;"",IF($AC$7:$AC$86&lt;&gt;"",ROW($AC$7:$AC$86)-MIN(ROW($AC$7:$AC$86))+1,""),""),ROW()-ROW(A$88)+1))),),"")</f>
        <v/>
      </c>
      <c r="AI167" t="str">
        <f t="array" ref="AI167">IFERROR(CONCATENATE((INDEX($AL$7:$AL$86,SMALL(IF($AL$7:$AL$86&lt;&gt;"",IF($AI$7:$AI$86&lt;&gt;"",ROW($AI$7:$AI$86)-MIN(ROW($AI$7:$AI$86))+1,""),""),ROW()-ROW(A$88)+1)))," "),"")</f>
        <v/>
      </c>
      <c r="AJ167" t="str">
        <f t="array" ref="AJ167">IFERROR(CONCATENATE(TEXT(INDEX($AI$7:$AI$86,SMALL(IF($AL$7:$AL$86&lt;&gt;"",IF($AI$7:$AI$86&lt;&gt;"",ROW($AI$7:$AI$86)-MIN(ROW($AI$7:$AI$86))+1,""),""),ROW()-ROW(A$88)+1)),"##0")," "),"")</f>
        <v/>
      </c>
      <c r="AK167" t="str">
        <f t="array" ref="AK167">IFERROR(CONCATENATE((INDEX($A$7:$A$86,SMALL(IF($AL$7:$AL$86&lt;&gt;"",IF($AI$7:$AI$86&lt;&gt;"",ROW($AI$7:$AI$86)-MIN(ROW($AI$7:$AI$86))+1,""),""),ROW()-ROW(A$88)+1))),),"")</f>
        <v/>
      </c>
    </row>
  </sheetData>
  <mergeCells count="6">
    <mergeCell ref="A5:I5"/>
    <mergeCell ref="J5:O5"/>
    <mergeCell ref="P5:U5"/>
    <mergeCell ref="V5:AA5"/>
    <mergeCell ref="AB5:AG5"/>
    <mergeCell ref="AH5:AM5"/>
  </mergeCells>
  <conditionalFormatting sqref="AD7:AE12;AD14:AE14;AD16:AE21;AD24:AE29;AD33:AE33;AD35:AE40;AD43:AE43;AD45:AE49;AD52:AE52;AD55:AE55;AD57:AE57;AD59:AE65;AD67:AE70;AD73:AE75;AD77:AE78;AD80:AE81;AD83:AE85">
    <cfRule type="cellIs" dxfId="0" priority="1" stopIfTrue="1" operator="lessThanOrEqual">
      <formula>H7</formula>
    </cfRule>
  </conditionalFormatting>
  <conditionalFormatting sqref="F7:F84;F85:F86">
    <cfRule type="expression" dxfId="1" priority="2" stopIfTrue="1">
      <formula>COUNTIF($F$7:$F$86,F7)&gt;1</formula>
    </cfRule>
  </conditionalFormatting>
  <conditionalFormatting sqref="AJ11:AK12;AJ15:AK15;AJ17:AK17;AJ19:AK19;AJ23:AK24;AJ29:AK30;AJ36:AK37;AJ39:AK40;AJ48:AK48;AJ54:AK54;AJ57:AK57;AJ67:AK68;AJ74:AK75;AJ77:AK78;AJ8:AK9;AJ80:AK80;AJ82:AK82;AJ84:AK84">
    <cfRule type="cellIs" dxfId="2" priority="3" stopIfTrue="1" operator="lessThanOrEqual">
      <formula>H8</formula>
    </cfRule>
  </conditionalFormatting>
  <conditionalFormatting sqref="L9:M10;L12:M14;L16:M21;L23:M40;L43:M43;L46:M55;L57:M57;L59:M71;L7:M7;L73:M75;L77:M78;L80:M85">
    <cfRule type="cellIs" dxfId="3" priority="4" stopIfTrue="1" operator="lessThanOrEqual">
      <formula>H7</formula>
    </cfRule>
  </conditionalFormatting>
  <conditionalFormatting sqref="X7:Y21;X23:Y40;X42:Y43;X45:Y55;X57:Y71;X73:Y85">
    <cfRule type="cellIs" dxfId="4" priority="5" stopIfTrue="1" operator="lessThanOrEqual">
      <formula>H7</formula>
    </cfRule>
  </conditionalFormatting>
  <hyperlinks>
    <hyperlink ref="O7" r:id="rId3" display="Link"/>
    <hyperlink ref="AA7" r:id="rId4" display="Link"/>
    <hyperlink ref="AG7" r:id="rId5" display="Link"/>
    <hyperlink ref="AA8" r:id="rId6" display="Link"/>
    <hyperlink ref="AG8" r:id="rId7" display="Link"/>
    <hyperlink ref="AM8" r:id="rId8" display="Link"/>
    <hyperlink ref="O9" r:id="rId9" display="Link"/>
    <hyperlink ref="AA9" r:id="rId10" display="Link"/>
    <hyperlink ref="AG9" r:id="rId11" display="Link"/>
    <hyperlink ref="AM9" r:id="rId12" display="Link"/>
    <hyperlink ref="O10" r:id="rId13" display="Link"/>
    <hyperlink ref="AA10" r:id="rId14" display="Link"/>
    <hyperlink ref="AG10" r:id="rId15" display="Link"/>
    <hyperlink ref="AA11" r:id="rId16" display="Link"/>
    <hyperlink ref="AG11" r:id="rId17" display="Link"/>
    <hyperlink ref="AM11" r:id="rId18" display="Link"/>
    <hyperlink ref="O12" r:id="rId19" display="Link"/>
    <hyperlink ref="AA12" r:id="rId20" display="Link"/>
    <hyperlink ref="AG12" r:id="rId21" display="Link"/>
    <hyperlink ref="AM12" r:id="rId22" display="Link"/>
    <hyperlink ref="O13" r:id="rId23" display="Link"/>
    <hyperlink ref="AA13" r:id="rId24" display="Link"/>
    <hyperlink ref="O14" r:id="rId25" display="Link"/>
    <hyperlink ref="AA14" r:id="rId26" display="Link"/>
    <hyperlink ref="AG14" r:id="rId27" display="Link"/>
    <hyperlink ref="AM14" r:id="rId28" display="Link"/>
    <hyperlink ref="AA15" r:id="rId29" display="Link"/>
    <hyperlink ref="AM15" r:id="rId30" display="Link"/>
    <hyperlink ref="O16" r:id="rId31" display="Link"/>
    <hyperlink ref="AA16" r:id="rId32" display="Link"/>
    <hyperlink ref="AG16" r:id="rId33" display="Link"/>
    <hyperlink ref="O17" r:id="rId34" display="Link"/>
    <hyperlink ref="AA17" r:id="rId35" display="Link"/>
    <hyperlink ref="AG17" r:id="rId36" display="Link"/>
    <hyperlink ref="AM17" r:id="rId37" display="Link"/>
    <hyperlink ref="O18" r:id="rId38" display="Link"/>
    <hyperlink ref="AA18" r:id="rId39" display="Link"/>
    <hyperlink ref="AG18" r:id="rId40" display="Link"/>
    <hyperlink ref="O19" r:id="rId41" display="Link"/>
    <hyperlink ref="AA19" r:id="rId42" display="Link"/>
    <hyperlink ref="AG19" r:id="rId43" display="Link"/>
    <hyperlink ref="AM19" r:id="rId44" display="Link"/>
    <hyperlink ref="O20" r:id="rId45" display="Link"/>
    <hyperlink ref="AA20" r:id="rId46" display="Link"/>
    <hyperlink ref="AG20" r:id="rId47" display="Link"/>
    <hyperlink ref="O21" r:id="rId48" display="Link"/>
    <hyperlink ref="AA21" r:id="rId49" display="Link"/>
    <hyperlink ref="AG21" r:id="rId50" display="Link"/>
    <hyperlink ref="O23" r:id="rId51" display="Link"/>
    <hyperlink ref="AA23" r:id="rId52" display="Link"/>
    <hyperlink ref="AM23" r:id="rId53" display="Link"/>
    <hyperlink ref="O24" r:id="rId54" display="Link"/>
    <hyperlink ref="AA24" r:id="rId55" display="Link"/>
    <hyperlink ref="AG24" r:id="rId56" display="Link"/>
    <hyperlink ref="AM24" r:id="rId57" display="Link"/>
    <hyperlink ref="O25" r:id="rId58" display="Link"/>
    <hyperlink ref="AA25" r:id="rId59" display="Link"/>
    <hyperlink ref="AG25" r:id="rId60" display="Link"/>
    <hyperlink ref="O26" r:id="rId61" display="Link"/>
    <hyperlink ref="AA26" r:id="rId62" display="Link"/>
    <hyperlink ref="AG26" r:id="rId63" display="Link"/>
    <hyperlink ref="O27" r:id="rId64" display="Link"/>
    <hyperlink ref="AA27" r:id="rId65" display="Link"/>
    <hyperlink ref="AG27" r:id="rId66" display="Link"/>
    <hyperlink ref="O28" r:id="rId67" display="Link"/>
    <hyperlink ref="AA28" r:id="rId68" display="Link"/>
    <hyperlink ref="AG28" r:id="rId69" display="Link"/>
    <hyperlink ref="O29" r:id="rId70" display="Link"/>
    <hyperlink ref="AA29" r:id="rId71" display="Link"/>
    <hyperlink ref="AG29" r:id="rId72" display="Link"/>
    <hyperlink ref="AM29" r:id="rId73" display="Link"/>
    <hyperlink ref="O30" r:id="rId74" display="Link"/>
    <hyperlink ref="AA30" r:id="rId75" display="Link"/>
    <hyperlink ref="AM30" r:id="rId76" display="Link"/>
    <hyperlink ref="O31" r:id="rId77" display="Link"/>
    <hyperlink ref="AA31" r:id="rId78" display="Link"/>
    <hyperlink ref="O32" r:id="rId79" display="Link"/>
    <hyperlink ref="AA32" r:id="rId80" display="Link"/>
    <hyperlink ref="O33" r:id="rId81" display="Link"/>
    <hyperlink ref="AA33" r:id="rId82" display="Link"/>
    <hyperlink ref="AG33" r:id="rId83" display="Link"/>
    <hyperlink ref="O34" r:id="rId84" display="Link"/>
    <hyperlink ref="AA34" r:id="rId85" display="Link"/>
    <hyperlink ref="O35" r:id="rId81" display="Link"/>
    <hyperlink ref="AA35" r:id="rId82" display="Link"/>
    <hyperlink ref="AG35" r:id="rId83" display="Link"/>
    <hyperlink ref="O36" r:id="rId9" display="Link"/>
    <hyperlink ref="AA36" r:id="rId10" display="Link"/>
    <hyperlink ref="AG36" r:id="rId11" display="Link"/>
    <hyperlink ref="AM36" r:id="rId12" display="Link"/>
    <hyperlink ref="O37" r:id="rId86" display="Link"/>
    <hyperlink ref="AA37" r:id="rId87" display="Link"/>
    <hyperlink ref="AG37" r:id="rId88" display="Link"/>
    <hyperlink ref="AM37" r:id="rId89" display="Link"/>
    <hyperlink ref="O38" r:id="rId90" display="Link"/>
    <hyperlink ref="AA38" r:id="rId91" display="Link"/>
    <hyperlink ref="AG38" r:id="rId92" display="Link"/>
    <hyperlink ref="AM38" r:id="rId93" display="Link"/>
    <hyperlink ref="O39" r:id="rId94" display="Link"/>
    <hyperlink ref="AA39" r:id="rId95" display="Link"/>
    <hyperlink ref="AG39" r:id="rId96" display="Link"/>
    <hyperlink ref="AM39" r:id="rId97" display="Link"/>
    <hyperlink ref="O40" r:id="rId98" display="Link"/>
    <hyperlink ref="AA40" r:id="rId99" display="Link"/>
    <hyperlink ref="AG40" r:id="rId100" display="Link"/>
    <hyperlink ref="AM40" r:id="rId101" display="Link"/>
    <hyperlink ref="AA42" r:id="rId102" display="Link"/>
    <hyperlink ref="O43" r:id="rId103" display="Link"/>
    <hyperlink ref="AA43" r:id="rId104" display="Link"/>
    <hyperlink ref="AG43" r:id="rId105" display="Link"/>
    <hyperlink ref="AA45" r:id="rId106" display="Link"/>
    <hyperlink ref="AG45" r:id="rId107" display="Link"/>
    <hyperlink ref="O46" r:id="rId108" display="Link"/>
    <hyperlink ref="AA46" r:id="rId109" display="Link"/>
    <hyperlink ref="AG46" r:id="rId110" display="Link"/>
    <hyperlink ref="O47" r:id="rId111" display="Link"/>
    <hyperlink ref="AA47" r:id="rId112" display="Link"/>
    <hyperlink ref="AG47" r:id="rId113" display="Link"/>
    <hyperlink ref="O48" r:id="rId114" display="Link"/>
    <hyperlink ref="AA48" r:id="rId115" display="Link"/>
    <hyperlink ref="AG48" r:id="rId116" display="Link"/>
    <hyperlink ref="AM48" r:id="rId117" display="Link"/>
    <hyperlink ref="O49" r:id="rId58" display="Link"/>
    <hyperlink ref="AA49" r:id="rId59" display="Link"/>
    <hyperlink ref="AG49" r:id="rId60" display="Link"/>
    <hyperlink ref="O50" r:id="rId118" display="Link"/>
    <hyperlink ref="AA50" r:id="rId119" display="Link"/>
    <hyperlink ref="O51" r:id="rId120" display="Link"/>
    <hyperlink ref="AA51" r:id="rId121" display="Link"/>
    <hyperlink ref="O52" r:id="rId122" display="Link"/>
    <hyperlink ref="AA52" r:id="rId123" display="Link"/>
    <hyperlink ref="AG52" r:id="rId124" display="Link"/>
    <hyperlink ref="O53" r:id="rId125" display="Link"/>
    <hyperlink ref="AA53" r:id="rId126" display="Link"/>
    <hyperlink ref="O54" r:id="rId127" display="Link"/>
    <hyperlink ref="AA54" r:id="rId128" display="Link"/>
    <hyperlink ref="AM54" r:id="rId129" display="Link"/>
    <hyperlink ref="O55" r:id="rId130" display="Link"/>
    <hyperlink ref="AA55" r:id="rId131" display="Link"/>
    <hyperlink ref="AG55" r:id="rId132" display="Link"/>
    <hyperlink ref="O57" r:id="rId34" display="Link"/>
    <hyperlink ref="AA57" r:id="rId35" display="Link"/>
    <hyperlink ref="AG57" r:id="rId36" display="Link"/>
    <hyperlink ref="AM57" r:id="rId37" display="Link"/>
    <hyperlink ref="AA58" r:id="rId133" display="Link"/>
    <hyperlink ref="O59" r:id="rId81" display="Link"/>
    <hyperlink ref="AA59" r:id="rId82" display="Link"/>
    <hyperlink ref="AG59" r:id="rId83" display="Link"/>
    <hyperlink ref="O60" r:id="rId3" display="Link"/>
    <hyperlink ref="AA60" r:id="rId4" display="Link"/>
    <hyperlink ref="AG60" r:id="rId5" display="Link"/>
    <hyperlink ref="O61" r:id="rId130" display="Link"/>
    <hyperlink ref="AA61" r:id="rId131" display="Link"/>
    <hyperlink ref="AG61" r:id="rId132" display="Link"/>
    <hyperlink ref="O62" r:id="rId108" display="Link"/>
    <hyperlink ref="AA62" r:id="rId109" display="Link"/>
    <hyperlink ref="AG62" r:id="rId110" display="Link"/>
    <hyperlink ref="O63" r:id="rId134" display="Link"/>
    <hyperlink ref="AA63" r:id="rId135" display="Link"/>
    <hyperlink ref="AG63" r:id="rId136" display="Link"/>
    <hyperlink ref="O64" r:id="rId137" display="Link"/>
    <hyperlink ref="AA64" r:id="rId138" display="Link"/>
    <hyperlink ref="AG64" r:id="rId139" display="Link"/>
    <hyperlink ref="O65" r:id="rId140" display="Link"/>
    <hyperlink ref="AA65" r:id="rId141" display="Link"/>
    <hyperlink ref="AG65" r:id="rId142" display="Link"/>
    <hyperlink ref="O66" r:id="rId143" display="Link"/>
    <hyperlink ref="AA66" r:id="rId144" display="Link"/>
    <hyperlink ref="AG66" r:id="rId145" display="Link"/>
    <hyperlink ref="O67" r:id="rId146" display="Link"/>
    <hyperlink ref="AA67" r:id="rId147" display="Link"/>
    <hyperlink ref="AG67" r:id="rId148" display="Link"/>
    <hyperlink ref="AM67" r:id="rId149" display="Link"/>
    <hyperlink ref="O68" r:id="rId150" display="Link"/>
    <hyperlink ref="AA68" r:id="rId151" display="Link"/>
    <hyperlink ref="AG68" r:id="rId152" display="Link"/>
    <hyperlink ref="AM68" r:id="rId153" display="Link"/>
    <hyperlink ref="O69" r:id="rId154" display="Link"/>
    <hyperlink ref="AA69" r:id="rId155" display="Link"/>
    <hyperlink ref="AG69" r:id="rId156" display="Link"/>
    <hyperlink ref="O70" r:id="rId157" display="Link"/>
    <hyperlink ref="AA70" r:id="rId158" display="Link"/>
    <hyperlink ref="AG70" r:id="rId159" display="Link"/>
    <hyperlink ref="O71" r:id="rId160" display="Link"/>
    <hyperlink ref="AA71" r:id="rId161" display="Link"/>
    <hyperlink ref="O73" r:id="rId162" display="Link"/>
    <hyperlink ref="AA73" r:id="rId163" display="Link"/>
    <hyperlink ref="AG73" r:id="rId164" display="Link"/>
    <hyperlink ref="O74" r:id="rId165" display="Link"/>
    <hyperlink ref="AA74" r:id="rId166" display="Link"/>
    <hyperlink ref="AG74" r:id="rId167" display="Link"/>
    <hyperlink ref="AM74" r:id="rId168" display="Link"/>
    <hyperlink ref="O75" r:id="rId169" display="Link"/>
    <hyperlink ref="AA75" r:id="rId170" display="Link"/>
    <hyperlink ref="AG75" r:id="rId171" display="Link"/>
    <hyperlink ref="AM75" r:id="rId172" display="Link"/>
    <hyperlink ref="AA76" r:id="rId173" display="Link"/>
    <hyperlink ref="O77" r:id="rId41" display="Link"/>
    <hyperlink ref="AA77" r:id="rId42" display="Link"/>
    <hyperlink ref="AG77" r:id="rId43" display="Link"/>
    <hyperlink ref="AM77" r:id="rId44" display="Link"/>
    <hyperlink ref="O78" r:id="rId174" display="Link"/>
    <hyperlink ref="AA78" r:id="rId175" display="Link"/>
    <hyperlink ref="AG78" r:id="rId176" display="Link"/>
    <hyperlink ref="AM78" r:id="rId177" display="Link"/>
    <hyperlink ref="AA79" r:id="rId178" display="Link"/>
    <hyperlink ref="O80" r:id="rId179" display="Link"/>
    <hyperlink ref="AA80" r:id="rId180" display="Link"/>
    <hyperlink ref="AG80" r:id="rId181" display="Link"/>
    <hyperlink ref="AM80" r:id="rId182" display="Link"/>
    <hyperlink ref="O81" r:id="rId183" display="Link"/>
    <hyperlink ref="AA81" r:id="rId184" display="Link"/>
    <hyperlink ref="AG81" r:id="rId185" display="Link"/>
    <hyperlink ref="O82" r:id="rId186" display="Link"/>
    <hyperlink ref="AA82" r:id="rId187" display="Link"/>
    <hyperlink ref="AM82" r:id="rId188" display="Link"/>
    <hyperlink ref="O83" r:id="rId189" display="Link"/>
    <hyperlink ref="AA83" r:id="rId190" display="Link"/>
    <hyperlink ref="AG83" r:id="rId191" display="Link"/>
    <hyperlink ref="O84" r:id="rId86" display="Link"/>
    <hyperlink ref="AA84" r:id="rId87" display="Link"/>
    <hyperlink ref="AG84" r:id="rId88" display="Link"/>
    <hyperlink ref="AM84" r:id="rId89" display="Link"/>
    <hyperlink ref="O85" r:id="rId192" display="Link"/>
    <hyperlink ref="AA85" r:id="rId193" display="Link"/>
    <hyperlink ref="AG85" r:id="rId194" display="Link"/>
  </hyperlinks>
  <pageMargins left="0.699305555555556" right="0.699305555555556" top="0.75" bottom="0.75" header="0.510416666666667" footer="0.510416666666667"/>
  <pageSetup paperSize="9" firstPageNumber="0" orientation="portrait" useFirstPageNumber="1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4:E24"/>
  <sheetViews>
    <sheetView workbookViewId="0">
      <selection activeCell="E14" sqref="E14:E18"/>
    </sheetView>
  </sheetViews>
  <sheetFormatPr defaultColWidth="8.99159663865546" defaultRowHeight="13.35" outlineLevelCol="4"/>
  <sheetData>
    <row r="14" spans="3:5">
      <c r="C14">
        <v>1</v>
      </c>
      <c r="E14">
        <f t="shared" ref="E14:E18" si="0">COUNTIF($C$14:$C$18,C14)</f>
        <v>2</v>
      </c>
    </row>
    <row r="15" spans="3:5">
      <c r="C15">
        <v>2</v>
      </c>
      <c r="E15">
        <f t="shared" si="0"/>
        <v>1</v>
      </c>
    </row>
    <row r="16" spans="3:5">
      <c r="C16">
        <v>3</v>
      </c>
      <c r="E16">
        <f t="shared" si="0"/>
        <v>1</v>
      </c>
    </row>
    <row r="17" spans="3:5">
      <c r="C17">
        <v>4</v>
      </c>
      <c r="E17">
        <f t="shared" si="0"/>
        <v>1</v>
      </c>
    </row>
    <row r="18" spans="3:5">
      <c r="C18">
        <v>1</v>
      </c>
      <c r="E18">
        <f t="shared" si="0"/>
        <v>2</v>
      </c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conditionalFormatting sqref="E14:E18">
    <cfRule type="expression" dxfId="5" priority="1" stopIfTrue="1">
      <formula>COUNTIF($C$14:$C$18,C14)</formula>
    </cfRule>
  </conditionalFormatting>
  <conditionalFormatting sqref="C14:C18">
    <cfRule type="expression" dxfId="6" priority="2" stopIfTrue="1">
      <formula>COUNTIF($C$14:$C$18,C14)&gt;1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iCE40hxk4_dev_board.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2017-08-28T22:05:00Z</dcterms:created>
  <dcterms:modified xsi:type="dcterms:W3CDTF">2017-08-29T23:35:25Z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11274-10.1.0.5672</vt:lpwstr>
  </property>
</Properties>
</file>